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78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charts/chart76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charts/chart74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charts/chart72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080" yWindow="150" windowWidth="15135" windowHeight="8070" activeTab="2"/>
  </bookViews>
  <sheets>
    <sheet name="2011" sheetId="1" r:id="rId1"/>
    <sheet name="2012" sheetId="2" r:id="rId2"/>
    <sheet name="2013" sheetId="3" r:id="rId3"/>
    <sheet name="2014" sheetId="4" r:id="rId4"/>
    <sheet name="2015" sheetId="5" r:id="rId5"/>
  </sheets>
  <calcPr calcId="124519"/>
</workbook>
</file>

<file path=xl/calcChain.xml><?xml version="1.0" encoding="utf-8"?>
<calcChain xmlns="http://schemas.openxmlformats.org/spreadsheetml/2006/main">
  <c r="C237" i="3"/>
  <c r="C234"/>
  <c r="C233"/>
  <c r="C232"/>
  <c r="C231"/>
  <c r="B229"/>
  <c r="C229"/>
  <c r="C228"/>
  <c r="E226" l="1"/>
  <c r="C226"/>
  <c r="C225"/>
  <c r="C224"/>
  <c r="E223"/>
  <c r="C218"/>
  <c r="C217"/>
  <c r="C215"/>
  <c r="E212"/>
  <c r="C212"/>
  <c r="E211"/>
  <c r="C210"/>
  <c r="C207" l="1"/>
  <c r="C208"/>
  <c r="C206"/>
  <c r="E204"/>
  <c r="C205"/>
  <c r="C204"/>
  <c r="C199"/>
  <c r="C198"/>
  <c r="C192"/>
  <c r="E190"/>
  <c r="E189"/>
  <c r="C190"/>
  <c r="C189"/>
  <c r="C188"/>
  <c r="E185"/>
  <c r="B185"/>
  <c r="E177"/>
  <c r="C177"/>
  <c r="B174"/>
  <c r="C175"/>
  <c r="C172"/>
  <c r="E169"/>
  <c r="C169"/>
  <c r="E168"/>
  <c r="C167"/>
  <c r="C168"/>
  <c r="E166" l="1"/>
  <c r="C160"/>
  <c r="E160"/>
  <c r="E161"/>
  <c r="C161"/>
  <c r="E145"/>
  <c r="B135" l="1"/>
  <c r="B134"/>
  <c r="B133"/>
  <c r="B132"/>
  <c r="E127" l="1"/>
  <c r="E128" s="1"/>
  <c r="C124"/>
  <c r="E124" s="1"/>
  <c r="B124"/>
  <c r="B118"/>
  <c r="B117"/>
  <c r="B116"/>
  <c r="B115"/>
  <c r="B114"/>
  <c r="B113"/>
  <c r="B112"/>
  <c r="B111"/>
  <c r="B110"/>
  <c r="C125" l="1"/>
  <c r="B109"/>
  <c r="B108"/>
  <c r="B107"/>
  <c r="B106"/>
  <c r="B105"/>
  <c r="B104"/>
  <c r="C104"/>
  <c r="C105" s="1"/>
  <c r="C106" s="1"/>
  <c r="B98"/>
  <c r="B97"/>
  <c r="B96"/>
  <c r="B95"/>
  <c r="B94"/>
  <c r="B93"/>
  <c r="B92"/>
  <c r="B91"/>
  <c r="B89"/>
  <c r="B88"/>
  <c r="B87"/>
  <c r="B86"/>
  <c r="E86" l="1"/>
  <c r="E87"/>
  <c r="E88" s="1"/>
  <c r="E89" s="1"/>
  <c r="E90" s="1"/>
  <c r="E91" s="1"/>
  <c r="B85"/>
  <c r="C86"/>
  <c r="C87" s="1"/>
  <c r="C88" s="1"/>
  <c r="C89" s="1"/>
  <c r="C90" s="1"/>
  <c r="C91" s="1"/>
  <c r="C92" s="1"/>
  <c r="C93" s="1"/>
  <c r="C94" s="1"/>
  <c r="B84"/>
  <c r="B78"/>
  <c r="E84"/>
  <c r="C84"/>
  <c r="B77"/>
  <c r="E66" l="1"/>
  <c r="B66"/>
  <c r="E65"/>
  <c r="C64"/>
  <c r="C65" s="1"/>
  <c r="C66" s="1"/>
  <c r="E55"/>
  <c r="E56" s="1"/>
  <c r="E57" s="1"/>
  <c r="E58" s="1"/>
  <c r="C55"/>
  <c r="C56" s="1"/>
  <c r="C57" s="1"/>
  <c r="C58" s="1"/>
  <c r="B52"/>
  <c r="E43" l="1"/>
  <c r="E44" s="1"/>
  <c r="C43"/>
  <c r="C44" s="1"/>
  <c r="E24" l="1"/>
  <c r="C24"/>
  <c r="B224" i="5"/>
  <c r="E223"/>
  <c r="C223"/>
  <c r="E205"/>
  <c r="C205"/>
  <c r="B205"/>
  <c r="F204"/>
  <c r="D204"/>
  <c r="E185"/>
  <c r="C185"/>
  <c r="B185"/>
  <c r="F184"/>
  <c r="D184"/>
  <c r="E166"/>
  <c r="C166"/>
  <c r="B166"/>
  <c r="F165"/>
  <c r="D165"/>
  <c r="E146"/>
  <c r="C146"/>
  <c r="B146"/>
  <c r="F145"/>
  <c r="D145"/>
  <c r="E125"/>
  <c r="C125"/>
  <c r="B125"/>
  <c r="F124"/>
  <c r="D124"/>
  <c r="E105"/>
  <c r="C105"/>
  <c r="B105"/>
  <c r="F104"/>
  <c r="D104"/>
  <c r="C85"/>
  <c r="B85"/>
  <c r="E84"/>
  <c r="D84"/>
  <c r="E65"/>
  <c r="C65"/>
  <c r="B65"/>
  <c r="F64"/>
  <c r="D64"/>
  <c r="E44"/>
  <c r="C44"/>
  <c r="B44"/>
  <c r="F43"/>
  <c r="D43"/>
  <c r="E25"/>
  <c r="C25"/>
  <c r="B25"/>
  <c r="F24"/>
  <c r="D24"/>
  <c r="E5"/>
  <c r="C5"/>
  <c r="B5"/>
  <c r="F4"/>
  <c r="D4"/>
  <c r="C4" i="3"/>
  <c r="C238" i="2"/>
  <c r="E237"/>
  <c r="C237"/>
  <c r="C236"/>
  <c r="B224" i="4"/>
  <c r="E223"/>
  <c r="C223"/>
  <c r="E205"/>
  <c r="C205"/>
  <c r="B205"/>
  <c r="F204"/>
  <c r="D204"/>
  <c r="E185"/>
  <c r="C185"/>
  <c r="B185"/>
  <c r="F184"/>
  <c r="D184"/>
  <c r="E166"/>
  <c r="C166"/>
  <c r="B166"/>
  <c r="F165"/>
  <c r="D165"/>
  <c r="E146"/>
  <c r="C146"/>
  <c r="B146"/>
  <c r="F145"/>
  <c r="D145"/>
  <c r="E125"/>
  <c r="C125"/>
  <c r="B125"/>
  <c r="F124"/>
  <c r="D124"/>
  <c r="E105"/>
  <c r="C105"/>
  <c r="B105"/>
  <c r="F104"/>
  <c r="D104"/>
  <c r="C85"/>
  <c r="B85"/>
  <c r="D84"/>
  <c r="E65"/>
  <c r="C65"/>
  <c r="B65"/>
  <c r="F64"/>
  <c r="D64"/>
  <c r="E44"/>
  <c r="C44"/>
  <c r="B44"/>
  <c r="F43"/>
  <c r="D43"/>
  <c r="E25"/>
  <c r="C25"/>
  <c r="B25"/>
  <c r="F24"/>
  <c r="D24"/>
  <c r="E5"/>
  <c r="C5"/>
  <c r="B5"/>
  <c r="F4"/>
  <c r="D4"/>
  <c r="C233" i="2"/>
  <c r="C232"/>
  <c r="E235"/>
  <c r="C231"/>
  <c r="C230"/>
  <c r="C229"/>
  <c r="E227"/>
  <c r="C227"/>
  <c r="C225"/>
  <c r="C224"/>
  <c r="E223"/>
  <c r="C223"/>
  <c r="E205" i="3"/>
  <c r="E206" s="1"/>
  <c r="E224"/>
  <c r="E225" s="1"/>
  <c r="C218" i="2"/>
  <c r="E205"/>
  <c r="C205"/>
  <c r="E204"/>
  <c r="C204"/>
  <c r="C199"/>
  <c r="B198"/>
  <c r="C198"/>
  <c r="E198"/>
  <c r="D5" i="5" l="1"/>
  <c r="F5"/>
  <c r="B6"/>
  <c r="C6"/>
  <c r="C7" s="1"/>
  <c r="C8" s="1"/>
  <c r="C9" s="1"/>
  <c r="C10" s="1"/>
  <c r="C11" s="1"/>
  <c r="C12" s="1"/>
  <c r="C13" s="1"/>
  <c r="C14" s="1"/>
  <c r="C15" s="1"/>
  <c r="C16" s="1"/>
  <c r="C17" s="1"/>
  <c r="C18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D25"/>
  <c r="F25"/>
  <c r="B26"/>
  <c r="C26"/>
  <c r="C27" s="1"/>
  <c r="C28" s="1"/>
  <c r="C29" s="1"/>
  <c r="C30" s="1"/>
  <c r="C31" s="1"/>
  <c r="C32" s="1"/>
  <c r="C33" s="1"/>
  <c r="C34" s="1"/>
  <c r="C35" s="1"/>
  <c r="C36" s="1"/>
  <c r="C37" s="1"/>
  <c r="E26"/>
  <c r="E27" s="1"/>
  <c r="E28" s="1"/>
  <c r="E29" s="1"/>
  <c r="E30" s="1"/>
  <c r="E31" s="1"/>
  <c r="E32" s="1"/>
  <c r="E33" s="1"/>
  <c r="E34" s="1"/>
  <c r="E35" s="1"/>
  <c r="E36" s="1"/>
  <c r="E37" s="1"/>
  <c r="D44"/>
  <c r="F44"/>
  <c r="B45"/>
  <c r="C45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E45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D65"/>
  <c r="F65"/>
  <c r="B66"/>
  <c r="C66"/>
  <c r="C67" s="1"/>
  <c r="C68" s="1"/>
  <c r="C69" s="1"/>
  <c r="C70" s="1"/>
  <c r="C71" s="1"/>
  <c r="C72" s="1"/>
  <c r="C73" s="1"/>
  <c r="C74" s="1"/>
  <c r="C75" s="1"/>
  <c r="C76" s="1"/>
  <c r="C77" s="1"/>
  <c r="C78" s="1"/>
  <c r="E66"/>
  <c r="E67" s="1"/>
  <c r="E68" s="1"/>
  <c r="E69" s="1"/>
  <c r="E70" s="1"/>
  <c r="E71" s="1"/>
  <c r="E72" s="1"/>
  <c r="E73" s="1"/>
  <c r="E74" s="1"/>
  <c r="E75" s="1"/>
  <c r="E76" s="1"/>
  <c r="E77" s="1"/>
  <c r="E78" s="1"/>
  <c r="F84"/>
  <c r="D85"/>
  <c r="E85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F85"/>
  <c r="B86"/>
  <c r="C86"/>
  <c r="C87" s="1"/>
  <c r="C88" s="1"/>
  <c r="C89" s="1"/>
  <c r="C90" s="1"/>
  <c r="C91" s="1"/>
  <c r="C92" s="1"/>
  <c r="C93" s="1"/>
  <c r="C94" s="1"/>
  <c r="C95" s="1"/>
  <c r="C96" s="1"/>
  <c r="C97" s="1"/>
  <c r="C98" s="1"/>
  <c r="D105"/>
  <c r="F105"/>
  <c r="B106"/>
  <c r="C106"/>
  <c r="C107" s="1"/>
  <c r="C108" s="1"/>
  <c r="C109" s="1"/>
  <c r="C110" s="1"/>
  <c r="C111" s="1"/>
  <c r="C112" s="1"/>
  <c r="C113" s="1"/>
  <c r="C114" s="1"/>
  <c r="C115" s="1"/>
  <c r="C116" s="1"/>
  <c r="C117" s="1"/>
  <c r="C118" s="1"/>
  <c r="E106"/>
  <c r="E107" s="1"/>
  <c r="E108" s="1"/>
  <c r="E109" s="1"/>
  <c r="E110" s="1"/>
  <c r="E111" s="1"/>
  <c r="E112" s="1"/>
  <c r="E113" s="1"/>
  <c r="E114" s="1"/>
  <c r="E115" s="1"/>
  <c r="E116" s="1"/>
  <c r="E117" s="1"/>
  <c r="E118" s="1"/>
  <c r="D125"/>
  <c r="F125"/>
  <c r="B126"/>
  <c r="C126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E126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D146"/>
  <c r="F146"/>
  <c r="B147"/>
  <c r="C147"/>
  <c r="C148" s="1"/>
  <c r="C149" s="1"/>
  <c r="C150" s="1"/>
  <c r="C151" s="1"/>
  <c r="C152" s="1"/>
  <c r="C153" s="1"/>
  <c r="C154" s="1"/>
  <c r="C155" s="1"/>
  <c r="C156" s="1"/>
  <c r="C157" s="1"/>
  <c r="C158" s="1"/>
  <c r="C159" s="1"/>
  <c r="E147"/>
  <c r="E148" s="1"/>
  <c r="E149" s="1"/>
  <c r="E150" s="1"/>
  <c r="E151" s="1"/>
  <c r="E152" s="1"/>
  <c r="E153" s="1"/>
  <c r="E154" s="1"/>
  <c r="E155" s="1"/>
  <c r="E156" s="1"/>
  <c r="E157" s="1"/>
  <c r="E158" s="1"/>
  <c r="E159" s="1"/>
  <c r="D166"/>
  <c r="F166"/>
  <c r="B167"/>
  <c r="C167"/>
  <c r="C168" s="1"/>
  <c r="C169" s="1"/>
  <c r="C170" s="1"/>
  <c r="C171" s="1"/>
  <c r="C172" s="1"/>
  <c r="C173" s="1"/>
  <c r="C174" s="1"/>
  <c r="C175" s="1"/>
  <c r="C176" s="1"/>
  <c r="C177" s="1"/>
  <c r="C178" s="1"/>
  <c r="C179" s="1"/>
  <c r="E167"/>
  <c r="E168" s="1"/>
  <c r="E169" s="1"/>
  <c r="E170" s="1"/>
  <c r="E171" s="1"/>
  <c r="E172" s="1"/>
  <c r="E173" s="1"/>
  <c r="E174" s="1"/>
  <c r="E175" s="1"/>
  <c r="E176" s="1"/>
  <c r="E177" s="1"/>
  <c r="E178" s="1"/>
  <c r="E179" s="1"/>
  <c r="D185"/>
  <c r="F185"/>
  <c r="B186"/>
  <c r="C186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E186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D205"/>
  <c r="F205"/>
  <c r="B206"/>
  <c r="C206"/>
  <c r="C207" s="1"/>
  <c r="C208" s="1"/>
  <c r="C209" s="1"/>
  <c r="C210" s="1"/>
  <c r="C211" s="1"/>
  <c r="C212" s="1"/>
  <c r="C213" s="1"/>
  <c r="C214" s="1"/>
  <c r="C215" s="1"/>
  <c r="C216" s="1"/>
  <c r="C217" s="1"/>
  <c r="C218" s="1"/>
  <c r="E206"/>
  <c r="E207" s="1"/>
  <c r="E208" s="1"/>
  <c r="E209" s="1"/>
  <c r="E210" s="1"/>
  <c r="E211" s="1"/>
  <c r="E212" s="1"/>
  <c r="E213" s="1"/>
  <c r="E214" s="1"/>
  <c r="E215" s="1"/>
  <c r="E216" s="1"/>
  <c r="E217" s="1"/>
  <c r="E218" s="1"/>
  <c r="D223"/>
  <c r="F223"/>
  <c r="C224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D224"/>
  <c r="E224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F224"/>
  <c r="B225"/>
  <c r="D5" i="4"/>
  <c r="F5"/>
  <c r="B6"/>
  <c r="C6"/>
  <c r="C7" s="1"/>
  <c r="C8" s="1"/>
  <c r="C9" s="1"/>
  <c r="C10" s="1"/>
  <c r="C11" s="1"/>
  <c r="C12" s="1"/>
  <c r="C13" s="1"/>
  <c r="C14" s="1"/>
  <c r="C15" s="1"/>
  <c r="C16" s="1"/>
  <c r="C17" s="1"/>
  <c r="C18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D25"/>
  <c r="F25"/>
  <c r="B26"/>
  <c r="C26"/>
  <c r="C27" s="1"/>
  <c r="C28" s="1"/>
  <c r="C29" s="1"/>
  <c r="C30" s="1"/>
  <c r="C31" s="1"/>
  <c r="C32" s="1"/>
  <c r="C33" s="1"/>
  <c r="C34" s="1"/>
  <c r="C35" s="1"/>
  <c r="C36" s="1"/>
  <c r="C37" s="1"/>
  <c r="E26"/>
  <c r="E27" s="1"/>
  <c r="E28" s="1"/>
  <c r="E29" s="1"/>
  <c r="E30" s="1"/>
  <c r="E31" s="1"/>
  <c r="E32" s="1"/>
  <c r="E33" s="1"/>
  <c r="E34" s="1"/>
  <c r="E35" s="1"/>
  <c r="E36" s="1"/>
  <c r="E37" s="1"/>
  <c r="D44"/>
  <c r="F44"/>
  <c r="B45"/>
  <c r="C45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E45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D65"/>
  <c r="F65"/>
  <c r="B66"/>
  <c r="C66"/>
  <c r="C67" s="1"/>
  <c r="C68" s="1"/>
  <c r="C69" s="1"/>
  <c r="C70" s="1"/>
  <c r="C71" s="1"/>
  <c r="C72" s="1"/>
  <c r="C73" s="1"/>
  <c r="C74" s="1"/>
  <c r="C75" s="1"/>
  <c r="C76" s="1"/>
  <c r="C77" s="1"/>
  <c r="C78" s="1"/>
  <c r="E66"/>
  <c r="E67" s="1"/>
  <c r="E68" s="1"/>
  <c r="E69" s="1"/>
  <c r="E70" s="1"/>
  <c r="E71" s="1"/>
  <c r="E72" s="1"/>
  <c r="E73" s="1"/>
  <c r="E74" s="1"/>
  <c r="E75" s="1"/>
  <c r="E76" s="1"/>
  <c r="E77" s="1"/>
  <c r="E78" s="1"/>
  <c r="F84"/>
  <c r="D85"/>
  <c r="E85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F85"/>
  <c r="B86"/>
  <c r="C86"/>
  <c r="C87" s="1"/>
  <c r="C88" s="1"/>
  <c r="C89" s="1"/>
  <c r="C90" s="1"/>
  <c r="C91" s="1"/>
  <c r="C92" s="1"/>
  <c r="C93" s="1"/>
  <c r="C94" s="1"/>
  <c r="C95" s="1"/>
  <c r="C96" s="1"/>
  <c r="C97" s="1"/>
  <c r="C98" s="1"/>
  <c r="D105"/>
  <c r="F105"/>
  <c r="B106"/>
  <c r="C106"/>
  <c r="C107" s="1"/>
  <c r="C108" s="1"/>
  <c r="C109" s="1"/>
  <c r="C110" s="1"/>
  <c r="C111" s="1"/>
  <c r="C112" s="1"/>
  <c r="C113" s="1"/>
  <c r="C114" s="1"/>
  <c r="C115" s="1"/>
  <c r="C116" s="1"/>
  <c r="C117" s="1"/>
  <c r="C118" s="1"/>
  <c r="E106"/>
  <c r="E107" s="1"/>
  <c r="E108" s="1"/>
  <c r="E109" s="1"/>
  <c r="E110" s="1"/>
  <c r="E111" s="1"/>
  <c r="E112" s="1"/>
  <c r="E113" s="1"/>
  <c r="E114" s="1"/>
  <c r="E115" s="1"/>
  <c r="E116" s="1"/>
  <c r="E117" s="1"/>
  <c r="E118" s="1"/>
  <c r="D125"/>
  <c r="F125"/>
  <c r="B126"/>
  <c r="C126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E126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D146"/>
  <c r="F146"/>
  <c r="B147"/>
  <c r="C147"/>
  <c r="C148" s="1"/>
  <c r="C149" s="1"/>
  <c r="C150" s="1"/>
  <c r="C151" s="1"/>
  <c r="C152" s="1"/>
  <c r="C153" s="1"/>
  <c r="C154" s="1"/>
  <c r="C155" s="1"/>
  <c r="C156" s="1"/>
  <c r="C157" s="1"/>
  <c r="C158" s="1"/>
  <c r="C159" s="1"/>
  <c r="E147"/>
  <c r="E148" s="1"/>
  <c r="E149" s="1"/>
  <c r="E150" s="1"/>
  <c r="E151" s="1"/>
  <c r="E152" s="1"/>
  <c r="E153" s="1"/>
  <c r="E154" s="1"/>
  <c r="E155" s="1"/>
  <c r="E156" s="1"/>
  <c r="E157" s="1"/>
  <c r="E158" s="1"/>
  <c r="E159" s="1"/>
  <c r="D166"/>
  <c r="F166"/>
  <c r="B167"/>
  <c r="C167"/>
  <c r="C168" s="1"/>
  <c r="C169" s="1"/>
  <c r="C170" s="1"/>
  <c r="C171" s="1"/>
  <c r="C172" s="1"/>
  <c r="C173" s="1"/>
  <c r="C174" s="1"/>
  <c r="C175" s="1"/>
  <c r="C176" s="1"/>
  <c r="C177" s="1"/>
  <c r="C178" s="1"/>
  <c r="C179" s="1"/>
  <c r="E167"/>
  <c r="E168" s="1"/>
  <c r="E169" s="1"/>
  <c r="E170" s="1"/>
  <c r="E171" s="1"/>
  <c r="E172" s="1"/>
  <c r="E173" s="1"/>
  <c r="E174" s="1"/>
  <c r="E175" s="1"/>
  <c r="E176" s="1"/>
  <c r="E177" s="1"/>
  <c r="E178" s="1"/>
  <c r="E179" s="1"/>
  <c r="D185"/>
  <c r="F185"/>
  <c r="B186"/>
  <c r="C186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E186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D205"/>
  <c r="F205"/>
  <c r="B206"/>
  <c r="C206"/>
  <c r="C207" s="1"/>
  <c r="C208" s="1"/>
  <c r="C209" s="1"/>
  <c r="C210" s="1"/>
  <c r="C211" s="1"/>
  <c r="C212" s="1"/>
  <c r="C213" s="1"/>
  <c r="C214" s="1"/>
  <c r="C215" s="1"/>
  <c r="C216" s="1"/>
  <c r="C217" s="1"/>
  <c r="C218" s="1"/>
  <c r="E206"/>
  <c r="E207" s="1"/>
  <c r="E208" s="1"/>
  <c r="E209" s="1"/>
  <c r="E210" s="1"/>
  <c r="E211" s="1"/>
  <c r="E212" s="1"/>
  <c r="E213" s="1"/>
  <c r="E214" s="1"/>
  <c r="E215" s="1"/>
  <c r="E216" s="1"/>
  <c r="E217" s="1"/>
  <c r="E218" s="1"/>
  <c r="D223"/>
  <c r="F223"/>
  <c r="C224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D224"/>
  <c r="E224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F224"/>
  <c r="B225"/>
  <c r="D206" i="3"/>
  <c r="C209"/>
  <c r="C211" s="1"/>
  <c r="C213" s="1"/>
  <c r="C214" s="1"/>
  <c r="C216" s="1"/>
  <c r="C219"/>
  <c r="E207"/>
  <c r="E208" s="1"/>
  <c r="E209" s="1"/>
  <c r="E210" s="1"/>
  <c r="E213" s="1"/>
  <c r="E214" s="1"/>
  <c r="E215" s="1"/>
  <c r="E216" s="1"/>
  <c r="E217" s="1"/>
  <c r="E218" s="1"/>
  <c r="E219"/>
  <c r="D205"/>
  <c r="D225"/>
  <c r="C227"/>
  <c r="C230" s="1"/>
  <c r="C235" s="1"/>
  <c r="C236" s="1"/>
  <c r="C238" s="1"/>
  <c r="C239"/>
  <c r="E227"/>
  <c r="E228" s="1"/>
  <c r="E229" s="1"/>
  <c r="E230" s="1"/>
  <c r="E231" s="1"/>
  <c r="E232" s="1"/>
  <c r="E233" s="1"/>
  <c r="E234" s="1"/>
  <c r="E235" s="1"/>
  <c r="E236" s="1"/>
  <c r="E237" s="1"/>
  <c r="E238" s="1"/>
  <c r="E239"/>
  <c r="D224"/>
  <c r="B226" i="5" l="1"/>
  <c r="F225"/>
  <c r="D225"/>
  <c r="B207"/>
  <c r="F206"/>
  <c r="D206"/>
  <c r="B187"/>
  <c r="F186"/>
  <c r="D186"/>
  <c r="B168"/>
  <c r="F167"/>
  <c r="D167"/>
  <c r="B148"/>
  <c r="F147"/>
  <c r="D147"/>
  <c r="B127"/>
  <c r="F126"/>
  <c r="D126"/>
  <c r="B107"/>
  <c r="F106"/>
  <c r="D106"/>
  <c r="B87"/>
  <c r="F86"/>
  <c r="D86"/>
  <c r="B67"/>
  <c r="F66"/>
  <c r="D66"/>
  <c r="B46"/>
  <c r="F45"/>
  <c r="D45"/>
  <c r="B27"/>
  <c r="F26"/>
  <c r="D26"/>
  <c r="B7"/>
  <c r="F6"/>
  <c r="D6"/>
  <c r="E238"/>
  <c r="C238"/>
  <c r="E219"/>
  <c r="C219"/>
  <c r="E200"/>
  <c r="C200"/>
  <c r="E180"/>
  <c r="C180"/>
  <c r="E160"/>
  <c r="C160"/>
  <c r="E140"/>
  <c r="C140"/>
  <c r="E119"/>
  <c r="C119"/>
  <c r="C99"/>
  <c r="E99"/>
  <c r="E79"/>
  <c r="C79"/>
  <c r="E59"/>
  <c r="C59"/>
  <c r="E38"/>
  <c r="C38"/>
  <c r="E19"/>
  <c r="C19"/>
  <c r="B226" i="4"/>
  <c r="F225"/>
  <c r="D225"/>
  <c r="B207"/>
  <c r="F206"/>
  <c r="D206"/>
  <c r="B187"/>
  <c r="F186"/>
  <c r="D186"/>
  <c r="B168"/>
  <c r="F167"/>
  <c r="D167"/>
  <c r="B148"/>
  <c r="F147"/>
  <c r="D147"/>
  <c r="B127"/>
  <c r="F126"/>
  <c r="D126"/>
  <c r="B107"/>
  <c r="F106"/>
  <c r="D106"/>
  <c r="B87"/>
  <c r="F86"/>
  <c r="D86"/>
  <c r="B67"/>
  <c r="F66"/>
  <c r="D66"/>
  <c r="B46"/>
  <c r="F45"/>
  <c r="D45"/>
  <c r="B27"/>
  <c r="F26"/>
  <c r="D26"/>
  <c r="B7"/>
  <c r="F6"/>
  <c r="D6"/>
  <c r="E238"/>
  <c r="C238"/>
  <c r="E219"/>
  <c r="C219"/>
  <c r="E200"/>
  <c r="C200"/>
  <c r="E180"/>
  <c r="C180"/>
  <c r="E160"/>
  <c r="C160"/>
  <c r="E140"/>
  <c r="C140"/>
  <c r="E119"/>
  <c r="C119"/>
  <c r="C99"/>
  <c r="E99"/>
  <c r="E79"/>
  <c r="C79"/>
  <c r="E59"/>
  <c r="C59"/>
  <c r="E38"/>
  <c r="C38"/>
  <c r="E19"/>
  <c r="C19"/>
  <c r="D207" i="3"/>
  <c r="D226"/>
  <c r="B8" i="5" l="1"/>
  <c r="F7"/>
  <c r="D7"/>
  <c r="B28"/>
  <c r="F27"/>
  <c r="D27"/>
  <c r="B47"/>
  <c r="F46"/>
  <c r="D46"/>
  <c r="B68"/>
  <c r="F67"/>
  <c r="D67"/>
  <c r="B88"/>
  <c r="F87"/>
  <c r="D87"/>
  <c r="B108"/>
  <c r="F107"/>
  <c r="D107"/>
  <c r="B128"/>
  <c r="F127"/>
  <c r="D127"/>
  <c r="B149"/>
  <c r="F148"/>
  <c r="D148"/>
  <c r="B169"/>
  <c r="F168"/>
  <c r="D168"/>
  <c r="B188"/>
  <c r="F187"/>
  <c r="D187"/>
  <c r="B208"/>
  <c r="F207"/>
  <c r="D207"/>
  <c r="B227"/>
  <c r="F226"/>
  <c r="D226"/>
  <c r="B8" i="4"/>
  <c r="F7"/>
  <c r="D7"/>
  <c r="B28"/>
  <c r="F27"/>
  <c r="D27"/>
  <c r="B47"/>
  <c r="F46"/>
  <c r="D46"/>
  <c r="B68"/>
  <c r="F67"/>
  <c r="D67"/>
  <c r="B88"/>
  <c r="F87"/>
  <c r="D87"/>
  <c r="B108"/>
  <c r="F107"/>
  <c r="D107"/>
  <c r="B128"/>
  <c r="F127"/>
  <c r="D127"/>
  <c r="B149"/>
  <c r="F148"/>
  <c r="D148"/>
  <c r="B169"/>
  <c r="F168"/>
  <c r="D168"/>
  <c r="B188"/>
  <c r="F187"/>
  <c r="D187"/>
  <c r="B208"/>
  <c r="F207"/>
  <c r="D207"/>
  <c r="B227"/>
  <c r="F226"/>
  <c r="D226"/>
  <c r="D208" i="3"/>
  <c r="D227"/>
  <c r="B228" i="5" l="1"/>
  <c r="F227"/>
  <c r="D227"/>
  <c r="B209"/>
  <c r="F208"/>
  <c r="D208"/>
  <c r="B189"/>
  <c r="F188"/>
  <c r="D188"/>
  <c r="B170"/>
  <c r="F169"/>
  <c r="D169"/>
  <c r="B150"/>
  <c r="F149"/>
  <c r="D149"/>
  <c r="B129"/>
  <c r="F128"/>
  <c r="D128"/>
  <c r="B109"/>
  <c r="F108"/>
  <c r="D108"/>
  <c r="B89"/>
  <c r="F88"/>
  <c r="D88"/>
  <c r="B69"/>
  <c r="F68"/>
  <c r="D68"/>
  <c r="B48"/>
  <c r="F47"/>
  <c r="D47"/>
  <c r="B29"/>
  <c r="F28"/>
  <c r="D28"/>
  <c r="B9"/>
  <c r="F8"/>
  <c r="D8"/>
  <c r="B228" i="4"/>
  <c r="F227"/>
  <c r="D227"/>
  <c r="B209"/>
  <c r="F208"/>
  <c r="D208"/>
  <c r="B189"/>
  <c r="F188"/>
  <c r="D188"/>
  <c r="B170"/>
  <c r="F169"/>
  <c r="D169"/>
  <c r="B150"/>
  <c r="F149"/>
  <c r="D149"/>
  <c r="B129"/>
  <c r="F128"/>
  <c r="D128"/>
  <c r="B109"/>
  <c r="F108"/>
  <c r="D108"/>
  <c r="B89"/>
  <c r="F88"/>
  <c r="D88"/>
  <c r="B69"/>
  <c r="F68"/>
  <c r="D68"/>
  <c r="B48"/>
  <c r="F47"/>
  <c r="D47"/>
  <c r="B29"/>
  <c r="F28"/>
  <c r="D28"/>
  <c r="B9"/>
  <c r="F8"/>
  <c r="D8"/>
  <c r="D209" i="3"/>
  <c r="D228"/>
  <c r="B10" i="5" l="1"/>
  <c r="F9"/>
  <c r="D9"/>
  <c r="B30"/>
  <c r="F29"/>
  <c r="D29"/>
  <c r="B49"/>
  <c r="F48"/>
  <c r="D48"/>
  <c r="B70"/>
  <c r="F69"/>
  <c r="D69"/>
  <c r="B90"/>
  <c r="F89"/>
  <c r="D89"/>
  <c r="B110"/>
  <c r="F109"/>
  <c r="D109"/>
  <c r="B130"/>
  <c r="F129"/>
  <c r="D129"/>
  <c r="B151"/>
  <c r="F150"/>
  <c r="D150"/>
  <c r="B171"/>
  <c r="F170"/>
  <c r="D170"/>
  <c r="B190"/>
  <c r="F189"/>
  <c r="D189"/>
  <c r="B210"/>
  <c r="F209"/>
  <c r="D209"/>
  <c r="B229"/>
  <c r="F228"/>
  <c r="D228"/>
  <c r="B10" i="4"/>
  <c r="F9"/>
  <c r="D9"/>
  <c r="B30"/>
  <c r="F29"/>
  <c r="D29"/>
  <c r="B49"/>
  <c r="F48"/>
  <c r="D48"/>
  <c r="B70"/>
  <c r="F69"/>
  <c r="D69"/>
  <c r="B90"/>
  <c r="F89"/>
  <c r="D89"/>
  <c r="B110"/>
  <c r="F109"/>
  <c r="D109"/>
  <c r="B130"/>
  <c r="F129"/>
  <c r="D129"/>
  <c r="B151"/>
  <c r="F150"/>
  <c r="D150"/>
  <c r="B171"/>
  <c r="F170"/>
  <c r="D170"/>
  <c r="B190"/>
  <c r="F189"/>
  <c r="D189"/>
  <c r="B210"/>
  <c r="F209"/>
  <c r="D209"/>
  <c r="B229"/>
  <c r="F228"/>
  <c r="D228"/>
  <c r="D210" i="3"/>
  <c r="D229"/>
  <c r="B230" i="5" l="1"/>
  <c r="F229"/>
  <c r="D229"/>
  <c r="B211"/>
  <c r="F210"/>
  <c r="D210"/>
  <c r="B191"/>
  <c r="F190"/>
  <c r="D190"/>
  <c r="B172"/>
  <c r="F171"/>
  <c r="D171"/>
  <c r="B152"/>
  <c r="F151"/>
  <c r="D151"/>
  <c r="B131"/>
  <c r="F130"/>
  <c r="D130"/>
  <c r="B111"/>
  <c r="F110"/>
  <c r="D110"/>
  <c r="B91"/>
  <c r="F90"/>
  <c r="D90"/>
  <c r="B71"/>
  <c r="F70"/>
  <c r="D70"/>
  <c r="B50"/>
  <c r="F49"/>
  <c r="D49"/>
  <c r="B31"/>
  <c r="F30"/>
  <c r="D30"/>
  <c r="B11"/>
  <c r="F10"/>
  <c r="D10"/>
  <c r="B230" i="4"/>
  <c r="F229"/>
  <c r="D229"/>
  <c r="B211"/>
  <c r="F210"/>
  <c r="D210"/>
  <c r="B191"/>
  <c r="F190"/>
  <c r="D190"/>
  <c r="B172"/>
  <c r="F171"/>
  <c r="D171"/>
  <c r="B152"/>
  <c r="F151"/>
  <c r="D151"/>
  <c r="B131"/>
  <c r="F130"/>
  <c r="D130"/>
  <c r="B111"/>
  <c r="F110"/>
  <c r="D110"/>
  <c r="B91"/>
  <c r="F90"/>
  <c r="D90"/>
  <c r="B71"/>
  <c r="F70"/>
  <c r="D70"/>
  <c r="B50"/>
  <c r="F49"/>
  <c r="D49"/>
  <c r="B31"/>
  <c r="F30"/>
  <c r="D30"/>
  <c r="B11"/>
  <c r="F10"/>
  <c r="D10"/>
  <c r="D211" i="3"/>
  <c r="D230"/>
  <c r="B12" i="5" l="1"/>
  <c r="F11"/>
  <c r="D11"/>
  <c r="B32"/>
  <c r="F31"/>
  <c r="D31"/>
  <c r="B51"/>
  <c r="F50"/>
  <c r="D50"/>
  <c r="B72"/>
  <c r="F71"/>
  <c r="D71"/>
  <c r="B92"/>
  <c r="F91"/>
  <c r="D91"/>
  <c r="B112"/>
  <c r="F111"/>
  <c r="D111"/>
  <c r="B132"/>
  <c r="F131"/>
  <c r="D131"/>
  <c r="B153"/>
  <c r="F152"/>
  <c r="D152"/>
  <c r="B173"/>
  <c r="F172"/>
  <c r="D172"/>
  <c r="B192"/>
  <c r="F191"/>
  <c r="D191"/>
  <c r="B212"/>
  <c r="F211"/>
  <c r="D211"/>
  <c r="B231"/>
  <c r="F230"/>
  <c r="D230"/>
  <c r="B12" i="4"/>
  <c r="F11"/>
  <c r="D11"/>
  <c r="B32"/>
  <c r="F31"/>
  <c r="D31"/>
  <c r="B51"/>
  <c r="F50"/>
  <c r="D50"/>
  <c r="B72"/>
  <c r="F71"/>
  <c r="D71"/>
  <c r="B92"/>
  <c r="F91"/>
  <c r="D91"/>
  <c r="B112"/>
  <c r="F111"/>
  <c r="D111"/>
  <c r="B132"/>
  <c r="F131"/>
  <c r="D131"/>
  <c r="B153"/>
  <c r="F152"/>
  <c r="D152"/>
  <c r="B173"/>
  <c r="F172"/>
  <c r="D172"/>
  <c r="B192"/>
  <c r="F191"/>
  <c r="D191"/>
  <c r="B212"/>
  <c r="F211"/>
  <c r="D211"/>
  <c r="B231"/>
  <c r="F230"/>
  <c r="D230"/>
  <c r="D212" i="3"/>
  <c r="D231"/>
  <c r="B232" i="5" l="1"/>
  <c r="F231"/>
  <c r="D231"/>
  <c r="B213"/>
  <c r="F212"/>
  <c r="D212"/>
  <c r="B193"/>
  <c r="F192"/>
  <c r="D192"/>
  <c r="B174"/>
  <c r="F173"/>
  <c r="D173"/>
  <c r="B154"/>
  <c r="F153"/>
  <c r="D153"/>
  <c r="B133"/>
  <c r="F132"/>
  <c r="D132"/>
  <c r="B113"/>
  <c r="F112"/>
  <c r="D112"/>
  <c r="B93"/>
  <c r="F92"/>
  <c r="D92"/>
  <c r="B73"/>
  <c r="F72"/>
  <c r="D72"/>
  <c r="B52"/>
  <c r="F51"/>
  <c r="D51"/>
  <c r="B33"/>
  <c r="F32"/>
  <c r="D32"/>
  <c r="B13"/>
  <c r="F12"/>
  <c r="D12"/>
  <c r="B232" i="4"/>
  <c r="F231"/>
  <c r="D231"/>
  <c r="B213"/>
  <c r="F212"/>
  <c r="D212"/>
  <c r="B193"/>
  <c r="F192"/>
  <c r="D192"/>
  <c r="B174"/>
  <c r="F173"/>
  <c r="D173"/>
  <c r="B154"/>
  <c r="F153"/>
  <c r="D153"/>
  <c r="B133"/>
  <c r="F132"/>
  <c r="D132"/>
  <c r="B113"/>
  <c r="F112"/>
  <c r="D112"/>
  <c r="B93"/>
  <c r="F92"/>
  <c r="D92"/>
  <c r="B73"/>
  <c r="F72"/>
  <c r="D72"/>
  <c r="B52"/>
  <c r="F51"/>
  <c r="D51"/>
  <c r="B33"/>
  <c r="F32"/>
  <c r="D32"/>
  <c r="B13"/>
  <c r="F12"/>
  <c r="D12"/>
  <c r="D213" i="3"/>
  <c r="D232"/>
  <c r="B14" i="5" l="1"/>
  <c r="F13"/>
  <c r="D13"/>
  <c r="B34"/>
  <c r="F33"/>
  <c r="D33"/>
  <c r="B53"/>
  <c r="F52"/>
  <c r="D52"/>
  <c r="B74"/>
  <c r="F73"/>
  <c r="D73"/>
  <c r="B94"/>
  <c r="F93"/>
  <c r="D93"/>
  <c r="B114"/>
  <c r="F113"/>
  <c r="D113"/>
  <c r="B134"/>
  <c r="F133"/>
  <c r="D133"/>
  <c r="B155"/>
  <c r="F154"/>
  <c r="D154"/>
  <c r="B175"/>
  <c r="F174"/>
  <c r="D174"/>
  <c r="B194"/>
  <c r="F193"/>
  <c r="D193"/>
  <c r="B214"/>
  <c r="F213"/>
  <c r="D213"/>
  <c r="B233"/>
  <c r="F232"/>
  <c r="D232"/>
  <c r="B14" i="4"/>
  <c r="F13"/>
  <c r="D13"/>
  <c r="B34"/>
  <c r="F33"/>
  <c r="D33"/>
  <c r="B53"/>
  <c r="F52"/>
  <c r="D52"/>
  <c r="B74"/>
  <c r="F73"/>
  <c r="D73"/>
  <c r="B94"/>
  <c r="F93"/>
  <c r="D93"/>
  <c r="B114"/>
  <c r="F113"/>
  <c r="D113"/>
  <c r="B134"/>
  <c r="F133"/>
  <c r="D133"/>
  <c r="B155"/>
  <c r="F154"/>
  <c r="D154"/>
  <c r="B175"/>
  <c r="F174"/>
  <c r="D174"/>
  <c r="B194"/>
  <c r="F193"/>
  <c r="D193"/>
  <c r="B214"/>
  <c r="F213"/>
  <c r="D213"/>
  <c r="B233"/>
  <c r="F232"/>
  <c r="D232"/>
  <c r="D214" i="3"/>
  <c r="D233"/>
  <c r="B234" i="5" l="1"/>
  <c r="F233"/>
  <c r="D233"/>
  <c r="B215"/>
  <c r="F214"/>
  <c r="D214"/>
  <c r="B195"/>
  <c r="F194"/>
  <c r="D194"/>
  <c r="B176"/>
  <c r="F175"/>
  <c r="D175"/>
  <c r="B156"/>
  <c r="F155"/>
  <c r="D155"/>
  <c r="B135"/>
  <c r="F134"/>
  <c r="D134"/>
  <c r="B115"/>
  <c r="F114"/>
  <c r="D114"/>
  <c r="B95"/>
  <c r="F94"/>
  <c r="D94"/>
  <c r="B75"/>
  <c r="F74"/>
  <c r="D74"/>
  <c r="B54"/>
  <c r="F53"/>
  <c r="D53"/>
  <c r="B35"/>
  <c r="F34"/>
  <c r="D34"/>
  <c r="B15"/>
  <c r="F14"/>
  <c r="D14"/>
  <c r="B234" i="4"/>
  <c r="F233"/>
  <c r="D233"/>
  <c r="B215"/>
  <c r="F214"/>
  <c r="D214"/>
  <c r="B195"/>
  <c r="F194"/>
  <c r="D194"/>
  <c r="B176"/>
  <c r="F175"/>
  <c r="D175"/>
  <c r="B156"/>
  <c r="F155"/>
  <c r="D155"/>
  <c r="B135"/>
  <c r="F134"/>
  <c r="D134"/>
  <c r="B115"/>
  <c r="F114"/>
  <c r="D114"/>
  <c r="B95"/>
  <c r="F94"/>
  <c r="D94"/>
  <c r="B75"/>
  <c r="F74"/>
  <c r="D74"/>
  <c r="B54"/>
  <c r="F53"/>
  <c r="D53"/>
  <c r="B35"/>
  <c r="F34"/>
  <c r="D34"/>
  <c r="B15"/>
  <c r="F14"/>
  <c r="D14"/>
  <c r="D215" i="3"/>
  <c r="D234"/>
  <c r="B16" i="5" l="1"/>
  <c r="F15"/>
  <c r="D15"/>
  <c r="B36"/>
  <c r="F35"/>
  <c r="D35"/>
  <c r="B55"/>
  <c r="F54"/>
  <c r="D54"/>
  <c r="B76"/>
  <c r="F75"/>
  <c r="D75"/>
  <c r="B96"/>
  <c r="F95"/>
  <c r="D95"/>
  <c r="B116"/>
  <c r="F115"/>
  <c r="D115"/>
  <c r="B136"/>
  <c r="F135"/>
  <c r="D135"/>
  <c r="B157"/>
  <c r="F156"/>
  <c r="D156"/>
  <c r="B177"/>
  <c r="F176"/>
  <c r="D176"/>
  <c r="B196"/>
  <c r="F195"/>
  <c r="D195"/>
  <c r="B216"/>
  <c r="F215"/>
  <c r="D215"/>
  <c r="B235"/>
  <c r="F234"/>
  <c r="D234"/>
  <c r="B16" i="4"/>
  <c r="F15"/>
  <c r="D15"/>
  <c r="B36"/>
  <c r="F35"/>
  <c r="D35"/>
  <c r="B55"/>
  <c r="F54"/>
  <c r="D54"/>
  <c r="B76"/>
  <c r="F75"/>
  <c r="D75"/>
  <c r="B96"/>
  <c r="F95"/>
  <c r="D95"/>
  <c r="B116"/>
  <c r="F115"/>
  <c r="D115"/>
  <c r="B136"/>
  <c r="F135"/>
  <c r="D135"/>
  <c r="B157"/>
  <c r="F156"/>
  <c r="D156"/>
  <c r="B177"/>
  <c r="F176"/>
  <c r="D176"/>
  <c r="B196"/>
  <c r="F195"/>
  <c r="D195"/>
  <c r="B216"/>
  <c r="F215"/>
  <c r="D215"/>
  <c r="B235"/>
  <c r="F234"/>
  <c r="D234"/>
  <c r="D216" i="3"/>
  <c r="D235"/>
  <c r="B236" i="5" l="1"/>
  <c r="F235"/>
  <c r="D235"/>
  <c r="B217"/>
  <c r="F216"/>
  <c r="D216"/>
  <c r="B197"/>
  <c r="F196"/>
  <c r="D196"/>
  <c r="B178"/>
  <c r="F177"/>
  <c r="D177"/>
  <c r="B158"/>
  <c r="F157"/>
  <c r="D157"/>
  <c r="B137"/>
  <c r="F136"/>
  <c r="D136"/>
  <c r="B117"/>
  <c r="F116"/>
  <c r="D116"/>
  <c r="B97"/>
  <c r="F96"/>
  <c r="D96"/>
  <c r="B77"/>
  <c r="F76"/>
  <c r="D76"/>
  <c r="B56"/>
  <c r="F55"/>
  <c r="D55"/>
  <c r="B37"/>
  <c r="F36"/>
  <c r="D36"/>
  <c r="B17"/>
  <c r="F16"/>
  <c r="D16"/>
  <c r="B236" i="4"/>
  <c r="F235"/>
  <c r="D235"/>
  <c r="B217"/>
  <c r="F216"/>
  <c r="D216"/>
  <c r="B197"/>
  <c r="F196"/>
  <c r="D196"/>
  <c r="B178"/>
  <c r="F177"/>
  <c r="D177"/>
  <c r="B158"/>
  <c r="F157"/>
  <c r="D157"/>
  <c r="B137"/>
  <c r="F136"/>
  <c r="D136"/>
  <c r="B117"/>
  <c r="F116"/>
  <c r="D116"/>
  <c r="B97"/>
  <c r="F96"/>
  <c r="D96"/>
  <c r="B77"/>
  <c r="F76"/>
  <c r="D76"/>
  <c r="B56"/>
  <c r="F55"/>
  <c r="D55"/>
  <c r="B37"/>
  <c r="F36"/>
  <c r="D36"/>
  <c r="B17"/>
  <c r="F16"/>
  <c r="D16"/>
  <c r="D217" i="3"/>
  <c r="B237"/>
  <c r="B238" s="1"/>
  <c r="D236"/>
  <c r="F238" l="1"/>
  <c r="D238"/>
  <c r="B18" i="5"/>
  <c r="F17"/>
  <c r="D17"/>
  <c r="F37"/>
  <c r="F38" s="1"/>
  <c r="D37"/>
  <c r="D38" s="1"/>
  <c r="B38"/>
  <c r="B57"/>
  <c r="F56"/>
  <c r="D56"/>
  <c r="B78"/>
  <c r="F77"/>
  <c r="D77"/>
  <c r="B98"/>
  <c r="F97"/>
  <c r="D97"/>
  <c r="B118"/>
  <c r="F117"/>
  <c r="D117"/>
  <c r="B138"/>
  <c r="F137"/>
  <c r="D137"/>
  <c r="B159"/>
  <c r="F158"/>
  <c r="D158"/>
  <c r="B179"/>
  <c r="F178"/>
  <c r="D178"/>
  <c r="B198"/>
  <c r="F197"/>
  <c r="D197"/>
  <c r="B218"/>
  <c r="F217"/>
  <c r="D217"/>
  <c r="B237"/>
  <c r="F236"/>
  <c r="D236"/>
  <c r="B18" i="4"/>
  <c r="F17"/>
  <c r="D17"/>
  <c r="F37"/>
  <c r="F38" s="1"/>
  <c r="D37"/>
  <c r="D38" s="1"/>
  <c r="B38"/>
  <c r="B57"/>
  <c r="F56"/>
  <c r="D56"/>
  <c r="B78"/>
  <c r="F77"/>
  <c r="D77"/>
  <c r="B98"/>
  <c r="F97"/>
  <c r="D97"/>
  <c r="B118"/>
  <c r="F117"/>
  <c r="D117"/>
  <c r="B138"/>
  <c r="F137"/>
  <c r="D137"/>
  <c r="B159"/>
  <c r="F158"/>
  <c r="D158"/>
  <c r="B179"/>
  <c r="F178"/>
  <c r="D178"/>
  <c r="B198"/>
  <c r="F197"/>
  <c r="D197"/>
  <c r="B218"/>
  <c r="F217"/>
  <c r="D217"/>
  <c r="B237"/>
  <c r="F236"/>
  <c r="D236"/>
  <c r="D218" i="3"/>
  <c r="B219"/>
  <c r="D237"/>
  <c r="B239"/>
  <c r="C197" i="2"/>
  <c r="C196"/>
  <c r="C195"/>
  <c r="C194"/>
  <c r="E194"/>
  <c r="E191"/>
  <c r="C191"/>
  <c r="C190"/>
  <c r="C189"/>
  <c r="F186"/>
  <c r="D186"/>
  <c r="B186"/>
  <c r="E185"/>
  <c r="C187"/>
  <c r="C185"/>
  <c r="F237" i="5" l="1"/>
  <c r="F238" s="1"/>
  <c r="D237"/>
  <c r="D238" s="1"/>
  <c r="B238"/>
  <c r="F218"/>
  <c r="F219" s="1"/>
  <c r="D218"/>
  <c r="D219" s="1"/>
  <c r="B219"/>
  <c r="B199"/>
  <c r="F198"/>
  <c r="D198"/>
  <c r="F179"/>
  <c r="F180" s="1"/>
  <c r="D179"/>
  <c r="D180" s="1"/>
  <c r="B180"/>
  <c r="F159"/>
  <c r="F160" s="1"/>
  <c r="D159"/>
  <c r="D160" s="1"/>
  <c r="B160"/>
  <c r="B139"/>
  <c r="F138"/>
  <c r="D138"/>
  <c r="F118"/>
  <c r="F119" s="1"/>
  <c r="D118"/>
  <c r="D119" s="1"/>
  <c r="B119"/>
  <c r="F98"/>
  <c r="F99" s="1"/>
  <c r="D98"/>
  <c r="D99" s="1"/>
  <c r="B99"/>
  <c r="F78"/>
  <c r="F79" s="1"/>
  <c r="D78"/>
  <c r="D79" s="1"/>
  <c r="B79"/>
  <c r="B58"/>
  <c r="F57"/>
  <c r="D57"/>
  <c r="F18"/>
  <c r="F19" s="1"/>
  <c r="D18"/>
  <c r="D19" s="1"/>
  <c r="B19"/>
  <c r="F237" i="4"/>
  <c r="F238" s="1"/>
  <c r="D237"/>
  <c r="D238" s="1"/>
  <c r="B238"/>
  <c r="F218"/>
  <c r="F219" s="1"/>
  <c r="D218"/>
  <c r="D219" s="1"/>
  <c r="B219"/>
  <c r="B199"/>
  <c r="F198"/>
  <c r="D198"/>
  <c r="F179"/>
  <c r="F180" s="1"/>
  <c r="D179"/>
  <c r="D180" s="1"/>
  <c r="B180"/>
  <c r="F159"/>
  <c r="F160" s="1"/>
  <c r="D159"/>
  <c r="D160" s="1"/>
  <c r="B160"/>
  <c r="B139"/>
  <c r="F138"/>
  <c r="D138"/>
  <c r="F118"/>
  <c r="F119" s="1"/>
  <c r="D118"/>
  <c r="D119" s="1"/>
  <c r="B119"/>
  <c r="F98"/>
  <c r="F99" s="1"/>
  <c r="D98"/>
  <c r="D99" s="1"/>
  <c r="B99"/>
  <c r="F78"/>
  <c r="F79" s="1"/>
  <c r="D78"/>
  <c r="D79" s="1"/>
  <c r="B79"/>
  <c r="B58"/>
  <c r="F57"/>
  <c r="D57"/>
  <c r="F18"/>
  <c r="F19" s="1"/>
  <c r="D18"/>
  <c r="D19" s="1"/>
  <c r="B19"/>
  <c r="E167" i="3"/>
  <c r="F58" i="5" l="1"/>
  <c r="F59" s="1"/>
  <c r="D58"/>
  <c r="D59" s="1"/>
  <c r="B59"/>
  <c r="F139"/>
  <c r="F140" s="1"/>
  <c r="D139"/>
  <c r="D140" s="1"/>
  <c r="B140"/>
  <c r="F199"/>
  <c r="F200" s="1"/>
  <c r="D199"/>
  <c r="D200" s="1"/>
  <c r="B200"/>
  <c r="F58" i="4"/>
  <c r="F59" s="1"/>
  <c r="D58"/>
  <c r="D59" s="1"/>
  <c r="B59"/>
  <c r="F139"/>
  <c r="F140" s="1"/>
  <c r="D139"/>
  <c r="D140" s="1"/>
  <c r="B140"/>
  <c r="F199"/>
  <c r="F200" s="1"/>
  <c r="D199"/>
  <c r="D200" s="1"/>
  <c r="B200"/>
  <c r="C178" i="2"/>
  <c r="E178"/>
  <c r="E177"/>
  <c r="C177"/>
  <c r="E173"/>
  <c r="C173"/>
  <c r="E170"/>
  <c r="C170"/>
  <c r="C169"/>
  <c r="C166"/>
  <c r="E166"/>
  <c r="C158"/>
  <c r="C159"/>
  <c r="C160" s="1"/>
  <c r="E157"/>
  <c r="C157"/>
  <c r="E154"/>
  <c r="C154"/>
  <c r="C153"/>
  <c r="C152"/>
  <c r="E150"/>
  <c r="C150"/>
  <c r="E148"/>
  <c r="C149"/>
  <c r="E149"/>
  <c r="C148"/>
  <c r="B147"/>
  <c r="E147"/>
  <c r="B146"/>
  <c r="C147" l="1"/>
  <c r="B145"/>
  <c r="C146"/>
  <c r="C145"/>
  <c r="F124" i="3"/>
  <c r="B139" i="2"/>
  <c r="E145"/>
  <c r="B138"/>
  <c r="C138"/>
  <c r="B137"/>
  <c r="C137"/>
  <c r="B136"/>
  <c r="B135"/>
  <c r="B134"/>
  <c r="C135"/>
  <c r="B133"/>
  <c r="B132"/>
  <c r="B131"/>
  <c r="C132"/>
  <c r="E132"/>
  <c r="C131"/>
  <c r="B130"/>
  <c r="B129"/>
  <c r="C130"/>
  <c r="B128"/>
  <c r="B127"/>
  <c r="C127"/>
  <c r="C126"/>
  <c r="B126"/>
  <c r="B119"/>
  <c r="E186" i="3"/>
  <c r="C186"/>
  <c r="C170"/>
  <c r="C171" s="1"/>
  <c r="C173" s="1"/>
  <c r="C174" s="1"/>
  <c r="C176" s="1"/>
  <c r="C178" s="1"/>
  <c r="C179" s="1"/>
  <c r="C180" s="1"/>
  <c r="E125" i="2"/>
  <c r="C119"/>
  <c r="C118"/>
  <c r="B118"/>
  <c r="B117"/>
  <c r="B116"/>
  <c r="C117"/>
  <c r="E115"/>
  <c r="E116"/>
  <c r="C116"/>
  <c r="B115"/>
  <c r="B114"/>
  <c r="B113"/>
  <c r="B112"/>
  <c r="C113"/>
  <c r="C112"/>
  <c r="C111"/>
  <c r="B111"/>
  <c r="C191" i="3" l="1"/>
  <c r="C193" s="1"/>
  <c r="C194" s="1"/>
  <c r="C195" s="1"/>
  <c r="C196" s="1"/>
  <c r="C197" s="1"/>
  <c r="E187"/>
  <c r="E188" s="1"/>
  <c r="E191" s="1"/>
  <c r="E192" s="1"/>
  <c r="E193" s="1"/>
  <c r="E194" s="1"/>
  <c r="E195" s="1"/>
  <c r="E196" s="1"/>
  <c r="E197" s="1"/>
  <c r="E198" s="1"/>
  <c r="E199" s="1"/>
  <c r="E110" i="2"/>
  <c r="B110"/>
  <c r="C110"/>
  <c r="B109"/>
  <c r="B181" i="3"/>
  <c r="C181"/>
  <c r="E100" i="2"/>
  <c r="B100"/>
  <c r="C100"/>
  <c r="B79"/>
  <c r="C79"/>
  <c r="E79"/>
  <c r="D92"/>
  <c r="D91"/>
  <c r="D90"/>
  <c r="D89"/>
  <c r="D88"/>
  <c r="D87"/>
  <c r="D86"/>
  <c r="D85"/>
  <c r="D84"/>
  <c r="D79"/>
  <c r="E59"/>
  <c r="B59"/>
  <c r="C59"/>
  <c r="E39"/>
  <c r="C39"/>
  <c r="B39"/>
  <c r="E25" i="3"/>
  <c r="E26" s="1"/>
  <c r="E27" s="1"/>
  <c r="E28" s="1"/>
  <c r="E29" s="1"/>
  <c r="C25"/>
  <c r="C26" s="1"/>
  <c r="C27" s="1"/>
  <c r="C28" s="1"/>
  <c r="C29" s="1"/>
  <c r="C30" s="1"/>
  <c r="E19" i="2"/>
  <c r="B19"/>
  <c r="C19"/>
  <c r="D166" i="3"/>
  <c r="E18" i="1"/>
  <c r="C18"/>
  <c r="B18"/>
  <c r="E37"/>
  <c r="C37"/>
  <c r="B37"/>
  <c r="E56"/>
  <c r="C56"/>
  <c r="B56"/>
  <c r="E76"/>
  <c r="C76"/>
  <c r="B76"/>
  <c r="B108" i="2"/>
  <c r="C109"/>
  <c r="C106"/>
  <c r="B107"/>
  <c r="C107"/>
  <c r="C108" s="1"/>
  <c r="E105"/>
  <c r="B105"/>
  <c r="B99"/>
  <c r="C105"/>
  <c r="B98"/>
  <c r="C99"/>
  <c r="B97"/>
  <c r="B96"/>
  <c r="E96"/>
  <c r="C96"/>
  <c r="B95"/>
  <c r="E95"/>
  <c r="C95"/>
  <c r="C94"/>
  <c r="B94"/>
  <c r="E93"/>
  <c r="C93"/>
  <c r="D93"/>
  <c r="E91"/>
  <c r="C91"/>
  <c r="E92"/>
  <c r="C92"/>
  <c r="E90"/>
  <c r="C90"/>
  <c r="E89"/>
  <c r="C89"/>
  <c r="E200" i="3" l="1"/>
  <c r="C200"/>
  <c r="B200"/>
  <c r="C31"/>
  <c r="E30"/>
  <c r="E31" s="1"/>
  <c r="D199"/>
  <c r="F199"/>
  <c r="C45"/>
  <c r="C46" s="1"/>
  <c r="C47" s="1"/>
  <c r="C48" s="1"/>
  <c r="C49" s="1"/>
  <c r="C50" s="1"/>
  <c r="C51" s="1"/>
  <c r="C52" s="1"/>
  <c r="C53" s="1"/>
  <c r="C54" s="1"/>
  <c r="C59"/>
  <c r="E45"/>
  <c r="E46" s="1"/>
  <c r="E47" s="1"/>
  <c r="F166"/>
  <c r="E67"/>
  <c r="C67"/>
  <c r="B79"/>
  <c r="C32"/>
  <c r="B38"/>
  <c r="D167"/>
  <c r="C33" l="1"/>
  <c r="E32"/>
  <c r="C68"/>
  <c r="E68"/>
  <c r="E48"/>
  <c r="D57"/>
  <c r="F57"/>
  <c r="E170"/>
  <c r="E171" s="1"/>
  <c r="E172" s="1"/>
  <c r="E173" s="1"/>
  <c r="E174" s="1"/>
  <c r="E175" s="1"/>
  <c r="E176" s="1"/>
  <c r="E178" s="1"/>
  <c r="E179" s="1"/>
  <c r="E180" s="1"/>
  <c r="F167"/>
  <c r="B88" i="2"/>
  <c r="B87"/>
  <c r="E5" i="3"/>
  <c r="C5"/>
  <c r="C6" s="1"/>
  <c r="F85" i="2"/>
  <c r="B85"/>
  <c r="E87"/>
  <c r="E86"/>
  <c r="E85"/>
  <c r="C86"/>
  <c r="C85"/>
  <c r="E224"/>
  <c r="D223"/>
  <c r="D204"/>
  <c r="C186"/>
  <c r="E186"/>
  <c r="D185"/>
  <c r="C167"/>
  <c r="E167"/>
  <c r="D166"/>
  <c r="C84"/>
  <c r="F224" i="3"/>
  <c r="D204"/>
  <c r="D219" s="1"/>
  <c r="C146"/>
  <c r="C147" s="1"/>
  <c r="C148" s="1"/>
  <c r="E146"/>
  <c r="D145"/>
  <c r="E125"/>
  <c r="D124"/>
  <c r="E105"/>
  <c r="D104"/>
  <c r="F64"/>
  <c r="F43"/>
  <c r="F24"/>
  <c r="E84" i="2"/>
  <c r="E146"/>
  <c r="D145"/>
  <c r="E126"/>
  <c r="D125"/>
  <c r="E106"/>
  <c r="E107" s="1"/>
  <c r="E108" s="1"/>
  <c r="E109" s="1"/>
  <c r="E111" s="1"/>
  <c r="D105"/>
  <c r="E88"/>
  <c r="E94" s="1"/>
  <c r="E97" s="1"/>
  <c r="E98" s="1"/>
  <c r="E99" s="1"/>
  <c r="C88"/>
  <c r="C97" s="1"/>
  <c r="C98" s="1"/>
  <c r="E71"/>
  <c r="E72"/>
  <c r="E73" s="1"/>
  <c r="E33" i="3" l="1"/>
  <c r="E34" s="1"/>
  <c r="E35" s="1"/>
  <c r="E36" s="1"/>
  <c r="E37" s="1"/>
  <c r="E38"/>
  <c r="C34"/>
  <c r="C35" s="1"/>
  <c r="C36" s="1"/>
  <c r="C37" s="1"/>
  <c r="C38"/>
  <c r="E49"/>
  <c r="E69"/>
  <c r="E70" s="1"/>
  <c r="C69"/>
  <c r="C70" s="1"/>
  <c r="C71" s="1"/>
  <c r="C72" s="1"/>
  <c r="C73" s="1"/>
  <c r="C74" s="1"/>
  <c r="C75" s="1"/>
  <c r="C76" s="1"/>
  <c r="C77" s="1"/>
  <c r="C78" s="1"/>
  <c r="F58"/>
  <c r="D58"/>
  <c r="B59"/>
  <c r="E85"/>
  <c r="E92" s="1"/>
  <c r="E147"/>
  <c r="C149"/>
  <c r="C150" s="1"/>
  <c r="E168" i="2"/>
  <c r="E169" s="1"/>
  <c r="E171" s="1"/>
  <c r="E172" s="1"/>
  <c r="E174" s="1"/>
  <c r="E175" s="1"/>
  <c r="E176" s="1"/>
  <c r="E179" s="1"/>
  <c r="E180" s="1"/>
  <c r="E181"/>
  <c r="C168"/>
  <c r="C171" s="1"/>
  <c r="C172" s="1"/>
  <c r="C174" s="1"/>
  <c r="C175" s="1"/>
  <c r="C176" s="1"/>
  <c r="C179" s="1"/>
  <c r="C180" s="1"/>
  <c r="C181"/>
  <c r="E151"/>
  <c r="E152" s="1"/>
  <c r="E153" s="1"/>
  <c r="E155" s="1"/>
  <c r="E156" s="1"/>
  <c r="E158" s="1"/>
  <c r="E159" s="1"/>
  <c r="E160" s="1"/>
  <c r="E161"/>
  <c r="C151"/>
  <c r="C155" s="1"/>
  <c r="C156" s="1"/>
  <c r="C161"/>
  <c r="E126" i="3"/>
  <c r="C126"/>
  <c r="C128" s="1"/>
  <c r="E127" i="2"/>
  <c r="E128" s="1"/>
  <c r="E129" s="1"/>
  <c r="E130" s="1"/>
  <c r="E131" s="1"/>
  <c r="E133" s="1"/>
  <c r="E134" s="1"/>
  <c r="E135" s="1"/>
  <c r="E136" s="1"/>
  <c r="E137" s="1"/>
  <c r="E138" s="1"/>
  <c r="E139" s="1"/>
  <c r="E140"/>
  <c r="C128"/>
  <c r="C129" s="1"/>
  <c r="C133" s="1"/>
  <c r="C134" s="1"/>
  <c r="C136" s="1"/>
  <c r="C139" s="1"/>
  <c r="C140"/>
  <c r="E106" i="3"/>
  <c r="E107" s="1"/>
  <c r="E108" s="1"/>
  <c r="E109" s="1"/>
  <c r="C107"/>
  <c r="C108" s="1"/>
  <c r="E112" i="2"/>
  <c r="E113" s="1"/>
  <c r="E114" s="1"/>
  <c r="E117" s="1"/>
  <c r="E118" s="1"/>
  <c r="E119" s="1"/>
  <c r="E120"/>
  <c r="C114"/>
  <c r="C115" s="1"/>
  <c r="C120"/>
  <c r="C95" i="3"/>
  <c r="C96" s="1"/>
  <c r="C97" s="1"/>
  <c r="C98" s="1"/>
  <c r="C99"/>
  <c r="E6"/>
  <c r="E7" s="1"/>
  <c r="E8" s="1"/>
  <c r="C7"/>
  <c r="C8" s="1"/>
  <c r="E225" i="2"/>
  <c r="E226" s="1"/>
  <c r="E228" s="1"/>
  <c r="E229" s="1"/>
  <c r="E230" s="1"/>
  <c r="E231" s="1"/>
  <c r="E232" s="1"/>
  <c r="E233" s="1"/>
  <c r="E234" s="1"/>
  <c r="E236" s="1"/>
  <c r="E238" s="1"/>
  <c r="C226"/>
  <c r="C228" s="1"/>
  <c r="C234" s="1"/>
  <c r="C235" s="1"/>
  <c r="E206"/>
  <c r="E207" s="1"/>
  <c r="E208" s="1"/>
  <c r="E209" s="1"/>
  <c r="C206"/>
  <c r="C207" s="1"/>
  <c r="E187"/>
  <c r="E188" s="1"/>
  <c r="E189" s="1"/>
  <c r="E190" s="1"/>
  <c r="E192" s="1"/>
  <c r="E193" s="1"/>
  <c r="E195" s="1"/>
  <c r="E196" s="1"/>
  <c r="E197" s="1"/>
  <c r="E199" s="1"/>
  <c r="E200"/>
  <c r="C188"/>
  <c r="C192" s="1"/>
  <c r="C193" s="1"/>
  <c r="C200"/>
  <c r="F6" i="3"/>
  <c r="D6"/>
  <c r="D4"/>
  <c r="F4"/>
  <c r="D5"/>
  <c r="F5"/>
  <c r="F225" i="2"/>
  <c r="D225"/>
  <c r="F223"/>
  <c r="D224"/>
  <c r="F224"/>
  <c r="F206"/>
  <c r="D206"/>
  <c r="F204"/>
  <c r="D205"/>
  <c r="F205"/>
  <c r="F187"/>
  <c r="D187"/>
  <c r="F185"/>
  <c r="F168"/>
  <c r="D168"/>
  <c r="F166"/>
  <c r="D167"/>
  <c r="F167"/>
  <c r="D25" i="3"/>
  <c r="F26"/>
  <c r="D44"/>
  <c r="F45"/>
  <c r="D65"/>
  <c r="F66"/>
  <c r="F86"/>
  <c r="D86"/>
  <c r="F106"/>
  <c r="D106"/>
  <c r="F126"/>
  <c r="D126"/>
  <c r="F147"/>
  <c r="D147"/>
  <c r="D168"/>
  <c r="D186"/>
  <c r="F186"/>
  <c r="F205"/>
  <c r="F226"/>
  <c r="D24"/>
  <c r="F25"/>
  <c r="D43"/>
  <c r="F44"/>
  <c r="D64"/>
  <c r="F65"/>
  <c r="D84"/>
  <c r="F84"/>
  <c r="D85"/>
  <c r="F85"/>
  <c r="F104"/>
  <c r="D105"/>
  <c r="F105"/>
  <c r="D125"/>
  <c r="F125"/>
  <c r="F145"/>
  <c r="D146"/>
  <c r="F146"/>
  <c r="D185"/>
  <c r="F185"/>
  <c r="F204"/>
  <c r="D223"/>
  <c r="D239" s="1"/>
  <c r="F223"/>
  <c r="F225"/>
  <c r="D99" i="2"/>
  <c r="F99"/>
  <c r="F147"/>
  <c r="D147"/>
  <c r="F145"/>
  <c r="D146"/>
  <c r="F146"/>
  <c r="F127"/>
  <c r="D127"/>
  <c r="F125"/>
  <c r="D126"/>
  <c r="F126"/>
  <c r="F107"/>
  <c r="D107"/>
  <c r="F105"/>
  <c r="D106"/>
  <c r="F106"/>
  <c r="E65"/>
  <c r="E66" s="1"/>
  <c r="C64"/>
  <c r="E45"/>
  <c r="C44"/>
  <c r="C45" s="1"/>
  <c r="C9" i="3" l="1"/>
  <c r="C10" s="1"/>
  <c r="E9"/>
  <c r="E10" s="1"/>
  <c r="C109"/>
  <c r="E110"/>
  <c r="C129"/>
  <c r="C130" s="1"/>
  <c r="C131" s="1"/>
  <c r="E93"/>
  <c r="E71"/>
  <c r="E50"/>
  <c r="E51" s="1"/>
  <c r="E52" s="1"/>
  <c r="C79"/>
  <c r="C151"/>
  <c r="E148"/>
  <c r="E239" i="2"/>
  <c r="C239"/>
  <c r="C208"/>
  <c r="E210"/>
  <c r="F168" i="3"/>
  <c r="F7"/>
  <c r="D7"/>
  <c r="F226" i="2"/>
  <c r="D226"/>
  <c r="F207"/>
  <c r="D207"/>
  <c r="F188"/>
  <c r="D188"/>
  <c r="F169"/>
  <c r="D169"/>
  <c r="F227" i="3"/>
  <c r="F206"/>
  <c r="F187"/>
  <c r="D187"/>
  <c r="F169"/>
  <c r="D169"/>
  <c r="F148"/>
  <c r="D148"/>
  <c r="F127"/>
  <c r="D127"/>
  <c r="F107"/>
  <c r="D107"/>
  <c r="F87"/>
  <c r="D87"/>
  <c r="F67"/>
  <c r="D66"/>
  <c r="F46"/>
  <c r="D45"/>
  <c r="F27"/>
  <c r="D26"/>
  <c r="F148" i="2"/>
  <c r="D148"/>
  <c r="F128"/>
  <c r="D128"/>
  <c r="F108"/>
  <c r="D108"/>
  <c r="F84"/>
  <c r="E25"/>
  <c r="C24"/>
  <c r="C25" s="1"/>
  <c r="C26" s="1"/>
  <c r="E53" i="3" l="1"/>
  <c r="E54" s="1"/>
  <c r="E59"/>
  <c r="C132"/>
  <c r="C133" s="1"/>
  <c r="C134" s="1"/>
  <c r="C135" s="1"/>
  <c r="E11"/>
  <c r="E12" s="1"/>
  <c r="C11"/>
  <c r="C12" s="1"/>
  <c r="C13" s="1"/>
  <c r="E72"/>
  <c r="F71"/>
  <c r="C110"/>
  <c r="C111" s="1"/>
  <c r="C112" s="1"/>
  <c r="C113" s="1"/>
  <c r="E94"/>
  <c r="E95" s="1"/>
  <c r="E96" s="1"/>
  <c r="E97" s="1"/>
  <c r="E98" s="1"/>
  <c r="E111"/>
  <c r="E112" s="1"/>
  <c r="E113" s="1"/>
  <c r="E149"/>
  <c r="E150" s="1"/>
  <c r="E151" s="1"/>
  <c r="E152" s="1"/>
  <c r="E153" s="1"/>
  <c r="E154" s="1"/>
  <c r="E155" s="1"/>
  <c r="C152"/>
  <c r="C153" s="1"/>
  <c r="C154" s="1"/>
  <c r="E129"/>
  <c r="E130" s="1"/>
  <c r="E131" s="1"/>
  <c r="E211" i="2"/>
  <c r="E212" s="1"/>
  <c r="E213" s="1"/>
  <c r="E214" s="1"/>
  <c r="E215" s="1"/>
  <c r="E216" s="1"/>
  <c r="E217" s="1"/>
  <c r="E218" s="1"/>
  <c r="E219"/>
  <c r="C209"/>
  <c r="C210" s="1"/>
  <c r="F8" i="3"/>
  <c r="D8"/>
  <c r="F227" i="2"/>
  <c r="D227"/>
  <c r="F208"/>
  <c r="D208"/>
  <c r="F189"/>
  <c r="D189"/>
  <c r="F170"/>
  <c r="D170"/>
  <c r="D27" i="3"/>
  <c r="F28"/>
  <c r="D46"/>
  <c r="F47"/>
  <c r="D67"/>
  <c r="F68"/>
  <c r="F88"/>
  <c r="D88"/>
  <c r="F108"/>
  <c r="D108"/>
  <c r="F128"/>
  <c r="D128"/>
  <c r="F149"/>
  <c r="D149"/>
  <c r="F170"/>
  <c r="D170"/>
  <c r="D188"/>
  <c r="F188"/>
  <c r="F207"/>
  <c r="F228"/>
  <c r="F149" i="2"/>
  <c r="D149"/>
  <c r="F129"/>
  <c r="D129"/>
  <c r="F109"/>
  <c r="D109"/>
  <c r="F86"/>
  <c r="C14" i="3" l="1"/>
  <c r="C15" s="1"/>
  <c r="E13"/>
  <c r="E14" s="1"/>
  <c r="E15" s="1"/>
  <c r="E16" s="1"/>
  <c r="E17" s="1"/>
  <c r="E18" s="1"/>
  <c r="E19"/>
  <c r="C136"/>
  <c r="C137" s="1"/>
  <c r="C138" s="1"/>
  <c r="E132"/>
  <c r="E114"/>
  <c r="E115" s="1"/>
  <c r="C114"/>
  <c r="F72"/>
  <c r="E73"/>
  <c r="E99"/>
  <c r="E157"/>
  <c r="E158" s="1"/>
  <c r="E159" s="1"/>
  <c r="E156"/>
  <c r="F156" s="1"/>
  <c r="C155"/>
  <c r="C156" s="1"/>
  <c r="C211" i="2"/>
  <c r="F9" i="3"/>
  <c r="D9"/>
  <c r="F228" i="2"/>
  <c r="D228"/>
  <c r="F209"/>
  <c r="D209"/>
  <c r="F190"/>
  <c r="D190"/>
  <c r="F171"/>
  <c r="D171"/>
  <c r="F229" i="3"/>
  <c r="F208"/>
  <c r="F189"/>
  <c r="D189"/>
  <c r="F171"/>
  <c r="D171"/>
  <c r="F150"/>
  <c r="D150"/>
  <c r="F129"/>
  <c r="D129"/>
  <c r="F109"/>
  <c r="D109"/>
  <c r="F89"/>
  <c r="D89"/>
  <c r="F70"/>
  <c r="F69"/>
  <c r="D68"/>
  <c r="F48"/>
  <c r="D47"/>
  <c r="F29"/>
  <c r="D28"/>
  <c r="F150" i="2"/>
  <c r="D150"/>
  <c r="F130"/>
  <c r="D130"/>
  <c r="F110"/>
  <c r="D110"/>
  <c r="F87"/>
  <c r="C5"/>
  <c r="E116" i="3" l="1"/>
  <c r="E117" s="1"/>
  <c r="E118" s="1"/>
  <c r="E119"/>
  <c r="C139"/>
  <c r="C140"/>
  <c r="C16"/>
  <c r="C17" s="1"/>
  <c r="C18" s="1"/>
  <c r="C19"/>
  <c r="E74"/>
  <c r="F73"/>
  <c r="C115"/>
  <c r="C116" s="1"/>
  <c r="E133"/>
  <c r="E134" s="1"/>
  <c r="E135" s="1"/>
  <c r="C157"/>
  <c r="D156"/>
  <c r="C158"/>
  <c r="C159" s="1"/>
  <c r="C212" i="2"/>
  <c r="C213" s="1"/>
  <c r="F10" i="3"/>
  <c r="D10"/>
  <c r="F229" i="2"/>
  <c r="D229"/>
  <c r="F210"/>
  <c r="D210"/>
  <c r="F191"/>
  <c r="D191"/>
  <c r="F172"/>
  <c r="D172"/>
  <c r="D29" i="3"/>
  <c r="F30"/>
  <c r="D48"/>
  <c r="F49"/>
  <c r="D69"/>
  <c r="F90"/>
  <c r="D90"/>
  <c r="F110"/>
  <c r="D110"/>
  <c r="F130"/>
  <c r="D130"/>
  <c r="F151"/>
  <c r="D151"/>
  <c r="F172"/>
  <c r="D172"/>
  <c r="D190"/>
  <c r="F190"/>
  <c r="F209"/>
  <c r="F230"/>
  <c r="F151" i="2"/>
  <c r="D151"/>
  <c r="F131"/>
  <c r="D131"/>
  <c r="F111"/>
  <c r="D111"/>
  <c r="F88"/>
  <c r="E4"/>
  <c r="E5" s="1"/>
  <c r="E67"/>
  <c r="C65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F64"/>
  <c r="D64"/>
  <c r="E46"/>
  <c r="C46"/>
  <c r="F44"/>
  <c r="D44"/>
  <c r="C74" i="1"/>
  <c r="C72"/>
  <c r="C70"/>
  <c r="E68"/>
  <c r="C69"/>
  <c r="C67"/>
  <c r="C68"/>
  <c r="C66"/>
  <c r="C64"/>
  <c r="C63"/>
  <c r="E62"/>
  <c r="C62"/>
  <c r="E60"/>
  <c r="C60"/>
  <c r="E55"/>
  <c r="C55"/>
  <c r="C54"/>
  <c r="E53"/>
  <c r="C53"/>
  <c r="C50"/>
  <c r="E50"/>
  <c r="E49"/>
  <c r="C49"/>
  <c r="E36"/>
  <c r="F36"/>
  <c r="D36"/>
  <c r="F18"/>
  <c r="D18"/>
  <c r="E17"/>
  <c r="C17"/>
  <c r="F17"/>
  <c r="C48"/>
  <c r="E43"/>
  <c r="C43"/>
  <c r="E136" i="3" l="1"/>
  <c r="C117"/>
  <c r="E75"/>
  <c r="F74"/>
  <c r="C214" i="2"/>
  <c r="F11" i="3"/>
  <c r="D11"/>
  <c r="C47" i="2"/>
  <c r="C48" s="1"/>
  <c r="C49" s="1"/>
  <c r="C50" s="1"/>
  <c r="C51" s="1"/>
  <c r="C52" s="1"/>
  <c r="C53" s="1"/>
  <c r="E47"/>
  <c r="E48" s="1"/>
  <c r="E49" s="1"/>
  <c r="E74"/>
  <c r="E75" s="1"/>
  <c r="E68"/>
  <c r="E69" s="1"/>
  <c r="E70" s="1"/>
  <c r="F230"/>
  <c r="D230"/>
  <c r="F211"/>
  <c r="D211"/>
  <c r="F192"/>
  <c r="D192"/>
  <c r="F173"/>
  <c r="D173"/>
  <c r="F231" i="3"/>
  <c r="F210"/>
  <c r="F191"/>
  <c r="D191"/>
  <c r="F173"/>
  <c r="D173"/>
  <c r="F152"/>
  <c r="D152"/>
  <c r="F131"/>
  <c r="D131"/>
  <c r="F111"/>
  <c r="D111"/>
  <c r="F91"/>
  <c r="D91"/>
  <c r="D70"/>
  <c r="F50"/>
  <c r="D49"/>
  <c r="F31"/>
  <c r="D30"/>
  <c r="F152" i="2"/>
  <c r="D152"/>
  <c r="F132"/>
  <c r="D132"/>
  <c r="F112"/>
  <c r="D112"/>
  <c r="F89"/>
  <c r="F66"/>
  <c r="D66"/>
  <c r="D65"/>
  <c r="F65"/>
  <c r="F46"/>
  <c r="D46"/>
  <c r="D45"/>
  <c r="F45"/>
  <c r="D17" i="1"/>
  <c r="E76" i="3" l="1"/>
  <c r="F75"/>
  <c r="C118"/>
  <c r="C119" s="1"/>
  <c r="E137"/>
  <c r="E138" s="1"/>
  <c r="E139" s="1"/>
  <c r="C215" i="2"/>
  <c r="C216" s="1"/>
  <c r="C217" s="1"/>
  <c r="F12" i="3"/>
  <c r="D12"/>
  <c r="E50" i="2"/>
  <c r="E51" s="1"/>
  <c r="E52" s="1"/>
  <c r="E53" s="1"/>
  <c r="C54"/>
  <c r="C55" s="1"/>
  <c r="C56" s="1"/>
  <c r="C57" s="1"/>
  <c r="C58" s="1"/>
  <c r="E76"/>
  <c r="E77" s="1"/>
  <c r="E78" s="1"/>
  <c r="F231"/>
  <c r="D231"/>
  <c r="F212"/>
  <c r="D212"/>
  <c r="F193"/>
  <c r="D193"/>
  <c r="F174"/>
  <c r="D174"/>
  <c r="D31" i="3"/>
  <c r="F32"/>
  <c r="D50"/>
  <c r="F51"/>
  <c r="D71"/>
  <c r="F92"/>
  <c r="D92"/>
  <c r="F112"/>
  <c r="D112"/>
  <c r="F132"/>
  <c r="D132"/>
  <c r="F153"/>
  <c r="D153"/>
  <c r="F174"/>
  <c r="D174"/>
  <c r="D192"/>
  <c r="F192"/>
  <c r="F211"/>
  <c r="F232"/>
  <c r="F153" i="2"/>
  <c r="D153"/>
  <c r="F133"/>
  <c r="D133"/>
  <c r="F113"/>
  <c r="D113"/>
  <c r="F90"/>
  <c r="F67"/>
  <c r="D67"/>
  <c r="F47"/>
  <c r="D47"/>
  <c r="E77" i="3" l="1"/>
  <c r="F76"/>
  <c r="E140"/>
  <c r="C219" i="2"/>
  <c r="F13" i="3"/>
  <c r="D13"/>
  <c r="E54" i="2"/>
  <c r="E55" s="1"/>
  <c r="E56" s="1"/>
  <c r="E57" s="1"/>
  <c r="E58" s="1"/>
  <c r="F232"/>
  <c r="D232"/>
  <c r="F213"/>
  <c r="D213"/>
  <c r="F194"/>
  <c r="D194"/>
  <c r="F175"/>
  <c r="D175"/>
  <c r="F233" i="3"/>
  <c r="F212"/>
  <c r="F193"/>
  <c r="D193"/>
  <c r="F175"/>
  <c r="D175"/>
  <c r="F154"/>
  <c r="D154"/>
  <c r="F133"/>
  <c r="D133"/>
  <c r="F113"/>
  <c r="D113"/>
  <c r="F93"/>
  <c r="D93"/>
  <c r="D72"/>
  <c r="F52"/>
  <c r="D51"/>
  <c r="F33"/>
  <c r="D32"/>
  <c r="F154" i="2"/>
  <c r="D154"/>
  <c r="F134"/>
  <c r="D134"/>
  <c r="F114"/>
  <c r="D114"/>
  <c r="F91"/>
  <c r="F68"/>
  <c r="D68"/>
  <c r="F48"/>
  <c r="D48"/>
  <c r="E78" i="3" l="1"/>
  <c r="F77"/>
  <c r="F14"/>
  <c r="D14"/>
  <c r="F233" i="2"/>
  <c r="D233"/>
  <c r="F214"/>
  <c r="D214"/>
  <c r="F195"/>
  <c r="D195"/>
  <c r="F176"/>
  <c r="D176"/>
  <c r="D33" i="3"/>
  <c r="F34"/>
  <c r="D52"/>
  <c r="F53"/>
  <c r="D73"/>
  <c r="F94"/>
  <c r="D94"/>
  <c r="F114"/>
  <c r="D114"/>
  <c r="F134"/>
  <c r="D134"/>
  <c r="F155"/>
  <c r="D155"/>
  <c r="F176"/>
  <c r="D176"/>
  <c r="D194"/>
  <c r="F194"/>
  <c r="F213"/>
  <c r="F234"/>
  <c r="F155" i="2"/>
  <c r="D155"/>
  <c r="F135"/>
  <c r="D135"/>
  <c r="F115"/>
  <c r="D115"/>
  <c r="F92"/>
  <c r="F69"/>
  <c r="D69"/>
  <c r="F49"/>
  <c r="D49"/>
  <c r="E79" i="3" l="1"/>
  <c r="F78"/>
  <c r="F79" s="1"/>
  <c r="F15"/>
  <c r="D15"/>
  <c r="F234" i="2"/>
  <c r="D234"/>
  <c r="F215"/>
  <c r="D215"/>
  <c r="F196"/>
  <c r="D196"/>
  <c r="F177"/>
  <c r="D177"/>
  <c r="F235" i="3"/>
  <c r="F214"/>
  <c r="F195"/>
  <c r="D195"/>
  <c r="F177"/>
  <c r="D177"/>
  <c r="F157"/>
  <c r="D157"/>
  <c r="F135"/>
  <c r="D135"/>
  <c r="F115"/>
  <c r="D115"/>
  <c r="F95"/>
  <c r="D95"/>
  <c r="D74"/>
  <c r="F54"/>
  <c r="D53"/>
  <c r="F35"/>
  <c r="D34"/>
  <c r="F156" i="2"/>
  <c r="D156"/>
  <c r="F136"/>
  <c r="D136"/>
  <c r="F116"/>
  <c r="D116"/>
  <c r="F93"/>
  <c r="D94"/>
  <c r="F70"/>
  <c r="D70"/>
  <c r="F50"/>
  <c r="D50"/>
  <c r="E26"/>
  <c r="E27" s="1"/>
  <c r="E28" s="1"/>
  <c r="C27"/>
  <c r="C28" s="1"/>
  <c r="C61" i="1"/>
  <c r="C65" s="1"/>
  <c r="C71" s="1"/>
  <c r="C73" s="1"/>
  <c r="C75" s="1"/>
  <c r="E61"/>
  <c r="E63" s="1"/>
  <c r="E64" s="1"/>
  <c r="E65" s="1"/>
  <c r="E66" s="1"/>
  <c r="E67" s="1"/>
  <c r="E69" s="1"/>
  <c r="E70" s="1"/>
  <c r="E71" s="1"/>
  <c r="E72" s="1"/>
  <c r="E73" s="1"/>
  <c r="E74" s="1"/>
  <c r="E75" s="1"/>
  <c r="D60"/>
  <c r="E41"/>
  <c r="E42" s="1"/>
  <c r="E44" s="1"/>
  <c r="E45" s="1"/>
  <c r="E46" s="1"/>
  <c r="E47" s="1"/>
  <c r="E48" s="1"/>
  <c r="E51" s="1"/>
  <c r="E52" s="1"/>
  <c r="E54" s="1"/>
  <c r="C6" i="2"/>
  <c r="C7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D4"/>
  <c r="F16" i="3" l="1"/>
  <c r="D16"/>
  <c r="C8" i="2"/>
  <c r="C9" s="1"/>
  <c r="C29"/>
  <c r="C30" s="1"/>
  <c r="E29"/>
  <c r="E30" s="1"/>
  <c r="E31" s="1"/>
  <c r="E32" s="1"/>
  <c r="E33" s="1"/>
  <c r="E34" s="1"/>
  <c r="F235"/>
  <c r="D235"/>
  <c r="F216"/>
  <c r="D216"/>
  <c r="F197"/>
  <c r="D197"/>
  <c r="F178"/>
  <c r="D178"/>
  <c r="D35" i="3"/>
  <c r="F36"/>
  <c r="D54"/>
  <c r="F55"/>
  <c r="D75"/>
  <c r="F96"/>
  <c r="D96"/>
  <c r="F116"/>
  <c r="D116"/>
  <c r="F136"/>
  <c r="D136"/>
  <c r="F158"/>
  <c r="D158"/>
  <c r="F178"/>
  <c r="D178"/>
  <c r="D196"/>
  <c r="F196"/>
  <c r="F215"/>
  <c r="F236"/>
  <c r="F157" i="2"/>
  <c r="D157"/>
  <c r="F137"/>
  <c r="D137"/>
  <c r="F117"/>
  <c r="D117"/>
  <c r="D95"/>
  <c r="F94"/>
  <c r="F71"/>
  <c r="D71"/>
  <c r="F51"/>
  <c r="D51"/>
  <c r="F55" i="1"/>
  <c r="F62"/>
  <c r="D62"/>
  <c r="F60"/>
  <c r="D61"/>
  <c r="F61"/>
  <c r="F6" i="2"/>
  <c r="D6"/>
  <c r="F4"/>
  <c r="D5"/>
  <c r="F5"/>
  <c r="D25"/>
  <c r="F25"/>
  <c r="D24"/>
  <c r="F24"/>
  <c r="C42" i="1"/>
  <c r="C44" s="1"/>
  <c r="C45" s="1"/>
  <c r="E22"/>
  <c r="F22" s="1"/>
  <c r="C22"/>
  <c r="D22" s="1"/>
  <c r="D138" i="3" l="1"/>
  <c r="F138"/>
  <c r="B239" i="2"/>
  <c r="D237"/>
  <c r="F237"/>
  <c r="B19" i="3"/>
  <c r="F17"/>
  <c r="D17"/>
  <c r="E35" i="2"/>
  <c r="E36" s="1"/>
  <c r="C31"/>
  <c r="C32" s="1"/>
  <c r="C33" s="1"/>
  <c r="C34" s="1"/>
  <c r="C10"/>
  <c r="C11" s="1"/>
  <c r="C12" s="1"/>
  <c r="C13" s="1"/>
  <c r="C14" s="1"/>
  <c r="C15" s="1"/>
  <c r="C16" s="1"/>
  <c r="C17" s="1"/>
  <c r="C18" s="1"/>
  <c r="F236"/>
  <c r="D236"/>
  <c r="B219"/>
  <c r="F217"/>
  <c r="D217"/>
  <c r="B200"/>
  <c r="F198"/>
  <c r="D198"/>
  <c r="B181"/>
  <c r="F179"/>
  <c r="D179"/>
  <c r="F237" i="3"/>
  <c r="F239" s="1"/>
  <c r="F216"/>
  <c r="F197"/>
  <c r="D198"/>
  <c r="D197"/>
  <c r="D180"/>
  <c r="F179"/>
  <c r="D179"/>
  <c r="B161"/>
  <c r="F159"/>
  <c r="D159"/>
  <c r="F137"/>
  <c r="D137"/>
  <c r="B119"/>
  <c r="F117"/>
  <c r="D117"/>
  <c r="B99"/>
  <c r="F97"/>
  <c r="D97"/>
  <c r="D76"/>
  <c r="F56"/>
  <c r="F59" s="1"/>
  <c r="D55"/>
  <c r="F37"/>
  <c r="F38" s="1"/>
  <c r="D36"/>
  <c r="B161" i="2"/>
  <c r="F158"/>
  <c r="D158"/>
  <c r="B140"/>
  <c r="F138"/>
  <c r="D138"/>
  <c r="B120"/>
  <c r="F118"/>
  <c r="D118"/>
  <c r="F95"/>
  <c r="D96"/>
  <c r="F72"/>
  <c r="D72"/>
  <c r="F52"/>
  <c r="D52"/>
  <c r="C23" i="1"/>
  <c r="C24" s="1"/>
  <c r="C25" s="1"/>
  <c r="C26" s="1"/>
  <c r="E23"/>
  <c r="E24" s="1"/>
  <c r="F63"/>
  <c r="D63"/>
  <c r="F7" i="2"/>
  <c r="D7"/>
  <c r="F26"/>
  <c r="D26"/>
  <c r="D42" i="1"/>
  <c r="F42"/>
  <c r="D41"/>
  <c r="F41"/>
  <c r="E25"/>
  <c r="D23"/>
  <c r="C27"/>
  <c r="C4"/>
  <c r="C5" s="1"/>
  <c r="C6" s="1"/>
  <c r="E3"/>
  <c r="F3" s="1"/>
  <c r="D3"/>
  <c r="D200" i="3" l="1"/>
  <c r="F139"/>
  <c r="F140" s="1"/>
  <c r="D139"/>
  <c r="D140" s="1"/>
  <c r="B140"/>
  <c r="F238" i="2"/>
  <c r="F239" s="1"/>
  <c r="D238"/>
  <c r="D239" s="1"/>
  <c r="F180" i="3"/>
  <c r="E181"/>
  <c r="D181"/>
  <c r="F181"/>
  <c r="F18"/>
  <c r="F19" s="1"/>
  <c r="D18"/>
  <c r="D19" s="1"/>
  <c r="C35" i="2"/>
  <c r="C36" s="1"/>
  <c r="C37" s="1"/>
  <c r="C38" s="1"/>
  <c r="D38" s="1"/>
  <c r="E37"/>
  <c r="E38" s="1"/>
  <c r="F38" s="1"/>
  <c r="F160"/>
  <c r="D160"/>
  <c r="F218"/>
  <c r="F219" s="1"/>
  <c r="D218"/>
  <c r="D219" s="1"/>
  <c r="F199"/>
  <c r="D199"/>
  <c r="F180"/>
  <c r="D180"/>
  <c r="D37" i="3"/>
  <c r="D38" s="1"/>
  <c r="D56"/>
  <c r="D59" s="1"/>
  <c r="D78"/>
  <c r="D77"/>
  <c r="F98"/>
  <c r="F99" s="1"/>
  <c r="D98"/>
  <c r="D99" s="1"/>
  <c r="F118"/>
  <c r="F119" s="1"/>
  <c r="D118"/>
  <c r="D119" s="1"/>
  <c r="F160"/>
  <c r="F161" s="1"/>
  <c r="D160"/>
  <c r="D161" s="1"/>
  <c r="F198"/>
  <c r="F200" s="1"/>
  <c r="F218"/>
  <c r="F217"/>
  <c r="D181" i="2"/>
  <c r="F181"/>
  <c r="D200"/>
  <c r="F159"/>
  <c r="D159"/>
  <c r="F139"/>
  <c r="D139"/>
  <c r="F119"/>
  <c r="D119"/>
  <c r="D98"/>
  <c r="D97"/>
  <c r="F96"/>
  <c r="F73"/>
  <c r="D73"/>
  <c r="F53"/>
  <c r="D53"/>
  <c r="C28" i="1"/>
  <c r="C29" s="1"/>
  <c r="C30" s="1"/>
  <c r="C31" s="1"/>
  <c r="C32" s="1"/>
  <c r="C33" s="1"/>
  <c r="C34" s="1"/>
  <c r="C35" s="1"/>
  <c r="E26"/>
  <c r="E27" s="1"/>
  <c r="E28" s="1"/>
  <c r="E29" s="1"/>
  <c r="F64"/>
  <c r="D64"/>
  <c r="F8" i="2"/>
  <c r="D8"/>
  <c r="D27"/>
  <c r="F27"/>
  <c r="F43" i="1"/>
  <c r="D43"/>
  <c r="D24"/>
  <c r="F24"/>
  <c r="E6"/>
  <c r="C7"/>
  <c r="E5"/>
  <c r="E4"/>
  <c r="F4" s="1"/>
  <c r="D5"/>
  <c r="D4"/>
  <c r="F219" i="3" l="1"/>
  <c r="F161" i="2"/>
  <c r="D161"/>
  <c r="D100"/>
  <c r="D79" i="3"/>
  <c r="F200" i="2"/>
  <c r="F98"/>
  <c r="F97"/>
  <c r="F120"/>
  <c r="F140"/>
  <c r="F74"/>
  <c r="D74"/>
  <c r="F54"/>
  <c r="D54"/>
  <c r="E30" i="1"/>
  <c r="E31" s="1"/>
  <c r="E32" s="1"/>
  <c r="E33" s="1"/>
  <c r="E34" s="1"/>
  <c r="E35" s="1"/>
  <c r="F65"/>
  <c r="D65"/>
  <c r="F9" i="2"/>
  <c r="D9"/>
  <c r="F28"/>
  <c r="D28"/>
  <c r="D44" i="1"/>
  <c r="F44"/>
  <c r="D25"/>
  <c r="F25"/>
  <c r="E7"/>
  <c r="C8"/>
  <c r="F5"/>
  <c r="F100" i="2" l="1"/>
  <c r="D140"/>
  <c r="D120"/>
  <c r="F75"/>
  <c r="D75"/>
  <c r="F55"/>
  <c r="D55"/>
  <c r="F66" i="1"/>
  <c r="D66"/>
  <c r="F10" i="2"/>
  <c r="D10"/>
  <c r="D29"/>
  <c r="F29"/>
  <c r="F45" i="1"/>
  <c r="C46"/>
  <c r="D45"/>
  <c r="D26"/>
  <c r="F26"/>
  <c r="C9"/>
  <c r="E8"/>
  <c r="F6"/>
  <c r="D6"/>
  <c r="F7"/>
  <c r="F76" i="2" l="1"/>
  <c r="D76"/>
  <c r="F56"/>
  <c r="D56"/>
  <c r="F67" i="1"/>
  <c r="D67"/>
  <c r="F11" i="2"/>
  <c r="D11"/>
  <c r="F30"/>
  <c r="D30"/>
  <c r="C47" i="1"/>
  <c r="D46"/>
  <c r="F46"/>
  <c r="D27"/>
  <c r="F27"/>
  <c r="E9"/>
  <c r="C10"/>
  <c r="E10" s="1"/>
  <c r="C11"/>
  <c r="D7"/>
  <c r="F8"/>
  <c r="F77" i="2" l="1"/>
  <c r="D77"/>
  <c r="F57"/>
  <c r="D57"/>
  <c r="C12" i="1"/>
  <c r="E12" s="1"/>
  <c r="E11"/>
  <c r="F68"/>
  <c r="D68"/>
  <c r="F12" i="2"/>
  <c r="D12"/>
  <c r="D31"/>
  <c r="F31"/>
  <c r="F47" i="1"/>
  <c r="D47"/>
  <c r="D28"/>
  <c r="F28"/>
  <c r="D8"/>
  <c r="F78" i="2" l="1"/>
  <c r="F79" s="1"/>
  <c r="D78"/>
  <c r="F58"/>
  <c r="F59" s="1"/>
  <c r="D58"/>
  <c r="D59" s="1"/>
  <c r="F69" i="1"/>
  <c r="D69"/>
  <c r="F13" i="2"/>
  <c r="D13"/>
  <c r="F32"/>
  <c r="D32"/>
  <c r="D48" i="1"/>
  <c r="F48"/>
  <c r="D29"/>
  <c r="F29"/>
  <c r="C13"/>
  <c r="E13" s="1"/>
  <c r="D9"/>
  <c r="F9"/>
  <c r="F70" l="1"/>
  <c r="D70"/>
  <c r="F14" i="2"/>
  <c r="D14"/>
  <c r="D33"/>
  <c r="F33"/>
  <c r="F49" i="1"/>
  <c r="D49"/>
  <c r="D30"/>
  <c r="F30"/>
  <c r="C14"/>
  <c r="E14" s="1"/>
  <c r="D10"/>
  <c r="F10"/>
  <c r="F71" l="1"/>
  <c r="D71"/>
  <c r="F15" i="2"/>
  <c r="D15"/>
  <c r="F34"/>
  <c r="D34"/>
  <c r="C51" i="1"/>
  <c r="D50"/>
  <c r="F50"/>
  <c r="D31"/>
  <c r="F31"/>
  <c r="C15"/>
  <c r="E15" s="1"/>
  <c r="F11"/>
  <c r="D11"/>
  <c r="F72" l="1"/>
  <c r="D72"/>
  <c r="F16" i="2"/>
  <c r="D16"/>
  <c r="D35"/>
  <c r="F35"/>
  <c r="F51" i="1"/>
  <c r="C52"/>
  <c r="D51"/>
  <c r="D32"/>
  <c r="F32"/>
  <c r="C16"/>
  <c r="E16" s="1"/>
  <c r="F12"/>
  <c r="D12"/>
  <c r="F18" i="2" l="1"/>
  <c r="D18"/>
  <c r="F75" i="1"/>
  <c r="D75"/>
  <c r="F73"/>
  <c r="D73"/>
  <c r="F17" i="2"/>
  <c r="F19" s="1"/>
  <c r="D17"/>
  <c r="D19" s="1"/>
  <c r="F36"/>
  <c r="D36"/>
  <c r="D52" i="1"/>
  <c r="F52"/>
  <c r="D33"/>
  <c r="F33"/>
  <c r="D13"/>
  <c r="F13"/>
  <c r="F74" l="1"/>
  <c r="F76" s="1"/>
  <c r="D74"/>
  <c r="D76" s="1"/>
  <c r="D37" i="2"/>
  <c r="D39" s="1"/>
  <c r="F37"/>
  <c r="F39" s="1"/>
  <c r="F53" i="1"/>
  <c r="D55"/>
  <c r="D53"/>
  <c r="D34"/>
  <c r="F34"/>
  <c r="D14"/>
  <c r="F14"/>
  <c r="D54" l="1"/>
  <c r="D56" s="1"/>
  <c r="F54"/>
  <c r="F56" s="1"/>
  <c r="D35"/>
  <c r="D37" s="1"/>
  <c r="F35"/>
  <c r="F15"/>
  <c r="D15"/>
  <c r="F16" l="1"/>
  <c r="D16"/>
  <c r="F23"/>
  <c r="F37" s="1"/>
</calcChain>
</file>

<file path=xl/sharedStrings.xml><?xml version="1.0" encoding="utf-8"?>
<sst xmlns="http://schemas.openxmlformats.org/spreadsheetml/2006/main" count="535" uniqueCount="74">
  <si>
    <t>Milk per Cow</t>
  </si>
  <si>
    <t xml:space="preserve">  Milk Wt</t>
  </si>
  <si>
    <t xml:space="preserve">    Milking</t>
  </si>
  <si>
    <t xml:space="preserve">  per cow</t>
  </si>
  <si>
    <t xml:space="preserve">  w/ Dries</t>
  </si>
  <si>
    <t>Last Year</t>
  </si>
  <si>
    <t>November, 2011</t>
  </si>
  <si>
    <t>December, 2011</t>
  </si>
  <si>
    <t>October, 2011</t>
  </si>
  <si>
    <t>January, 2012</t>
  </si>
  <si>
    <t>February, 2012</t>
  </si>
  <si>
    <t>September, 2011</t>
  </si>
  <si>
    <t>Ave</t>
  </si>
  <si>
    <t>March, 2012</t>
  </si>
  <si>
    <t>April, 2012</t>
  </si>
  <si>
    <t>May, 2012</t>
  </si>
  <si>
    <t>June, 2012</t>
  </si>
  <si>
    <t>July, 2012</t>
  </si>
  <si>
    <t>August, 2012</t>
  </si>
  <si>
    <t>Grain auger disaster</t>
  </si>
  <si>
    <t>January, 2013</t>
  </si>
  <si>
    <t>September, 2012</t>
  </si>
  <si>
    <t>Changed pick up time… again</t>
  </si>
  <si>
    <t>October, 2012</t>
  </si>
  <si>
    <t>November, 2012</t>
  </si>
  <si>
    <t>Forgot to close tank</t>
  </si>
  <si>
    <t>Y-ago</t>
  </si>
  <si>
    <t>February, 2013</t>
  </si>
  <si>
    <t>March, 2013</t>
  </si>
  <si>
    <t>April, 2013</t>
  </si>
  <si>
    <t>May, 2013</t>
  </si>
  <si>
    <t>June, 2013</t>
  </si>
  <si>
    <t>Milk truck late</t>
  </si>
  <si>
    <t>August, 2013</t>
  </si>
  <si>
    <t xml:space="preserve"> Alfalfa arrived.</t>
  </si>
  <si>
    <t>September, 2013</t>
  </si>
  <si>
    <t>Milk truck route change. Truck comes @ 1PM</t>
  </si>
  <si>
    <t>Hot Milk. Dumped 5022 #</t>
  </si>
  <si>
    <t>Dry/Milk cows mixed up.</t>
  </si>
  <si>
    <t>Change to standard time</t>
  </si>
  <si>
    <t>October, 2013</t>
  </si>
  <si>
    <t>November, 2013</t>
  </si>
  <si>
    <t>December, 2013</t>
  </si>
  <si>
    <t>XXXXXX</t>
  </si>
  <si>
    <t>December, 2012</t>
  </si>
  <si>
    <t>Grain/cow</t>
  </si>
  <si>
    <t>year ago</t>
  </si>
  <si>
    <t>now</t>
  </si>
  <si>
    <t>Spilled milk. I didn't connect pipe to tank.</t>
  </si>
  <si>
    <t>February, 2014</t>
  </si>
  <si>
    <t>Hot Milk Tank # 2 again!</t>
  </si>
  <si>
    <t>Hot milk scare tank # 2</t>
  </si>
  <si>
    <t>April, 2014</t>
  </si>
  <si>
    <t xml:space="preserve">  80+ degree days</t>
  </si>
  <si>
    <t>Quite Cool &amp; Wet again!</t>
  </si>
  <si>
    <t>May, 2014</t>
  </si>
  <si>
    <t xml:space="preserve">  9 sickos off line</t>
  </si>
  <si>
    <t xml:space="preserve">  Grain Disaster. 5 dead,9 others down</t>
  </si>
  <si>
    <t>June, 2014</t>
  </si>
  <si>
    <t>July, 2013</t>
  </si>
  <si>
    <t>July, 2014</t>
  </si>
  <si>
    <t>Very low MUN (8's)</t>
  </si>
  <si>
    <t>First load of alfalfa showed up</t>
  </si>
  <si>
    <t xml:space="preserve">   grain &amp; pototoes</t>
  </si>
  <si>
    <t>August, 2014</t>
  </si>
  <si>
    <t>September, 2014</t>
  </si>
  <si>
    <t>Wettest September on record</t>
  </si>
  <si>
    <t>Had trouble with feed augers</t>
  </si>
  <si>
    <t>out of potatoes</t>
  </si>
  <si>
    <t>potatoes again</t>
  </si>
  <si>
    <t>October, 2014</t>
  </si>
  <si>
    <t xml:space="preserve"> </t>
  </si>
  <si>
    <t>Broke some cold records</t>
  </si>
  <si>
    <t>January, 2014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</si>
</sst>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00B05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0" fontId="4" fillId="0" borderId="0" xfId="0" applyFont="1"/>
    <xf numFmtId="17" fontId="1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376393168245764E-2"/>
          <c:y val="4.6503437790737324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milk per cow</c:v>
          </c:tx>
          <c:val>
            <c:numRef>
              <c:f>'2011'!$D$3:$D$18</c:f>
              <c:numCache>
                <c:formatCode>General</c:formatCode>
                <c:ptCount val="16"/>
                <c:pt idx="0">
                  <c:v>38.186131386861312</c:v>
                </c:pt>
                <c:pt idx="1">
                  <c:v>40.57692307692308</c:v>
                </c:pt>
                <c:pt idx="2">
                  <c:v>41.630769230769232</c:v>
                </c:pt>
                <c:pt idx="3">
                  <c:v>41.31818181818182</c:v>
                </c:pt>
                <c:pt idx="4">
                  <c:v>39.29296875</c:v>
                </c:pt>
                <c:pt idx="5">
                  <c:v>39.326771653543304</c:v>
                </c:pt>
                <c:pt idx="6">
                  <c:v>40.334645669291341</c:v>
                </c:pt>
                <c:pt idx="7">
                  <c:v>43.611538461538458</c:v>
                </c:pt>
                <c:pt idx="8">
                  <c:v>42.815384615384616</c:v>
                </c:pt>
                <c:pt idx="9">
                  <c:v>44.723076923076924</c:v>
                </c:pt>
                <c:pt idx="10">
                  <c:v>44.069230769230771</c:v>
                </c:pt>
                <c:pt idx="11">
                  <c:v>44.46153846153846</c:v>
                </c:pt>
                <c:pt idx="12">
                  <c:v>45.823076923076925</c:v>
                </c:pt>
                <c:pt idx="13">
                  <c:v>44.984615384615381</c:v>
                </c:pt>
                <c:pt idx="14">
                  <c:v>45.596153846153847</c:v>
                </c:pt>
                <c:pt idx="15">
                  <c:v>42.450067131345691</c:v>
                </c:pt>
              </c:numCache>
            </c:numRef>
          </c:val>
        </c:ser>
        <c:ser>
          <c:idx val="1"/>
          <c:order val="1"/>
          <c:tx>
            <c:v>per all cows</c:v>
          </c:tx>
          <c:val>
            <c:numRef>
              <c:f>'2011'!$F$3:$F$18</c:f>
              <c:numCache>
                <c:formatCode>General</c:formatCode>
                <c:ptCount val="16"/>
                <c:pt idx="0">
                  <c:v>33.110759493670884</c:v>
                </c:pt>
                <c:pt idx="1">
                  <c:v>33.38607594936709</c:v>
                </c:pt>
                <c:pt idx="2">
                  <c:v>34.253164556962027</c:v>
                </c:pt>
                <c:pt idx="3">
                  <c:v>34.518987341772153</c:v>
                </c:pt>
                <c:pt idx="4">
                  <c:v>32.659090909090907</c:v>
                </c:pt>
                <c:pt idx="5">
                  <c:v>32.643790849673202</c:v>
                </c:pt>
                <c:pt idx="6">
                  <c:v>33.480392156862742</c:v>
                </c:pt>
                <c:pt idx="7">
                  <c:v>37.055555555555557</c:v>
                </c:pt>
                <c:pt idx="8">
                  <c:v>36.37908496732026</c:v>
                </c:pt>
                <c:pt idx="9">
                  <c:v>38.25</c:v>
                </c:pt>
                <c:pt idx="10">
                  <c:v>37.690789473684212</c:v>
                </c:pt>
                <c:pt idx="11">
                  <c:v>38.026315789473685</c:v>
                </c:pt>
                <c:pt idx="12">
                  <c:v>39.190789473684212</c:v>
                </c:pt>
                <c:pt idx="13">
                  <c:v>38.473684210526315</c:v>
                </c:pt>
                <c:pt idx="14">
                  <c:v>38.996710526315788</c:v>
                </c:pt>
                <c:pt idx="15">
                  <c:v>35.874346083597267</c:v>
                </c:pt>
              </c:numCache>
            </c:numRef>
          </c:val>
        </c:ser>
        <c:axId val="73286016"/>
        <c:axId val="73287552"/>
      </c:barChart>
      <c:catAx>
        <c:axId val="73286016"/>
        <c:scaling>
          <c:orientation val="minMax"/>
        </c:scaling>
        <c:axPos val="b"/>
        <c:tickLblPos val="nextTo"/>
        <c:crossAx val="73287552"/>
        <c:crosses val="autoZero"/>
        <c:auto val="1"/>
        <c:lblAlgn val="ctr"/>
        <c:lblOffset val="100"/>
      </c:catAx>
      <c:valAx>
        <c:axId val="73287552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328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455"/>
          <c:y val="0.41450150143335834"/>
          <c:w val="0.16666552550496408"/>
          <c:h val="0.1389657128593805"/>
        </c:manualLayout>
      </c:layout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val>
            <c:numRef>
              <c:f>'2012'!$D$63:$D$79</c:f>
              <c:numCache>
                <c:formatCode>General</c:formatCode>
                <c:ptCount val="17"/>
                <c:pt idx="0">
                  <c:v>43.8</c:v>
                </c:pt>
                <c:pt idx="1">
                  <c:v>42.729729729729726</c:v>
                </c:pt>
                <c:pt idx="2">
                  <c:v>43.328828828828826</c:v>
                </c:pt>
                <c:pt idx="3">
                  <c:v>39.684684684684683</c:v>
                </c:pt>
                <c:pt idx="4">
                  <c:v>41.166666666666664</c:v>
                </c:pt>
                <c:pt idx="5">
                  <c:v>39.808035714285715</c:v>
                </c:pt>
                <c:pt idx="6">
                  <c:v>36.521929824561404</c:v>
                </c:pt>
                <c:pt idx="7">
                  <c:v>43.082608695652176</c:v>
                </c:pt>
                <c:pt idx="8">
                  <c:v>45.674796747967477</c:v>
                </c:pt>
                <c:pt idx="9">
                  <c:v>48.024000000000001</c:v>
                </c:pt>
                <c:pt idx="10">
                  <c:v>48.564102564102562</c:v>
                </c:pt>
                <c:pt idx="11">
                  <c:v>50.887500000000003</c:v>
                </c:pt>
                <c:pt idx="12">
                  <c:v>52.801652892561982</c:v>
                </c:pt>
                <c:pt idx="13">
                  <c:v>52.67622950819672</c:v>
                </c:pt>
                <c:pt idx="14">
                  <c:v>52.67622950819672</c:v>
                </c:pt>
                <c:pt idx="15">
                  <c:v>53.4</c:v>
                </c:pt>
                <c:pt idx="16">
                  <c:v>46.068466357695641</c:v>
                </c:pt>
              </c:numCache>
            </c:numRef>
          </c:val>
        </c:ser>
        <c:ser>
          <c:idx val="1"/>
          <c:order val="1"/>
          <c:val>
            <c:numRef>
              <c:f>'2012'!$F$63:$F$79</c:f>
              <c:numCache>
                <c:formatCode>General</c:formatCode>
                <c:ptCount val="17"/>
                <c:pt idx="0">
                  <c:v>38.299999999999997</c:v>
                </c:pt>
                <c:pt idx="1">
                  <c:v>34.369565217391305</c:v>
                </c:pt>
                <c:pt idx="2">
                  <c:v>35.105839416058394</c:v>
                </c:pt>
                <c:pt idx="3">
                  <c:v>31.920289855072465</c:v>
                </c:pt>
                <c:pt idx="4">
                  <c:v>33.112318840579711</c:v>
                </c:pt>
                <c:pt idx="5">
                  <c:v>32.30797101449275</c:v>
                </c:pt>
                <c:pt idx="6">
                  <c:v>29.739285714285714</c:v>
                </c:pt>
                <c:pt idx="7">
                  <c:v>35.389285714285712</c:v>
                </c:pt>
                <c:pt idx="8">
                  <c:v>37.205298013245034</c:v>
                </c:pt>
                <c:pt idx="9">
                  <c:v>39.235294117647058</c:v>
                </c:pt>
                <c:pt idx="10">
                  <c:v>36.896103896103895</c:v>
                </c:pt>
                <c:pt idx="11">
                  <c:v>39.652597402597401</c:v>
                </c:pt>
                <c:pt idx="12">
                  <c:v>41.487012987012989</c:v>
                </c:pt>
                <c:pt idx="13">
                  <c:v>41.461290322580645</c:v>
                </c:pt>
                <c:pt idx="14">
                  <c:v>41.461290322580645</c:v>
                </c:pt>
                <c:pt idx="15">
                  <c:v>41.882352941176471</c:v>
                </c:pt>
                <c:pt idx="16">
                  <c:v>36.74838638500735</c:v>
                </c:pt>
              </c:numCache>
            </c:numRef>
          </c:val>
        </c:ser>
        <c:axId val="73989120"/>
        <c:axId val="74056448"/>
      </c:barChart>
      <c:catAx>
        <c:axId val="73989120"/>
        <c:scaling>
          <c:orientation val="minMax"/>
        </c:scaling>
        <c:axPos val="b"/>
        <c:tickLblPos val="nextTo"/>
        <c:crossAx val="74056448"/>
        <c:crosses val="autoZero"/>
        <c:auto val="1"/>
        <c:lblAlgn val="ctr"/>
        <c:lblOffset val="100"/>
      </c:catAx>
      <c:valAx>
        <c:axId val="74056448"/>
        <c:scaling>
          <c:orientation val="minMax"/>
          <c:max val="50"/>
          <c:min val="28"/>
        </c:scaling>
        <c:axPos val="l"/>
        <c:majorGridlines/>
        <c:numFmt formatCode="General" sourceLinked="1"/>
        <c:tickLblPos val="nextTo"/>
        <c:crossAx val="73989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22"/>
          <c:y val="0.41450150143335834"/>
          <c:w val="0.16666552550496408"/>
          <c:h val="0.12962661925323732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'2012'!$D$104:$D$120</c:f>
              <c:numCache>
                <c:formatCode>General</c:formatCode>
                <c:ptCount val="17"/>
                <c:pt idx="0">
                  <c:v>47.3</c:v>
                </c:pt>
                <c:pt idx="1">
                  <c:v>54.943089430894311</c:v>
                </c:pt>
                <c:pt idx="2">
                  <c:v>54.357723577235774</c:v>
                </c:pt>
                <c:pt idx="3">
                  <c:v>53.195999999999998</c:v>
                </c:pt>
                <c:pt idx="4">
                  <c:v>51.165354330708659</c:v>
                </c:pt>
                <c:pt idx="5">
                  <c:v>53.542635658914726</c:v>
                </c:pt>
                <c:pt idx="6">
                  <c:v>53.9</c:v>
                </c:pt>
                <c:pt idx="7">
                  <c:v>51.622950819672134</c:v>
                </c:pt>
                <c:pt idx="8">
                  <c:v>51.162601626016261</c:v>
                </c:pt>
                <c:pt idx="9">
                  <c:v>51.287999999999997</c:v>
                </c:pt>
                <c:pt idx="10">
                  <c:v>54.212000000000003</c:v>
                </c:pt>
                <c:pt idx="11">
                  <c:v>56.015999999999998</c:v>
                </c:pt>
                <c:pt idx="12">
                  <c:v>57.602564102564102</c:v>
                </c:pt>
                <c:pt idx="13">
                  <c:v>54.788135593220339</c:v>
                </c:pt>
                <c:pt idx="14">
                  <c:v>55.579831932773111</c:v>
                </c:pt>
                <c:pt idx="15">
                  <c:v>53.053719008264466</c:v>
                </c:pt>
                <c:pt idx="16">
                  <c:v>53.762040405350923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'2012'!$F$104:$F$120</c:f>
              <c:numCache>
                <c:formatCode>General</c:formatCode>
                <c:ptCount val="17"/>
                <c:pt idx="0">
                  <c:v>40.5</c:v>
                </c:pt>
                <c:pt idx="1">
                  <c:v>42.503144654088054</c:v>
                </c:pt>
                <c:pt idx="2">
                  <c:v>42.050314465408803</c:v>
                </c:pt>
                <c:pt idx="3">
                  <c:v>41.820754716981135</c:v>
                </c:pt>
                <c:pt idx="4">
                  <c:v>40.867924528301884</c:v>
                </c:pt>
                <c:pt idx="5">
                  <c:v>43.440251572327043</c:v>
                </c:pt>
                <c:pt idx="6">
                  <c:v>44.069182389937104</c:v>
                </c:pt>
                <c:pt idx="7">
                  <c:v>39.610062893081761</c:v>
                </c:pt>
                <c:pt idx="8">
                  <c:v>39.578616352201259</c:v>
                </c:pt>
                <c:pt idx="9">
                  <c:v>40.320754716981135</c:v>
                </c:pt>
                <c:pt idx="10">
                  <c:v>42.619496855345915</c:v>
                </c:pt>
                <c:pt idx="11">
                  <c:v>44.037735849056602</c:v>
                </c:pt>
                <c:pt idx="12">
                  <c:v>44.632450331125831</c:v>
                </c:pt>
                <c:pt idx="13">
                  <c:v>42.814569536423839</c:v>
                </c:pt>
                <c:pt idx="14">
                  <c:v>43.801324503311257</c:v>
                </c:pt>
                <c:pt idx="15">
                  <c:v>42.513245033112582</c:v>
                </c:pt>
                <c:pt idx="16">
                  <c:v>42.311988559845609</c:v>
                </c:pt>
              </c:numCache>
            </c:numRef>
          </c:val>
        </c:ser>
        <c:axId val="74085120"/>
        <c:axId val="74086656"/>
      </c:barChart>
      <c:catAx>
        <c:axId val="74085120"/>
        <c:scaling>
          <c:orientation val="minMax"/>
        </c:scaling>
        <c:axPos val="b"/>
        <c:tickLblPos val="nextTo"/>
        <c:crossAx val="74086656"/>
        <c:crosses val="autoZero"/>
        <c:auto val="1"/>
        <c:lblAlgn val="ctr"/>
        <c:lblOffset val="100"/>
      </c:catAx>
      <c:valAx>
        <c:axId val="74086656"/>
        <c:scaling>
          <c:orientation val="minMax"/>
          <c:max val="60"/>
          <c:min val="35"/>
        </c:scaling>
        <c:axPos val="l"/>
        <c:majorGridlines/>
        <c:numFmt formatCode="General" sourceLinked="1"/>
        <c:tickLblPos val="nextTo"/>
        <c:crossAx val="7408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22"/>
          <c:y val="0.41450150143335834"/>
          <c:w val="0.16666552550496408"/>
          <c:h val="0.12962661925323732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'2012'!$D$83:$D$100</c:f>
              <c:numCache>
                <c:formatCode>General</c:formatCode>
                <c:ptCount val="18"/>
                <c:pt idx="0">
                  <c:v>42.9</c:v>
                </c:pt>
                <c:pt idx="1">
                  <c:v>54.097560975609753</c:v>
                </c:pt>
                <c:pt idx="2">
                  <c:v>51.928961748633874</c:v>
                </c:pt>
                <c:pt idx="3">
                  <c:v>55.26229508196721</c:v>
                </c:pt>
                <c:pt idx="4">
                  <c:v>53.693548387096776</c:v>
                </c:pt>
                <c:pt idx="5">
                  <c:v>53.802419354838712</c:v>
                </c:pt>
                <c:pt idx="6">
                  <c:v>58.586363636363636</c:v>
                </c:pt>
                <c:pt idx="7">
                  <c:v>59.436363636363637</c:v>
                </c:pt>
                <c:pt idx="8">
                  <c:v>57.190265486725664</c:v>
                </c:pt>
                <c:pt idx="9">
                  <c:v>55.217391304347828</c:v>
                </c:pt>
                <c:pt idx="10">
                  <c:v>57.239130434782609</c:v>
                </c:pt>
                <c:pt idx="11">
                  <c:v>58.530172413793103</c:v>
                </c:pt>
                <c:pt idx="12">
                  <c:v>54.512711864406782</c:v>
                </c:pt>
                <c:pt idx="13">
                  <c:v>53.533333333333331</c:v>
                </c:pt>
                <c:pt idx="14">
                  <c:v>55.458333333333336</c:v>
                </c:pt>
                <c:pt idx="15">
                  <c:v>56.916666666666664</c:v>
                </c:pt>
                <c:pt idx="16">
                  <c:v>53.462809917355372</c:v>
                </c:pt>
                <c:pt idx="17">
                  <c:v>55.554270473476137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'2012'!$F$83:$F$100</c:f>
              <c:numCache>
                <c:formatCode>General</c:formatCode>
                <c:ptCount val="18"/>
                <c:pt idx="0">
                  <c:v>42.5</c:v>
                </c:pt>
                <c:pt idx="1">
                  <c:v>43.20779220779221</c:v>
                </c:pt>
                <c:pt idx="2">
                  <c:v>41.407407407407405</c:v>
                </c:pt>
                <c:pt idx="3">
                  <c:v>43.779220779220779</c:v>
                </c:pt>
                <c:pt idx="4">
                  <c:v>43.80263157894737</c:v>
                </c:pt>
                <c:pt idx="5">
                  <c:v>43.891447368421055</c:v>
                </c:pt>
                <c:pt idx="6">
                  <c:v>42.67880794701987</c:v>
                </c:pt>
                <c:pt idx="7">
                  <c:v>43.298013245033111</c:v>
                </c:pt>
                <c:pt idx="8">
                  <c:v>42.238562091503269</c:v>
                </c:pt>
                <c:pt idx="9">
                  <c:v>40.967741935483872</c:v>
                </c:pt>
                <c:pt idx="10">
                  <c:v>42.743506493506494</c:v>
                </c:pt>
                <c:pt idx="11">
                  <c:v>44.087662337662337</c:v>
                </c:pt>
                <c:pt idx="12">
                  <c:v>41.5</c:v>
                </c:pt>
                <c:pt idx="13">
                  <c:v>40.15</c:v>
                </c:pt>
                <c:pt idx="14">
                  <c:v>41.59375</c:v>
                </c:pt>
                <c:pt idx="15">
                  <c:v>42.6875</c:v>
                </c:pt>
                <c:pt idx="16">
                  <c:v>40.431249999999999</c:v>
                </c:pt>
                <c:pt idx="17">
                  <c:v>42.40408083699986</c:v>
                </c:pt>
              </c:numCache>
            </c:numRef>
          </c:val>
        </c:ser>
        <c:axId val="74131712"/>
        <c:axId val="74133504"/>
      </c:barChart>
      <c:catAx>
        <c:axId val="74131712"/>
        <c:scaling>
          <c:orientation val="minMax"/>
        </c:scaling>
        <c:axPos val="b"/>
        <c:tickLblPos val="nextTo"/>
        <c:crossAx val="74133504"/>
        <c:crosses val="autoZero"/>
        <c:auto val="1"/>
        <c:lblAlgn val="ctr"/>
        <c:lblOffset val="100"/>
      </c:catAx>
      <c:valAx>
        <c:axId val="74133504"/>
        <c:scaling>
          <c:orientation val="minMax"/>
          <c:max val="60"/>
          <c:min val="35"/>
        </c:scaling>
        <c:axPos val="l"/>
        <c:majorGridlines/>
        <c:numFmt formatCode="General" sourceLinked="1"/>
        <c:tickLblPos val="nextTo"/>
        <c:crossAx val="7413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'2012'!$D$124:$D$140</c:f>
              <c:numCache>
                <c:formatCode>General</c:formatCode>
                <c:ptCount val="17"/>
                <c:pt idx="0">
                  <c:v>48.9</c:v>
                </c:pt>
                <c:pt idx="1">
                  <c:v>55.719008264462808</c:v>
                </c:pt>
                <c:pt idx="2">
                  <c:v>55.394308943089428</c:v>
                </c:pt>
                <c:pt idx="3">
                  <c:v>54.173387096774192</c:v>
                </c:pt>
                <c:pt idx="4">
                  <c:v>55.528225806451616</c:v>
                </c:pt>
                <c:pt idx="5">
                  <c:v>55.66935483870968</c:v>
                </c:pt>
                <c:pt idx="6">
                  <c:v>58.457264957264954</c:v>
                </c:pt>
                <c:pt idx="7">
                  <c:v>56.141025641025642</c:v>
                </c:pt>
                <c:pt idx="8">
                  <c:v>58.682203389830505</c:v>
                </c:pt>
                <c:pt idx="9">
                  <c:v>58.343220338983052</c:v>
                </c:pt>
                <c:pt idx="10">
                  <c:v>56.737288135593218</c:v>
                </c:pt>
                <c:pt idx="11">
                  <c:v>56.756302521008401</c:v>
                </c:pt>
                <c:pt idx="12">
                  <c:v>56.407563025210081</c:v>
                </c:pt>
                <c:pt idx="13">
                  <c:v>55.028925619834709</c:v>
                </c:pt>
                <c:pt idx="14">
                  <c:v>53.277777777777779</c:v>
                </c:pt>
                <c:pt idx="15">
                  <c:v>47.555555555555557</c:v>
                </c:pt>
                <c:pt idx="16">
                  <c:v>55.591427460771435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'2012'!$F$124:$F$140</c:f>
              <c:numCache>
                <c:formatCode>General</c:formatCode>
                <c:ptCount val="17"/>
                <c:pt idx="0">
                  <c:v>44.1</c:v>
                </c:pt>
                <c:pt idx="1">
                  <c:v>44.649006622516559</c:v>
                </c:pt>
                <c:pt idx="2">
                  <c:v>45.122516556291387</c:v>
                </c:pt>
                <c:pt idx="3">
                  <c:v>44.486754966887418</c:v>
                </c:pt>
                <c:pt idx="4">
                  <c:v>45.599337748344368</c:v>
                </c:pt>
                <c:pt idx="5">
                  <c:v>45.715231788079471</c:v>
                </c:pt>
                <c:pt idx="6">
                  <c:v>45.294701986754966</c:v>
                </c:pt>
                <c:pt idx="7">
                  <c:v>43.5</c:v>
                </c:pt>
                <c:pt idx="8">
                  <c:v>46.787162162162161</c:v>
                </c:pt>
                <c:pt idx="9">
                  <c:v>46.516891891891895</c:v>
                </c:pt>
                <c:pt idx="10">
                  <c:v>45.236486486486484</c:v>
                </c:pt>
                <c:pt idx="11">
                  <c:v>45.635135135135137</c:v>
                </c:pt>
                <c:pt idx="12">
                  <c:v>45.354729729729726</c:v>
                </c:pt>
                <c:pt idx="13">
                  <c:v>44.989864864864863</c:v>
                </c:pt>
                <c:pt idx="14">
                  <c:v>45.358108108108105</c:v>
                </c:pt>
                <c:pt idx="15">
                  <c:v>40.486486486486484</c:v>
                </c:pt>
                <c:pt idx="16">
                  <c:v>44.982160968915942</c:v>
                </c:pt>
              </c:numCache>
            </c:numRef>
          </c:val>
        </c:ser>
        <c:axId val="74166272"/>
        <c:axId val="74167808"/>
      </c:barChart>
      <c:catAx>
        <c:axId val="74166272"/>
        <c:scaling>
          <c:orientation val="minMax"/>
        </c:scaling>
        <c:axPos val="b"/>
        <c:tickLblPos val="nextTo"/>
        <c:crossAx val="74167808"/>
        <c:crosses val="autoZero"/>
        <c:auto val="1"/>
        <c:lblAlgn val="ctr"/>
        <c:lblOffset val="100"/>
      </c:catAx>
      <c:valAx>
        <c:axId val="74167808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416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Milk cows</c:v>
          </c:tx>
          <c:val>
            <c:numRef>
              <c:f>'2012'!$D$144:$D$161</c:f>
              <c:numCache>
                <c:formatCode>General</c:formatCode>
                <c:ptCount val="18"/>
                <c:pt idx="0">
                  <c:v>44.3</c:v>
                </c:pt>
                <c:pt idx="1">
                  <c:v>50.3984375</c:v>
                </c:pt>
                <c:pt idx="2">
                  <c:v>49.554263565891475</c:v>
                </c:pt>
                <c:pt idx="3">
                  <c:v>47.71153846153846</c:v>
                </c:pt>
                <c:pt idx="4">
                  <c:v>46.896946564885496</c:v>
                </c:pt>
                <c:pt idx="5">
                  <c:v>43.814814814814817</c:v>
                </c:pt>
                <c:pt idx="6">
                  <c:v>43.744360902255636</c:v>
                </c:pt>
                <c:pt idx="7">
                  <c:v>42.304511278195491</c:v>
                </c:pt>
                <c:pt idx="8">
                  <c:v>42.299242424242422</c:v>
                </c:pt>
                <c:pt idx="9">
                  <c:v>41.5</c:v>
                </c:pt>
                <c:pt idx="10">
                  <c:v>39.335820895522389</c:v>
                </c:pt>
                <c:pt idx="11">
                  <c:v>40.082089552238806</c:v>
                </c:pt>
                <c:pt idx="12">
                  <c:v>40.309701492537314</c:v>
                </c:pt>
                <c:pt idx="13">
                  <c:v>37.79457364341085</c:v>
                </c:pt>
                <c:pt idx="14">
                  <c:v>36.323076923076925</c:v>
                </c:pt>
                <c:pt idx="15">
                  <c:v>38.62977099236641</c:v>
                </c:pt>
                <c:pt idx="16">
                  <c:v>41.446969696969695</c:v>
                </c:pt>
                <c:pt idx="17">
                  <c:v>42.63413241924664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'2012'!$F$144:$F$161</c:f>
              <c:numCache>
                <c:formatCode>General</c:formatCode>
                <c:ptCount val="18"/>
                <c:pt idx="0">
                  <c:v>40</c:v>
                </c:pt>
                <c:pt idx="1">
                  <c:v>43.29530201342282</c:v>
                </c:pt>
                <c:pt idx="2">
                  <c:v>42.902684563758392</c:v>
                </c:pt>
                <c:pt idx="3">
                  <c:v>41.627516778523493</c:v>
                </c:pt>
                <c:pt idx="4">
                  <c:v>40.956666666666663</c:v>
                </c:pt>
                <c:pt idx="5">
                  <c:v>39.172185430463578</c:v>
                </c:pt>
                <c:pt idx="6">
                  <c:v>39.04697986577181</c:v>
                </c:pt>
                <c:pt idx="7">
                  <c:v>37.761744966442954</c:v>
                </c:pt>
                <c:pt idx="8">
                  <c:v>37.473154362416111</c:v>
                </c:pt>
                <c:pt idx="9">
                  <c:v>36.486577181208055</c:v>
                </c:pt>
                <c:pt idx="10">
                  <c:v>34.907284768211923</c:v>
                </c:pt>
                <c:pt idx="11">
                  <c:v>35.569536423841058</c:v>
                </c:pt>
                <c:pt idx="12">
                  <c:v>35.771523178807946</c:v>
                </c:pt>
                <c:pt idx="13">
                  <c:v>33.393835616438359</c:v>
                </c:pt>
                <c:pt idx="14">
                  <c:v>32.342465753424655</c:v>
                </c:pt>
                <c:pt idx="15">
                  <c:v>34.660958904109592</c:v>
                </c:pt>
                <c:pt idx="16">
                  <c:v>37.472602739726028</c:v>
                </c:pt>
                <c:pt idx="17">
                  <c:v>37.677563700827093</c:v>
                </c:pt>
              </c:numCache>
            </c:numRef>
          </c:val>
        </c:ser>
        <c:axId val="74188288"/>
        <c:axId val="74189824"/>
      </c:barChart>
      <c:catAx>
        <c:axId val="74188288"/>
        <c:scaling>
          <c:orientation val="minMax"/>
        </c:scaling>
        <c:axPos val="b"/>
        <c:tickLblPos val="nextTo"/>
        <c:crossAx val="74189824"/>
        <c:crosses val="autoZero"/>
        <c:auto val="1"/>
        <c:lblAlgn val="ctr"/>
        <c:lblOffset val="100"/>
      </c:catAx>
      <c:valAx>
        <c:axId val="74189824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418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376393168245764E-2"/>
          <c:y val="4.6503437790737324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milk per cow</c:v>
          </c:tx>
          <c:val>
            <c:numRef>
              <c:f>'2012'!$D$165:$D$181</c:f>
              <c:numCache>
                <c:formatCode>General</c:formatCode>
                <c:ptCount val="17"/>
                <c:pt idx="0">
                  <c:v>42.45</c:v>
                </c:pt>
                <c:pt idx="1">
                  <c:v>39.88148148148148</c:v>
                </c:pt>
                <c:pt idx="2">
                  <c:v>38.462962962962962</c:v>
                </c:pt>
                <c:pt idx="3">
                  <c:v>39.107407407407408</c:v>
                </c:pt>
                <c:pt idx="4">
                  <c:v>39.816000000000003</c:v>
                </c:pt>
                <c:pt idx="5">
                  <c:v>38.273809523809526</c:v>
                </c:pt>
                <c:pt idx="6">
                  <c:v>37.924603174603178</c:v>
                </c:pt>
                <c:pt idx="7">
                  <c:v>38.551587301587304</c:v>
                </c:pt>
                <c:pt idx="8">
                  <c:v>37.304000000000002</c:v>
                </c:pt>
                <c:pt idx="9">
                  <c:v>35.524000000000001</c:v>
                </c:pt>
                <c:pt idx="10">
                  <c:v>36.308</c:v>
                </c:pt>
                <c:pt idx="11">
                  <c:v>37.908000000000001</c:v>
                </c:pt>
                <c:pt idx="12">
                  <c:v>37.387096774193552</c:v>
                </c:pt>
                <c:pt idx="13">
                  <c:v>37.159999999999997</c:v>
                </c:pt>
                <c:pt idx="14">
                  <c:v>35.456000000000003</c:v>
                </c:pt>
                <c:pt idx="15">
                  <c:v>37.020000000000003</c:v>
                </c:pt>
                <c:pt idx="16">
                  <c:v>37.738996575069692</c:v>
                </c:pt>
              </c:numCache>
            </c:numRef>
          </c:val>
        </c:ser>
        <c:ser>
          <c:idx val="1"/>
          <c:order val="1"/>
          <c:tx>
            <c:v>per all cows</c:v>
          </c:tx>
          <c:val>
            <c:numRef>
              <c:f>'2012'!$F$165:$F$181</c:f>
              <c:numCache>
                <c:formatCode>General</c:formatCode>
                <c:ptCount val="17"/>
                <c:pt idx="0">
                  <c:v>35.869999999999997</c:v>
                </c:pt>
                <c:pt idx="1">
                  <c:v>36.876712328767127</c:v>
                </c:pt>
                <c:pt idx="2">
                  <c:v>35.565068493150683</c:v>
                </c:pt>
                <c:pt idx="3">
                  <c:v>36.160958904109592</c:v>
                </c:pt>
                <c:pt idx="4">
                  <c:v>34.089041095890408</c:v>
                </c:pt>
                <c:pt idx="5">
                  <c:v>32.806122448979593</c:v>
                </c:pt>
                <c:pt idx="6">
                  <c:v>32.506802721088434</c:v>
                </c:pt>
                <c:pt idx="7">
                  <c:v>33.044217687074827</c:v>
                </c:pt>
                <c:pt idx="8">
                  <c:v>31.938356164383563</c:v>
                </c:pt>
                <c:pt idx="9">
                  <c:v>30.414383561643834</c:v>
                </c:pt>
                <c:pt idx="10">
                  <c:v>31.085616438356166</c:v>
                </c:pt>
                <c:pt idx="11">
                  <c:v>32.455479452054796</c:v>
                </c:pt>
                <c:pt idx="12">
                  <c:v>31.972413793103449</c:v>
                </c:pt>
                <c:pt idx="13">
                  <c:v>31.598639455782312</c:v>
                </c:pt>
                <c:pt idx="14">
                  <c:v>30.14965986394558</c:v>
                </c:pt>
                <c:pt idx="15">
                  <c:v>31.479591836734695</c:v>
                </c:pt>
                <c:pt idx="16">
                  <c:v>32.809537616337671</c:v>
                </c:pt>
              </c:numCache>
            </c:numRef>
          </c:val>
        </c:ser>
        <c:axId val="74222592"/>
        <c:axId val="74228480"/>
      </c:barChart>
      <c:catAx>
        <c:axId val="74222592"/>
        <c:scaling>
          <c:orientation val="minMax"/>
        </c:scaling>
        <c:axPos val="b"/>
        <c:tickLblPos val="nextTo"/>
        <c:crossAx val="74228480"/>
        <c:crosses val="autoZero"/>
        <c:auto val="1"/>
        <c:lblAlgn val="ctr"/>
        <c:lblOffset val="100"/>
      </c:catAx>
      <c:valAx>
        <c:axId val="74228480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4222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478"/>
          <c:y val="0.41450150143335834"/>
          <c:w val="0.16666552550496408"/>
          <c:h val="0.13896571285938056"/>
        </c:manualLayout>
      </c:layout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'2012'!$D$184:$D$200</c:f>
              <c:numCache>
                <c:formatCode>General</c:formatCode>
                <c:ptCount val="17"/>
                <c:pt idx="0">
                  <c:v>45.49</c:v>
                </c:pt>
                <c:pt idx="1">
                  <c:v>37.99596774193548</c:v>
                </c:pt>
                <c:pt idx="2">
                  <c:v>41.474193548387099</c:v>
                </c:pt>
                <c:pt idx="3">
                  <c:v>40.932539682539684</c:v>
                </c:pt>
                <c:pt idx="4">
                  <c:v>41.797619047619051</c:v>
                </c:pt>
                <c:pt idx="5">
                  <c:v>41.263565891472865</c:v>
                </c:pt>
                <c:pt idx="6">
                  <c:v>42.795833333333334</c:v>
                </c:pt>
                <c:pt idx="7">
                  <c:v>43.487603305785122</c:v>
                </c:pt>
                <c:pt idx="8">
                  <c:v>45.252066115702476</c:v>
                </c:pt>
                <c:pt idx="9">
                  <c:v>44.929752066115704</c:v>
                </c:pt>
                <c:pt idx="10">
                  <c:v>43.487603305785122</c:v>
                </c:pt>
                <c:pt idx="11">
                  <c:v>43.024590163934427</c:v>
                </c:pt>
                <c:pt idx="12">
                  <c:v>39.601626016260163</c:v>
                </c:pt>
                <c:pt idx="13">
                  <c:v>39.20967741935484</c:v>
                </c:pt>
                <c:pt idx="14">
                  <c:v>39.850806451612904</c:v>
                </c:pt>
                <c:pt idx="15">
                  <c:v>41.987288135593218</c:v>
                </c:pt>
                <c:pt idx="16">
                  <c:v>41.806048815028767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'2012'!$F$184:$F$200</c:f>
              <c:numCache>
                <c:formatCode>General</c:formatCode>
                <c:ptCount val="17"/>
                <c:pt idx="0">
                  <c:v>38.32</c:v>
                </c:pt>
                <c:pt idx="1">
                  <c:v>32.270547945205479</c:v>
                </c:pt>
                <c:pt idx="2">
                  <c:v>35.224657534246575</c:v>
                </c:pt>
                <c:pt idx="3">
                  <c:v>35.325342465753423</c:v>
                </c:pt>
                <c:pt idx="4">
                  <c:v>36.071917808219176</c:v>
                </c:pt>
                <c:pt idx="5">
                  <c:v>36.458904109589042</c:v>
                </c:pt>
                <c:pt idx="6">
                  <c:v>35.174657534246577</c:v>
                </c:pt>
                <c:pt idx="7">
                  <c:v>35.795918367346935</c:v>
                </c:pt>
                <c:pt idx="8">
                  <c:v>37.248299319727892</c:v>
                </c:pt>
                <c:pt idx="9">
                  <c:v>36.982993197278908</c:v>
                </c:pt>
                <c:pt idx="10">
                  <c:v>36.289655172413795</c:v>
                </c:pt>
                <c:pt idx="11">
                  <c:v>36.200000000000003</c:v>
                </c:pt>
                <c:pt idx="12">
                  <c:v>33.593103448275862</c:v>
                </c:pt>
                <c:pt idx="13">
                  <c:v>33.531034482758621</c:v>
                </c:pt>
                <c:pt idx="14">
                  <c:v>34.315972222222221</c:v>
                </c:pt>
                <c:pt idx="15">
                  <c:v>34.40625</c:v>
                </c:pt>
                <c:pt idx="16">
                  <c:v>35.259283573818969</c:v>
                </c:pt>
              </c:numCache>
            </c:numRef>
          </c:val>
        </c:ser>
        <c:axId val="74257152"/>
        <c:axId val="74258688"/>
      </c:barChart>
      <c:catAx>
        <c:axId val="74257152"/>
        <c:scaling>
          <c:orientation val="minMax"/>
        </c:scaling>
        <c:axPos val="b"/>
        <c:tickLblPos val="nextTo"/>
        <c:crossAx val="74258688"/>
        <c:crosses val="autoZero"/>
        <c:auto val="1"/>
        <c:lblAlgn val="ctr"/>
        <c:lblOffset val="100"/>
      </c:catAx>
      <c:valAx>
        <c:axId val="74258688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4257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"/>
          <c:y val="0.41450150143335834"/>
          <c:w val="0.16666552550496408"/>
          <c:h val="0.12962661925323737"/>
        </c:manualLayout>
      </c:layout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'2012'!$D$203:$D$219</c:f>
              <c:numCache>
                <c:formatCode>General</c:formatCode>
                <c:ptCount val="17"/>
                <c:pt idx="0">
                  <c:v>44.76</c:v>
                </c:pt>
                <c:pt idx="1">
                  <c:v>43.254464285714285</c:v>
                </c:pt>
                <c:pt idx="2">
                  <c:v>42.631818181818183</c:v>
                </c:pt>
                <c:pt idx="3">
                  <c:v>46.604545454545452</c:v>
                </c:pt>
                <c:pt idx="4">
                  <c:v>44.640909090909091</c:v>
                </c:pt>
                <c:pt idx="5">
                  <c:v>43.603603603603602</c:v>
                </c:pt>
                <c:pt idx="6">
                  <c:v>44.2</c:v>
                </c:pt>
                <c:pt idx="7">
                  <c:v>46.768181818181816</c:v>
                </c:pt>
                <c:pt idx="8">
                  <c:v>44.477477477477478</c:v>
                </c:pt>
                <c:pt idx="9">
                  <c:v>44.081081081081081</c:v>
                </c:pt>
                <c:pt idx="10">
                  <c:v>45.590090090090094</c:v>
                </c:pt>
                <c:pt idx="11">
                  <c:v>44.276785714285715</c:v>
                </c:pt>
                <c:pt idx="12">
                  <c:v>43.294642857142854</c:v>
                </c:pt>
                <c:pt idx="13">
                  <c:v>42.464285714285715</c:v>
                </c:pt>
                <c:pt idx="14">
                  <c:v>45.379464285714285</c:v>
                </c:pt>
                <c:pt idx="15">
                  <c:v>44.311403508771932</c:v>
                </c:pt>
                <c:pt idx="16">
                  <c:v>44.371916877574776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'2012'!$F$203:$F$219</c:f>
              <c:numCache>
                <c:formatCode>General</c:formatCode>
                <c:ptCount val="17"/>
                <c:pt idx="0">
                  <c:v>38.049999999999997</c:v>
                </c:pt>
                <c:pt idx="1">
                  <c:v>33.410344827586208</c:v>
                </c:pt>
                <c:pt idx="2">
                  <c:v>32.793706293706293</c:v>
                </c:pt>
                <c:pt idx="3">
                  <c:v>35.849650349650346</c:v>
                </c:pt>
                <c:pt idx="4">
                  <c:v>34.33916083916084</c:v>
                </c:pt>
                <c:pt idx="5">
                  <c:v>33.846153846153847</c:v>
                </c:pt>
                <c:pt idx="6">
                  <c:v>34</c:v>
                </c:pt>
                <c:pt idx="7">
                  <c:v>35.975524475524473</c:v>
                </c:pt>
                <c:pt idx="8">
                  <c:v>34.284722222222221</c:v>
                </c:pt>
                <c:pt idx="9">
                  <c:v>34.21678321678322</c:v>
                </c:pt>
                <c:pt idx="10">
                  <c:v>35.388111888111887</c:v>
                </c:pt>
                <c:pt idx="11">
                  <c:v>34.4375</c:v>
                </c:pt>
                <c:pt idx="12">
                  <c:v>33.673611111111114</c:v>
                </c:pt>
                <c:pt idx="13">
                  <c:v>33.027777777777779</c:v>
                </c:pt>
                <c:pt idx="14">
                  <c:v>35.295138888888886</c:v>
                </c:pt>
                <c:pt idx="15">
                  <c:v>34.837931034482757</c:v>
                </c:pt>
                <c:pt idx="16">
                  <c:v>34.358407784743989</c:v>
                </c:pt>
              </c:numCache>
            </c:numRef>
          </c:val>
        </c:ser>
        <c:axId val="74279168"/>
        <c:axId val="74289152"/>
      </c:barChart>
      <c:catAx>
        <c:axId val="74279168"/>
        <c:scaling>
          <c:orientation val="minMax"/>
        </c:scaling>
        <c:axPos val="b"/>
        <c:tickLblPos val="nextTo"/>
        <c:crossAx val="74289152"/>
        <c:crosses val="autoZero"/>
        <c:auto val="1"/>
        <c:lblAlgn val="ctr"/>
        <c:lblOffset val="100"/>
      </c:catAx>
      <c:valAx>
        <c:axId val="74289152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4279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22"/>
          <c:y val="0.41450150143335834"/>
          <c:w val="0.16666552550496408"/>
          <c:h val="0.12962661925323732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'2012'!$D$222:$D$239</c:f>
              <c:numCache>
                <c:formatCode>General</c:formatCode>
                <c:ptCount val="18"/>
                <c:pt idx="0">
                  <c:v>46.36</c:v>
                </c:pt>
                <c:pt idx="1">
                  <c:v>40.991452991452988</c:v>
                </c:pt>
                <c:pt idx="2">
                  <c:v>41.563025210084035</c:v>
                </c:pt>
                <c:pt idx="3">
                  <c:v>40.85</c:v>
                </c:pt>
                <c:pt idx="4">
                  <c:v>40.737499999999997</c:v>
                </c:pt>
                <c:pt idx="5">
                  <c:v>40.720338983050844</c:v>
                </c:pt>
                <c:pt idx="6">
                  <c:v>44.228813559322035</c:v>
                </c:pt>
                <c:pt idx="7">
                  <c:v>43.313043478260873</c:v>
                </c:pt>
                <c:pt idx="8">
                  <c:v>42.954545454545453</c:v>
                </c:pt>
                <c:pt idx="9">
                  <c:v>45.432432432432435</c:v>
                </c:pt>
                <c:pt idx="10">
                  <c:v>43.676991150442475</c:v>
                </c:pt>
                <c:pt idx="11">
                  <c:v>42.609649122807021</c:v>
                </c:pt>
                <c:pt idx="12">
                  <c:v>40.122807017543863</c:v>
                </c:pt>
                <c:pt idx="13">
                  <c:v>41.44736842105263</c:v>
                </c:pt>
                <c:pt idx="14">
                  <c:v>39.621739130434783</c:v>
                </c:pt>
                <c:pt idx="15">
                  <c:v>39.125</c:v>
                </c:pt>
                <c:pt idx="16">
                  <c:v>44.529914529914528</c:v>
                </c:pt>
                <c:pt idx="17">
                  <c:v>41.995288842583996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'2012'!$F$222:$F$239</c:f>
              <c:numCache>
                <c:formatCode>General</c:formatCode>
                <c:ptCount val="18"/>
                <c:pt idx="0">
                  <c:v>38.659999999999997</c:v>
                </c:pt>
                <c:pt idx="1">
                  <c:v>33.305555555555557</c:v>
                </c:pt>
                <c:pt idx="2">
                  <c:v>34.347222222222221</c:v>
                </c:pt>
                <c:pt idx="3">
                  <c:v>34.041666666666664</c:v>
                </c:pt>
                <c:pt idx="4">
                  <c:v>33.947916666666664</c:v>
                </c:pt>
                <c:pt idx="5">
                  <c:v>33.838028169014088</c:v>
                </c:pt>
                <c:pt idx="6">
                  <c:v>36.75352112676056</c:v>
                </c:pt>
                <c:pt idx="7">
                  <c:v>35.077464788732392</c:v>
                </c:pt>
                <c:pt idx="8">
                  <c:v>33.274647887323944</c:v>
                </c:pt>
                <c:pt idx="9">
                  <c:v>35.514084507042256</c:v>
                </c:pt>
                <c:pt idx="10">
                  <c:v>34.757042253521128</c:v>
                </c:pt>
                <c:pt idx="11">
                  <c:v>34.20774647887324</c:v>
                </c:pt>
                <c:pt idx="12">
                  <c:v>32.2112676056338</c:v>
                </c:pt>
                <c:pt idx="13">
                  <c:v>33.274647887323944</c:v>
                </c:pt>
                <c:pt idx="14">
                  <c:v>32.088028169014088</c:v>
                </c:pt>
                <c:pt idx="15">
                  <c:v>31.737762237762237</c:v>
                </c:pt>
                <c:pt idx="16">
                  <c:v>36.433566433566433</c:v>
                </c:pt>
                <c:pt idx="17">
                  <c:v>34.050635540979947</c:v>
                </c:pt>
              </c:numCache>
            </c:numRef>
          </c:val>
        </c:ser>
        <c:axId val="74317824"/>
        <c:axId val="74319360"/>
      </c:barChart>
      <c:catAx>
        <c:axId val="74317824"/>
        <c:scaling>
          <c:orientation val="minMax"/>
        </c:scaling>
        <c:axPos val="b"/>
        <c:tickLblPos val="nextTo"/>
        <c:crossAx val="74319360"/>
        <c:crosses val="autoZero"/>
        <c:auto val="1"/>
        <c:lblAlgn val="ctr"/>
        <c:lblOffset val="100"/>
      </c:catAx>
      <c:valAx>
        <c:axId val="74319360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431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'2013'!$D$23:$D$38</c:f>
              <c:numCache>
                <c:formatCode>General</c:formatCode>
                <c:ptCount val="16"/>
                <c:pt idx="0">
                  <c:v>47.47</c:v>
                </c:pt>
                <c:pt idx="1">
                  <c:v>46.265765765765764</c:v>
                </c:pt>
                <c:pt idx="2">
                  <c:v>46.346846846846844</c:v>
                </c:pt>
                <c:pt idx="3">
                  <c:v>49.555045871559635</c:v>
                </c:pt>
                <c:pt idx="4">
                  <c:v>48.037383177570092</c:v>
                </c:pt>
                <c:pt idx="5">
                  <c:v>44.201834862385319</c:v>
                </c:pt>
                <c:pt idx="6">
                  <c:v>44.4</c:v>
                </c:pt>
                <c:pt idx="7">
                  <c:v>42.326271186440678</c:v>
                </c:pt>
                <c:pt idx="8">
                  <c:v>42.672268907563023</c:v>
                </c:pt>
                <c:pt idx="9">
                  <c:v>40.634453781512605</c:v>
                </c:pt>
                <c:pt idx="10">
                  <c:v>42.106481481481481</c:v>
                </c:pt>
                <c:pt idx="11">
                  <c:v>43.26605504587156</c:v>
                </c:pt>
                <c:pt idx="12">
                  <c:v>42.268181818181816</c:v>
                </c:pt>
                <c:pt idx="13">
                  <c:v>40.953703703703702</c:v>
                </c:pt>
                <c:pt idx="14">
                  <c:v>40.951327433628322</c:v>
                </c:pt>
                <c:pt idx="15">
                  <c:v>43.856115705893629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'2013'!$F$23:$F$38</c:f>
              <c:numCache>
                <c:formatCode>General</c:formatCode>
                <c:ptCount val="16"/>
                <c:pt idx="0">
                  <c:v>35.479999999999997</c:v>
                </c:pt>
                <c:pt idx="1">
                  <c:v>37.485401459854018</c:v>
                </c:pt>
                <c:pt idx="2">
                  <c:v>37.551094890510946</c:v>
                </c:pt>
                <c:pt idx="3">
                  <c:v>38.859712230215827</c:v>
                </c:pt>
                <c:pt idx="4">
                  <c:v>36.714285714285715</c:v>
                </c:pt>
                <c:pt idx="5">
                  <c:v>34.170212765957444</c:v>
                </c:pt>
                <c:pt idx="6">
                  <c:v>34.394366197183096</c:v>
                </c:pt>
                <c:pt idx="7">
                  <c:v>34.208904109589042</c:v>
                </c:pt>
                <c:pt idx="8">
                  <c:v>34.544217687074827</c:v>
                </c:pt>
                <c:pt idx="9">
                  <c:v>32.894557823129254</c:v>
                </c:pt>
                <c:pt idx="10">
                  <c:v>30.726351351351351</c:v>
                </c:pt>
                <c:pt idx="11">
                  <c:v>31.651006711409394</c:v>
                </c:pt>
                <c:pt idx="12">
                  <c:v>30.996666666666666</c:v>
                </c:pt>
                <c:pt idx="13">
                  <c:v>29.486666666666668</c:v>
                </c:pt>
                <c:pt idx="14">
                  <c:v>30.245098039215687</c:v>
                </c:pt>
                <c:pt idx="15">
                  <c:v>33.852038736650719</c:v>
                </c:pt>
              </c:numCache>
            </c:numRef>
          </c:val>
        </c:ser>
        <c:axId val="74529024"/>
        <c:axId val="74555392"/>
      </c:barChart>
      <c:catAx>
        <c:axId val="74529024"/>
        <c:scaling>
          <c:orientation val="minMax"/>
        </c:scaling>
        <c:axPos val="b"/>
        <c:tickLblPos val="nextTo"/>
        <c:crossAx val="74555392"/>
        <c:crosses val="autoZero"/>
        <c:auto val="1"/>
        <c:lblAlgn val="ctr"/>
        <c:lblOffset val="100"/>
      </c:catAx>
      <c:valAx>
        <c:axId val="74555392"/>
        <c:scaling>
          <c:orientation val="minMax"/>
          <c:max val="50"/>
          <c:min val="25"/>
        </c:scaling>
        <c:axPos val="l"/>
        <c:majorGridlines/>
        <c:numFmt formatCode="General" sourceLinked="1"/>
        <c:tickLblPos val="nextTo"/>
        <c:crossAx val="74529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22"/>
          <c:y val="0.41450150143335834"/>
          <c:w val="0.16666552550496408"/>
          <c:h val="0.12962661925323732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'2011'!$D$21:$D$37</c:f>
              <c:numCache>
                <c:formatCode>General</c:formatCode>
                <c:ptCount val="17"/>
                <c:pt idx="0">
                  <c:v>44.3</c:v>
                </c:pt>
                <c:pt idx="1">
                  <c:v>44.46153846153846</c:v>
                </c:pt>
                <c:pt idx="2">
                  <c:v>46.392307692307689</c:v>
                </c:pt>
                <c:pt idx="3">
                  <c:v>44.780303030303031</c:v>
                </c:pt>
                <c:pt idx="4">
                  <c:v>44.403225806451616</c:v>
                </c:pt>
                <c:pt idx="5">
                  <c:v>45.060483870967744</c:v>
                </c:pt>
                <c:pt idx="6">
                  <c:v>46.133064516129032</c:v>
                </c:pt>
                <c:pt idx="7">
                  <c:v>46.609756097560975</c:v>
                </c:pt>
                <c:pt idx="8">
                  <c:v>46.270161290322584</c:v>
                </c:pt>
                <c:pt idx="9">
                  <c:v>46.126016260162601</c:v>
                </c:pt>
                <c:pt idx="10">
                  <c:v>45.41393442622951</c:v>
                </c:pt>
                <c:pt idx="11">
                  <c:v>44.950819672131146</c:v>
                </c:pt>
                <c:pt idx="12">
                  <c:v>46.48770491803279</c:v>
                </c:pt>
                <c:pt idx="13">
                  <c:v>44.98770491803279</c:v>
                </c:pt>
                <c:pt idx="14">
                  <c:v>45.805555555555557</c:v>
                </c:pt>
                <c:pt idx="15">
                  <c:v>44.448412698412696</c:v>
                </c:pt>
                <c:pt idx="16">
                  <c:v>45.488732614275882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'2011'!$F$21:$F$37</c:f>
              <c:numCache>
                <c:formatCode>General</c:formatCode>
                <c:ptCount val="17"/>
                <c:pt idx="0">
                  <c:v>37.1</c:v>
                </c:pt>
                <c:pt idx="1">
                  <c:v>38.278145695364238</c:v>
                </c:pt>
                <c:pt idx="2">
                  <c:v>39.940397350993379</c:v>
                </c:pt>
                <c:pt idx="3">
                  <c:v>38.888157894736842</c:v>
                </c:pt>
                <c:pt idx="4">
                  <c:v>36.223684210526315</c:v>
                </c:pt>
                <c:pt idx="5">
                  <c:v>37.25</c:v>
                </c:pt>
                <c:pt idx="6">
                  <c:v>38.136666666666663</c:v>
                </c:pt>
                <c:pt idx="7">
                  <c:v>38.736486486486484</c:v>
                </c:pt>
                <c:pt idx="8">
                  <c:v>38.766891891891895</c:v>
                </c:pt>
                <c:pt idx="9">
                  <c:v>38.859589041095887</c:v>
                </c:pt>
                <c:pt idx="10">
                  <c:v>37.948630136986303</c:v>
                </c:pt>
                <c:pt idx="11">
                  <c:v>37.561643835616437</c:v>
                </c:pt>
                <c:pt idx="12">
                  <c:v>38.845890410958901</c:v>
                </c:pt>
                <c:pt idx="13">
                  <c:v>37.592465753424655</c:v>
                </c:pt>
                <c:pt idx="14">
                  <c:v>39.530821917808218</c:v>
                </c:pt>
                <c:pt idx="15">
                  <c:v>38.359589041095887</c:v>
                </c:pt>
                <c:pt idx="16">
                  <c:v>38.327937355576815</c:v>
                </c:pt>
              </c:numCache>
            </c:numRef>
          </c:val>
        </c:ser>
        <c:axId val="73308032"/>
        <c:axId val="73309568"/>
      </c:barChart>
      <c:catAx>
        <c:axId val="73308032"/>
        <c:scaling>
          <c:orientation val="minMax"/>
        </c:scaling>
        <c:axPos val="b"/>
        <c:tickLblPos val="nextTo"/>
        <c:crossAx val="73309568"/>
        <c:crosses val="autoZero"/>
        <c:auto val="1"/>
        <c:lblAlgn val="ctr"/>
        <c:lblOffset val="100"/>
      </c:catAx>
      <c:valAx>
        <c:axId val="73309568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330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478"/>
          <c:y val="0.41450150143335834"/>
          <c:w val="0.16666552550496408"/>
          <c:h val="0.12962661925323749"/>
        </c:manualLayout>
      </c:layout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'2013'!$D$3:$D$19</c:f>
              <c:numCache>
                <c:formatCode>General</c:formatCode>
                <c:ptCount val="17"/>
                <c:pt idx="0">
                  <c:v>47.25</c:v>
                </c:pt>
                <c:pt idx="1">
                  <c:v>42.231092436974791</c:v>
                </c:pt>
                <c:pt idx="2">
                  <c:v>41.710084033613448</c:v>
                </c:pt>
                <c:pt idx="3">
                  <c:v>41.287500000000001</c:v>
                </c:pt>
                <c:pt idx="4">
                  <c:v>42.170833333333334</c:v>
                </c:pt>
                <c:pt idx="5">
                  <c:v>43.087499999999999</c:v>
                </c:pt>
                <c:pt idx="6">
                  <c:v>42.25</c:v>
                </c:pt>
                <c:pt idx="7">
                  <c:v>44.114406779661017</c:v>
                </c:pt>
                <c:pt idx="8">
                  <c:v>44.238738738738739</c:v>
                </c:pt>
                <c:pt idx="9">
                  <c:v>46.344036697247709</c:v>
                </c:pt>
                <c:pt idx="10">
                  <c:v>45.940366972477065</c:v>
                </c:pt>
                <c:pt idx="11">
                  <c:v>46.377272727272725</c:v>
                </c:pt>
                <c:pt idx="12">
                  <c:v>45.245454545454542</c:v>
                </c:pt>
                <c:pt idx="13">
                  <c:v>45.363636363636367</c:v>
                </c:pt>
                <c:pt idx="14">
                  <c:v>46.809090909090912</c:v>
                </c:pt>
                <c:pt idx="15">
                  <c:v>45.263392857142854</c:v>
                </c:pt>
                <c:pt idx="16">
                  <c:v>44.162227092976231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'2013'!$F$3:$F$19</c:f>
              <c:numCache>
                <c:formatCode>General</c:formatCode>
                <c:ptCount val="17"/>
                <c:pt idx="0">
                  <c:v>36.479999999999997</c:v>
                </c:pt>
                <c:pt idx="1">
                  <c:v>35.143356643356647</c:v>
                </c:pt>
                <c:pt idx="2">
                  <c:v>34.709790209790206</c:v>
                </c:pt>
                <c:pt idx="3">
                  <c:v>34.646853146853147</c:v>
                </c:pt>
                <c:pt idx="4">
                  <c:v>35.388111888111887</c:v>
                </c:pt>
                <c:pt idx="5">
                  <c:v>36.15734265734266</c:v>
                </c:pt>
                <c:pt idx="6">
                  <c:v>35.610714285714288</c:v>
                </c:pt>
                <c:pt idx="7">
                  <c:v>37.182142857142857</c:v>
                </c:pt>
                <c:pt idx="8">
                  <c:v>34.826241134751776</c:v>
                </c:pt>
                <c:pt idx="9">
                  <c:v>35.826241134751776</c:v>
                </c:pt>
                <c:pt idx="10">
                  <c:v>35.51418439716312</c:v>
                </c:pt>
                <c:pt idx="11">
                  <c:v>36.180851063829785</c:v>
                </c:pt>
                <c:pt idx="12">
                  <c:v>35.297872340425535</c:v>
                </c:pt>
                <c:pt idx="13">
                  <c:v>35.390070921985817</c:v>
                </c:pt>
                <c:pt idx="14">
                  <c:v>36.5177304964539</c:v>
                </c:pt>
                <c:pt idx="15">
                  <c:v>35.953900709219859</c:v>
                </c:pt>
                <c:pt idx="16">
                  <c:v>35.623026925792892</c:v>
                </c:pt>
              </c:numCache>
            </c:numRef>
          </c:val>
        </c:ser>
        <c:axId val="74387456"/>
        <c:axId val="74388992"/>
      </c:barChart>
      <c:catAx>
        <c:axId val="74387456"/>
        <c:scaling>
          <c:orientation val="minMax"/>
        </c:scaling>
        <c:axPos val="b"/>
        <c:tickLblPos val="nextTo"/>
        <c:crossAx val="74388992"/>
        <c:crosses val="autoZero"/>
        <c:auto val="1"/>
        <c:lblAlgn val="ctr"/>
        <c:lblOffset val="100"/>
      </c:catAx>
      <c:valAx>
        <c:axId val="74388992"/>
        <c:scaling>
          <c:orientation val="minMax"/>
          <c:max val="51"/>
          <c:min val="30"/>
        </c:scaling>
        <c:axPos val="l"/>
        <c:majorGridlines/>
        <c:numFmt formatCode="General" sourceLinked="1"/>
        <c:tickLblPos val="nextTo"/>
        <c:crossAx val="74387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'2013'!$D$42:$D$59</c:f>
              <c:numCache>
                <c:formatCode>0.0000</c:formatCode>
                <c:ptCount val="18"/>
                <c:pt idx="0" formatCode="General">
                  <c:v>47.14</c:v>
                </c:pt>
                <c:pt idx="1">
                  <c:v>40.517699115044245</c:v>
                </c:pt>
                <c:pt idx="2" formatCode="General">
                  <c:v>39.267543859649123</c:v>
                </c:pt>
                <c:pt idx="3" formatCode="General">
                  <c:v>41.135964912280699</c:v>
                </c:pt>
                <c:pt idx="4" formatCode="General">
                  <c:v>42.377192982456137</c:v>
                </c:pt>
                <c:pt idx="5" formatCode="General">
                  <c:v>42.395652173913042</c:v>
                </c:pt>
                <c:pt idx="6" formatCode="General">
                  <c:v>41.466101694915253</c:v>
                </c:pt>
                <c:pt idx="7" formatCode="General">
                  <c:v>43.885964912280699</c:v>
                </c:pt>
                <c:pt idx="8" formatCode="General">
                  <c:v>41.952586206896555</c:v>
                </c:pt>
                <c:pt idx="9" formatCode="General">
                  <c:v>43.064102564102562</c:v>
                </c:pt>
                <c:pt idx="10" formatCode="General">
                  <c:v>43.847457627118644</c:v>
                </c:pt>
                <c:pt idx="11" formatCode="General">
                  <c:v>42.634453781512605</c:v>
                </c:pt>
                <c:pt idx="12" formatCode="General">
                  <c:v>42.122881355932201</c:v>
                </c:pt>
                <c:pt idx="13" formatCode="General">
                  <c:v>41.987804878048777</c:v>
                </c:pt>
                <c:pt idx="14" formatCode="General">
                  <c:v>42.491935483870968</c:v>
                </c:pt>
                <c:pt idx="15" formatCode="General">
                  <c:v>44.787999999999997</c:v>
                </c:pt>
                <c:pt idx="16" formatCode="General">
                  <c:v>43.94140625</c:v>
                </c:pt>
                <c:pt idx="17" formatCode="General">
                  <c:v>42.36729673737635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'2013'!$F$42:$F$59</c:f>
              <c:numCache>
                <c:formatCode>General</c:formatCode>
                <c:ptCount val="18"/>
                <c:pt idx="0">
                  <c:v>35.479999999999997</c:v>
                </c:pt>
                <c:pt idx="1">
                  <c:v>29.538709677419355</c:v>
                </c:pt>
                <c:pt idx="2">
                  <c:v>28.695512820512821</c:v>
                </c:pt>
                <c:pt idx="3">
                  <c:v>30.060897435897434</c:v>
                </c:pt>
                <c:pt idx="4">
                  <c:v>30.967948717948719</c:v>
                </c:pt>
                <c:pt idx="5">
                  <c:v>31.253205128205128</c:v>
                </c:pt>
                <c:pt idx="6">
                  <c:v>30.968354430379748</c:v>
                </c:pt>
                <c:pt idx="7">
                  <c:v>31.664556962025316</c:v>
                </c:pt>
                <c:pt idx="8">
                  <c:v>30.60691823899371</c:v>
                </c:pt>
                <c:pt idx="9">
                  <c:v>31.490625000000001</c:v>
                </c:pt>
                <c:pt idx="10">
                  <c:v>32.337499999999999</c:v>
                </c:pt>
                <c:pt idx="11">
                  <c:v>31.709375000000001</c:v>
                </c:pt>
                <c:pt idx="12">
                  <c:v>31.261006289308177</c:v>
                </c:pt>
                <c:pt idx="13">
                  <c:v>32.278125000000003</c:v>
                </c:pt>
                <c:pt idx="14">
                  <c:v>32.726708074534159</c:v>
                </c:pt>
                <c:pt idx="15">
                  <c:v>34.773291925465841</c:v>
                </c:pt>
                <c:pt idx="16">
                  <c:v>34.719135802469133</c:v>
                </c:pt>
                <c:pt idx="17">
                  <c:v>31.565741906447467</c:v>
                </c:pt>
              </c:numCache>
            </c:numRef>
          </c:val>
        </c:ser>
        <c:axId val="74421760"/>
        <c:axId val="74423296"/>
      </c:barChart>
      <c:catAx>
        <c:axId val="74421760"/>
        <c:scaling>
          <c:orientation val="minMax"/>
        </c:scaling>
        <c:axPos val="b"/>
        <c:tickLblPos val="nextTo"/>
        <c:crossAx val="74423296"/>
        <c:crosses val="autoZero"/>
        <c:auto val="1"/>
        <c:lblAlgn val="ctr"/>
        <c:lblOffset val="100"/>
      </c:catAx>
      <c:valAx>
        <c:axId val="74423296"/>
        <c:scaling>
          <c:orientation val="minMax"/>
          <c:max val="50"/>
          <c:min val="25"/>
        </c:scaling>
        <c:axPos val="l"/>
        <c:majorGridlines/>
        <c:numFmt formatCode="General" sourceLinked="1"/>
        <c:tickLblPos val="nextTo"/>
        <c:crossAx val="7442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Per Cow</c:v>
          </c:tx>
          <c:val>
            <c:numRef>
              <c:f>'2012'!$D$3:$D$239</c:f>
              <c:numCache>
                <c:formatCode>General</c:formatCode>
                <c:ptCount val="237"/>
                <c:pt idx="0">
                  <c:v>42.7</c:v>
                </c:pt>
                <c:pt idx="1">
                  <c:v>47.433035714285715</c:v>
                </c:pt>
                <c:pt idx="2">
                  <c:v>47.171171171171174</c:v>
                </c:pt>
                <c:pt idx="3">
                  <c:v>47.229729729729726</c:v>
                </c:pt>
                <c:pt idx="4">
                  <c:v>45.711711711711715</c:v>
                </c:pt>
                <c:pt idx="5">
                  <c:v>50.46078431372549</c:v>
                </c:pt>
                <c:pt idx="6">
                  <c:v>48.661764705882355</c:v>
                </c:pt>
                <c:pt idx="7">
                  <c:v>46.735294117647058</c:v>
                </c:pt>
                <c:pt idx="8">
                  <c:v>50.160194174757279</c:v>
                </c:pt>
                <c:pt idx="9">
                  <c:v>46.26442307692308</c:v>
                </c:pt>
                <c:pt idx="10">
                  <c:v>45.847619047619048</c:v>
                </c:pt>
                <c:pt idx="11">
                  <c:v>46.414285714285711</c:v>
                </c:pt>
                <c:pt idx="12">
                  <c:v>45.676190476190477</c:v>
                </c:pt>
                <c:pt idx="13">
                  <c:v>45.56666666666667</c:v>
                </c:pt>
                <c:pt idx="14">
                  <c:v>46.138095238095239</c:v>
                </c:pt>
                <c:pt idx="15">
                  <c:v>49.285714285714285</c:v>
                </c:pt>
                <c:pt idx="16">
                  <c:v>47.250445342960354</c:v>
                </c:pt>
                <c:pt idx="18">
                  <c:v>0</c:v>
                </c:pt>
                <c:pt idx="19">
                  <c:v>0</c:v>
                </c:pt>
                <c:pt idx="20">
                  <c:v>43.9</c:v>
                </c:pt>
                <c:pt idx="21">
                  <c:v>45.143518518518519</c:v>
                </c:pt>
                <c:pt idx="22">
                  <c:v>47.940366972477065</c:v>
                </c:pt>
                <c:pt idx="23">
                  <c:v>47.71844660194175</c:v>
                </c:pt>
                <c:pt idx="24">
                  <c:v>47.140776699029125</c:v>
                </c:pt>
                <c:pt idx="25">
                  <c:v>47.674757281553397</c:v>
                </c:pt>
                <c:pt idx="26">
                  <c:v>45.92307692307692</c:v>
                </c:pt>
                <c:pt idx="27">
                  <c:v>48.91346153846154</c:v>
                </c:pt>
                <c:pt idx="28">
                  <c:v>47.019047619047619</c:v>
                </c:pt>
                <c:pt idx="29">
                  <c:v>47.362745098039213</c:v>
                </c:pt>
                <c:pt idx="30">
                  <c:v>47.077669902912625</c:v>
                </c:pt>
                <c:pt idx="31">
                  <c:v>48.572815533980581</c:v>
                </c:pt>
                <c:pt idx="32">
                  <c:v>48.257281553398059</c:v>
                </c:pt>
                <c:pt idx="33">
                  <c:v>47.121359223300971</c:v>
                </c:pt>
                <c:pt idx="34">
                  <c:v>48.82692307692308</c:v>
                </c:pt>
                <c:pt idx="35">
                  <c:v>47.325471698113205</c:v>
                </c:pt>
                <c:pt idx="36">
                  <c:v>47.467847882718253</c:v>
                </c:pt>
                <c:pt idx="38">
                  <c:v>0</c:v>
                </c:pt>
                <c:pt idx="39">
                  <c:v>0</c:v>
                </c:pt>
                <c:pt idx="40">
                  <c:v>43.8</c:v>
                </c:pt>
                <c:pt idx="41">
                  <c:v>48.976635514018689</c:v>
                </c:pt>
                <c:pt idx="42">
                  <c:v>47.977064220183486</c:v>
                </c:pt>
                <c:pt idx="43">
                  <c:v>48.440366972477065</c:v>
                </c:pt>
                <c:pt idx="44">
                  <c:v>49.256880733944953</c:v>
                </c:pt>
                <c:pt idx="45">
                  <c:v>49.990990990990994</c:v>
                </c:pt>
                <c:pt idx="46">
                  <c:v>50.674999999999997</c:v>
                </c:pt>
                <c:pt idx="47">
                  <c:v>49.524509803921568</c:v>
                </c:pt>
                <c:pt idx="48">
                  <c:v>48.120370370370374</c:v>
                </c:pt>
                <c:pt idx="49">
                  <c:v>47.041666666666664</c:v>
                </c:pt>
                <c:pt idx="50">
                  <c:v>47.754629629629626</c:v>
                </c:pt>
                <c:pt idx="51">
                  <c:v>46.461165048543691</c:v>
                </c:pt>
                <c:pt idx="52">
                  <c:v>42.39903846153846</c:v>
                </c:pt>
                <c:pt idx="53">
                  <c:v>44.23557692307692</c:v>
                </c:pt>
                <c:pt idx="54">
                  <c:v>43.171296296296298</c:v>
                </c:pt>
                <c:pt idx="55">
                  <c:v>43.098214285714285</c:v>
                </c:pt>
                <c:pt idx="56">
                  <c:v>47.141560394491542</c:v>
                </c:pt>
                <c:pt idx="58">
                  <c:v>0</c:v>
                </c:pt>
                <c:pt idx="59">
                  <c:v>0</c:v>
                </c:pt>
                <c:pt idx="60">
                  <c:v>43.8</c:v>
                </c:pt>
                <c:pt idx="61">
                  <c:v>42.729729729729726</c:v>
                </c:pt>
                <c:pt idx="62">
                  <c:v>43.328828828828826</c:v>
                </c:pt>
                <c:pt idx="63">
                  <c:v>39.684684684684683</c:v>
                </c:pt>
                <c:pt idx="64">
                  <c:v>41.166666666666664</c:v>
                </c:pt>
                <c:pt idx="65">
                  <c:v>39.808035714285715</c:v>
                </c:pt>
                <c:pt idx="66">
                  <c:v>36.521929824561404</c:v>
                </c:pt>
                <c:pt idx="67">
                  <c:v>43.082608695652176</c:v>
                </c:pt>
                <c:pt idx="68">
                  <c:v>45.674796747967477</c:v>
                </c:pt>
                <c:pt idx="69">
                  <c:v>48.024000000000001</c:v>
                </c:pt>
                <c:pt idx="70">
                  <c:v>48.564102564102562</c:v>
                </c:pt>
                <c:pt idx="71">
                  <c:v>50.887500000000003</c:v>
                </c:pt>
                <c:pt idx="72">
                  <c:v>52.801652892561982</c:v>
                </c:pt>
                <c:pt idx="73">
                  <c:v>52.67622950819672</c:v>
                </c:pt>
                <c:pt idx="74">
                  <c:v>52.67622950819672</c:v>
                </c:pt>
                <c:pt idx="75">
                  <c:v>53.4</c:v>
                </c:pt>
                <c:pt idx="76">
                  <c:v>46.068466357695641</c:v>
                </c:pt>
                <c:pt idx="79">
                  <c:v>0</c:v>
                </c:pt>
                <c:pt idx="80">
                  <c:v>42.9</c:v>
                </c:pt>
                <c:pt idx="81">
                  <c:v>54.097560975609753</c:v>
                </c:pt>
                <c:pt idx="82">
                  <c:v>51.928961748633874</c:v>
                </c:pt>
                <c:pt idx="83">
                  <c:v>55.26229508196721</c:v>
                </c:pt>
                <c:pt idx="84">
                  <c:v>53.693548387096776</c:v>
                </c:pt>
                <c:pt idx="85">
                  <c:v>53.802419354838712</c:v>
                </c:pt>
                <c:pt idx="86">
                  <c:v>58.586363636363636</c:v>
                </c:pt>
                <c:pt idx="87">
                  <c:v>59.436363636363637</c:v>
                </c:pt>
                <c:pt idx="88">
                  <c:v>57.190265486725664</c:v>
                </c:pt>
                <c:pt idx="89">
                  <c:v>55.217391304347828</c:v>
                </c:pt>
                <c:pt idx="90">
                  <c:v>57.239130434782609</c:v>
                </c:pt>
                <c:pt idx="91">
                  <c:v>58.530172413793103</c:v>
                </c:pt>
                <c:pt idx="92">
                  <c:v>54.512711864406782</c:v>
                </c:pt>
                <c:pt idx="93">
                  <c:v>53.533333333333331</c:v>
                </c:pt>
                <c:pt idx="94">
                  <c:v>55.458333333333336</c:v>
                </c:pt>
                <c:pt idx="95">
                  <c:v>56.916666666666664</c:v>
                </c:pt>
                <c:pt idx="96">
                  <c:v>53.462809917355372</c:v>
                </c:pt>
                <c:pt idx="97">
                  <c:v>55.554270473476137</c:v>
                </c:pt>
                <c:pt idx="99">
                  <c:v>0</c:v>
                </c:pt>
                <c:pt idx="100">
                  <c:v>0</c:v>
                </c:pt>
                <c:pt idx="101">
                  <c:v>47.3</c:v>
                </c:pt>
                <c:pt idx="102">
                  <c:v>54.943089430894311</c:v>
                </c:pt>
                <c:pt idx="103">
                  <c:v>54.357723577235774</c:v>
                </c:pt>
                <c:pt idx="104">
                  <c:v>53.195999999999998</c:v>
                </c:pt>
                <c:pt idx="105">
                  <c:v>51.165354330708659</c:v>
                </c:pt>
                <c:pt idx="106">
                  <c:v>53.542635658914726</c:v>
                </c:pt>
                <c:pt idx="107">
                  <c:v>53.9</c:v>
                </c:pt>
                <c:pt idx="108">
                  <c:v>51.622950819672134</c:v>
                </c:pt>
                <c:pt idx="109">
                  <c:v>51.162601626016261</c:v>
                </c:pt>
                <c:pt idx="110">
                  <c:v>51.287999999999997</c:v>
                </c:pt>
                <c:pt idx="111">
                  <c:v>54.212000000000003</c:v>
                </c:pt>
                <c:pt idx="112">
                  <c:v>56.015999999999998</c:v>
                </c:pt>
                <c:pt idx="113">
                  <c:v>57.602564102564102</c:v>
                </c:pt>
                <c:pt idx="114">
                  <c:v>54.788135593220339</c:v>
                </c:pt>
                <c:pt idx="115">
                  <c:v>55.579831932773111</c:v>
                </c:pt>
                <c:pt idx="116">
                  <c:v>53.053719008264466</c:v>
                </c:pt>
                <c:pt idx="117">
                  <c:v>53.762040405350923</c:v>
                </c:pt>
                <c:pt idx="119">
                  <c:v>0</c:v>
                </c:pt>
                <c:pt idx="120">
                  <c:v>0</c:v>
                </c:pt>
                <c:pt idx="121">
                  <c:v>48.9</c:v>
                </c:pt>
                <c:pt idx="122">
                  <c:v>55.719008264462808</c:v>
                </c:pt>
                <c:pt idx="123">
                  <c:v>55.394308943089428</c:v>
                </c:pt>
                <c:pt idx="124">
                  <c:v>54.173387096774192</c:v>
                </c:pt>
                <c:pt idx="125">
                  <c:v>55.528225806451616</c:v>
                </c:pt>
                <c:pt idx="126">
                  <c:v>55.66935483870968</c:v>
                </c:pt>
                <c:pt idx="127">
                  <c:v>58.457264957264954</c:v>
                </c:pt>
                <c:pt idx="128">
                  <c:v>56.141025641025642</c:v>
                </c:pt>
                <c:pt idx="129">
                  <c:v>58.682203389830505</c:v>
                </c:pt>
                <c:pt idx="130">
                  <c:v>58.343220338983052</c:v>
                </c:pt>
                <c:pt idx="131">
                  <c:v>56.737288135593218</c:v>
                </c:pt>
                <c:pt idx="132">
                  <c:v>56.756302521008401</c:v>
                </c:pt>
                <c:pt idx="133">
                  <c:v>56.407563025210081</c:v>
                </c:pt>
                <c:pt idx="134">
                  <c:v>55.028925619834709</c:v>
                </c:pt>
                <c:pt idx="135">
                  <c:v>53.277777777777779</c:v>
                </c:pt>
                <c:pt idx="136">
                  <c:v>47.555555555555557</c:v>
                </c:pt>
                <c:pt idx="137">
                  <c:v>55.591427460771435</c:v>
                </c:pt>
                <c:pt idx="139">
                  <c:v>0</c:v>
                </c:pt>
                <c:pt idx="140">
                  <c:v>0</c:v>
                </c:pt>
                <c:pt idx="141">
                  <c:v>44.3</c:v>
                </c:pt>
                <c:pt idx="142">
                  <c:v>50.3984375</c:v>
                </c:pt>
                <c:pt idx="143">
                  <c:v>49.554263565891475</c:v>
                </c:pt>
                <c:pt idx="144">
                  <c:v>47.71153846153846</c:v>
                </c:pt>
                <c:pt idx="145">
                  <c:v>46.896946564885496</c:v>
                </c:pt>
                <c:pt idx="146">
                  <c:v>43.814814814814817</c:v>
                </c:pt>
                <c:pt idx="147">
                  <c:v>43.744360902255636</c:v>
                </c:pt>
                <c:pt idx="148">
                  <c:v>42.304511278195491</c:v>
                </c:pt>
                <c:pt idx="149">
                  <c:v>42.299242424242422</c:v>
                </c:pt>
                <c:pt idx="150">
                  <c:v>41.5</c:v>
                </c:pt>
                <c:pt idx="151">
                  <c:v>39.335820895522389</c:v>
                </c:pt>
                <c:pt idx="152">
                  <c:v>40.082089552238806</c:v>
                </c:pt>
                <c:pt idx="153">
                  <c:v>40.309701492537314</c:v>
                </c:pt>
                <c:pt idx="154">
                  <c:v>37.79457364341085</c:v>
                </c:pt>
                <c:pt idx="155">
                  <c:v>36.323076923076925</c:v>
                </c:pt>
                <c:pt idx="156">
                  <c:v>38.62977099236641</c:v>
                </c:pt>
                <c:pt idx="157">
                  <c:v>41.446969696969695</c:v>
                </c:pt>
                <c:pt idx="158">
                  <c:v>42.63413241924664</c:v>
                </c:pt>
                <c:pt idx="160">
                  <c:v>0</c:v>
                </c:pt>
                <c:pt idx="161">
                  <c:v>0</c:v>
                </c:pt>
                <c:pt idx="162">
                  <c:v>42.45</c:v>
                </c:pt>
                <c:pt idx="163">
                  <c:v>39.88148148148148</c:v>
                </c:pt>
                <c:pt idx="164">
                  <c:v>38.462962962962962</c:v>
                </c:pt>
                <c:pt idx="165">
                  <c:v>39.107407407407408</c:v>
                </c:pt>
                <c:pt idx="166">
                  <c:v>39.816000000000003</c:v>
                </c:pt>
                <c:pt idx="167">
                  <c:v>38.273809523809526</c:v>
                </c:pt>
                <c:pt idx="168">
                  <c:v>37.924603174603178</c:v>
                </c:pt>
                <c:pt idx="169">
                  <c:v>38.551587301587304</c:v>
                </c:pt>
                <c:pt idx="170">
                  <c:v>37.304000000000002</c:v>
                </c:pt>
                <c:pt idx="171">
                  <c:v>35.524000000000001</c:v>
                </c:pt>
                <c:pt idx="172">
                  <c:v>36.308</c:v>
                </c:pt>
                <c:pt idx="173">
                  <c:v>37.908000000000001</c:v>
                </c:pt>
                <c:pt idx="174">
                  <c:v>37.387096774193552</c:v>
                </c:pt>
                <c:pt idx="175">
                  <c:v>37.159999999999997</c:v>
                </c:pt>
                <c:pt idx="176">
                  <c:v>35.456000000000003</c:v>
                </c:pt>
                <c:pt idx="177">
                  <c:v>37.020000000000003</c:v>
                </c:pt>
                <c:pt idx="178">
                  <c:v>37.738996575069692</c:v>
                </c:pt>
                <c:pt idx="179">
                  <c:v>0</c:v>
                </c:pt>
                <c:pt idx="180">
                  <c:v>0</c:v>
                </c:pt>
                <c:pt idx="181">
                  <c:v>45.49</c:v>
                </c:pt>
                <c:pt idx="182">
                  <c:v>37.99596774193548</c:v>
                </c:pt>
                <c:pt idx="183">
                  <c:v>41.474193548387099</c:v>
                </c:pt>
                <c:pt idx="184">
                  <c:v>40.932539682539684</c:v>
                </c:pt>
                <c:pt idx="185">
                  <c:v>41.797619047619051</c:v>
                </c:pt>
                <c:pt idx="186">
                  <c:v>41.263565891472865</c:v>
                </c:pt>
                <c:pt idx="187">
                  <c:v>42.795833333333334</c:v>
                </c:pt>
                <c:pt idx="188">
                  <c:v>43.487603305785122</c:v>
                </c:pt>
                <c:pt idx="189">
                  <c:v>45.252066115702476</c:v>
                </c:pt>
                <c:pt idx="190">
                  <c:v>44.929752066115704</c:v>
                </c:pt>
                <c:pt idx="191">
                  <c:v>43.487603305785122</c:v>
                </c:pt>
                <c:pt idx="192">
                  <c:v>43.024590163934427</c:v>
                </c:pt>
                <c:pt idx="193">
                  <c:v>39.601626016260163</c:v>
                </c:pt>
                <c:pt idx="194">
                  <c:v>39.20967741935484</c:v>
                </c:pt>
                <c:pt idx="195">
                  <c:v>39.850806451612904</c:v>
                </c:pt>
                <c:pt idx="196">
                  <c:v>41.987288135593218</c:v>
                </c:pt>
                <c:pt idx="197">
                  <c:v>41.806048815028767</c:v>
                </c:pt>
                <c:pt idx="198">
                  <c:v>0</c:v>
                </c:pt>
                <c:pt idx="199">
                  <c:v>0</c:v>
                </c:pt>
                <c:pt idx="200">
                  <c:v>44.76</c:v>
                </c:pt>
                <c:pt idx="201">
                  <c:v>43.254464285714285</c:v>
                </c:pt>
                <c:pt idx="202">
                  <c:v>42.631818181818183</c:v>
                </c:pt>
                <c:pt idx="203">
                  <c:v>46.604545454545452</c:v>
                </c:pt>
                <c:pt idx="204">
                  <c:v>44.640909090909091</c:v>
                </c:pt>
                <c:pt idx="205">
                  <c:v>43.603603603603602</c:v>
                </c:pt>
                <c:pt idx="206">
                  <c:v>44.2</c:v>
                </c:pt>
                <c:pt idx="207">
                  <c:v>46.768181818181816</c:v>
                </c:pt>
                <c:pt idx="208">
                  <c:v>44.477477477477478</c:v>
                </c:pt>
                <c:pt idx="209">
                  <c:v>44.081081081081081</c:v>
                </c:pt>
                <c:pt idx="210">
                  <c:v>45.590090090090094</c:v>
                </c:pt>
                <c:pt idx="211">
                  <c:v>44.276785714285715</c:v>
                </c:pt>
                <c:pt idx="212">
                  <c:v>43.294642857142854</c:v>
                </c:pt>
                <c:pt idx="213">
                  <c:v>42.464285714285715</c:v>
                </c:pt>
                <c:pt idx="214">
                  <c:v>45.379464285714285</c:v>
                </c:pt>
                <c:pt idx="215">
                  <c:v>44.311403508771932</c:v>
                </c:pt>
                <c:pt idx="216">
                  <c:v>44.371916877574776</c:v>
                </c:pt>
                <c:pt idx="217">
                  <c:v>0</c:v>
                </c:pt>
                <c:pt idx="218">
                  <c:v>0</c:v>
                </c:pt>
                <c:pt idx="219">
                  <c:v>46.36</c:v>
                </c:pt>
                <c:pt idx="220">
                  <c:v>40.991452991452988</c:v>
                </c:pt>
                <c:pt idx="221">
                  <c:v>41.563025210084035</c:v>
                </c:pt>
                <c:pt idx="222">
                  <c:v>40.85</c:v>
                </c:pt>
                <c:pt idx="223">
                  <c:v>40.737499999999997</c:v>
                </c:pt>
                <c:pt idx="224">
                  <c:v>40.720338983050844</c:v>
                </c:pt>
                <c:pt idx="225">
                  <c:v>44.228813559322035</c:v>
                </c:pt>
                <c:pt idx="226">
                  <c:v>43.313043478260873</c:v>
                </c:pt>
                <c:pt idx="227">
                  <c:v>42.954545454545453</c:v>
                </c:pt>
                <c:pt idx="228">
                  <c:v>45.432432432432435</c:v>
                </c:pt>
                <c:pt idx="229">
                  <c:v>43.676991150442475</c:v>
                </c:pt>
                <c:pt idx="230">
                  <c:v>42.609649122807021</c:v>
                </c:pt>
                <c:pt idx="231">
                  <c:v>40.122807017543863</c:v>
                </c:pt>
                <c:pt idx="232">
                  <c:v>41.44736842105263</c:v>
                </c:pt>
                <c:pt idx="233">
                  <c:v>39.621739130434783</c:v>
                </c:pt>
                <c:pt idx="234">
                  <c:v>39.125</c:v>
                </c:pt>
                <c:pt idx="235">
                  <c:v>44.529914529914528</c:v>
                </c:pt>
                <c:pt idx="236">
                  <c:v>41.995288842583996</c:v>
                </c:pt>
              </c:numCache>
            </c:numRef>
          </c:val>
        </c:ser>
        <c:axId val="74443008"/>
        <c:axId val="74448896"/>
      </c:barChart>
      <c:catAx>
        <c:axId val="74443008"/>
        <c:scaling>
          <c:orientation val="minMax"/>
        </c:scaling>
        <c:axPos val="b"/>
        <c:tickLblPos val="nextTo"/>
        <c:crossAx val="74448896"/>
        <c:crosses val="autoZero"/>
        <c:auto val="1"/>
        <c:lblAlgn val="ctr"/>
        <c:lblOffset val="100"/>
      </c:catAx>
      <c:valAx>
        <c:axId val="74448896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444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468180607858799E-2"/>
          <c:y val="4.3745636132624333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val>
            <c:numRef>
              <c:f>'2013'!$D$63:$D$79</c:f>
              <c:numCache>
                <c:formatCode>General</c:formatCode>
                <c:ptCount val="17"/>
                <c:pt idx="0">
                  <c:v>46.07</c:v>
                </c:pt>
                <c:pt idx="1">
                  <c:v>45.178030303030305</c:v>
                </c:pt>
                <c:pt idx="2">
                  <c:v>46.970149253731343</c:v>
                </c:pt>
                <c:pt idx="3">
                  <c:v>49.904411764705884</c:v>
                </c:pt>
                <c:pt idx="4">
                  <c:v>48.128676470588232</c:v>
                </c:pt>
                <c:pt idx="5">
                  <c:v>47.920289855072461</c:v>
                </c:pt>
                <c:pt idx="6">
                  <c:v>49.753623188405797</c:v>
                </c:pt>
                <c:pt idx="7">
                  <c:v>50.568840579710148</c:v>
                </c:pt>
                <c:pt idx="8">
                  <c:v>51.802158273381295</c:v>
                </c:pt>
                <c:pt idx="9">
                  <c:v>51.780141843971634</c:v>
                </c:pt>
                <c:pt idx="10">
                  <c:v>50.742957746478872</c:v>
                </c:pt>
                <c:pt idx="11">
                  <c:v>51.8986013986014</c:v>
                </c:pt>
                <c:pt idx="12">
                  <c:v>49.2112676056338</c:v>
                </c:pt>
                <c:pt idx="13">
                  <c:v>50.857638888888886</c:v>
                </c:pt>
                <c:pt idx="14">
                  <c:v>51.74125874125874</c:v>
                </c:pt>
                <c:pt idx="15">
                  <c:v>49.93706293706294</c:v>
                </c:pt>
                <c:pt idx="16">
                  <c:v>49.759673923368119</c:v>
                </c:pt>
              </c:numCache>
            </c:numRef>
          </c:val>
        </c:ser>
        <c:ser>
          <c:idx val="1"/>
          <c:order val="1"/>
          <c:val>
            <c:numRef>
              <c:f>'2013'!$F$63:$F$79</c:f>
              <c:numCache>
                <c:formatCode>General</c:formatCode>
                <c:ptCount val="17"/>
                <c:pt idx="0">
                  <c:v>36.75</c:v>
                </c:pt>
                <c:pt idx="1">
                  <c:v>36.362804878048777</c:v>
                </c:pt>
                <c:pt idx="2">
                  <c:v>38.145454545454548</c:v>
                </c:pt>
                <c:pt idx="3">
                  <c:v>40.885542168674696</c:v>
                </c:pt>
                <c:pt idx="4">
                  <c:v>39.430722891566262</c:v>
                </c:pt>
                <c:pt idx="5">
                  <c:v>39.598802395209582</c:v>
                </c:pt>
                <c:pt idx="6">
                  <c:v>41.113772455089823</c:v>
                </c:pt>
                <c:pt idx="7">
                  <c:v>41.787425149700596</c:v>
                </c:pt>
                <c:pt idx="8">
                  <c:v>42.860119047619051</c:v>
                </c:pt>
                <c:pt idx="9">
                  <c:v>42.94705882352941</c:v>
                </c:pt>
                <c:pt idx="10">
                  <c:v>42.385294117647057</c:v>
                </c:pt>
                <c:pt idx="11">
                  <c:v>43.655882352941177</c:v>
                </c:pt>
                <c:pt idx="12">
                  <c:v>40.865497076023395</c:v>
                </c:pt>
                <c:pt idx="13">
                  <c:v>42.827485380116961</c:v>
                </c:pt>
                <c:pt idx="14">
                  <c:v>43.781065088757394</c:v>
                </c:pt>
                <c:pt idx="15">
                  <c:v>42.254437869822482</c:v>
                </c:pt>
                <c:pt idx="16">
                  <c:v>41.260090949346747</c:v>
                </c:pt>
              </c:numCache>
            </c:numRef>
          </c:val>
        </c:ser>
        <c:axId val="74473856"/>
        <c:axId val="74475392"/>
      </c:barChart>
      <c:catAx>
        <c:axId val="74473856"/>
        <c:scaling>
          <c:orientation val="minMax"/>
        </c:scaling>
        <c:axPos val="b"/>
        <c:tickLblPos val="nextTo"/>
        <c:crossAx val="74475392"/>
        <c:crosses val="autoZero"/>
        <c:auto val="1"/>
        <c:lblAlgn val="ctr"/>
        <c:lblOffset val="100"/>
      </c:catAx>
      <c:valAx>
        <c:axId val="74475392"/>
        <c:scaling>
          <c:orientation val="minMax"/>
          <c:max val="53"/>
          <c:min val="28"/>
        </c:scaling>
        <c:axPos val="l"/>
        <c:majorGridlines/>
        <c:numFmt formatCode="General" sourceLinked="1"/>
        <c:tickLblPos val="nextTo"/>
        <c:crossAx val="7447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'2013'!$D$103:$D$119</c:f>
              <c:numCache>
                <c:formatCode>General</c:formatCode>
                <c:ptCount val="17"/>
                <c:pt idx="0">
                  <c:v>53.76</c:v>
                </c:pt>
                <c:pt idx="1">
                  <c:v>48.992957746478872</c:v>
                </c:pt>
                <c:pt idx="2">
                  <c:v>46.751748251748253</c:v>
                </c:pt>
                <c:pt idx="3">
                  <c:v>46.456521739130437</c:v>
                </c:pt>
                <c:pt idx="4">
                  <c:v>47.336956521739133</c:v>
                </c:pt>
                <c:pt idx="5">
                  <c:v>48.086956521739133</c:v>
                </c:pt>
                <c:pt idx="6">
                  <c:v>50.265957446808514</c:v>
                </c:pt>
                <c:pt idx="7">
                  <c:v>49.119718309859152</c:v>
                </c:pt>
                <c:pt idx="8">
                  <c:v>46.82167832167832</c:v>
                </c:pt>
                <c:pt idx="9">
                  <c:v>48.996527777777779</c:v>
                </c:pt>
                <c:pt idx="10">
                  <c:v>49.1875</c:v>
                </c:pt>
                <c:pt idx="11">
                  <c:v>47.164335664335667</c:v>
                </c:pt>
                <c:pt idx="12">
                  <c:v>45.175862068965515</c:v>
                </c:pt>
                <c:pt idx="13">
                  <c:v>46.3</c:v>
                </c:pt>
                <c:pt idx="14">
                  <c:v>45.948630136986303</c:v>
                </c:pt>
                <c:pt idx="15">
                  <c:v>43.260273972602739</c:v>
                </c:pt>
                <c:pt idx="16">
                  <c:v>47.324374965323308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'2013'!$F$103:$F$119</c:f>
              <c:numCache>
                <c:formatCode>General</c:formatCode>
                <c:ptCount val="17"/>
                <c:pt idx="0">
                  <c:v>42.31</c:v>
                </c:pt>
                <c:pt idx="1">
                  <c:v>40.213872832369944</c:v>
                </c:pt>
                <c:pt idx="2">
                  <c:v>38.644508670520231</c:v>
                </c:pt>
                <c:pt idx="3">
                  <c:v>37.057803468208093</c:v>
                </c:pt>
                <c:pt idx="4">
                  <c:v>37.760115606936417</c:v>
                </c:pt>
                <c:pt idx="5">
                  <c:v>38.358381502890175</c:v>
                </c:pt>
                <c:pt idx="6">
                  <c:v>40.968208092485547</c:v>
                </c:pt>
                <c:pt idx="7">
                  <c:v>40.086206896551722</c:v>
                </c:pt>
                <c:pt idx="8">
                  <c:v>38.479885057471265</c:v>
                </c:pt>
                <c:pt idx="9">
                  <c:v>40.548850574712645</c:v>
                </c:pt>
                <c:pt idx="10">
                  <c:v>40.706896551724135</c:v>
                </c:pt>
                <c:pt idx="11">
                  <c:v>38.98554913294798</c:v>
                </c:pt>
                <c:pt idx="12">
                  <c:v>37.864161849710982</c:v>
                </c:pt>
                <c:pt idx="13">
                  <c:v>38.806358381502889</c:v>
                </c:pt>
                <c:pt idx="14">
                  <c:v>38.777456647398843</c:v>
                </c:pt>
                <c:pt idx="15">
                  <c:v>36.508670520231213</c:v>
                </c:pt>
                <c:pt idx="16">
                  <c:v>38.917795052377478</c:v>
                </c:pt>
              </c:numCache>
            </c:numRef>
          </c:val>
        </c:ser>
        <c:axId val="74508160"/>
        <c:axId val="74509696"/>
      </c:barChart>
      <c:catAx>
        <c:axId val="74508160"/>
        <c:scaling>
          <c:orientation val="minMax"/>
        </c:scaling>
        <c:axPos val="b"/>
        <c:tickLblPos val="nextTo"/>
        <c:crossAx val="74509696"/>
        <c:crosses val="autoZero"/>
        <c:auto val="1"/>
        <c:lblAlgn val="ctr"/>
        <c:lblOffset val="100"/>
      </c:catAx>
      <c:valAx>
        <c:axId val="74509696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4508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'2013'!$D$83:$D$99</c:f>
              <c:numCache>
                <c:formatCode>General</c:formatCode>
                <c:ptCount val="17"/>
                <c:pt idx="0">
                  <c:v>55.55</c:v>
                </c:pt>
                <c:pt idx="1">
                  <c:v>50.551724137931032</c:v>
                </c:pt>
                <c:pt idx="2">
                  <c:v>55.105072463768117</c:v>
                </c:pt>
                <c:pt idx="3">
                  <c:v>53.904929577464792</c:v>
                </c:pt>
                <c:pt idx="4">
                  <c:v>52.977099236641223</c:v>
                </c:pt>
                <c:pt idx="5">
                  <c:v>53.450757575757578</c:v>
                </c:pt>
                <c:pt idx="6">
                  <c:v>54.9</c:v>
                </c:pt>
                <c:pt idx="7">
                  <c:v>55.042307692307695</c:v>
                </c:pt>
                <c:pt idx="8">
                  <c:v>55.613636363636367</c:v>
                </c:pt>
                <c:pt idx="9">
                  <c:v>54.169172932330824</c:v>
                </c:pt>
                <c:pt idx="10">
                  <c:v>54.63703703703704</c:v>
                </c:pt>
                <c:pt idx="11">
                  <c:v>51.456521739130437</c:v>
                </c:pt>
                <c:pt idx="12">
                  <c:v>46.847826086956523</c:v>
                </c:pt>
                <c:pt idx="13">
                  <c:v>45.95289855072464</c:v>
                </c:pt>
                <c:pt idx="14">
                  <c:v>47.517985611510788</c:v>
                </c:pt>
                <c:pt idx="15">
                  <c:v>46.648936170212764</c:v>
                </c:pt>
                <c:pt idx="16">
                  <c:v>51.918393678360644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'2013'!$F$83:$F$99</c:f>
              <c:numCache>
                <c:formatCode>General</c:formatCode>
                <c:ptCount val="17"/>
                <c:pt idx="0">
                  <c:v>42.4</c:v>
                </c:pt>
                <c:pt idx="1">
                  <c:v>43.117647058823529</c:v>
                </c:pt>
                <c:pt idx="2">
                  <c:v>44.732352941176472</c:v>
                </c:pt>
                <c:pt idx="3">
                  <c:v>44.24566473988439</c:v>
                </c:pt>
                <c:pt idx="4">
                  <c:v>39.885057471264368</c:v>
                </c:pt>
                <c:pt idx="5">
                  <c:v>40.548850574712645</c:v>
                </c:pt>
                <c:pt idx="6">
                  <c:v>41.494186046511629</c:v>
                </c:pt>
                <c:pt idx="7">
                  <c:v>41.60174418604651</c:v>
                </c:pt>
                <c:pt idx="8">
                  <c:v>42.433526011560694</c:v>
                </c:pt>
                <c:pt idx="9">
                  <c:v>41.644508670520231</c:v>
                </c:pt>
                <c:pt idx="10">
                  <c:v>42.635838150289018</c:v>
                </c:pt>
                <c:pt idx="11">
                  <c:v>41.046242774566473</c:v>
                </c:pt>
                <c:pt idx="12">
                  <c:v>37.369942196531795</c:v>
                </c:pt>
                <c:pt idx="13">
                  <c:v>36.656069364161851</c:v>
                </c:pt>
                <c:pt idx="14">
                  <c:v>38.179190751445084</c:v>
                </c:pt>
                <c:pt idx="15">
                  <c:v>38.020231213872833</c:v>
                </c:pt>
                <c:pt idx="16">
                  <c:v>40.907403476757828</c:v>
                </c:pt>
              </c:numCache>
            </c:numRef>
          </c:val>
        </c:ser>
        <c:axId val="74603904"/>
        <c:axId val="74605696"/>
      </c:barChart>
      <c:catAx>
        <c:axId val="74603904"/>
        <c:scaling>
          <c:orientation val="minMax"/>
        </c:scaling>
        <c:axPos val="b"/>
        <c:tickLblPos val="nextTo"/>
        <c:crossAx val="74605696"/>
        <c:crosses val="autoZero"/>
        <c:auto val="1"/>
        <c:lblAlgn val="ctr"/>
        <c:lblOffset val="100"/>
      </c:catAx>
      <c:valAx>
        <c:axId val="74605696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4603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'2013'!$D$123:$D$140</c:f>
              <c:numCache>
                <c:formatCode>General</c:formatCode>
                <c:ptCount val="18"/>
                <c:pt idx="0">
                  <c:v>55.59</c:v>
                </c:pt>
                <c:pt idx="1">
                  <c:v>42.96875</c:v>
                </c:pt>
                <c:pt idx="2">
                  <c:v>37.700000000000003</c:v>
                </c:pt>
                <c:pt idx="3">
                  <c:v>43.707407407407409</c:v>
                </c:pt>
                <c:pt idx="4">
                  <c:v>41.137323943661968</c:v>
                </c:pt>
                <c:pt idx="5">
                  <c:v>42.640845070422536</c:v>
                </c:pt>
                <c:pt idx="6">
                  <c:v>43.427083333333336</c:v>
                </c:pt>
                <c:pt idx="7">
                  <c:v>44.060283687943262</c:v>
                </c:pt>
                <c:pt idx="8">
                  <c:v>46.953900709219859</c:v>
                </c:pt>
                <c:pt idx="9">
                  <c:v>45.833333333333336</c:v>
                </c:pt>
                <c:pt idx="10">
                  <c:v>45.770833333333336</c:v>
                </c:pt>
                <c:pt idx="11">
                  <c:v>45.051369863013697</c:v>
                </c:pt>
                <c:pt idx="12">
                  <c:v>43.106164383561641</c:v>
                </c:pt>
                <c:pt idx="13">
                  <c:v>42.844827586206897</c:v>
                </c:pt>
                <c:pt idx="14">
                  <c:v>41.557823129251702</c:v>
                </c:pt>
                <c:pt idx="15">
                  <c:v>39.333333333333336</c:v>
                </c:pt>
                <c:pt idx="16">
                  <c:v>39.7687074829932</c:v>
                </c:pt>
                <c:pt idx="17">
                  <c:v>42.86637416231347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'2013'!$F$123:$F$140</c:f>
              <c:numCache>
                <c:formatCode>General</c:formatCode>
                <c:ptCount val="18"/>
                <c:pt idx="0">
                  <c:v>44.98</c:v>
                </c:pt>
                <c:pt idx="1">
                  <c:v>37.960122699386503</c:v>
                </c:pt>
                <c:pt idx="2">
                  <c:v>31.223926380368098</c:v>
                </c:pt>
                <c:pt idx="3">
                  <c:v>36.199386503067487</c:v>
                </c:pt>
                <c:pt idx="4">
                  <c:v>35.403030303030306</c:v>
                </c:pt>
                <c:pt idx="5">
                  <c:v>37.147239263803684</c:v>
                </c:pt>
                <c:pt idx="6">
                  <c:v>38.365030674846629</c:v>
                </c:pt>
                <c:pt idx="7">
                  <c:v>38.113496932515339</c:v>
                </c:pt>
                <c:pt idx="8">
                  <c:v>40.616564417177912</c:v>
                </c:pt>
                <c:pt idx="9">
                  <c:v>40.243902439024389</c:v>
                </c:pt>
                <c:pt idx="10">
                  <c:v>40.435582822085891</c:v>
                </c:pt>
                <c:pt idx="11">
                  <c:v>40.106707317073173</c:v>
                </c:pt>
                <c:pt idx="12">
                  <c:v>38.375</c:v>
                </c:pt>
                <c:pt idx="13">
                  <c:v>38.113496932515339</c:v>
                </c:pt>
                <c:pt idx="14">
                  <c:v>37.478527607361961</c:v>
                </c:pt>
                <c:pt idx="15">
                  <c:v>35.472392638036808</c:v>
                </c:pt>
                <c:pt idx="16">
                  <c:v>35.865030674846629</c:v>
                </c:pt>
                <c:pt idx="17">
                  <c:v>37.569964850321256</c:v>
                </c:pt>
              </c:numCache>
            </c:numRef>
          </c:val>
        </c:ser>
        <c:axId val="74650752"/>
        <c:axId val="74652288"/>
      </c:barChart>
      <c:catAx>
        <c:axId val="74650752"/>
        <c:scaling>
          <c:orientation val="minMax"/>
        </c:scaling>
        <c:axPos val="b"/>
        <c:tickLblPos val="nextTo"/>
        <c:crossAx val="74652288"/>
        <c:crosses val="autoZero"/>
        <c:auto val="1"/>
        <c:lblAlgn val="ctr"/>
        <c:lblOffset val="100"/>
      </c:catAx>
      <c:valAx>
        <c:axId val="74652288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4650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Milk cows</c:v>
          </c:tx>
          <c:val>
            <c:numRef>
              <c:f>'2013'!$D$144:$D$161</c:f>
              <c:numCache>
                <c:formatCode>General</c:formatCode>
                <c:ptCount val="18"/>
                <c:pt idx="0">
                  <c:v>42.63</c:v>
                </c:pt>
                <c:pt idx="1">
                  <c:v>36.819727891156461</c:v>
                </c:pt>
                <c:pt idx="2">
                  <c:v>34.173469387755105</c:v>
                </c:pt>
                <c:pt idx="3">
                  <c:v>34.624113475177303</c:v>
                </c:pt>
                <c:pt idx="4">
                  <c:v>31.583916083916083</c:v>
                </c:pt>
                <c:pt idx="5">
                  <c:v>30.86013986013986</c:v>
                </c:pt>
                <c:pt idx="6">
                  <c:v>32.930069930069934</c:v>
                </c:pt>
                <c:pt idx="7">
                  <c:v>29.83450704225352</c:v>
                </c:pt>
                <c:pt idx="8">
                  <c:v>32.62676056338028</c:v>
                </c:pt>
                <c:pt idx="9">
                  <c:v>34.16549295774648</c:v>
                </c:pt>
                <c:pt idx="10">
                  <c:v>35.964788732394368</c:v>
                </c:pt>
                <c:pt idx="11">
                  <c:v>34.638888888888886</c:v>
                </c:pt>
                <c:pt idx="12">
                  <c:v>34.375</c:v>
                </c:pt>
                <c:pt idx="13">
                  <c:v>33.902777777777779</c:v>
                </c:pt>
                <c:pt idx="14">
                  <c:v>34.621527777777779</c:v>
                </c:pt>
                <c:pt idx="15">
                  <c:v>36.604166666666664</c:v>
                </c:pt>
                <c:pt idx="16">
                  <c:v>34.810344827586206</c:v>
                </c:pt>
                <c:pt idx="17">
                  <c:v>36.169046124179111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'2013'!$F$144:$F$161</c:f>
              <c:numCache>
                <c:formatCode>General</c:formatCode>
                <c:ptCount val="18"/>
                <c:pt idx="0">
                  <c:v>37.68</c:v>
                </c:pt>
                <c:pt idx="1">
                  <c:v>33.618012422360252</c:v>
                </c:pt>
                <c:pt idx="2">
                  <c:v>31.201863354037268</c:v>
                </c:pt>
                <c:pt idx="3">
                  <c:v>30.322981366459626</c:v>
                </c:pt>
                <c:pt idx="4">
                  <c:v>27.87962962962963</c:v>
                </c:pt>
                <c:pt idx="5">
                  <c:v>27.24074074074074</c:v>
                </c:pt>
                <c:pt idx="6">
                  <c:v>29.067901234567902</c:v>
                </c:pt>
                <c:pt idx="7">
                  <c:v>26.151234567901234</c:v>
                </c:pt>
                <c:pt idx="8">
                  <c:v>28.598765432098766</c:v>
                </c:pt>
                <c:pt idx="9">
                  <c:v>29.947530864197532</c:v>
                </c:pt>
                <c:pt idx="10">
                  <c:v>31.52469135802469</c:v>
                </c:pt>
                <c:pt idx="11">
                  <c:v>30.790123456790123</c:v>
                </c:pt>
                <c:pt idx="12">
                  <c:v>30.555555555555557</c:v>
                </c:pt>
                <c:pt idx="13">
                  <c:v>30.135802469135804</c:v>
                </c:pt>
                <c:pt idx="14">
                  <c:v>30.77469135802469</c:v>
                </c:pt>
                <c:pt idx="15">
                  <c:v>32.537037037037038</c:v>
                </c:pt>
                <c:pt idx="16">
                  <c:v>30.966257668711656</c:v>
                </c:pt>
                <c:pt idx="17">
                  <c:v>32.087521234351506</c:v>
                </c:pt>
              </c:numCache>
            </c:numRef>
          </c:val>
        </c:ser>
        <c:axId val="74676864"/>
        <c:axId val="74682752"/>
      </c:barChart>
      <c:catAx>
        <c:axId val="74676864"/>
        <c:scaling>
          <c:orientation val="minMax"/>
        </c:scaling>
        <c:axPos val="b"/>
        <c:tickLblPos val="nextTo"/>
        <c:crossAx val="74682752"/>
        <c:crosses val="autoZero"/>
        <c:auto val="1"/>
        <c:lblAlgn val="ctr"/>
        <c:lblOffset val="100"/>
      </c:catAx>
      <c:valAx>
        <c:axId val="74682752"/>
        <c:scaling>
          <c:orientation val="minMax"/>
          <c:max val="50"/>
          <c:min val="25"/>
        </c:scaling>
        <c:axPos val="l"/>
        <c:majorGridlines/>
        <c:numFmt formatCode="General" sourceLinked="1"/>
        <c:tickLblPos val="nextTo"/>
        <c:crossAx val="7467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376393168245306E-2"/>
          <c:y val="3.5574615733137242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val>
            <c:numRef>
              <c:f>'2013'!$D$165:$D$181</c:f>
              <c:numCache>
                <c:formatCode>General</c:formatCode>
                <c:ptCount val="17"/>
                <c:pt idx="0">
                  <c:v>37.74</c:v>
                </c:pt>
                <c:pt idx="1">
                  <c:v>35.355172413793106</c:v>
                </c:pt>
                <c:pt idx="2">
                  <c:v>35.849264705882355</c:v>
                </c:pt>
                <c:pt idx="3">
                  <c:v>37.535714285714285</c:v>
                </c:pt>
                <c:pt idx="4">
                  <c:v>39.27642276422764</c:v>
                </c:pt>
                <c:pt idx="5">
                  <c:v>41.788617886178862</c:v>
                </c:pt>
                <c:pt idx="6">
                  <c:v>42.638211382113823</c:v>
                </c:pt>
                <c:pt idx="7">
                  <c:v>40.766129032258064</c:v>
                </c:pt>
                <c:pt idx="8">
                  <c:v>44.33467741935484</c:v>
                </c:pt>
                <c:pt idx="9">
                  <c:v>41.74596774193548</c:v>
                </c:pt>
                <c:pt idx="10">
                  <c:v>42.246031746031747</c:v>
                </c:pt>
                <c:pt idx="11">
                  <c:v>41.797619047619051</c:v>
                </c:pt>
                <c:pt idx="12">
                  <c:v>42.051181102362207</c:v>
                </c:pt>
                <c:pt idx="13">
                  <c:v>38.598425196850393</c:v>
                </c:pt>
                <c:pt idx="14">
                  <c:v>38.49212598425197</c:v>
                </c:pt>
                <c:pt idx="15">
                  <c:v>34.122047244094489</c:v>
                </c:pt>
                <c:pt idx="16">
                  <c:v>39.773173863511218</c:v>
                </c:pt>
              </c:numCache>
            </c:numRef>
          </c:val>
        </c:ser>
        <c:ser>
          <c:idx val="1"/>
          <c:order val="1"/>
          <c:val>
            <c:numRef>
              <c:f>'2013'!$F$165:$F$181</c:f>
              <c:numCache>
                <c:formatCode>General</c:formatCode>
                <c:ptCount val="17"/>
                <c:pt idx="0">
                  <c:v>32.81</c:v>
                </c:pt>
                <c:pt idx="1">
                  <c:v>31.450920245398773</c:v>
                </c:pt>
                <c:pt idx="2">
                  <c:v>29.911042944785276</c:v>
                </c:pt>
                <c:pt idx="3">
                  <c:v>29.375776397515526</c:v>
                </c:pt>
                <c:pt idx="4">
                  <c:v>30.575949367088608</c:v>
                </c:pt>
                <c:pt idx="5">
                  <c:v>32.531645569620252</c:v>
                </c:pt>
                <c:pt idx="6">
                  <c:v>33.193037974683541</c:v>
                </c:pt>
                <c:pt idx="7">
                  <c:v>31.99367088607595</c:v>
                </c:pt>
                <c:pt idx="8">
                  <c:v>34.794303797468352</c:v>
                </c:pt>
                <c:pt idx="9">
                  <c:v>32.7626582278481</c:v>
                </c:pt>
                <c:pt idx="10">
                  <c:v>33.689873417721522</c:v>
                </c:pt>
                <c:pt idx="11">
                  <c:v>33.332278481012658</c:v>
                </c:pt>
                <c:pt idx="12">
                  <c:v>33.588050314465406</c:v>
                </c:pt>
                <c:pt idx="13">
                  <c:v>30.830188679245282</c:v>
                </c:pt>
                <c:pt idx="14">
                  <c:v>30.745283018867923</c:v>
                </c:pt>
                <c:pt idx="15">
                  <c:v>27.254716981132077</c:v>
                </c:pt>
                <c:pt idx="16">
                  <c:v>31.735293086861951</c:v>
                </c:pt>
              </c:numCache>
            </c:numRef>
          </c:val>
        </c:ser>
        <c:axId val="74703232"/>
        <c:axId val="74704768"/>
      </c:barChart>
      <c:catAx>
        <c:axId val="74703232"/>
        <c:scaling>
          <c:orientation val="minMax"/>
        </c:scaling>
        <c:axPos val="b"/>
        <c:tickLblPos val="nextTo"/>
        <c:crossAx val="74704768"/>
        <c:crosses val="autoZero"/>
        <c:auto val="1"/>
        <c:lblAlgn val="ctr"/>
        <c:lblOffset val="100"/>
      </c:catAx>
      <c:valAx>
        <c:axId val="74704768"/>
        <c:scaling>
          <c:orientation val="minMax"/>
          <c:max val="50"/>
          <c:min val="25"/>
        </c:scaling>
        <c:axPos val="l"/>
        <c:majorGridlines/>
        <c:numFmt formatCode="General" sourceLinked="1"/>
        <c:tickLblPos val="nextTo"/>
        <c:crossAx val="74703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"/>
          <c:y val="0.41450150143335834"/>
          <c:w val="0.16666552550496408"/>
          <c:h val="0.13896571285938061"/>
        </c:manualLayout>
      </c:layout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'2013'!$D$184:$D$200</c:f>
              <c:numCache>
                <c:formatCode>General</c:formatCode>
                <c:ptCount val="17"/>
                <c:pt idx="0">
                  <c:v>41.81</c:v>
                </c:pt>
                <c:pt idx="1">
                  <c:v>34.874015748031496</c:v>
                </c:pt>
                <c:pt idx="2">
                  <c:v>34.19291338582677</c:v>
                </c:pt>
                <c:pt idx="3">
                  <c:v>33.045801526717554</c:v>
                </c:pt>
                <c:pt idx="4">
                  <c:v>36.174796747967477</c:v>
                </c:pt>
                <c:pt idx="5">
                  <c:v>34.897435897435898</c:v>
                </c:pt>
                <c:pt idx="6">
                  <c:v>35.662393162393165</c:v>
                </c:pt>
                <c:pt idx="7">
                  <c:v>36.311965811965813</c:v>
                </c:pt>
                <c:pt idx="8">
                  <c:v>35.353448275862071</c:v>
                </c:pt>
                <c:pt idx="9">
                  <c:v>36.741379310344826</c:v>
                </c:pt>
                <c:pt idx="10">
                  <c:v>35.663793103448278</c:v>
                </c:pt>
                <c:pt idx="11">
                  <c:v>36.086206896551722</c:v>
                </c:pt>
                <c:pt idx="12">
                  <c:v>33.724137931034484</c:v>
                </c:pt>
                <c:pt idx="13">
                  <c:v>32.176724137931032</c:v>
                </c:pt>
                <c:pt idx="14">
                  <c:v>35.128205128205131</c:v>
                </c:pt>
                <c:pt idx="15">
                  <c:v>36.648305084745765</c:v>
                </c:pt>
                <c:pt idx="16">
                  <c:v>35.112101476564099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'2013'!$F$184:$F$200</c:f>
              <c:numCache>
                <c:formatCode>General</c:formatCode>
                <c:ptCount val="17"/>
                <c:pt idx="0">
                  <c:v>35.26</c:v>
                </c:pt>
                <c:pt idx="1">
                  <c:v>28.210191082802549</c:v>
                </c:pt>
                <c:pt idx="2">
                  <c:v>27.659235668789808</c:v>
                </c:pt>
                <c:pt idx="3">
                  <c:v>27.573248407643312</c:v>
                </c:pt>
                <c:pt idx="4">
                  <c:v>28.340764331210192</c:v>
                </c:pt>
                <c:pt idx="5">
                  <c:v>27.039735099337747</c:v>
                </c:pt>
                <c:pt idx="6">
                  <c:v>27.632450331125828</c:v>
                </c:pt>
                <c:pt idx="7">
                  <c:v>28.135761589403973</c:v>
                </c:pt>
                <c:pt idx="8">
                  <c:v>27.158940397350992</c:v>
                </c:pt>
                <c:pt idx="9">
                  <c:v>28.225165562913908</c:v>
                </c:pt>
                <c:pt idx="10">
                  <c:v>27.397350993377483</c:v>
                </c:pt>
                <c:pt idx="11">
                  <c:v>27.721854304635762</c:v>
                </c:pt>
                <c:pt idx="12">
                  <c:v>25.90728476821192</c:v>
                </c:pt>
                <c:pt idx="13">
                  <c:v>24.718543046357617</c:v>
                </c:pt>
                <c:pt idx="14">
                  <c:v>27.218543046357617</c:v>
                </c:pt>
                <c:pt idx="15">
                  <c:v>28.639072847682119</c:v>
                </c:pt>
                <c:pt idx="16">
                  <c:v>27.438542765146728</c:v>
                </c:pt>
              </c:numCache>
            </c:numRef>
          </c:val>
        </c:ser>
        <c:axId val="74729344"/>
        <c:axId val="74730880"/>
      </c:barChart>
      <c:catAx>
        <c:axId val="74729344"/>
        <c:scaling>
          <c:orientation val="minMax"/>
        </c:scaling>
        <c:axPos val="b"/>
        <c:tickLblPos val="nextTo"/>
        <c:crossAx val="74730880"/>
        <c:crosses val="autoZero"/>
        <c:auto val="1"/>
        <c:lblAlgn val="ctr"/>
        <c:lblOffset val="100"/>
      </c:catAx>
      <c:valAx>
        <c:axId val="74730880"/>
        <c:scaling>
          <c:orientation val="minMax"/>
          <c:max val="45"/>
          <c:min val="20"/>
        </c:scaling>
        <c:axPos val="l"/>
        <c:majorGridlines/>
        <c:numFmt formatCode="General" sourceLinked="1"/>
        <c:tickLblPos val="nextTo"/>
        <c:crossAx val="74729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22"/>
          <c:y val="0.41450150143335834"/>
          <c:w val="0.16666552550496408"/>
          <c:h val="0.12962661925323732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'2011'!$D$40:$D$56</c:f>
              <c:numCache>
                <c:formatCode>General</c:formatCode>
                <c:ptCount val="17"/>
                <c:pt idx="0">
                  <c:v>38.5</c:v>
                </c:pt>
                <c:pt idx="1">
                  <c:v>45.535714285714285</c:v>
                </c:pt>
                <c:pt idx="2">
                  <c:v>44.722222222222221</c:v>
                </c:pt>
                <c:pt idx="3">
                  <c:v>45.099137931034484</c:v>
                </c:pt>
                <c:pt idx="4">
                  <c:v>48.577586206896555</c:v>
                </c:pt>
                <c:pt idx="5">
                  <c:v>47.724137931034484</c:v>
                </c:pt>
                <c:pt idx="6">
                  <c:v>45.663793103448278</c:v>
                </c:pt>
                <c:pt idx="7">
                  <c:v>46.413793103448278</c:v>
                </c:pt>
                <c:pt idx="8">
                  <c:v>47.611111111111114</c:v>
                </c:pt>
                <c:pt idx="9">
                  <c:v>46.182203389830505</c:v>
                </c:pt>
                <c:pt idx="10">
                  <c:v>41.583333333333336</c:v>
                </c:pt>
                <c:pt idx="11">
                  <c:v>43.162500000000001</c:v>
                </c:pt>
                <c:pt idx="12">
                  <c:v>42.858333333333334</c:v>
                </c:pt>
                <c:pt idx="13">
                  <c:v>42.185950413223139</c:v>
                </c:pt>
                <c:pt idx="14">
                  <c:v>40.028225806451616</c:v>
                </c:pt>
                <c:pt idx="15">
                  <c:v>44.039682539682538</c:v>
                </c:pt>
                <c:pt idx="16">
                  <c:v>44.759181647384274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'2011'!$F$40:$F$56</c:f>
              <c:numCache>
                <c:formatCode>General</c:formatCode>
                <c:ptCount val="17"/>
                <c:pt idx="0">
                  <c:v>35.5</c:v>
                </c:pt>
                <c:pt idx="1">
                  <c:v>39.297945205479451</c:v>
                </c:pt>
                <c:pt idx="2">
                  <c:v>39.405594405594407</c:v>
                </c:pt>
                <c:pt idx="3">
                  <c:v>37.36785714285714</c:v>
                </c:pt>
                <c:pt idx="4">
                  <c:v>40.25</c:v>
                </c:pt>
                <c:pt idx="5">
                  <c:v>39.542857142857144</c:v>
                </c:pt>
                <c:pt idx="6">
                  <c:v>37.835714285714289</c:v>
                </c:pt>
                <c:pt idx="7">
                  <c:v>38.457142857142856</c:v>
                </c:pt>
                <c:pt idx="8">
                  <c:v>39.789285714285711</c:v>
                </c:pt>
                <c:pt idx="9">
                  <c:v>39.205035971223019</c:v>
                </c:pt>
                <c:pt idx="10">
                  <c:v>35.642857142857146</c:v>
                </c:pt>
                <c:pt idx="11">
                  <c:v>36.996428571428574</c:v>
                </c:pt>
                <c:pt idx="12">
                  <c:v>36.735714285714288</c:v>
                </c:pt>
                <c:pt idx="13">
                  <c:v>36.202127659574465</c:v>
                </c:pt>
                <c:pt idx="14">
                  <c:v>35.202127659574465</c:v>
                </c:pt>
                <c:pt idx="15">
                  <c:v>38.804195804195807</c:v>
                </c:pt>
                <c:pt idx="16">
                  <c:v>38.048992256566592</c:v>
                </c:pt>
              </c:numCache>
            </c:numRef>
          </c:val>
        </c:ser>
        <c:axId val="73608576"/>
        <c:axId val="73610368"/>
      </c:barChart>
      <c:catAx>
        <c:axId val="73608576"/>
        <c:scaling>
          <c:orientation val="minMax"/>
        </c:scaling>
        <c:axPos val="b"/>
        <c:tickLblPos val="nextTo"/>
        <c:crossAx val="73610368"/>
        <c:crosses val="autoZero"/>
        <c:auto val="1"/>
        <c:lblAlgn val="ctr"/>
        <c:lblOffset val="100"/>
      </c:catAx>
      <c:valAx>
        <c:axId val="73610368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3608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"/>
          <c:y val="0.41450150143335834"/>
          <c:w val="0.16666552550496408"/>
          <c:h val="0.12962661925323737"/>
        </c:manualLayout>
      </c:layout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'2013'!$D$203:$D$219</c:f>
              <c:numCache>
                <c:formatCode>General</c:formatCode>
                <c:ptCount val="17"/>
                <c:pt idx="0">
                  <c:v>44.37</c:v>
                </c:pt>
                <c:pt idx="1">
                  <c:v>41.604166666666664</c:v>
                </c:pt>
                <c:pt idx="2">
                  <c:v>41.66115702479339</c:v>
                </c:pt>
                <c:pt idx="3">
                  <c:v>39.869918699186989</c:v>
                </c:pt>
                <c:pt idx="4">
                  <c:v>36.135593220338983</c:v>
                </c:pt>
                <c:pt idx="5">
                  <c:v>37.590090090090094</c:v>
                </c:pt>
                <c:pt idx="6">
                  <c:v>39.391891891891895</c:v>
                </c:pt>
                <c:pt idx="7">
                  <c:v>38.071428571428569</c:v>
                </c:pt>
                <c:pt idx="8">
                  <c:v>37.825892857142854</c:v>
                </c:pt>
                <c:pt idx="9">
                  <c:v>37.973451327433629</c:v>
                </c:pt>
                <c:pt idx="10">
                  <c:v>38.429203539823007</c:v>
                </c:pt>
                <c:pt idx="11">
                  <c:v>36.924778761061944</c:v>
                </c:pt>
                <c:pt idx="12">
                  <c:v>36.05263157894737</c:v>
                </c:pt>
                <c:pt idx="13">
                  <c:v>36.688596491228068</c:v>
                </c:pt>
                <c:pt idx="14">
                  <c:v>36.291304347826085</c:v>
                </c:pt>
                <c:pt idx="15">
                  <c:v>38.539130434782606</c:v>
                </c:pt>
                <c:pt idx="16">
                  <c:v>38.203282366842807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'2013'!$F$203:$F$219</c:f>
              <c:numCache>
                <c:formatCode>General</c:formatCode>
                <c:ptCount val="17"/>
                <c:pt idx="0">
                  <c:v>34.36</c:v>
                </c:pt>
                <c:pt idx="1">
                  <c:v>33.962585034013607</c:v>
                </c:pt>
                <c:pt idx="2">
                  <c:v>34.292517006802719</c:v>
                </c:pt>
                <c:pt idx="3">
                  <c:v>33.360544217687078</c:v>
                </c:pt>
                <c:pt idx="4">
                  <c:v>29.006802721088434</c:v>
                </c:pt>
                <c:pt idx="5">
                  <c:v>28.3843537414966</c:v>
                </c:pt>
                <c:pt idx="6">
                  <c:v>29.744897959183675</c:v>
                </c:pt>
                <c:pt idx="7">
                  <c:v>29.006802721088434</c:v>
                </c:pt>
                <c:pt idx="8">
                  <c:v>29.017123287671232</c:v>
                </c:pt>
                <c:pt idx="9">
                  <c:v>29.19047619047619</c:v>
                </c:pt>
                <c:pt idx="10">
                  <c:v>29.540816326530614</c:v>
                </c:pt>
                <c:pt idx="11">
                  <c:v>28.3843537414966</c:v>
                </c:pt>
                <c:pt idx="12">
                  <c:v>27.959183673469386</c:v>
                </c:pt>
                <c:pt idx="13">
                  <c:v>28.452380952380953</c:v>
                </c:pt>
                <c:pt idx="14">
                  <c:v>28.391156462585034</c:v>
                </c:pt>
                <c:pt idx="15">
                  <c:v>30.14965986394558</c:v>
                </c:pt>
                <c:pt idx="16">
                  <c:v>29.922910259994413</c:v>
                </c:pt>
              </c:numCache>
            </c:numRef>
          </c:val>
        </c:ser>
        <c:axId val="74755456"/>
        <c:axId val="74765440"/>
      </c:barChart>
      <c:catAx>
        <c:axId val="74755456"/>
        <c:scaling>
          <c:orientation val="minMax"/>
        </c:scaling>
        <c:axPos val="b"/>
        <c:tickLblPos val="nextTo"/>
        <c:crossAx val="74765440"/>
        <c:crosses val="autoZero"/>
        <c:auto val="1"/>
        <c:lblAlgn val="ctr"/>
        <c:lblOffset val="100"/>
      </c:catAx>
      <c:valAx>
        <c:axId val="74765440"/>
        <c:scaling>
          <c:orientation val="minMax"/>
          <c:max val="50"/>
          <c:min val="25"/>
        </c:scaling>
        <c:axPos val="l"/>
        <c:majorGridlines/>
        <c:numFmt formatCode="General" sourceLinked="1"/>
        <c:tickLblPos val="nextTo"/>
        <c:crossAx val="7475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'2013'!$D$222:$D$239</c:f>
              <c:numCache>
                <c:formatCode>General</c:formatCode>
                <c:ptCount val="18"/>
                <c:pt idx="0">
                  <c:v>41.9953</c:v>
                </c:pt>
                <c:pt idx="1">
                  <c:v>39.582608695652176</c:v>
                </c:pt>
                <c:pt idx="2">
                  <c:v>40.521551724137929</c:v>
                </c:pt>
                <c:pt idx="3">
                  <c:v>39.213675213675216</c:v>
                </c:pt>
                <c:pt idx="4">
                  <c:v>38.918103448275865</c:v>
                </c:pt>
                <c:pt idx="5">
                  <c:v>37.512931034482762</c:v>
                </c:pt>
                <c:pt idx="6">
                  <c:v>39.591743119266056</c:v>
                </c:pt>
                <c:pt idx="7">
                  <c:v>39.886363636363633</c:v>
                </c:pt>
                <c:pt idx="8">
                  <c:v>41.259090909090908</c:v>
                </c:pt>
                <c:pt idx="9">
                  <c:v>40.407079646017699</c:v>
                </c:pt>
                <c:pt idx="10">
                  <c:v>38.157894736842103</c:v>
                </c:pt>
                <c:pt idx="11">
                  <c:v>36.357758620689658</c:v>
                </c:pt>
                <c:pt idx="12">
                  <c:v>39.247863247863251</c:v>
                </c:pt>
                <c:pt idx="13">
                  <c:v>41.29059829059829</c:v>
                </c:pt>
                <c:pt idx="14">
                  <c:v>41.085470085470085</c:v>
                </c:pt>
                <c:pt idx="15">
                  <c:v>40.737288135593218</c:v>
                </c:pt>
                <c:pt idx="16">
                  <c:v>40.737288135593218</c:v>
                </c:pt>
                <c:pt idx="17">
                  <c:v>39.656706792475745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'2013'!$F$222:$F$239</c:f>
              <c:numCache>
                <c:formatCode>General</c:formatCode>
                <c:ptCount val="18"/>
                <c:pt idx="0">
                  <c:v>34.051000000000002</c:v>
                </c:pt>
                <c:pt idx="1">
                  <c:v>30.550335570469798</c:v>
                </c:pt>
                <c:pt idx="2">
                  <c:v>31.546979865771814</c:v>
                </c:pt>
                <c:pt idx="3">
                  <c:v>30.791946308724832</c:v>
                </c:pt>
                <c:pt idx="4">
                  <c:v>30.710884353741495</c:v>
                </c:pt>
                <c:pt idx="5">
                  <c:v>29.602040816326532</c:v>
                </c:pt>
                <c:pt idx="6">
                  <c:v>29.357142857142858</c:v>
                </c:pt>
                <c:pt idx="7">
                  <c:v>29.846938775510203</c:v>
                </c:pt>
                <c:pt idx="8">
                  <c:v>30.874149659863946</c:v>
                </c:pt>
                <c:pt idx="9">
                  <c:v>31.061224489795919</c:v>
                </c:pt>
                <c:pt idx="10">
                  <c:v>29.591836734693878</c:v>
                </c:pt>
                <c:pt idx="11">
                  <c:v>28.69047619047619</c:v>
                </c:pt>
                <c:pt idx="12">
                  <c:v>31.238095238095237</c:v>
                </c:pt>
                <c:pt idx="13">
                  <c:v>32.863945578231295</c:v>
                </c:pt>
                <c:pt idx="14">
                  <c:v>32.700680272108841</c:v>
                </c:pt>
                <c:pt idx="15">
                  <c:v>32.700680272108841</c:v>
                </c:pt>
                <c:pt idx="16">
                  <c:v>32.700680272108841</c:v>
                </c:pt>
                <c:pt idx="17">
                  <c:v>30.926752328448163</c:v>
                </c:pt>
              </c:numCache>
            </c:numRef>
          </c:val>
        </c:ser>
        <c:axId val="74814592"/>
        <c:axId val="74816128"/>
      </c:barChart>
      <c:catAx>
        <c:axId val="74814592"/>
        <c:scaling>
          <c:orientation val="minMax"/>
        </c:scaling>
        <c:axPos val="b"/>
        <c:tickLblPos val="nextTo"/>
        <c:crossAx val="74816128"/>
        <c:crosses val="autoZero"/>
        <c:auto val="1"/>
        <c:lblAlgn val="ctr"/>
        <c:lblOffset val="100"/>
      </c:catAx>
      <c:valAx>
        <c:axId val="74816128"/>
        <c:scaling>
          <c:orientation val="minMax"/>
          <c:max val="45"/>
          <c:min val="28"/>
        </c:scaling>
        <c:axPos val="l"/>
        <c:majorGridlines/>
        <c:numFmt formatCode="General" sourceLinked="1"/>
        <c:tickLblPos val="nextTo"/>
        <c:crossAx val="7481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'2013'!$D$23:$D$38</c:f>
              <c:numCache>
                <c:formatCode>General</c:formatCode>
                <c:ptCount val="16"/>
                <c:pt idx="0">
                  <c:v>47.47</c:v>
                </c:pt>
                <c:pt idx="1">
                  <c:v>46.265765765765764</c:v>
                </c:pt>
                <c:pt idx="2">
                  <c:v>46.346846846846844</c:v>
                </c:pt>
                <c:pt idx="3">
                  <c:v>49.555045871559635</c:v>
                </c:pt>
                <c:pt idx="4">
                  <c:v>48.037383177570092</c:v>
                </c:pt>
                <c:pt idx="5">
                  <c:v>44.201834862385319</c:v>
                </c:pt>
                <c:pt idx="6">
                  <c:v>44.4</c:v>
                </c:pt>
                <c:pt idx="7">
                  <c:v>42.326271186440678</c:v>
                </c:pt>
                <c:pt idx="8">
                  <c:v>42.672268907563023</c:v>
                </c:pt>
                <c:pt idx="9">
                  <c:v>40.634453781512605</c:v>
                </c:pt>
                <c:pt idx="10">
                  <c:v>42.106481481481481</c:v>
                </c:pt>
                <c:pt idx="11">
                  <c:v>43.26605504587156</c:v>
                </c:pt>
                <c:pt idx="12">
                  <c:v>42.268181818181816</c:v>
                </c:pt>
                <c:pt idx="13">
                  <c:v>40.953703703703702</c:v>
                </c:pt>
                <c:pt idx="14">
                  <c:v>40.951327433628322</c:v>
                </c:pt>
                <c:pt idx="15">
                  <c:v>43.856115705893629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'2013'!$F$23:$F$38</c:f>
              <c:numCache>
                <c:formatCode>General</c:formatCode>
                <c:ptCount val="16"/>
                <c:pt idx="0">
                  <c:v>35.479999999999997</c:v>
                </c:pt>
                <c:pt idx="1">
                  <c:v>37.485401459854018</c:v>
                </c:pt>
                <c:pt idx="2">
                  <c:v>37.551094890510946</c:v>
                </c:pt>
                <c:pt idx="3">
                  <c:v>38.859712230215827</c:v>
                </c:pt>
                <c:pt idx="4">
                  <c:v>36.714285714285715</c:v>
                </c:pt>
                <c:pt idx="5">
                  <c:v>34.170212765957444</c:v>
                </c:pt>
                <c:pt idx="6">
                  <c:v>34.394366197183096</c:v>
                </c:pt>
                <c:pt idx="7">
                  <c:v>34.208904109589042</c:v>
                </c:pt>
                <c:pt idx="8">
                  <c:v>34.544217687074827</c:v>
                </c:pt>
                <c:pt idx="9">
                  <c:v>32.894557823129254</c:v>
                </c:pt>
                <c:pt idx="10">
                  <c:v>30.726351351351351</c:v>
                </c:pt>
                <c:pt idx="11">
                  <c:v>31.651006711409394</c:v>
                </c:pt>
                <c:pt idx="12">
                  <c:v>30.996666666666666</c:v>
                </c:pt>
                <c:pt idx="13">
                  <c:v>29.486666666666668</c:v>
                </c:pt>
                <c:pt idx="14">
                  <c:v>30.245098039215687</c:v>
                </c:pt>
                <c:pt idx="15">
                  <c:v>33.852038736650719</c:v>
                </c:pt>
              </c:numCache>
            </c:numRef>
          </c:val>
        </c:ser>
        <c:axId val="75062272"/>
        <c:axId val="75080448"/>
      </c:barChart>
      <c:catAx>
        <c:axId val="75062272"/>
        <c:scaling>
          <c:orientation val="minMax"/>
        </c:scaling>
        <c:axPos val="b"/>
        <c:tickLblPos val="nextTo"/>
        <c:crossAx val="75080448"/>
        <c:crosses val="autoZero"/>
        <c:auto val="1"/>
        <c:lblAlgn val="ctr"/>
        <c:lblOffset val="100"/>
      </c:catAx>
      <c:valAx>
        <c:axId val="75080448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506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'2013'!$D$3:$D$19</c:f>
              <c:numCache>
                <c:formatCode>General</c:formatCode>
                <c:ptCount val="17"/>
                <c:pt idx="0">
                  <c:v>47.25</c:v>
                </c:pt>
                <c:pt idx="1">
                  <c:v>42.231092436974791</c:v>
                </c:pt>
                <c:pt idx="2">
                  <c:v>41.710084033613448</c:v>
                </c:pt>
                <c:pt idx="3">
                  <c:v>41.287500000000001</c:v>
                </c:pt>
                <c:pt idx="4">
                  <c:v>42.170833333333334</c:v>
                </c:pt>
                <c:pt idx="5">
                  <c:v>43.087499999999999</c:v>
                </c:pt>
                <c:pt idx="6">
                  <c:v>42.25</c:v>
                </c:pt>
                <c:pt idx="7">
                  <c:v>44.114406779661017</c:v>
                </c:pt>
                <c:pt idx="8">
                  <c:v>44.238738738738739</c:v>
                </c:pt>
                <c:pt idx="9">
                  <c:v>46.344036697247709</c:v>
                </c:pt>
                <c:pt idx="10">
                  <c:v>45.940366972477065</c:v>
                </c:pt>
                <c:pt idx="11">
                  <c:v>46.377272727272725</c:v>
                </c:pt>
                <c:pt idx="12">
                  <c:v>45.245454545454542</c:v>
                </c:pt>
                <c:pt idx="13">
                  <c:v>45.363636363636367</c:v>
                </c:pt>
                <c:pt idx="14">
                  <c:v>46.809090909090912</c:v>
                </c:pt>
                <c:pt idx="15">
                  <c:v>45.263392857142854</c:v>
                </c:pt>
                <c:pt idx="16">
                  <c:v>44.162227092976231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'2013'!$F$3:$F$19</c:f>
              <c:numCache>
                <c:formatCode>General</c:formatCode>
                <c:ptCount val="17"/>
                <c:pt idx="0">
                  <c:v>36.479999999999997</c:v>
                </c:pt>
                <c:pt idx="1">
                  <c:v>35.143356643356647</c:v>
                </c:pt>
                <c:pt idx="2">
                  <c:v>34.709790209790206</c:v>
                </c:pt>
                <c:pt idx="3">
                  <c:v>34.646853146853147</c:v>
                </c:pt>
                <c:pt idx="4">
                  <c:v>35.388111888111887</c:v>
                </c:pt>
                <c:pt idx="5">
                  <c:v>36.15734265734266</c:v>
                </c:pt>
                <c:pt idx="6">
                  <c:v>35.610714285714288</c:v>
                </c:pt>
                <c:pt idx="7">
                  <c:v>37.182142857142857</c:v>
                </c:pt>
                <c:pt idx="8">
                  <c:v>34.826241134751776</c:v>
                </c:pt>
                <c:pt idx="9">
                  <c:v>35.826241134751776</c:v>
                </c:pt>
                <c:pt idx="10">
                  <c:v>35.51418439716312</c:v>
                </c:pt>
                <c:pt idx="11">
                  <c:v>36.180851063829785</c:v>
                </c:pt>
                <c:pt idx="12">
                  <c:v>35.297872340425535</c:v>
                </c:pt>
                <c:pt idx="13">
                  <c:v>35.390070921985817</c:v>
                </c:pt>
                <c:pt idx="14">
                  <c:v>36.5177304964539</c:v>
                </c:pt>
                <c:pt idx="15">
                  <c:v>35.953900709219859</c:v>
                </c:pt>
                <c:pt idx="16">
                  <c:v>35.623026925792892</c:v>
                </c:pt>
              </c:numCache>
            </c:numRef>
          </c:val>
        </c:ser>
        <c:axId val="74859264"/>
        <c:axId val="74860800"/>
      </c:barChart>
      <c:catAx>
        <c:axId val="74859264"/>
        <c:scaling>
          <c:orientation val="minMax"/>
        </c:scaling>
        <c:axPos val="b"/>
        <c:tickLblPos val="nextTo"/>
        <c:crossAx val="74860800"/>
        <c:crosses val="autoZero"/>
        <c:auto val="1"/>
        <c:lblAlgn val="ctr"/>
        <c:lblOffset val="100"/>
      </c:catAx>
      <c:valAx>
        <c:axId val="74860800"/>
        <c:scaling>
          <c:orientation val="minMax"/>
          <c:max val="51"/>
          <c:min val="30"/>
        </c:scaling>
        <c:axPos val="l"/>
        <c:majorGridlines/>
        <c:numFmt formatCode="General" sourceLinked="1"/>
        <c:tickLblPos val="nextTo"/>
        <c:crossAx val="7485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'2013'!$D$42:$D$59</c:f>
              <c:numCache>
                <c:formatCode>0.0000</c:formatCode>
                <c:ptCount val="18"/>
                <c:pt idx="0" formatCode="General">
                  <c:v>47.14</c:v>
                </c:pt>
                <c:pt idx="1">
                  <c:v>40.517699115044245</c:v>
                </c:pt>
                <c:pt idx="2" formatCode="General">
                  <c:v>39.267543859649123</c:v>
                </c:pt>
                <c:pt idx="3" formatCode="General">
                  <c:v>41.135964912280699</c:v>
                </c:pt>
                <c:pt idx="4" formatCode="General">
                  <c:v>42.377192982456137</c:v>
                </c:pt>
                <c:pt idx="5" formatCode="General">
                  <c:v>42.395652173913042</c:v>
                </c:pt>
                <c:pt idx="6" formatCode="General">
                  <c:v>41.466101694915253</c:v>
                </c:pt>
                <c:pt idx="7" formatCode="General">
                  <c:v>43.885964912280699</c:v>
                </c:pt>
                <c:pt idx="8" formatCode="General">
                  <c:v>41.952586206896555</c:v>
                </c:pt>
                <c:pt idx="9" formatCode="General">
                  <c:v>43.064102564102562</c:v>
                </c:pt>
                <c:pt idx="10" formatCode="General">
                  <c:v>43.847457627118644</c:v>
                </c:pt>
                <c:pt idx="11" formatCode="General">
                  <c:v>42.634453781512605</c:v>
                </c:pt>
                <c:pt idx="12" formatCode="General">
                  <c:v>42.122881355932201</c:v>
                </c:pt>
                <c:pt idx="13" formatCode="General">
                  <c:v>41.987804878048777</c:v>
                </c:pt>
                <c:pt idx="14" formatCode="General">
                  <c:v>42.491935483870968</c:v>
                </c:pt>
                <c:pt idx="15" formatCode="General">
                  <c:v>44.787999999999997</c:v>
                </c:pt>
                <c:pt idx="16" formatCode="General">
                  <c:v>43.94140625</c:v>
                </c:pt>
                <c:pt idx="17" formatCode="General">
                  <c:v>42.36729673737635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'2013'!$F$42:$F$59</c:f>
              <c:numCache>
                <c:formatCode>General</c:formatCode>
                <c:ptCount val="18"/>
                <c:pt idx="0">
                  <c:v>35.479999999999997</c:v>
                </c:pt>
                <c:pt idx="1">
                  <c:v>29.538709677419355</c:v>
                </c:pt>
                <c:pt idx="2">
                  <c:v>28.695512820512821</c:v>
                </c:pt>
                <c:pt idx="3">
                  <c:v>30.060897435897434</c:v>
                </c:pt>
                <c:pt idx="4">
                  <c:v>30.967948717948719</c:v>
                </c:pt>
                <c:pt idx="5">
                  <c:v>31.253205128205128</c:v>
                </c:pt>
                <c:pt idx="6">
                  <c:v>30.968354430379748</c:v>
                </c:pt>
                <c:pt idx="7">
                  <c:v>31.664556962025316</c:v>
                </c:pt>
                <c:pt idx="8">
                  <c:v>30.60691823899371</c:v>
                </c:pt>
                <c:pt idx="9">
                  <c:v>31.490625000000001</c:v>
                </c:pt>
                <c:pt idx="10">
                  <c:v>32.337499999999999</c:v>
                </c:pt>
                <c:pt idx="11">
                  <c:v>31.709375000000001</c:v>
                </c:pt>
                <c:pt idx="12">
                  <c:v>31.261006289308177</c:v>
                </c:pt>
                <c:pt idx="13">
                  <c:v>32.278125000000003</c:v>
                </c:pt>
                <c:pt idx="14">
                  <c:v>32.726708074534159</c:v>
                </c:pt>
                <c:pt idx="15">
                  <c:v>34.773291925465841</c:v>
                </c:pt>
                <c:pt idx="16">
                  <c:v>34.719135802469133</c:v>
                </c:pt>
                <c:pt idx="17">
                  <c:v>31.565741906447467</c:v>
                </c:pt>
              </c:numCache>
            </c:numRef>
          </c:val>
        </c:ser>
        <c:axId val="74873088"/>
        <c:axId val="74883072"/>
      </c:barChart>
      <c:catAx>
        <c:axId val="74873088"/>
        <c:scaling>
          <c:orientation val="minMax"/>
        </c:scaling>
        <c:axPos val="b"/>
        <c:tickLblPos val="nextTo"/>
        <c:crossAx val="74883072"/>
        <c:crosses val="autoZero"/>
        <c:auto val="1"/>
        <c:lblAlgn val="ctr"/>
        <c:lblOffset val="100"/>
      </c:catAx>
      <c:valAx>
        <c:axId val="74883072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487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v>Per Cow</c:v>
          </c:tx>
          <c:val>
            <c:numRef>
              <c:f>'2012'!$D$3:$D$239</c:f>
              <c:numCache>
                <c:formatCode>General</c:formatCode>
                <c:ptCount val="237"/>
                <c:pt idx="0">
                  <c:v>42.7</c:v>
                </c:pt>
                <c:pt idx="1">
                  <c:v>47.433035714285715</c:v>
                </c:pt>
                <c:pt idx="2">
                  <c:v>47.171171171171174</c:v>
                </c:pt>
                <c:pt idx="3">
                  <c:v>47.229729729729726</c:v>
                </c:pt>
                <c:pt idx="4">
                  <c:v>45.711711711711715</c:v>
                </c:pt>
                <c:pt idx="5">
                  <c:v>50.46078431372549</c:v>
                </c:pt>
                <c:pt idx="6">
                  <c:v>48.661764705882355</c:v>
                </c:pt>
                <c:pt idx="7">
                  <c:v>46.735294117647058</c:v>
                </c:pt>
                <c:pt idx="8">
                  <c:v>50.160194174757279</c:v>
                </c:pt>
                <c:pt idx="9">
                  <c:v>46.26442307692308</c:v>
                </c:pt>
                <c:pt idx="10">
                  <c:v>45.847619047619048</c:v>
                </c:pt>
                <c:pt idx="11">
                  <c:v>46.414285714285711</c:v>
                </c:pt>
                <c:pt idx="12">
                  <c:v>45.676190476190477</c:v>
                </c:pt>
                <c:pt idx="13">
                  <c:v>45.56666666666667</c:v>
                </c:pt>
                <c:pt idx="14">
                  <c:v>46.138095238095239</c:v>
                </c:pt>
                <c:pt idx="15">
                  <c:v>49.285714285714285</c:v>
                </c:pt>
                <c:pt idx="16">
                  <c:v>47.250445342960354</c:v>
                </c:pt>
                <c:pt idx="18">
                  <c:v>0</c:v>
                </c:pt>
                <c:pt idx="19">
                  <c:v>0</c:v>
                </c:pt>
                <c:pt idx="20">
                  <c:v>43.9</c:v>
                </c:pt>
                <c:pt idx="21">
                  <c:v>45.143518518518519</c:v>
                </c:pt>
                <c:pt idx="22">
                  <c:v>47.940366972477065</c:v>
                </c:pt>
                <c:pt idx="23">
                  <c:v>47.71844660194175</c:v>
                </c:pt>
                <c:pt idx="24">
                  <c:v>47.140776699029125</c:v>
                </c:pt>
                <c:pt idx="25">
                  <c:v>47.674757281553397</c:v>
                </c:pt>
                <c:pt idx="26">
                  <c:v>45.92307692307692</c:v>
                </c:pt>
                <c:pt idx="27">
                  <c:v>48.91346153846154</c:v>
                </c:pt>
                <c:pt idx="28">
                  <c:v>47.019047619047619</c:v>
                </c:pt>
                <c:pt idx="29">
                  <c:v>47.362745098039213</c:v>
                </c:pt>
                <c:pt idx="30">
                  <c:v>47.077669902912625</c:v>
                </c:pt>
                <c:pt idx="31">
                  <c:v>48.572815533980581</c:v>
                </c:pt>
                <c:pt idx="32">
                  <c:v>48.257281553398059</c:v>
                </c:pt>
                <c:pt idx="33">
                  <c:v>47.121359223300971</c:v>
                </c:pt>
                <c:pt idx="34">
                  <c:v>48.82692307692308</c:v>
                </c:pt>
                <c:pt idx="35">
                  <c:v>47.325471698113205</c:v>
                </c:pt>
                <c:pt idx="36">
                  <c:v>47.467847882718253</c:v>
                </c:pt>
                <c:pt idx="38">
                  <c:v>0</c:v>
                </c:pt>
                <c:pt idx="39">
                  <c:v>0</c:v>
                </c:pt>
                <c:pt idx="40">
                  <c:v>43.8</c:v>
                </c:pt>
                <c:pt idx="41">
                  <c:v>48.976635514018689</c:v>
                </c:pt>
                <c:pt idx="42">
                  <c:v>47.977064220183486</c:v>
                </c:pt>
                <c:pt idx="43">
                  <c:v>48.440366972477065</c:v>
                </c:pt>
                <c:pt idx="44">
                  <c:v>49.256880733944953</c:v>
                </c:pt>
                <c:pt idx="45">
                  <c:v>49.990990990990994</c:v>
                </c:pt>
                <c:pt idx="46">
                  <c:v>50.674999999999997</c:v>
                </c:pt>
                <c:pt idx="47">
                  <c:v>49.524509803921568</c:v>
                </c:pt>
                <c:pt idx="48">
                  <c:v>48.120370370370374</c:v>
                </c:pt>
                <c:pt idx="49">
                  <c:v>47.041666666666664</c:v>
                </c:pt>
                <c:pt idx="50">
                  <c:v>47.754629629629626</c:v>
                </c:pt>
                <c:pt idx="51">
                  <c:v>46.461165048543691</c:v>
                </c:pt>
                <c:pt idx="52">
                  <c:v>42.39903846153846</c:v>
                </c:pt>
                <c:pt idx="53">
                  <c:v>44.23557692307692</c:v>
                </c:pt>
                <c:pt idx="54">
                  <c:v>43.171296296296298</c:v>
                </c:pt>
                <c:pt idx="55">
                  <c:v>43.098214285714285</c:v>
                </c:pt>
                <c:pt idx="56">
                  <c:v>47.141560394491542</c:v>
                </c:pt>
                <c:pt idx="58">
                  <c:v>0</c:v>
                </c:pt>
                <c:pt idx="59">
                  <c:v>0</c:v>
                </c:pt>
                <c:pt idx="60">
                  <c:v>43.8</c:v>
                </c:pt>
                <c:pt idx="61">
                  <c:v>42.729729729729726</c:v>
                </c:pt>
                <c:pt idx="62">
                  <c:v>43.328828828828826</c:v>
                </c:pt>
                <c:pt idx="63">
                  <c:v>39.684684684684683</c:v>
                </c:pt>
                <c:pt idx="64">
                  <c:v>41.166666666666664</c:v>
                </c:pt>
                <c:pt idx="65">
                  <c:v>39.808035714285715</c:v>
                </c:pt>
                <c:pt idx="66">
                  <c:v>36.521929824561404</c:v>
                </c:pt>
                <c:pt idx="67">
                  <c:v>43.082608695652176</c:v>
                </c:pt>
                <c:pt idx="68">
                  <c:v>45.674796747967477</c:v>
                </c:pt>
                <c:pt idx="69">
                  <c:v>48.024000000000001</c:v>
                </c:pt>
                <c:pt idx="70">
                  <c:v>48.564102564102562</c:v>
                </c:pt>
                <c:pt idx="71">
                  <c:v>50.887500000000003</c:v>
                </c:pt>
                <c:pt idx="72">
                  <c:v>52.801652892561982</c:v>
                </c:pt>
                <c:pt idx="73">
                  <c:v>52.67622950819672</c:v>
                </c:pt>
                <c:pt idx="74">
                  <c:v>52.67622950819672</c:v>
                </c:pt>
                <c:pt idx="75">
                  <c:v>53.4</c:v>
                </c:pt>
                <c:pt idx="76">
                  <c:v>46.068466357695641</c:v>
                </c:pt>
                <c:pt idx="79">
                  <c:v>0</c:v>
                </c:pt>
                <c:pt idx="80">
                  <c:v>42.9</c:v>
                </c:pt>
                <c:pt idx="81">
                  <c:v>54.097560975609753</c:v>
                </c:pt>
                <c:pt idx="82">
                  <c:v>51.928961748633874</c:v>
                </c:pt>
                <c:pt idx="83">
                  <c:v>55.26229508196721</c:v>
                </c:pt>
                <c:pt idx="84">
                  <c:v>53.693548387096776</c:v>
                </c:pt>
                <c:pt idx="85">
                  <c:v>53.802419354838712</c:v>
                </c:pt>
                <c:pt idx="86">
                  <c:v>58.586363636363636</c:v>
                </c:pt>
                <c:pt idx="87">
                  <c:v>59.436363636363637</c:v>
                </c:pt>
                <c:pt idx="88">
                  <c:v>57.190265486725664</c:v>
                </c:pt>
                <c:pt idx="89">
                  <c:v>55.217391304347828</c:v>
                </c:pt>
                <c:pt idx="90">
                  <c:v>57.239130434782609</c:v>
                </c:pt>
                <c:pt idx="91">
                  <c:v>58.530172413793103</c:v>
                </c:pt>
                <c:pt idx="92">
                  <c:v>54.512711864406782</c:v>
                </c:pt>
                <c:pt idx="93">
                  <c:v>53.533333333333331</c:v>
                </c:pt>
                <c:pt idx="94">
                  <c:v>55.458333333333336</c:v>
                </c:pt>
                <c:pt idx="95">
                  <c:v>56.916666666666664</c:v>
                </c:pt>
                <c:pt idx="96">
                  <c:v>53.462809917355372</c:v>
                </c:pt>
                <c:pt idx="97">
                  <c:v>55.554270473476137</c:v>
                </c:pt>
                <c:pt idx="99">
                  <c:v>0</c:v>
                </c:pt>
                <c:pt idx="100">
                  <c:v>0</c:v>
                </c:pt>
                <c:pt idx="101">
                  <c:v>47.3</c:v>
                </c:pt>
                <c:pt idx="102">
                  <c:v>54.943089430894311</c:v>
                </c:pt>
                <c:pt idx="103">
                  <c:v>54.357723577235774</c:v>
                </c:pt>
                <c:pt idx="104">
                  <c:v>53.195999999999998</c:v>
                </c:pt>
                <c:pt idx="105">
                  <c:v>51.165354330708659</c:v>
                </c:pt>
                <c:pt idx="106">
                  <c:v>53.542635658914726</c:v>
                </c:pt>
                <c:pt idx="107">
                  <c:v>53.9</c:v>
                </c:pt>
                <c:pt idx="108">
                  <c:v>51.622950819672134</c:v>
                </c:pt>
                <c:pt idx="109">
                  <c:v>51.162601626016261</c:v>
                </c:pt>
                <c:pt idx="110">
                  <c:v>51.287999999999997</c:v>
                </c:pt>
                <c:pt idx="111">
                  <c:v>54.212000000000003</c:v>
                </c:pt>
                <c:pt idx="112">
                  <c:v>56.015999999999998</c:v>
                </c:pt>
                <c:pt idx="113">
                  <c:v>57.602564102564102</c:v>
                </c:pt>
                <c:pt idx="114">
                  <c:v>54.788135593220339</c:v>
                </c:pt>
                <c:pt idx="115">
                  <c:v>55.579831932773111</c:v>
                </c:pt>
                <c:pt idx="116">
                  <c:v>53.053719008264466</c:v>
                </c:pt>
                <c:pt idx="117">
                  <c:v>53.762040405350923</c:v>
                </c:pt>
                <c:pt idx="119">
                  <c:v>0</c:v>
                </c:pt>
                <c:pt idx="120">
                  <c:v>0</c:v>
                </c:pt>
                <c:pt idx="121">
                  <c:v>48.9</c:v>
                </c:pt>
                <c:pt idx="122">
                  <c:v>55.719008264462808</c:v>
                </c:pt>
                <c:pt idx="123">
                  <c:v>55.394308943089428</c:v>
                </c:pt>
                <c:pt idx="124">
                  <c:v>54.173387096774192</c:v>
                </c:pt>
                <c:pt idx="125">
                  <c:v>55.528225806451616</c:v>
                </c:pt>
                <c:pt idx="126">
                  <c:v>55.66935483870968</c:v>
                </c:pt>
                <c:pt idx="127">
                  <c:v>58.457264957264954</c:v>
                </c:pt>
                <c:pt idx="128">
                  <c:v>56.141025641025642</c:v>
                </c:pt>
                <c:pt idx="129">
                  <c:v>58.682203389830505</c:v>
                </c:pt>
                <c:pt idx="130">
                  <c:v>58.343220338983052</c:v>
                </c:pt>
                <c:pt idx="131">
                  <c:v>56.737288135593218</c:v>
                </c:pt>
                <c:pt idx="132">
                  <c:v>56.756302521008401</c:v>
                </c:pt>
                <c:pt idx="133">
                  <c:v>56.407563025210081</c:v>
                </c:pt>
                <c:pt idx="134">
                  <c:v>55.028925619834709</c:v>
                </c:pt>
                <c:pt idx="135">
                  <c:v>53.277777777777779</c:v>
                </c:pt>
                <c:pt idx="136">
                  <c:v>47.555555555555557</c:v>
                </c:pt>
                <c:pt idx="137">
                  <c:v>55.591427460771435</c:v>
                </c:pt>
                <c:pt idx="139">
                  <c:v>0</c:v>
                </c:pt>
                <c:pt idx="140">
                  <c:v>0</c:v>
                </c:pt>
                <c:pt idx="141">
                  <c:v>44.3</c:v>
                </c:pt>
                <c:pt idx="142">
                  <c:v>50.3984375</c:v>
                </c:pt>
                <c:pt idx="143">
                  <c:v>49.554263565891475</c:v>
                </c:pt>
                <c:pt idx="144">
                  <c:v>47.71153846153846</c:v>
                </c:pt>
                <c:pt idx="145">
                  <c:v>46.896946564885496</c:v>
                </c:pt>
                <c:pt idx="146">
                  <c:v>43.814814814814817</c:v>
                </c:pt>
                <c:pt idx="147">
                  <c:v>43.744360902255636</c:v>
                </c:pt>
                <c:pt idx="148">
                  <c:v>42.304511278195491</c:v>
                </c:pt>
                <c:pt idx="149">
                  <c:v>42.299242424242422</c:v>
                </c:pt>
                <c:pt idx="150">
                  <c:v>41.5</c:v>
                </c:pt>
                <c:pt idx="151">
                  <c:v>39.335820895522389</c:v>
                </c:pt>
                <c:pt idx="152">
                  <c:v>40.082089552238806</c:v>
                </c:pt>
                <c:pt idx="153">
                  <c:v>40.309701492537314</c:v>
                </c:pt>
                <c:pt idx="154">
                  <c:v>37.79457364341085</c:v>
                </c:pt>
                <c:pt idx="155">
                  <c:v>36.323076923076925</c:v>
                </c:pt>
                <c:pt idx="156">
                  <c:v>38.62977099236641</c:v>
                </c:pt>
                <c:pt idx="157">
                  <c:v>41.446969696969695</c:v>
                </c:pt>
                <c:pt idx="158">
                  <c:v>42.63413241924664</c:v>
                </c:pt>
                <c:pt idx="160">
                  <c:v>0</c:v>
                </c:pt>
                <c:pt idx="161">
                  <c:v>0</c:v>
                </c:pt>
                <c:pt idx="162">
                  <c:v>42.45</c:v>
                </c:pt>
                <c:pt idx="163">
                  <c:v>39.88148148148148</c:v>
                </c:pt>
                <c:pt idx="164">
                  <c:v>38.462962962962962</c:v>
                </c:pt>
                <c:pt idx="165">
                  <c:v>39.107407407407408</c:v>
                </c:pt>
                <c:pt idx="166">
                  <c:v>39.816000000000003</c:v>
                </c:pt>
                <c:pt idx="167">
                  <c:v>38.273809523809526</c:v>
                </c:pt>
                <c:pt idx="168">
                  <c:v>37.924603174603178</c:v>
                </c:pt>
                <c:pt idx="169">
                  <c:v>38.551587301587304</c:v>
                </c:pt>
                <c:pt idx="170">
                  <c:v>37.304000000000002</c:v>
                </c:pt>
                <c:pt idx="171">
                  <c:v>35.524000000000001</c:v>
                </c:pt>
                <c:pt idx="172">
                  <c:v>36.308</c:v>
                </c:pt>
                <c:pt idx="173">
                  <c:v>37.908000000000001</c:v>
                </c:pt>
                <c:pt idx="174">
                  <c:v>37.387096774193552</c:v>
                </c:pt>
                <c:pt idx="175">
                  <c:v>37.159999999999997</c:v>
                </c:pt>
                <c:pt idx="176">
                  <c:v>35.456000000000003</c:v>
                </c:pt>
                <c:pt idx="177">
                  <c:v>37.020000000000003</c:v>
                </c:pt>
                <c:pt idx="178">
                  <c:v>37.738996575069692</c:v>
                </c:pt>
                <c:pt idx="179">
                  <c:v>0</c:v>
                </c:pt>
                <c:pt idx="180">
                  <c:v>0</c:v>
                </c:pt>
                <c:pt idx="181">
                  <c:v>45.49</c:v>
                </c:pt>
                <c:pt idx="182">
                  <c:v>37.99596774193548</c:v>
                </c:pt>
                <c:pt idx="183">
                  <c:v>41.474193548387099</c:v>
                </c:pt>
                <c:pt idx="184">
                  <c:v>40.932539682539684</c:v>
                </c:pt>
                <c:pt idx="185">
                  <c:v>41.797619047619051</c:v>
                </c:pt>
                <c:pt idx="186">
                  <c:v>41.263565891472865</c:v>
                </c:pt>
                <c:pt idx="187">
                  <c:v>42.795833333333334</c:v>
                </c:pt>
                <c:pt idx="188">
                  <c:v>43.487603305785122</c:v>
                </c:pt>
                <c:pt idx="189">
                  <c:v>45.252066115702476</c:v>
                </c:pt>
                <c:pt idx="190">
                  <c:v>44.929752066115704</c:v>
                </c:pt>
                <c:pt idx="191">
                  <c:v>43.487603305785122</c:v>
                </c:pt>
                <c:pt idx="192">
                  <c:v>43.024590163934427</c:v>
                </c:pt>
                <c:pt idx="193">
                  <c:v>39.601626016260163</c:v>
                </c:pt>
                <c:pt idx="194">
                  <c:v>39.20967741935484</c:v>
                </c:pt>
                <c:pt idx="195">
                  <c:v>39.850806451612904</c:v>
                </c:pt>
                <c:pt idx="196">
                  <c:v>41.987288135593218</c:v>
                </c:pt>
                <c:pt idx="197">
                  <c:v>41.806048815028767</c:v>
                </c:pt>
                <c:pt idx="198">
                  <c:v>0</c:v>
                </c:pt>
                <c:pt idx="199">
                  <c:v>0</c:v>
                </c:pt>
                <c:pt idx="200">
                  <c:v>44.76</c:v>
                </c:pt>
                <c:pt idx="201">
                  <c:v>43.254464285714285</c:v>
                </c:pt>
                <c:pt idx="202">
                  <c:v>42.631818181818183</c:v>
                </c:pt>
                <c:pt idx="203">
                  <c:v>46.604545454545452</c:v>
                </c:pt>
                <c:pt idx="204">
                  <c:v>44.640909090909091</c:v>
                </c:pt>
                <c:pt idx="205">
                  <c:v>43.603603603603602</c:v>
                </c:pt>
                <c:pt idx="206">
                  <c:v>44.2</c:v>
                </c:pt>
                <c:pt idx="207">
                  <c:v>46.768181818181816</c:v>
                </c:pt>
                <c:pt idx="208">
                  <c:v>44.477477477477478</c:v>
                </c:pt>
                <c:pt idx="209">
                  <c:v>44.081081081081081</c:v>
                </c:pt>
                <c:pt idx="210">
                  <c:v>45.590090090090094</c:v>
                </c:pt>
                <c:pt idx="211">
                  <c:v>44.276785714285715</c:v>
                </c:pt>
                <c:pt idx="212">
                  <c:v>43.294642857142854</c:v>
                </c:pt>
                <c:pt idx="213">
                  <c:v>42.464285714285715</c:v>
                </c:pt>
                <c:pt idx="214">
                  <c:v>45.379464285714285</c:v>
                </c:pt>
                <c:pt idx="215">
                  <c:v>44.311403508771932</c:v>
                </c:pt>
                <c:pt idx="216">
                  <c:v>44.371916877574776</c:v>
                </c:pt>
                <c:pt idx="217">
                  <c:v>0</c:v>
                </c:pt>
                <c:pt idx="218">
                  <c:v>0</c:v>
                </c:pt>
                <c:pt idx="219">
                  <c:v>46.36</c:v>
                </c:pt>
                <c:pt idx="220">
                  <c:v>40.991452991452988</c:v>
                </c:pt>
                <c:pt idx="221">
                  <c:v>41.563025210084035</c:v>
                </c:pt>
                <c:pt idx="222">
                  <c:v>40.85</c:v>
                </c:pt>
                <c:pt idx="223">
                  <c:v>40.737499999999997</c:v>
                </c:pt>
                <c:pt idx="224">
                  <c:v>40.720338983050844</c:v>
                </c:pt>
                <c:pt idx="225">
                  <c:v>44.228813559322035</c:v>
                </c:pt>
                <c:pt idx="226">
                  <c:v>43.313043478260873</c:v>
                </c:pt>
                <c:pt idx="227">
                  <c:v>42.954545454545453</c:v>
                </c:pt>
                <c:pt idx="228">
                  <c:v>45.432432432432435</c:v>
                </c:pt>
                <c:pt idx="229">
                  <c:v>43.676991150442475</c:v>
                </c:pt>
                <c:pt idx="230">
                  <c:v>42.609649122807021</c:v>
                </c:pt>
                <c:pt idx="231">
                  <c:v>40.122807017543863</c:v>
                </c:pt>
                <c:pt idx="232">
                  <c:v>41.44736842105263</c:v>
                </c:pt>
                <c:pt idx="233">
                  <c:v>39.621739130434783</c:v>
                </c:pt>
                <c:pt idx="234">
                  <c:v>39.125</c:v>
                </c:pt>
                <c:pt idx="235">
                  <c:v>44.529914529914528</c:v>
                </c:pt>
                <c:pt idx="236">
                  <c:v>41.995288842583996</c:v>
                </c:pt>
              </c:numCache>
            </c:numRef>
          </c:val>
        </c:ser>
        <c:axId val="74898432"/>
        <c:axId val="74904320"/>
      </c:barChart>
      <c:catAx>
        <c:axId val="74898432"/>
        <c:scaling>
          <c:orientation val="minMax"/>
        </c:scaling>
        <c:axPos val="b"/>
        <c:tickLblPos val="nextTo"/>
        <c:crossAx val="74904320"/>
        <c:crosses val="autoZero"/>
        <c:auto val="1"/>
        <c:lblAlgn val="ctr"/>
        <c:lblOffset val="100"/>
      </c:catAx>
      <c:valAx>
        <c:axId val="74904320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4898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val>
            <c:numRef>
              <c:f>'2013'!$D$63:$D$79</c:f>
              <c:numCache>
                <c:formatCode>General</c:formatCode>
                <c:ptCount val="17"/>
                <c:pt idx="0">
                  <c:v>46.07</c:v>
                </c:pt>
                <c:pt idx="1">
                  <c:v>45.178030303030305</c:v>
                </c:pt>
                <c:pt idx="2">
                  <c:v>46.970149253731343</c:v>
                </c:pt>
                <c:pt idx="3">
                  <c:v>49.904411764705884</c:v>
                </c:pt>
                <c:pt idx="4">
                  <c:v>48.128676470588232</c:v>
                </c:pt>
                <c:pt idx="5">
                  <c:v>47.920289855072461</c:v>
                </c:pt>
                <c:pt idx="6">
                  <c:v>49.753623188405797</c:v>
                </c:pt>
                <c:pt idx="7">
                  <c:v>50.568840579710148</c:v>
                </c:pt>
                <c:pt idx="8">
                  <c:v>51.802158273381295</c:v>
                </c:pt>
                <c:pt idx="9">
                  <c:v>51.780141843971634</c:v>
                </c:pt>
                <c:pt idx="10">
                  <c:v>50.742957746478872</c:v>
                </c:pt>
                <c:pt idx="11">
                  <c:v>51.8986013986014</c:v>
                </c:pt>
                <c:pt idx="12">
                  <c:v>49.2112676056338</c:v>
                </c:pt>
                <c:pt idx="13">
                  <c:v>50.857638888888886</c:v>
                </c:pt>
                <c:pt idx="14">
                  <c:v>51.74125874125874</c:v>
                </c:pt>
                <c:pt idx="15">
                  <c:v>49.93706293706294</c:v>
                </c:pt>
                <c:pt idx="16">
                  <c:v>49.759673923368119</c:v>
                </c:pt>
              </c:numCache>
            </c:numRef>
          </c:val>
        </c:ser>
        <c:ser>
          <c:idx val="1"/>
          <c:order val="1"/>
          <c:val>
            <c:numRef>
              <c:f>'2013'!$F$63:$F$79</c:f>
              <c:numCache>
                <c:formatCode>General</c:formatCode>
                <c:ptCount val="17"/>
                <c:pt idx="0">
                  <c:v>36.75</c:v>
                </c:pt>
                <c:pt idx="1">
                  <c:v>36.362804878048777</c:v>
                </c:pt>
                <c:pt idx="2">
                  <c:v>38.145454545454548</c:v>
                </c:pt>
                <c:pt idx="3">
                  <c:v>40.885542168674696</c:v>
                </c:pt>
                <c:pt idx="4">
                  <c:v>39.430722891566262</c:v>
                </c:pt>
                <c:pt idx="5">
                  <c:v>39.598802395209582</c:v>
                </c:pt>
                <c:pt idx="6">
                  <c:v>41.113772455089823</c:v>
                </c:pt>
                <c:pt idx="7">
                  <c:v>41.787425149700596</c:v>
                </c:pt>
                <c:pt idx="8">
                  <c:v>42.860119047619051</c:v>
                </c:pt>
                <c:pt idx="9">
                  <c:v>42.94705882352941</c:v>
                </c:pt>
                <c:pt idx="10">
                  <c:v>42.385294117647057</c:v>
                </c:pt>
                <c:pt idx="11">
                  <c:v>43.655882352941177</c:v>
                </c:pt>
                <c:pt idx="12">
                  <c:v>40.865497076023395</c:v>
                </c:pt>
                <c:pt idx="13">
                  <c:v>42.827485380116961</c:v>
                </c:pt>
                <c:pt idx="14">
                  <c:v>43.781065088757394</c:v>
                </c:pt>
                <c:pt idx="15">
                  <c:v>42.254437869822482</c:v>
                </c:pt>
                <c:pt idx="16">
                  <c:v>41.260090949346747</c:v>
                </c:pt>
              </c:numCache>
            </c:numRef>
          </c:val>
        </c:ser>
        <c:axId val="75138176"/>
        <c:axId val="75139712"/>
      </c:barChart>
      <c:catAx>
        <c:axId val="75138176"/>
        <c:scaling>
          <c:orientation val="minMax"/>
        </c:scaling>
        <c:axPos val="b"/>
        <c:tickLblPos val="nextTo"/>
        <c:crossAx val="75139712"/>
        <c:crosses val="autoZero"/>
        <c:auto val="1"/>
        <c:lblAlgn val="ctr"/>
        <c:lblOffset val="100"/>
      </c:catAx>
      <c:valAx>
        <c:axId val="75139712"/>
        <c:scaling>
          <c:orientation val="minMax"/>
          <c:max val="50"/>
          <c:min val="28"/>
        </c:scaling>
        <c:axPos val="l"/>
        <c:majorGridlines/>
        <c:numFmt formatCode="General" sourceLinked="1"/>
        <c:tickLblPos val="nextTo"/>
        <c:crossAx val="7513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'2013'!$D$103:$D$119</c:f>
              <c:numCache>
                <c:formatCode>General</c:formatCode>
                <c:ptCount val="17"/>
                <c:pt idx="0">
                  <c:v>53.76</c:v>
                </c:pt>
                <c:pt idx="1">
                  <c:v>48.992957746478872</c:v>
                </c:pt>
                <c:pt idx="2">
                  <c:v>46.751748251748253</c:v>
                </c:pt>
                <c:pt idx="3">
                  <c:v>46.456521739130437</c:v>
                </c:pt>
                <c:pt idx="4">
                  <c:v>47.336956521739133</c:v>
                </c:pt>
                <c:pt idx="5">
                  <c:v>48.086956521739133</c:v>
                </c:pt>
                <c:pt idx="6">
                  <c:v>50.265957446808514</c:v>
                </c:pt>
                <c:pt idx="7">
                  <c:v>49.119718309859152</c:v>
                </c:pt>
                <c:pt idx="8">
                  <c:v>46.82167832167832</c:v>
                </c:pt>
                <c:pt idx="9">
                  <c:v>48.996527777777779</c:v>
                </c:pt>
                <c:pt idx="10">
                  <c:v>49.1875</c:v>
                </c:pt>
                <c:pt idx="11">
                  <c:v>47.164335664335667</c:v>
                </c:pt>
                <c:pt idx="12">
                  <c:v>45.175862068965515</c:v>
                </c:pt>
                <c:pt idx="13">
                  <c:v>46.3</c:v>
                </c:pt>
                <c:pt idx="14">
                  <c:v>45.948630136986303</c:v>
                </c:pt>
                <c:pt idx="15">
                  <c:v>43.260273972602739</c:v>
                </c:pt>
                <c:pt idx="16">
                  <c:v>47.324374965323308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'2013'!$F$103:$F$119</c:f>
              <c:numCache>
                <c:formatCode>General</c:formatCode>
                <c:ptCount val="17"/>
                <c:pt idx="0">
                  <c:v>42.31</c:v>
                </c:pt>
                <c:pt idx="1">
                  <c:v>40.213872832369944</c:v>
                </c:pt>
                <c:pt idx="2">
                  <c:v>38.644508670520231</c:v>
                </c:pt>
                <c:pt idx="3">
                  <c:v>37.057803468208093</c:v>
                </c:pt>
                <c:pt idx="4">
                  <c:v>37.760115606936417</c:v>
                </c:pt>
                <c:pt idx="5">
                  <c:v>38.358381502890175</c:v>
                </c:pt>
                <c:pt idx="6">
                  <c:v>40.968208092485547</c:v>
                </c:pt>
                <c:pt idx="7">
                  <c:v>40.086206896551722</c:v>
                </c:pt>
                <c:pt idx="8">
                  <c:v>38.479885057471265</c:v>
                </c:pt>
                <c:pt idx="9">
                  <c:v>40.548850574712645</c:v>
                </c:pt>
                <c:pt idx="10">
                  <c:v>40.706896551724135</c:v>
                </c:pt>
                <c:pt idx="11">
                  <c:v>38.98554913294798</c:v>
                </c:pt>
                <c:pt idx="12">
                  <c:v>37.864161849710982</c:v>
                </c:pt>
                <c:pt idx="13">
                  <c:v>38.806358381502889</c:v>
                </c:pt>
                <c:pt idx="14">
                  <c:v>38.777456647398843</c:v>
                </c:pt>
                <c:pt idx="15">
                  <c:v>36.508670520231213</c:v>
                </c:pt>
                <c:pt idx="16">
                  <c:v>38.917795052377478</c:v>
                </c:pt>
              </c:numCache>
            </c:numRef>
          </c:val>
        </c:ser>
        <c:axId val="75172480"/>
        <c:axId val="75178368"/>
      </c:barChart>
      <c:catAx>
        <c:axId val="75172480"/>
        <c:scaling>
          <c:orientation val="minMax"/>
        </c:scaling>
        <c:axPos val="b"/>
        <c:tickLblPos val="nextTo"/>
        <c:crossAx val="75178368"/>
        <c:crosses val="autoZero"/>
        <c:auto val="1"/>
        <c:lblAlgn val="ctr"/>
        <c:lblOffset val="100"/>
      </c:catAx>
      <c:valAx>
        <c:axId val="75178368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5172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'2013'!$D$83:$D$99</c:f>
              <c:numCache>
                <c:formatCode>General</c:formatCode>
                <c:ptCount val="17"/>
                <c:pt idx="0">
                  <c:v>55.55</c:v>
                </c:pt>
                <c:pt idx="1">
                  <c:v>50.551724137931032</c:v>
                </c:pt>
                <c:pt idx="2">
                  <c:v>55.105072463768117</c:v>
                </c:pt>
                <c:pt idx="3">
                  <c:v>53.904929577464792</c:v>
                </c:pt>
                <c:pt idx="4">
                  <c:v>52.977099236641223</c:v>
                </c:pt>
                <c:pt idx="5">
                  <c:v>53.450757575757578</c:v>
                </c:pt>
                <c:pt idx="6">
                  <c:v>54.9</c:v>
                </c:pt>
                <c:pt idx="7">
                  <c:v>55.042307692307695</c:v>
                </c:pt>
                <c:pt idx="8">
                  <c:v>55.613636363636367</c:v>
                </c:pt>
                <c:pt idx="9">
                  <c:v>54.169172932330824</c:v>
                </c:pt>
                <c:pt idx="10">
                  <c:v>54.63703703703704</c:v>
                </c:pt>
                <c:pt idx="11">
                  <c:v>51.456521739130437</c:v>
                </c:pt>
                <c:pt idx="12">
                  <c:v>46.847826086956523</c:v>
                </c:pt>
                <c:pt idx="13">
                  <c:v>45.95289855072464</c:v>
                </c:pt>
                <c:pt idx="14">
                  <c:v>47.517985611510788</c:v>
                </c:pt>
                <c:pt idx="15">
                  <c:v>46.648936170212764</c:v>
                </c:pt>
                <c:pt idx="16">
                  <c:v>51.918393678360644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'2013'!$F$83:$F$99</c:f>
              <c:numCache>
                <c:formatCode>General</c:formatCode>
                <c:ptCount val="17"/>
                <c:pt idx="0">
                  <c:v>42.4</c:v>
                </c:pt>
                <c:pt idx="1">
                  <c:v>43.117647058823529</c:v>
                </c:pt>
                <c:pt idx="2">
                  <c:v>44.732352941176472</c:v>
                </c:pt>
                <c:pt idx="3">
                  <c:v>44.24566473988439</c:v>
                </c:pt>
                <c:pt idx="4">
                  <c:v>39.885057471264368</c:v>
                </c:pt>
                <c:pt idx="5">
                  <c:v>40.548850574712645</c:v>
                </c:pt>
                <c:pt idx="6">
                  <c:v>41.494186046511629</c:v>
                </c:pt>
                <c:pt idx="7">
                  <c:v>41.60174418604651</c:v>
                </c:pt>
                <c:pt idx="8">
                  <c:v>42.433526011560694</c:v>
                </c:pt>
                <c:pt idx="9">
                  <c:v>41.644508670520231</c:v>
                </c:pt>
                <c:pt idx="10">
                  <c:v>42.635838150289018</c:v>
                </c:pt>
                <c:pt idx="11">
                  <c:v>41.046242774566473</c:v>
                </c:pt>
                <c:pt idx="12">
                  <c:v>37.369942196531795</c:v>
                </c:pt>
                <c:pt idx="13">
                  <c:v>36.656069364161851</c:v>
                </c:pt>
                <c:pt idx="14">
                  <c:v>38.179190751445084</c:v>
                </c:pt>
                <c:pt idx="15">
                  <c:v>38.020231213872833</c:v>
                </c:pt>
                <c:pt idx="16">
                  <c:v>40.907403476757828</c:v>
                </c:pt>
              </c:numCache>
            </c:numRef>
          </c:val>
        </c:ser>
        <c:axId val="75198848"/>
        <c:axId val="75200384"/>
      </c:barChart>
      <c:catAx>
        <c:axId val="75198848"/>
        <c:scaling>
          <c:orientation val="minMax"/>
        </c:scaling>
        <c:axPos val="b"/>
        <c:tickLblPos val="nextTo"/>
        <c:crossAx val="75200384"/>
        <c:crosses val="autoZero"/>
        <c:auto val="1"/>
        <c:lblAlgn val="ctr"/>
        <c:lblOffset val="100"/>
      </c:catAx>
      <c:valAx>
        <c:axId val="75200384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519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'2013'!$D$123:$D$140</c:f>
              <c:numCache>
                <c:formatCode>General</c:formatCode>
                <c:ptCount val="18"/>
                <c:pt idx="0">
                  <c:v>55.59</c:v>
                </c:pt>
                <c:pt idx="1">
                  <c:v>42.96875</c:v>
                </c:pt>
                <c:pt idx="2">
                  <c:v>37.700000000000003</c:v>
                </c:pt>
                <c:pt idx="3">
                  <c:v>43.707407407407409</c:v>
                </c:pt>
                <c:pt idx="4">
                  <c:v>41.137323943661968</c:v>
                </c:pt>
                <c:pt idx="5">
                  <c:v>42.640845070422536</c:v>
                </c:pt>
                <c:pt idx="6">
                  <c:v>43.427083333333336</c:v>
                </c:pt>
                <c:pt idx="7">
                  <c:v>44.060283687943262</c:v>
                </c:pt>
                <c:pt idx="8">
                  <c:v>46.953900709219859</c:v>
                </c:pt>
                <c:pt idx="9">
                  <c:v>45.833333333333336</c:v>
                </c:pt>
                <c:pt idx="10">
                  <c:v>45.770833333333336</c:v>
                </c:pt>
                <c:pt idx="11">
                  <c:v>45.051369863013697</c:v>
                </c:pt>
                <c:pt idx="12">
                  <c:v>43.106164383561641</c:v>
                </c:pt>
                <c:pt idx="13">
                  <c:v>42.844827586206897</c:v>
                </c:pt>
                <c:pt idx="14">
                  <c:v>41.557823129251702</c:v>
                </c:pt>
                <c:pt idx="15">
                  <c:v>39.333333333333336</c:v>
                </c:pt>
                <c:pt idx="16">
                  <c:v>39.7687074829932</c:v>
                </c:pt>
                <c:pt idx="17">
                  <c:v>42.86637416231347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'2013'!$F$123:$F$140</c:f>
              <c:numCache>
                <c:formatCode>General</c:formatCode>
                <c:ptCount val="18"/>
                <c:pt idx="0">
                  <c:v>44.98</c:v>
                </c:pt>
                <c:pt idx="1">
                  <c:v>37.960122699386503</c:v>
                </c:pt>
                <c:pt idx="2">
                  <c:v>31.223926380368098</c:v>
                </c:pt>
                <c:pt idx="3">
                  <c:v>36.199386503067487</c:v>
                </c:pt>
                <c:pt idx="4">
                  <c:v>35.403030303030306</c:v>
                </c:pt>
                <c:pt idx="5">
                  <c:v>37.147239263803684</c:v>
                </c:pt>
                <c:pt idx="6">
                  <c:v>38.365030674846629</c:v>
                </c:pt>
                <c:pt idx="7">
                  <c:v>38.113496932515339</c:v>
                </c:pt>
                <c:pt idx="8">
                  <c:v>40.616564417177912</c:v>
                </c:pt>
                <c:pt idx="9">
                  <c:v>40.243902439024389</c:v>
                </c:pt>
                <c:pt idx="10">
                  <c:v>40.435582822085891</c:v>
                </c:pt>
                <c:pt idx="11">
                  <c:v>40.106707317073173</c:v>
                </c:pt>
                <c:pt idx="12">
                  <c:v>38.375</c:v>
                </c:pt>
                <c:pt idx="13">
                  <c:v>38.113496932515339</c:v>
                </c:pt>
                <c:pt idx="14">
                  <c:v>37.478527607361961</c:v>
                </c:pt>
                <c:pt idx="15">
                  <c:v>35.472392638036808</c:v>
                </c:pt>
                <c:pt idx="16">
                  <c:v>35.865030674846629</c:v>
                </c:pt>
                <c:pt idx="17">
                  <c:v>37.569964850321256</c:v>
                </c:pt>
              </c:numCache>
            </c:numRef>
          </c:val>
        </c:ser>
        <c:axId val="75229056"/>
        <c:axId val="75230592"/>
      </c:barChart>
      <c:catAx>
        <c:axId val="75229056"/>
        <c:scaling>
          <c:orientation val="minMax"/>
        </c:scaling>
        <c:axPos val="b"/>
        <c:tickLblPos val="nextTo"/>
        <c:crossAx val="75230592"/>
        <c:crosses val="autoZero"/>
        <c:auto val="1"/>
        <c:lblAlgn val="ctr"/>
        <c:lblOffset val="100"/>
      </c:catAx>
      <c:valAx>
        <c:axId val="75230592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522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'2011'!$D$59:$D$76</c:f>
              <c:numCache>
                <c:formatCode>General</c:formatCode>
                <c:ptCount val="18"/>
                <c:pt idx="0">
                  <c:v>40.700000000000003</c:v>
                </c:pt>
                <c:pt idx="1">
                  <c:v>44.46</c:v>
                </c:pt>
                <c:pt idx="2">
                  <c:v>45.356000000000002</c:v>
                </c:pt>
                <c:pt idx="3">
                  <c:v>44.359375</c:v>
                </c:pt>
                <c:pt idx="4">
                  <c:v>44.902439024390247</c:v>
                </c:pt>
                <c:pt idx="5">
                  <c:v>46.760683760683762</c:v>
                </c:pt>
                <c:pt idx="6">
                  <c:v>43.064102564102562</c:v>
                </c:pt>
                <c:pt idx="7">
                  <c:v>47.456140350877192</c:v>
                </c:pt>
                <c:pt idx="8">
                  <c:v>46.732456140350877</c:v>
                </c:pt>
                <c:pt idx="9">
                  <c:v>46.517857142857146</c:v>
                </c:pt>
                <c:pt idx="10">
                  <c:v>48.504504504504503</c:v>
                </c:pt>
                <c:pt idx="11">
                  <c:v>46.4375</c:v>
                </c:pt>
                <c:pt idx="12">
                  <c:v>48.151785714285715</c:v>
                </c:pt>
                <c:pt idx="13">
                  <c:v>46.026548672566371</c:v>
                </c:pt>
                <c:pt idx="14">
                  <c:v>48.415929203539825</c:v>
                </c:pt>
                <c:pt idx="15">
                  <c:v>48.151785714285715</c:v>
                </c:pt>
                <c:pt idx="16">
                  <c:v>46.517857142857146</c:v>
                </c:pt>
                <c:pt idx="17">
                  <c:v>46.36343530845631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'2011'!$F$59:$F$76</c:f>
              <c:numCache>
                <c:formatCode>General</c:formatCode>
                <c:ptCount val="18"/>
                <c:pt idx="0">
                  <c:v>34</c:v>
                </c:pt>
                <c:pt idx="1">
                  <c:v>39.137323943661968</c:v>
                </c:pt>
                <c:pt idx="2">
                  <c:v>39.926056338028168</c:v>
                </c:pt>
                <c:pt idx="3">
                  <c:v>40.557142857142857</c:v>
                </c:pt>
                <c:pt idx="4">
                  <c:v>39.450000000000003</c:v>
                </c:pt>
                <c:pt idx="5">
                  <c:v>39.078571428571429</c:v>
                </c:pt>
                <c:pt idx="6">
                  <c:v>35.989285714285714</c:v>
                </c:pt>
                <c:pt idx="7">
                  <c:v>38.642857142857146</c:v>
                </c:pt>
                <c:pt idx="8">
                  <c:v>38.053571428571431</c:v>
                </c:pt>
                <c:pt idx="9">
                  <c:v>37.753623188405797</c:v>
                </c:pt>
                <c:pt idx="10">
                  <c:v>39.014492753623188</c:v>
                </c:pt>
                <c:pt idx="11">
                  <c:v>37.688405797101453</c:v>
                </c:pt>
                <c:pt idx="12">
                  <c:v>39.079710144927539</c:v>
                </c:pt>
                <c:pt idx="13">
                  <c:v>37.688405797101453</c:v>
                </c:pt>
                <c:pt idx="14">
                  <c:v>39.644927536231883</c:v>
                </c:pt>
                <c:pt idx="15">
                  <c:v>39.079710144927539</c:v>
                </c:pt>
                <c:pt idx="16">
                  <c:v>37.753623188405797</c:v>
                </c:pt>
                <c:pt idx="17">
                  <c:v>38.658606712740209</c:v>
                </c:pt>
              </c:numCache>
            </c:numRef>
          </c:val>
        </c:ser>
        <c:axId val="73639040"/>
        <c:axId val="73640576"/>
      </c:barChart>
      <c:catAx>
        <c:axId val="73639040"/>
        <c:scaling>
          <c:orientation val="minMax"/>
        </c:scaling>
        <c:axPos val="b"/>
        <c:tickLblPos val="nextTo"/>
        <c:crossAx val="73640576"/>
        <c:crosses val="autoZero"/>
        <c:auto val="1"/>
        <c:lblAlgn val="ctr"/>
        <c:lblOffset val="100"/>
      </c:catAx>
      <c:valAx>
        <c:axId val="7364057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3639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22"/>
          <c:y val="0.41450150143335834"/>
          <c:w val="0.16666552550496408"/>
          <c:h val="0.12962661925323732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Milk cows</c:v>
          </c:tx>
          <c:val>
            <c:numRef>
              <c:f>'2013'!$D$144:$D$161</c:f>
              <c:numCache>
                <c:formatCode>General</c:formatCode>
                <c:ptCount val="18"/>
                <c:pt idx="0">
                  <c:v>42.63</c:v>
                </c:pt>
                <c:pt idx="1">
                  <c:v>36.819727891156461</c:v>
                </c:pt>
                <c:pt idx="2">
                  <c:v>34.173469387755105</c:v>
                </c:pt>
                <c:pt idx="3">
                  <c:v>34.624113475177303</c:v>
                </c:pt>
                <c:pt idx="4">
                  <c:v>31.583916083916083</c:v>
                </c:pt>
                <c:pt idx="5">
                  <c:v>30.86013986013986</c:v>
                </c:pt>
                <c:pt idx="6">
                  <c:v>32.930069930069934</c:v>
                </c:pt>
                <c:pt idx="7">
                  <c:v>29.83450704225352</c:v>
                </c:pt>
                <c:pt idx="8">
                  <c:v>32.62676056338028</c:v>
                </c:pt>
                <c:pt idx="9">
                  <c:v>34.16549295774648</c:v>
                </c:pt>
                <c:pt idx="10">
                  <c:v>35.964788732394368</c:v>
                </c:pt>
                <c:pt idx="11">
                  <c:v>34.638888888888886</c:v>
                </c:pt>
                <c:pt idx="12">
                  <c:v>34.375</c:v>
                </c:pt>
                <c:pt idx="13">
                  <c:v>33.902777777777779</c:v>
                </c:pt>
                <c:pt idx="14">
                  <c:v>34.621527777777779</c:v>
                </c:pt>
                <c:pt idx="15">
                  <c:v>36.604166666666664</c:v>
                </c:pt>
                <c:pt idx="16">
                  <c:v>34.810344827586206</c:v>
                </c:pt>
                <c:pt idx="17">
                  <c:v>36.169046124179111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'2013'!$F$144:$F$161</c:f>
              <c:numCache>
                <c:formatCode>General</c:formatCode>
                <c:ptCount val="18"/>
                <c:pt idx="0">
                  <c:v>37.68</c:v>
                </c:pt>
                <c:pt idx="1">
                  <c:v>33.618012422360252</c:v>
                </c:pt>
                <c:pt idx="2">
                  <c:v>31.201863354037268</c:v>
                </c:pt>
                <c:pt idx="3">
                  <c:v>30.322981366459626</c:v>
                </c:pt>
                <c:pt idx="4">
                  <c:v>27.87962962962963</c:v>
                </c:pt>
                <c:pt idx="5">
                  <c:v>27.24074074074074</c:v>
                </c:pt>
                <c:pt idx="6">
                  <c:v>29.067901234567902</c:v>
                </c:pt>
                <c:pt idx="7">
                  <c:v>26.151234567901234</c:v>
                </c:pt>
                <c:pt idx="8">
                  <c:v>28.598765432098766</c:v>
                </c:pt>
                <c:pt idx="9">
                  <c:v>29.947530864197532</c:v>
                </c:pt>
                <c:pt idx="10">
                  <c:v>31.52469135802469</c:v>
                </c:pt>
                <c:pt idx="11">
                  <c:v>30.790123456790123</c:v>
                </c:pt>
                <c:pt idx="12">
                  <c:v>30.555555555555557</c:v>
                </c:pt>
                <c:pt idx="13">
                  <c:v>30.135802469135804</c:v>
                </c:pt>
                <c:pt idx="14">
                  <c:v>30.77469135802469</c:v>
                </c:pt>
                <c:pt idx="15">
                  <c:v>32.537037037037038</c:v>
                </c:pt>
                <c:pt idx="16">
                  <c:v>30.966257668711656</c:v>
                </c:pt>
                <c:pt idx="17">
                  <c:v>32.087521234351506</c:v>
                </c:pt>
              </c:numCache>
            </c:numRef>
          </c:val>
        </c:ser>
        <c:axId val="75263360"/>
        <c:axId val="75265152"/>
      </c:barChart>
      <c:catAx>
        <c:axId val="75263360"/>
        <c:scaling>
          <c:orientation val="minMax"/>
        </c:scaling>
        <c:axPos val="b"/>
        <c:tickLblPos val="nextTo"/>
        <c:crossAx val="75265152"/>
        <c:crosses val="autoZero"/>
        <c:auto val="1"/>
        <c:lblAlgn val="ctr"/>
        <c:lblOffset val="100"/>
      </c:catAx>
      <c:valAx>
        <c:axId val="75265152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526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376393168245764E-2"/>
          <c:y val="4.6503437790737324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val>
            <c:numRef>
              <c:f>'2013'!$D$165:$D$181</c:f>
              <c:numCache>
                <c:formatCode>General</c:formatCode>
                <c:ptCount val="17"/>
                <c:pt idx="0">
                  <c:v>37.74</c:v>
                </c:pt>
                <c:pt idx="1">
                  <c:v>35.355172413793106</c:v>
                </c:pt>
                <c:pt idx="2">
                  <c:v>35.849264705882355</c:v>
                </c:pt>
                <c:pt idx="3">
                  <c:v>37.535714285714285</c:v>
                </c:pt>
                <c:pt idx="4">
                  <c:v>39.27642276422764</c:v>
                </c:pt>
                <c:pt idx="5">
                  <c:v>41.788617886178862</c:v>
                </c:pt>
                <c:pt idx="6">
                  <c:v>42.638211382113823</c:v>
                </c:pt>
                <c:pt idx="7">
                  <c:v>40.766129032258064</c:v>
                </c:pt>
                <c:pt idx="8">
                  <c:v>44.33467741935484</c:v>
                </c:pt>
                <c:pt idx="9">
                  <c:v>41.74596774193548</c:v>
                </c:pt>
                <c:pt idx="10">
                  <c:v>42.246031746031747</c:v>
                </c:pt>
                <c:pt idx="11">
                  <c:v>41.797619047619051</c:v>
                </c:pt>
                <c:pt idx="12">
                  <c:v>42.051181102362207</c:v>
                </c:pt>
                <c:pt idx="13">
                  <c:v>38.598425196850393</c:v>
                </c:pt>
                <c:pt idx="14">
                  <c:v>38.49212598425197</c:v>
                </c:pt>
                <c:pt idx="15">
                  <c:v>34.122047244094489</c:v>
                </c:pt>
                <c:pt idx="16">
                  <c:v>39.773173863511218</c:v>
                </c:pt>
              </c:numCache>
            </c:numRef>
          </c:val>
        </c:ser>
        <c:ser>
          <c:idx val="1"/>
          <c:order val="1"/>
          <c:val>
            <c:numRef>
              <c:f>'2013'!$F$165:$F$181</c:f>
              <c:numCache>
                <c:formatCode>General</c:formatCode>
                <c:ptCount val="17"/>
                <c:pt idx="0">
                  <c:v>32.81</c:v>
                </c:pt>
                <c:pt idx="1">
                  <c:v>31.450920245398773</c:v>
                </c:pt>
                <c:pt idx="2">
                  <c:v>29.911042944785276</c:v>
                </c:pt>
                <c:pt idx="3">
                  <c:v>29.375776397515526</c:v>
                </c:pt>
                <c:pt idx="4">
                  <c:v>30.575949367088608</c:v>
                </c:pt>
                <c:pt idx="5">
                  <c:v>32.531645569620252</c:v>
                </c:pt>
                <c:pt idx="6">
                  <c:v>33.193037974683541</c:v>
                </c:pt>
                <c:pt idx="7">
                  <c:v>31.99367088607595</c:v>
                </c:pt>
                <c:pt idx="8">
                  <c:v>34.794303797468352</c:v>
                </c:pt>
                <c:pt idx="9">
                  <c:v>32.7626582278481</c:v>
                </c:pt>
                <c:pt idx="10">
                  <c:v>33.689873417721522</c:v>
                </c:pt>
                <c:pt idx="11">
                  <c:v>33.332278481012658</c:v>
                </c:pt>
                <c:pt idx="12">
                  <c:v>33.588050314465406</c:v>
                </c:pt>
                <c:pt idx="13">
                  <c:v>30.830188679245282</c:v>
                </c:pt>
                <c:pt idx="14">
                  <c:v>30.745283018867923</c:v>
                </c:pt>
                <c:pt idx="15">
                  <c:v>27.254716981132077</c:v>
                </c:pt>
                <c:pt idx="16">
                  <c:v>31.735293086861951</c:v>
                </c:pt>
              </c:numCache>
            </c:numRef>
          </c:val>
        </c:ser>
        <c:axId val="75302400"/>
        <c:axId val="75303936"/>
      </c:barChart>
      <c:catAx>
        <c:axId val="75302400"/>
        <c:scaling>
          <c:orientation val="minMax"/>
        </c:scaling>
        <c:axPos val="b"/>
        <c:tickLblPos val="nextTo"/>
        <c:crossAx val="75303936"/>
        <c:crosses val="autoZero"/>
        <c:auto val="1"/>
        <c:lblAlgn val="ctr"/>
        <c:lblOffset val="100"/>
      </c:catAx>
      <c:valAx>
        <c:axId val="7530393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530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22"/>
          <c:y val="0.41450150143335834"/>
          <c:w val="0.16666552550496408"/>
          <c:h val="0.13896571285938067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'2013'!$D$184:$D$200</c:f>
              <c:numCache>
                <c:formatCode>General</c:formatCode>
                <c:ptCount val="17"/>
                <c:pt idx="0">
                  <c:v>41.81</c:v>
                </c:pt>
                <c:pt idx="1">
                  <c:v>34.874015748031496</c:v>
                </c:pt>
                <c:pt idx="2">
                  <c:v>34.19291338582677</c:v>
                </c:pt>
                <c:pt idx="3">
                  <c:v>33.045801526717554</c:v>
                </c:pt>
                <c:pt idx="4">
                  <c:v>36.174796747967477</c:v>
                </c:pt>
                <c:pt idx="5">
                  <c:v>34.897435897435898</c:v>
                </c:pt>
                <c:pt idx="6">
                  <c:v>35.662393162393165</c:v>
                </c:pt>
                <c:pt idx="7">
                  <c:v>36.311965811965813</c:v>
                </c:pt>
                <c:pt idx="8">
                  <c:v>35.353448275862071</c:v>
                </c:pt>
                <c:pt idx="9">
                  <c:v>36.741379310344826</c:v>
                </c:pt>
                <c:pt idx="10">
                  <c:v>35.663793103448278</c:v>
                </c:pt>
                <c:pt idx="11">
                  <c:v>36.086206896551722</c:v>
                </c:pt>
                <c:pt idx="12">
                  <c:v>33.724137931034484</c:v>
                </c:pt>
                <c:pt idx="13">
                  <c:v>32.176724137931032</c:v>
                </c:pt>
                <c:pt idx="14">
                  <c:v>35.128205128205131</c:v>
                </c:pt>
                <c:pt idx="15">
                  <c:v>36.648305084745765</c:v>
                </c:pt>
                <c:pt idx="16">
                  <c:v>35.112101476564099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'2013'!$F$184:$F$200</c:f>
              <c:numCache>
                <c:formatCode>General</c:formatCode>
                <c:ptCount val="17"/>
                <c:pt idx="0">
                  <c:v>35.26</c:v>
                </c:pt>
                <c:pt idx="1">
                  <c:v>28.210191082802549</c:v>
                </c:pt>
                <c:pt idx="2">
                  <c:v>27.659235668789808</c:v>
                </c:pt>
                <c:pt idx="3">
                  <c:v>27.573248407643312</c:v>
                </c:pt>
                <c:pt idx="4">
                  <c:v>28.340764331210192</c:v>
                </c:pt>
                <c:pt idx="5">
                  <c:v>27.039735099337747</c:v>
                </c:pt>
                <c:pt idx="6">
                  <c:v>27.632450331125828</c:v>
                </c:pt>
                <c:pt idx="7">
                  <c:v>28.135761589403973</c:v>
                </c:pt>
                <c:pt idx="8">
                  <c:v>27.158940397350992</c:v>
                </c:pt>
                <c:pt idx="9">
                  <c:v>28.225165562913908</c:v>
                </c:pt>
                <c:pt idx="10">
                  <c:v>27.397350993377483</c:v>
                </c:pt>
                <c:pt idx="11">
                  <c:v>27.721854304635762</c:v>
                </c:pt>
                <c:pt idx="12">
                  <c:v>25.90728476821192</c:v>
                </c:pt>
                <c:pt idx="13">
                  <c:v>24.718543046357617</c:v>
                </c:pt>
                <c:pt idx="14">
                  <c:v>27.218543046357617</c:v>
                </c:pt>
                <c:pt idx="15">
                  <c:v>28.639072847682119</c:v>
                </c:pt>
                <c:pt idx="16">
                  <c:v>27.438542765146728</c:v>
                </c:pt>
              </c:numCache>
            </c:numRef>
          </c:val>
        </c:ser>
        <c:axId val="75320320"/>
        <c:axId val="75338496"/>
      </c:barChart>
      <c:catAx>
        <c:axId val="75320320"/>
        <c:scaling>
          <c:orientation val="minMax"/>
        </c:scaling>
        <c:axPos val="b"/>
        <c:tickLblPos val="nextTo"/>
        <c:crossAx val="75338496"/>
        <c:crosses val="autoZero"/>
        <c:auto val="1"/>
        <c:lblAlgn val="ctr"/>
        <c:lblOffset val="100"/>
      </c:catAx>
      <c:valAx>
        <c:axId val="7533849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5320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'2013'!$D$203:$D$219</c:f>
              <c:numCache>
                <c:formatCode>General</c:formatCode>
                <c:ptCount val="17"/>
                <c:pt idx="0">
                  <c:v>44.37</c:v>
                </c:pt>
                <c:pt idx="1">
                  <c:v>41.604166666666664</c:v>
                </c:pt>
                <c:pt idx="2">
                  <c:v>41.66115702479339</c:v>
                </c:pt>
                <c:pt idx="3">
                  <c:v>39.869918699186989</c:v>
                </c:pt>
                <c:pt idx="4">
                  <c:v>36.135593220338983</c:v>
                </c:pt>
                <c:pt idx="5">
                  <c:v>37.590090090090094</c:v>
                </c:pt>
                <c:pt idx="6">
                  <c:v>39.391891891891895</c:v>
                </c:pt>
                <c:pt idx="7">
                  <c:v>38.071428571428569</c:v>
                </c:pt>
                <c:pt idx="8">
                  <c:v>37.825892857142854</c:v>
                </c:pt>
                <c:pt idx="9">
                  <c:v>37.973451327433629</c:v>
                </c:pt>
                <c:pt idx="10">
                  <c:v>38.429203539823007</c:v>
                </c:pt>
                <c:pt idx="11">
                  <c:v>36.924778761061944</c:v>
                </c:pt>
                <c:pt idx="12">
                  <c:v>36.05263157894737</c:v>
                </c:pt>
                <c:pt idx="13">
                  <c:v>36.688596491228068</c:v>
                </c:pt>
                <c:pt idx="14">
                  <c:v>36.291304347826085</c:v>
                </c:pt>
                <c:pt idx="15">
                  <c:v>38.539130434782606</c:v>
                </c:pt>
                <c:pt idx="16">
                  <c:v>38.203282366842807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'2013'!$F$203:$F$219</c:f>
              <c:numCache>
                <c:formatCode>General</c:formatCode>
                <c:ptCount val="17"/>
                <c:pt idx="0">
                  <c:v>34.36</c:v>
                </c:pt>
                <c:pt idx="1">
                  <c:v>33.962585034013607</c:v>
                </c:pt>
                <c:pt idx="2">
                  <c:v>34.292517006802719</c:v>
                </c:pt>
                <c:pt idx="3">
                  <c:v>33.360544217687078</c:v>
                </c:pt>
                <c:pt idx="4">
                  <c:v>29.006802721088434</c:v>
                </c:pt>
                <c:pt idx="5">
                  <c:v>28.3843537414966</c:v>
                </c:pt>
                <c:pt idx="6">
                  <c:v>29.744897959183675</c:v>
                </c:pt>
                <c:pt idx="7">
                  <c:v>29.006802721088434</c:v>
                </c:pt>
                <c:pt idx="8">
                  <c:v>29.017123287671232</c:v>
                </c:pt>
                <c:pt idx="9">
                  <c:v>29.19047619047619</c:v>
                </c:pt>
                <c:pt idx="10">
                  <c:v>29.540816326530614</c:v>
                </c:pt>
                <c:pt idx="11">
                  <c:v>28.3843537414966</c:v>
                </c:pt>
                <c:pt idx="12">
                  <c:v>27.959183673469386</c:v>
                </c:pt>
                <c:pt idx="13">
                  <c:v>28.452380952380953</c:v>
                </c:pt>
                <c:pt idx="14">
                  <c:v>28.391156462585034</c:v>
                </c:pt>
                <c:pt idx="15">
                  <c:v>30.14965986394558</c:v>
                </c:pt>
                <c:pt idx="16">
                  <c:v>29.922910259994413</c:v>
                </c:pt>
              </c:numCache>
            </c:numRef>
          </c:val>
        </c:ser>
        <c:axId val="75358976"/>
        <c:axId val="75360512"/>
      </c:barChart>
      <c:catAx>
        <c:axId val="75358976"/>
        <c:scaling>
          <c:orientation val="minMax"/>
        </c:scaling>
        <c:axPos val="b"/>
        <c:tickLblPos val="nextTo"/>
        <c:crossAx val="75360512"/>
        <c:crosses val="autoZero"/>
        <c:auto val="1"/>
        <c:lblAlgn val="ctr"/>
        <c:lblOffset val="100"/>
      </c:catAx>
      <c:valAx>
        <c:axId val="75360512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535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'2013'!$D$222:$D$239</c:f>
              <c:numCache>
                <c:formatCode>General</c:formatCode>
                <c:ptCount val="18"/>
                <c:pt idx="0">
                  <c:v>41.9953</c:v>
                </c:pt>
                <c:pt idx="1">
                  <c:v>39.582608695652176</c:v>
                </c:pt>
                <c:pt idx="2">
                  <c:v>40.521551724137929</c:v>
                </c:pt>
                <c:pt idx="3">
                  <c:v>39.213675213675216</c:v>
                </c:pt>
                <c:pt idx="4">
                  <c:v>38.918103448275865</c:v>
                </c:pt>
                <c:pt idx="5">
                  <c:v>37.512931034482762</c:v>
                </c:pt>
                <c:pt idx="6">
                  <c:v>39.591743119266056</c:v>
                </c:pt>
                <c:pt idx="7">
                  <c:v>39.886363636363633</c:v>
                </c:pt>
                <c:pt idx="8">
                  <c:v>41.259090909090908</c:v>
                </c:pt>
                <c:pt idx="9">
                  <c:v>40.407079646017699</c:v>
                </c:pt>
                <c:pt idx="10">
                  <c:v>38.157894736842103</c:v>
                </c:pt>
                <c:pt idx="11">
                  <c:v>36.357758620689658</c:v>
                </c:pt>
                <c:pt idx="12">
                  <c:v>39.247863247863251</c:v>
                </c:pt>
                <c:pt idx="13">
                  <c:v>41.29059829059829</c:v>
                </c:pt>
                <c:pt idx="14">
                  <c:v>41.085470085470085</c:v>
                </c:pt>
                <c:pt idx="15">
                  <c:v>40.737288135593218</c:v>
                </c:pt>
                <c:pt idx="16">
                  <c:v>40.737288135593218</c:v>
                </c:pt>
                <c:pt idx="17">
                  <c:v>39.656706792475745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'2013'!$F$222:$F$239</c:f>
              <c:numCache>
                <c:formatCode>General</c:formatCode>
                <c:ptCount val="18"/>
                <c:pt idx="0">
                  <c:v>34.051000000000002</c:v>
                </c:pt>
                <c:pt idx="1">
                  <c:v>30.550335570469798</c:v>
                </c:pt>
                <c:pt idx="2">
                  <c:v>31.546979865771814</c:v>
                </c:pt>
                <c:pt idx="3">
                  <c:v>30.791946308724832</c:v>
                </c:pt>
                <c:pt idx="4">
                  <c:v>30.710884353741495</c:v>
                </c:pt>
                <c:pt idx="5">
                  <c:v>29.602040816326532</c:v>
                </c:pt>
                <c:pt idx="6">
                  <c:v>29.357142857142858</c:v>
                </c:pt>
                <c:pt idx="7">
                  <c:v>29.846938775510203</c:v>
                </c:pt>
                <c:pt idx="8">
                  <c:v>30.874149659863946</c:v>
                </c:pt>
                <c:pt idx="9">
                  <c:v>31.061224489795919</c:v>
                </c:pt>
                <c:pt idx="10">
                  <c:v>29.591836734693878</c:v>
                </c:pt>
                <c:pt idx="11">
                  <c:v>28.69047619047619</c:v>
                </c:pt>
                <c:pt idx="12">
                  <c:v>31.238095238095237</c:v>
                </c:pt>
                <c:pt idx="13">
                  <c:v>32.863945578231295</c:v>
                </c:pt>
                <c:pt idx="14">
                  <c:v>32.700680272108841</c:v>
                </c:pt>
                <c:pt idx="15">
                  <c:v>32.700680272108841</c:v>
                </c:pt>
                <c:pt idx="16">
                  <c:v>32.700680272108841</c:v>
                </c:pt>
                <c:pt idx="17">
                  <c:v>30.926752328448163</c:v>
                </c:pt>
              </c:numCache>
            </c:numRef>
          </c:val>
        </c:ser>
        <c:axId val="75372800"/>
        <c:axId val="75403264"/>
      </c:barChart>
      <c:catAx>
        <c:axId val="75372800"/>
        <c:scaling>
          <c:orientation val="minMax"/>
        </c:scaling>
        <c:axPos val="b"/>
        <c:tickLblPos val="nextTo"/>
        <c:crossAx val="75403264"/>
        <c:crosses val="autoZero"/>
        <c:auto val="1"/>
        <c:lblAlgn val="ctr"/>
        <c:lblOffset val="100"/>
      </c:catAx>
      <c:valAx>
        <c:axId val="75403264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5372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'2014'!$D$23:$D$38</c:f>
              <c:numCache>
                <c:formatCode>General</c:formatCode>
                <c:ptCount val="16"/>
                <c:pt idx="0">
                  <c:v>43.86</c:v>
                </c:pt>
                <c:pt idx="1">
                  <c:v>43.620535714285715</c:v>
                </c:pt>
                <c:pt idx="2">
                  <c:v>43.620535714285715</c:v>
                </c:pt>
                <c:pt idx="3">
                  <c:v>43.620535714285715</c:v>
                </c:pt>
                <c:pt idx="4">
                  <c:v>43.620535714285715</c:v>
                </c:pt>
                <c:pt idx="5">
                  <c:v>43.620535714285715</c:v>
                </c:pt>
                <c:pt idx="6">
                  <c:v>43.620535714285715</c:v>
                </c:pt>
                <c:pt idx="7">
                  <c:v>43.620535714285715</c:v>
                </c:pt>
                <c:pt idx="8">
                  <c:v>43.620535714285715</c:v>
                </c:pt>
                <c:pt idx="9">
                  <c:v>43.620535714285715</c:v>
                </c:pt>
                <c:pt idx="10">
                  <c:v>43.620535714285715</c:v>
                </c:pt>
                <c:pt idx="11">
                  <c:v>43.620535714285715</c:v>
                </c:pt>
                <c:pt idx="12">
                  <c:v>43.620535714285715</c:v>
                </c:pt>
                <c:pt idx="13">
                  <c:v>43.620535714285715</c:v>
                </c:pt>
                <c:pt idx="14">
                  <c:v>43.620535714285715</c:v>
                </c:pt>
                <c:pt idx="15">
                  <c:v>43.620535714285708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'2014'!$F$23:$F$38</c:f>
              <c:numCache>
                <c:formatCode>General</c:formatCode>
                <c:ptCount val="16"/>
                <c:pt idx="0">
                  <c:v>33.85</c:v>
                </c:pt>
                <c:pt idx="1">
                  <c:v>33.693103448275863</c:v>
                </c:pt>
                <c:pt idx="2">
                  <c:v>33.693103448275863</c:v>
                </c:pt>
                <c:pt idx="3">
                  <c:v>33.693103448275863</c:v>
                </c:pt>
                <c:pt idx="4">
                  <c:v>33.693103448275863</c:v>
                </c:pt>
                <c:pt idx="5">
                  <c:v>33.693103448275863</c:v>
                </c:pt>
                <c:pt idx="6">
                  <c:v>33.693103448275863</c:v>
                </c:pt>
                <c:pt idx="7">
                  <c:v>33.693103448275863</c:v>
                </c:pt>
                <c:pt idx="8">
                  <c:v>33.693103448275863</c:v>
                </c:pt>
                <c:pt idx="9">
                  <c:v>33.693103448275863</c:v>
                </c:pt>
                <c:pt idx="10">
                  <c:v>33.693103448275863</c:v>
                </c:pt>
                <c:pt idx="11">
                  <c:v>33.693103448275863</c:v>
                </c:pt>
                <c:pt idx="12">
                  <c:v>33.693103448275863</c:v>
                </c:pt>
                <c:pt idx="13">
                  <c:v>33.693103448275863</c:v>
                </c:pt>
                <c:pt idx="14">
                  <c:v>33.693103448275863</c:v>
                </c:pt>
                <c:pt idx="15">
                  <c:v>33.693103448275856</c:v>
                </c:pt>
              </c:numCache>
            </c:numRef>
          </c:val>
        </c:ser>
        <c:axId val="75427200"/>
        <c:axId val="75428992"/>
      </c:barChart>
      <c:catAx>
        <c:axId val="75427200"/>
        <c:scaling>
          <c:orientation val="minMax"/>
        </c:scaling>
        <c:axPos val="b"/>
        <c:tickLblPos val="nextTo"/>
        <c:crossAx val="75428992"/>
        <c:crosses val="autoZero"/>
        <c:auto val="1"/>
        <c:lblAlgn val="ctr"/>
        <c:lblOffset val="100"/>
      </c:catAx>
      <c:valAx>
        <c:axId val="75428992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542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'2014'!$D$3:$D$19</c:f>
              <c:numCache>
                <c:formatCode>General</c:formatCode>
                <c:ptCount val="17"/>
                <c:pt idx="0">
                  <c:v>44.162199999999999</c:v>
                </c:pt>
                <c:pt idx="1">
                  <c:v>44.223684210526315</c:v>
                </c:pt>
                <c:pt idx="2">
                  <c:v>44.223684210526315</c:v>
                </c:pt>
                <c:pt idx="3">
                  <c:v>44.223684210526315</c:v>
                </c:pt>
                <c:pt idx="4">
                  <c:v>44.223684210526315</c:v>
                </c:pt>
                <c:pt idx="5">
                  <c:v>44.223684210526315</c:v>
                </c:pt>
                <c:pt idx="6">
                  <c:v>44.223684210526315</c:v>
                </c:pt>
                <c:pt idx="7">
                  <c:v>44.223684210526315</c:v>
                </c:pt>
                <c:pt idx="8">
                  <c:v>44.223684210526315</c:v>
                </c:pt>
                <c:pt idx="9">
                  <c:v>44.223684210526315</c:v>
                </c:pt>
                <c:pt idx="10">
                  <c:v>44.223684210526315</c:v>
                </c:pt>
                <c:pt idx="11">
                  <c:v>44.223684210526315</c:v>
                </c:pt>
                <c:pt idx="12">
                  <c:v>44.223684210526315</c:v>
                </c:pt>
                <c:pt idx="13">
                  <c:v>44.223684210526315</c:v>
                </c:pt>
                <c:pt idx="14">
                  <c:v>44.223684210526315</c:v>
                </c:pt>
                <c:pt idx="15">
                  <c:v>44.223684210526315</c:v>
                </c:pt>
                <c:pt idx="16">
                  <c:v>44.223684210526322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'2014'!$F$3:$F$19</c:f>
              <c:numCache>
                <c:formatCode>General</c:formatCode>
                <c:ptCount val="17"/>
                <c:pt idx="0">
                  <c:v>35.622999999999998</c:v>
                </c:pt>
                <c:pt idx="1">
                  <c:v>36.799270072992698</c:v>
                </c:pt>
                <c:pt idx="2">
                  <c:v>36.799270072992698</c:v>
                </c:pt>
                <c:pt idx="3">
                  <c:v>36.799270072992698</c:v>
                </c:pt>
                <c:pt idx="4">
                  <c:v>36.799270072992698</c:v>
                </c:pt>
                <c:pt idx="5">
                  <c:v>36.799270072992698</c:v>
                </c:pt>
                <c:pt idx="6">
                  <c:v>36.799270072992698</c:v>
                </c:pt>
                <c:pt idx="7">
                  <c:v>36.799270072992698</c:v>
                </c:pt>
                <c:pt idx="8">
                  <c:v>36.799270072992698</c:v>
                </c:pt>
                <c:pt idx="9">
                  <c:v>36.799270072992698</c:v>
                </c:pt>
                <c:pt idx="10">
                  <c:v>36.799270072992698</c:v>
                </c:pt>
                <c:pt idx="11">
                  <c:v>36.799270072992698</c:v>
                </c:pt>
                <c:pt idx="12">
                  <c:v>36.799270072992698</c:v>
                </c:pt>
                <c:pt idx="13">
                  <c:v>36.799270072992698</c:v>
                </c:pt>
                <c:pt idx="14">
                  <c:v>36.799270072992698</c:v>
                </c:pt>
                <c:pt idx="15">
                  <c:v>36.799270072992698</c:v>
                </c:pt>
                <c:pt idx="16">
                  <c:v>36.799270072992712</c:v>
                </c:pt>
              </c:numCache>
            </c:numRef>
          </c:val>
        </c:ser>
        <c:axId val="75449472"/>
        <c:axId val="75451008"/>
      </c:barChart>
      <c:catAx>
        <c:axId val="75449472"/>
        <c:scaling>
          <c:orientation val="minMax"/>
        </c:scaling>
        <c:axPos val="b"/>
        <c:tickLblPos val="nextTo"/>
        <c:crossAx val="75451008"/>
        <c:crosses val="autoZero"/>
        <c:auto val="1"/>
        <c:lblAlgn val="ctr"/>
        <c:lblOffset val="100"/>
      </c:catAx>
      <c:valAx>
        <c:axId val="75451008"/>
        <c:scaling>
          <c:orientation val="minMax"/>
          <c:max val="51"/>
          <c:min val="30"/>
        </c:scaling>
        <c:axPos val="l"/>
        <c:majorGridlines/>
        <c:numFmt formatCode="General" sourceLinked="1"/>
        <c:tickLblPos val="nextTo"/>
        <c:crossAx val="75449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'2014'!$D$42:$D$59</c:f>
              <c:numCache>
                <c:formatCode>General</c:formatCode>
                <c:ptCount val="18"/>
                <c:pt idx="0">
                  <c:v>42.38</c:v>
                </c:pt>
                <c:pt idx="1">
                  <c:v>42.440677966101696</c:v>
                </c:pt>
                <c:pt idx="2">
                  <c:v>42.440677966101696</c:v>
                </c:pt>
                <c:pt idx="3">
                  <c:v>42.440677966101696</c:v>
                </c:pt>
                <c:pt idx="4">
                  <c:v>42.440677966101696</c:v>
                </c:pt>
                <c:pt idx="5">
                  <c:v>42.440677966101696</c:v>
                </c:pt>
                <c:pt idx="6">
                  <c:v>42.440677966101696</c:v>
                </c:pt>
                <c:pt idx="7">
                  <c:v>42.440677966101696</c:v>
                </c:pt>
                <c:pt idx="8">
                  <c:v>42.440677966101696</c:v>
                </c:pt>
                <c:pt idx="9">
                  <c:v>42.440677966101696</c:v>
                </c:pt>
                <c:pt idx="10">
                  <c:v>42.440677966101696</c:v>
                </c:pt>
                <c:pt idx="11">
                  <c:v>42.440677966101696</c:v>
                </c:pt>
                <c:pt idx="12">
                  <c:v>42.440677966101696</c:v>
                </c:pt>
                <c:pt idx="13">
                  <c:v>42.440677966101696</c:v>
                </c:pt>
                <c:pt idx="14">
                  <c:v>42.440677966101696</c:v>
                </c:pt>
                <c:pt idx="15">
                  <c:v>42.440677966101696</c:v>
                </c:pt>
                <c:pt idx="16">
                  <c:v>42.440677966101696</c:v>
                </c:pt>
                <c:pt idx="17">
                  <c:v>42.440677966101696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'2014'!$F$42:$F$59</c:f>
              <c:numCache>
                <c:formatCode>General</c:formatCode>
                <c:ptCount val="18"/>
                <c:pt idx="0">
                  <c:v>31.57</c:v>
                </c:pt>
                <c:pt idx="1">
                  <c:v>31.49685534591195</c:v>
                </c:pt>
                <c:pt idx="2">
                  <c:v>31.49685534591195</c:v>
                </c:pt>
                <c:pt idx="3">
                  <c:v>31.49685534591195</c:v>
                </c:pt>
                <c:pt idx="4">
                  <c:v>31.49685534591195</c:v>
                </c:pt>
                <c:pt idx="5">
                  <c:v>31.49685534591195</c:v>
                </c:pt>
                <c:pt idx="6">
                  <c:v>31.49685534591195</c:v>
                </c:pt>
                <c:pt idx="7">
                  <c:v>31.49685534591195</c:v>
                </c:pt>
                <c:pt idx="8">
                  <c:v>31.49685534591195</c:v>
                </c:pt>
                <c:pt idx="9">
                  <c:v>31.49685534591195</c:v>
                </c:pt>
                <c:pt idx="10">
                  <c:v>31.49685534591195</c:v>
                </c:pt>
                <c:pt idx="11">
                  <c:v>31.49685534591195</c:v>
                </c:pt>
                <c:pt idx="12">
                  <c:v>31.49685534591195</c:v>
                </c:pt>
                <c:pt idx="13">
                  <c:v>31.49685534591195</c:v>
                </c:pt>
                <c:pt idx="14">
                  <c:v>31.49685534591195</c:v>
                </c:pt>
                <c:pt idx="15">
                  <c:v>31.49685534591195</c:v>
                </c:pt>
                <c:pt idx="16">
                  <c:v>31.49685534591195</c:v>
                </c:pt>
                <c:pt idx="17">
                  <c:v>31.496855345911957</c:v>
                </c:pt>
              </c:numCache>
            </c:numRef>
          </c:val>
        </c:ser>
        <c:axId val="75479680"/>
        <c:axId val="75485568"/>
      </c:barChart>
      <c:catAx>
        <c:axId val="75479680"/>
        <c:scaling>
          <c:orientation val="minMax"/>
        </c:scaling>
        <c:axPos val="b"/>
        <c:tickLblPos val="nextTo"/>
        <c:crossAx val="75485568"/>
        <c:crosses val="autoZero"/>
        <c:auto val="1"/>
        <c:lblAlgn val="ctr"/>
        <c:lblOffset val="100"/>
      </c:catAx>
      <c:valAx>
        <c:axId val="75485568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5479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v>Per Cow</c:v>
          </c:tx>
          <c:val>
            <c:numRef>
              <c:f>'2012'!$D$3:$D$239</c:f>
              <c:numCache>
                <c:formatCode>General</c:formatCode>
                <c:ptCount val="237"/>
                <c:pt idx="0">
                  <c:v>42.7</c:v>
                </c:pt>
                <c:pt idx="1">
                  <c:v>47.433035714285715</c:v>
                </c:pt>
                <c:pt idx="2">
                  <c:v>47.171171171171174</c:v>
                </c:pt>
                <c:pt idx="3">
                  <c:v>47.229729729729726</c:v>
                </c:pt>
                <c:pt idx="4">
                  <c:v>45.711711711711715</c:v>
                </c:pt>
                <c:pt idx="5">
                  <c:v>50.46078431372549</c:v>
                </c:pt>
                <c:pt idx="6">
                  <c:v>48.661764705882355</c:v>
                </c:pt>
                <c:pt idx="7">
                  <c:v>46.735294117647058</c:v>
                </c:pt>
                <c:pt idx="8">
                  <c:v>50.160194174757279</c:v>
                </c:pt>
                <c:pt idx="9">
                  <c:v>46.26442307692308</c:v>
                </c:pt>
                <c:pt idx="10">
                  <c:v>45.847619047619048</c:v>
                </c:pt>
                <c:pt idx="11">
                  <c:v>46.414285714285711</c:v>
                </c:pt>
                <c:pt idx="12">
                  <c:v>45.676190476190477</c:v>
                </c:pt>
                <c:pt idx="13">
                  <c:v>45.56666666666667</c:v>
                </c:pt>
                <c:pt idx="14">
                  <c:v>46.138095238095239</c:v>
                </c:pt>
                <c:pt idx="15">
                  <c:v>49.285714285714285</c:v>
                </c:pt>
                <c:pt idx="16">
                  <c:v>47.250445342960354</c:v>
                </c:pt>
                <c:pt idx="18">
                  <c:v>0</c:v>
                </c:pt>
                <c:pt idx="19">
                  <c:v>0</c:v>
                </c:pt>
                <c:pt idx="20">
                  <c:v>43.9</c:v>
                </c:pt>
                <c:pt idx="21">
                  <c:v>45.143518518518519</c:v>
                </c:pt>
                <c:pt idx="22">
                  <c:v>47.940366972477065</c:v>
                </c:pt>
                <c:pt idx="23">
                  <c:v>47.71844660194175</c:v>
                </c:pt>
                <c:pt idx="24">
                  <c:v>47.140776699029125</c:v>
                </c:pt>
                <c:pt idx="25">
                  <c:v>47.674757281553397</c:v>
                </c:pt>
                <c:pt idx="26">
                  <c:v>45.92307692307692</c:v>
                </c:pt>
                <c:pt idx="27">
                  <c:v>48.91346153846154</c:v>
                </c:pt>
                <c:pt idx="28">
                  <c:v>47.019047619047619</c:v>
                </c:pt>
                <c:pt idx="29">
                  <c:v>47.362745098039213</c:v>
                </c:pt>
                <c:pt idx="30">
                  <c:v>47.077669902912625</c:v>
                </c:pt>
                <c:pt idx="31">
                  <c:v>48.572815533980581</c:v>
                </c:pt>
                <c:pt idx="32">
                  <c:v>48.257281553398059</c:v>
                </c:pt>
                <c:pt idx="33">
                  <c:v>47.121359223300971</c:v>
                </c:pt>
                <c:pt idx="34">
                  <c:v>48.82692307692308</c:v>
                </c:pt>
                <c:pt idx="35">
                  <c:v>47.325471698113205</c:v>
                </c:pt>
                <c:pt idx="36">
                  <c:v>47.467847882718253</c:v>
                </c:pt>
                <c:pt idx="38">
                  <c:v>0</c:v>
                </c:pt>
                <c:pt idx="39">
                  <c:v>0</c:v>
                </c:pt>
                <c:pt idx="40">
                  <c:v>43.8</c:v>
                </c:pt>
                <c:pt idx="41">
                  <c:v>48.976635514018689</c:v>
                </c:pt>
                <c:pt idx="42">
                  <c:v>47.977064220183486</c:v>
                </c:pt>
                <c:pt idx="43">
                  <c:v>48.440366972477065</c:v>
                </c:pt>
                <c:pt idx="44">
                  <c:v>49.256880733944953</c:v>
                </c:pt>
                <c:pt idx="45">
                  <c:v>49.990990990990994</c:v>
                </c:pt>
                <c:pt idx="46">
                  <c:v>50.674999999999997</c:v>
                </c:pt>
                <c:pt idx="47">
                  <c:v>49.524509803921568</c:v>
                </c:pt>
                <c:pt idx="48">
                  <c:v>48.120370370370374</c:v>
                </c:pt>
                <c:pt idx="49">
                  <c:v>47.041666666666664</c:v>
                </c:pt>
                <c:pt idx="50">
                  <c:v>47.754629629629626</c:v>
                </c:pt>
                <c:pt idx="51">
                  <c:v>46.461165048543691</c:v>
                </c:pt>
                <c:pt idx="52">
                  <c:v>42.39903846153846</c:v>
                </c:pt>
                <c:pt idx="53">
                  <c:v>44.23557692307692</c:v>
                </c:pt>
                <c:pt idx="54">
                  <c:v>43.171296296296298</c:v>
                </c:pt>
                <c:pt idx="55">
                  <c:v>43.098214285714285</c:v>
                </c:pt>
                <c:pt idx="56">
                  <c:v>47.141560394491542</c:v>
                </c:pt>
                <c:pt idx="58">
                  <c:v>0</c:v>
                </c:pt>
                <c:pt idx="59">
                  <c:v>0</c:v>
                </c:pt>
                <c:pt idx="60">
                  <c:v>43.8</c:v>
                </c:pt>
                <c:pt idx="61">
                  <c:v>42.729729729729726</c:v>
                </c:pt>
                <c:pt idx="62">
                  <c:v>43.328828828828826</c:v>
                </c:pt>
                <c:pt idx="63">
                  <c:v>39.684684684684683</c:v>
                </c:pt>
                <c:pt idx="64">
                  <c:v>41.166666666666664</c:v>
                </c:pt>
                <c:pt idx="65">
                  <c:v>39.808035714285715</c:v>
                </c:pt>
                <c:pt idx="66">
                  <c:v>36.521929824561404</c:v>
                </c:pt>
                <c:pt idx="67">
                  <c:v>43.082608695652176</c:v>
                </c:pt>
                <c:pt idx="68">
                  <c:v>45.674796747967477</c:v>
                </c:pt>
                <c:pt idx="69">
                  <c:v>48.024000000000001</c:v>
                </c:pt>
                <c:pt idx="70">
                  <c:v>48.564102564102562</c:v>
                </c:pt>
                <c:pt idx="71">
                  <c:v>50.887500000000003</c:v>
                </c:pt>
                <c:pt idx="72">
                  <c:v>52.801652892561982</c:v>
                </c:pt>
                <c:pt idx="73">
                  <c:v>52.67622950819672</c:v>
                </c:pt>
                <c:pt idx="74">
                  <c:v>52.67622950819672</c:v>
                </c:pt>
                <c:pt idx="75">
                  <c:v>53.4</c:v>
                </c:pt>
                <c:pt idx="76">
                  <c:v>46.068466357695641</c:v>
                </c:pt>
                <c:pt idx="79">
                  <c:v>0</c:v>
                </c:pt>
                <c:pt idx="80">
                  <c:v>42.9</c:v>
                </c:pt>
                <c:pt idx="81">
                  <c:v>54.097560975609753</c:v>
                </c:pt>
                <c:pt idx="82">
                  <c:v>51.928961748633874</c:v>
                </c:pt>
                <c:pt idx="83">
                  <c:v>55.26229508196721</c:v>
                </c:pt>
                <c:pt idx="84">
                  <c:v>53.693548387096776</c:v>
                </c:pt>
                <c:pt idx="85">
                  <c:v>53.802419354838712</c:v>
                </c:pt>
                <c:pt idx="86">
                  <c:v>58.586363636363636</c:v>
                </c:pt>
                <c:pt idx="87">
                  <c:v>59.436363636363637</c:v>
                </c:pt>
                <c:pt idx="88">
                  <c:v>57.190265486725664</c:v>
                </c:pt>
                <c:pt idx="89">
                  <c:v>55.217391304347828</c:v>
                </c:pt>
                <c:pt idx="90">
                  <c:v>57.239130434782609</c:v>
                </c:pt>
                <c:pt idx="91">
                  <c:v>58.530172413793103</c:v>
                </c:pt>
                <c:pt idx="92">
                  <c:v>54.512711864406782</c:v>
                </c:pt>
                <c:pt idx="93">
                  <c:v>53.533333333333331</c:v>
                </c:pt>
                <c:pt idx="94">
                  <c:v>55.458333333333336</c:v>
                </c:pt>
                <c:pt idx="95">
                  <c:v>56.916666666666664</c:v>
                </c:pt>
                <c:pt idx="96">
                  <c:v>53.462809917355372</c:v>
                </c:pt>
                <c:pt idx="97">
                  <c:v>55.554270473476137</c:v>
                </c:pt>
                <c:pt idx="99">
                  <c:v>0</c:v>
                </c:pt>
                <c:pt idx="100">
                  <c:v>0</c:v>
                </c:pt>
                <c:pt idx="101">
                  <c:v>47.3</c:v>
                </c:pt>
                <c:pt idx="102">
                  <c:v>54.943089430894311</c:v>
                </c:pt>
                <c:pt idx="103">
                  <c:v>54.357723577235774</c:v>
                </c:pt>
                <c:pt idx="104">
                  <c:v>53.195999999999998</c:v>
                </c:pt>
                <c:pt idx="105">
                  <c:v>51.165354330708659</c:v>
                </c:pt>
                <c:pt idx="106">
                  <c:v>53.542635658914726</c:v>
                </c:pt>
                <c:pt idx="107">
                  <c:v>53.9</c:v>
                </c:pt>
                <c:pt idx="108">
                  <c:v>51.622950819672134</c:v>
                </c:pt>
                <c:pt idx="109">
                  <c:v>51.162601626016261</c:v>
                </c:pt>
                <c:pt idx="110">
                  <c:v>51.287999999999997</c:v>
                </c:pt>
                <c:pt idx="111">
                  <c:v>54.212000000000003</c:v>
                </c:pt>
                <c:pt idx="112">
                  <c:v>56.015999999999998</c:v>
                </c:pt>
                <c:pt idx="113">
                  <c:v>57.602564102564102</c:v>
                </c:pt>
                <c:pt idx="114">
                  <c:v>54.788135593220339</c:v>
                </c:pt>
                <c:pt idx="115">
                  <c:v>55.579831932773111</c:v>
                </c:pt>
                <c:pt idx="116">
                  <c:v>53.053719008264466</c:v>
                </c:pt>
                <c:pt idx="117">
                  <c:v>53.762040405350923</c:v>
                </c:pt>
                <c:pt idx="119">
                  <c:v>0</c:v>
                </c:pt>
                <c:pt idx="120">
                  <c:v>0</c:v>
                </c:pt>
                <c:pt idx="121">
                  <c:v>48.9</c:v>
                </c:pt>
                <c:pt idx="122">
                  <c:v>55.719008264462808</c:v>
                </c:pt>
                <c:pt idx="123">
                  <c:v>55.394308943089428</c:v>
                </c:pt>
                <c:pt idx="124">
                  <c:v>54.173387096774192</c:v>
                </c:pt>
                <c:pt idx="125">
                  <c:v>55.528225806451616</c:v>
                </c:pt>
                <c:pt idx="126">
                  <c:v>55.66935483870968</c:v>
                </c:pt>
                <c:pt idx="127">
                  <c:v>58.457264957264954</c:v>
                </c:pt>
                <c:pt idx="128">
                  <c:v>56.141025641025642</c:v>
                </c:pt>
                <c:pt idx="129">
                  <c:v>58.682203389830505</c:v>
                </c:pt>
                <c:pt idx="130">
                  <c:v>58.343220338983052</c:v>
                </c:pt>
                <c:pt idx="131">
                  <c:v>56.737288135593218</c:v>
                </c:pt>
                <c:pt idx="132">
                  <c:v>56.756302521008401</c:v>
                </c:pt>
                <c:pt idx="133">
                  <c:v>56.407563025210081</c:v>
                </c:pt>
                <c:pt idx="134">
                  <c:v>55.028925619834709</c:v>
                </c:pt>
                <c:pt idx="135">
                  <c:v>53.277777777777779</c:v>
                </c:pt>
                <c:pt idx="136">
                  <c:v>47.555555555555557</c:v>
                </c:pt>
                <c:pt idx="137">
                  <c:v>55.591427460771435</c:v>
                </c:pt>
                <c:pt idx="139">
                  <c:v>0</c:v>
                </c:pt>
                <c:pt idx="140">
                  <c:v>0</c:v>
                </c:pt>
                <c:pt idx="141">
                  <c:v>44.3</c:v>
                </c:pt>
                <c:pt idx="142">
                  <c:v>50.3984375</c:v>
                </c:pt>
                <c:pt idx="143">
                  <c:v>49.554263565891475</c:v>
                </c:pt>
                <c:pt idx="144">
                  <c:v>47.71153846153846</c:v>
                </c:pt>
                <c:pt idx="145">
                  <c:v>46.896946564885496</c:v>
                </c:pt>
                <c:pt idx="146">
                  <c:v>43.814814814814817</c:v>
                </c:pt>
                <c:pt idx="147">
                  <c:v>43.744360902255636</c:v>
                </c:pt>
                <c:pt idx="148">
                  <c:v>42.304511278195491</c:v>
                </c:pt>
                <c:pt idx="149">
                  <c:v>42.299242424242422</c:v>
                </c:pt>
                <c:pt idx="150">
                  <c:v>41.5</c:v>
                </c:pt>
                <c:pt idx="151">
                  <c:v>39.335820895522389</c:v>
                </c:pt>
                <c:pt idx="152">
                  <c:v>40.082089552238806</c:v>
                </c:pt>
                <c:pt idx="153">
                  <c:v>40.309701492537314</c:v>
                </c:pt>
                <c:pt idx="154">
                  <c:v>37.79457364341085</c:v>
                </c:pt>
                <c:pt idx="155">
                  <c:v>36.323076923076925</c:v>
                </c:pt>
                <c:pt idx="156">
                  <c:v>38.62977099236641</c:v>
                </c:pt>
                <c:pt idx="157">
                  <c:v>41.446969696969695</c:v>
                </c:pt>
                <c:pt idx="158">
                  <c:v>42.63413241924664</c:v>
                </c:pt>
                <c:pt idx="160">
                  <c:v>0</c:v>
                </c:pt>
                <c:pt idx="161">
                  <c:v>0</c:v>
                </c:pt>
                <c:pt idx="162">
                  <c:v>42.45</c:v>
                </c:pt>
                <c:pt idx="163">
                  <c:v>39.88148148148148</c:v>
                </c:pt>
                <c:pt idx="164">
                  <c:v>38.462962962962962</c:v>
                </c:pt>
                <c:pt idx="165">
                  <c:v>39.107407407407408</c:v>
                </c:pt>
                <c:pt idx="166">
                  <c:v>39.816000000000003</c:v>
                </c:pt>
                <c:pt idx="167">
                  <c:v>38.273809523809526</c:v>
                </c:pt>
                <c:pt idx="168">
                  <c:v>37.924603174603178</c:v>
                </c:pt>
                <c:pt idx="169">
                  <c:v>38.551587301587304</c:v>
                </c:pt>
                <c:pt idx="170">
                  <c:v>37.304000000000002</c:v>
                </c:pt>
                <c:pt idx="171">
                  <c:v>35.524000000000001</c:v>
                </c:pt>
                <c:pt idx="172">
                  <c:v>36.308</c:v>
                </c:pt>
                <c:pt idx="173">
                  <c:v>37.908000000000001</c:v>
                </c:pt>
                <c:pt idx="174">
                  <c:v>37.387096774193552</c:v>
                </c:pt>
                <c:pt idx="175">
                  <c:v>37.159999999999997</c:v>
                </c:pt>
                <c:pt idx="176">
                  <c:v>35.456000000000003</c:v>
                </c:pt>
                <c:pt idx="177">
                  <c:v>37.020000000000003</c:v>
                </c:pt>
                <c:pt idx="178">
                  <c:v>37.738996575069692</c:v>
                </c:pt>
                <c:pt idx="179">
                  <c:v>0</c:v>
                </c:pt>
                <c:pt idx="180">
                  <c:v>0</c:v>
                </c:pt>
                <c:pt idx="181">
                  <c:v>45.49</c:v>
                </c:pt>
                <c:pt idx="182">
                  <c:v>37.99596774193548</c:v>
                </c:pt>
                <c:pt idx="183">
                  <c:v>41.474193548387099</c:v>
                </c:pt>
                <c:pt idx="184">
                  <c:v>40.932539682539684</c:v>
                </c:pt>
                <c:pt idx="185">
                  <c:v>41.797619047619051</c:v>
                </c:pt>
                <c:pt idx="186">
                  <c:v>41.263565891472865</c:v>
                </c:pt>
                <c:pt idx="187">
                  <c:v>42.795833333333334</c:v>
                </c:pt>
                <c:pt idx="188">
                  <c:v>43.487603305785122</c:v>
                </c:pt>
                <c:pt idx="189">
                  <c:v>45.252066115702476</c:v>
                </c:pt>
                <c:pt idx="190">
                  <c:v>44.929752066115704</c:v>
                </c:pt>
                <c:pt idx="191">
                  <c:v>43.487603305785122</c:v>
                </c:pt>
                <c:pt idx="192">
                  <c:v>43.024590163934427</c:v>
                </c:pt>
                <c:pt idx="193">
                  <c:v>39.601626016260163</c:v>
                </c:pt>
                <c:pt idx="194">
                  <c:v>39.20967741935484</c:v>
                </c:pt>
                <c:pt idx="195">
                  <c:v>39.850806451612904</c:v>
                </c:pt>
                <c:pt idx="196">
                  <c:v>41.987288135593218</c:v>
                </c:pt>
                <c:pt idx="197">
                  <c:v>41.806048815028767</c:v>
                </c:pt>
                <c:pt idx="198">
                  <c:v>0</c:v>
                </c:pt>
                <c:pt idx="199">
                  <c:v>0</c:v>
                </c:pt>
                <c:pt idx="200">
                  <c:v>44.76</c:v>
                </c:pt>
                <c:pt idx="201">
                  <c:v>43.254464285714285</c:v>
                </c:pt>
                <c:pt idx="202">
                  <c:v>42.631818181818183</c:v>
                </c:pt>
                <c:pt idx="203">
                  <c:v>46.604545454545452</c:v>
                </c:pt>
                <c:pt idx="204">
                  <c:v>44.640909090909091</c:v>
                </c:pt>
                <c:pt idx="205">
                  <c:v>43.603603603603602</c:v>
                </c:pt>
                <c:pt idx="206">
                  <c:v>44.2</c:v>
                </c:pt>
                <c:pt idx="207">
                  <c:v>46.768181818181816</c:v>
                </c:pt>
                <c:pt idx="208">
                  <c:v>44.477477477477478</c:v>
                </c:pt>
                <c:pt idx="209">
                  <c:v>44.081081081081081</c:v>
                </c:pt>
                <c:pt idx="210">
                  <c:v>45.590090090090094</c:v>
                </c:pt>
                <c:pt idx="211">
                  <c:v>44.276785714285715</c:v>
                </c:pt>
                <c:pt idx="212">
                  <c:v>43.294642857142854</c:v>
                </c:pt>
                <c:pt idx="213">
                  <c:v>42.464285714285715</c:v>
                </c:pt>
                <c:pt idx="214">
                  <c:v>45.379464285714285</c:v>
                </c:pt>
                <c:pt idx="215">
                  <c:v>44.311403508771932</c:v>
                </c:pt>
                <c:pt idx="216">
                  <c:v>44.371916877574776</c:v>
                </c:pt>
                <c:pt idx="217">
                  <c:v>0</c:v>
                </c:pt>
                <c:pt idx="218">
                  <c:v>0</c:v>
                </c:pt>
                <c:pt idx="219">
                  <c:v>46.36</c:v>
                </c:pt>
                <c:pt idx="220">
                  <c:v>40.991452991452988</c:v>
                </c:pt>
                <c:pt idx="221">
                  <c:v>41.563025210084035</c:v>
                </c:pt>
                <c:pt idx="222">
                  <c:v>40.85</c:v>
                </c:pt>
                <c:pt idx="223">
                  <c:v>40.737499999999997</c:v>
                </c:pt>
                <c:pt idx="224">
                  <c:v>40.720338983050844</c:v>
                </c:pt>
                <c:pt idx="225">
                  <c:v>44.228813559322035</c:v>
                </c:pt>
                <c:pt idx="226">
                  <c:v>43.313043478260873</c:v>
                </c:pt>
                <c:pt idx="227">
                  <c:v>42.954545454545453</c:v>
                </c:pt>
                <c:pt idx="228">
                  <c:v>45.432432432432435</c:v>
                </c:pt>
                <c:pt idx="229">
                  <c:v>43.676991150442475</c:v>
                </c:pt>
                <c:pt idx="230">
                  <c:v>42.609649122807021</c:v>
                </c:pt>
                <c:pt idx="231">
                  <c:v>40.122807017543863</c:v>
                </c:pt>
                <c:pt idx="232">
                  <c:v>41.44736842105263</c:v>
                </c:pt>
                <c:pt idx="233">
                  <c:v>39.621739130434783</c:v>
                </c:pt>
                <c:pt idx="234">
                  <c:v>39.125</c:v>
                </c:pt>
                <c:pt idx="235">
                  <c:v>44.529914529914528</c:v>
                </c:pt>
                <c:pt idx="236">
                  <c:v>41.995288842583996</c:v>
                </c:pt>
              </c:numCache>
            </c:numRef>
          </c:val>
        </c:ser>
        <c:axId val="75509120"/>
        <c:axId val="75515008"/>
      </c:barChart>
      <c:catAx>
        <c:axId val="75509120"/>
        <c:scaling>
          <c:orientation val="minMax"/>
        </c:scaling>
        <c:axPos val="b"/>
        <c:tickLblPos val="nextTo"/>
        <c:crossAx val="75515008"/>
        <c:crosses val="autoZero"/>
        <c:auto val="1"/>
        <c:lblAlgn val="ctr"/>
        <c:lblOffset val="100"/>
      </c:catAx>
      <c:valAx>
        <c:axId val="75515008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5509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Milk</c:v>
          </c:tx>
          <c:val>
            <c:numRef>
              <c:f>'2014'!$D$63:$D$79</c:f>
              <c:numCache>
                <c:formatCode>General</c:formatCode>
                <c:ptCount val="17"/>
                <c:pt idx="0">
                  <c:v>49.76</c:v>
                </c:pt>
                <c:pt idx="1">
                  <c:v>49.89208633093525</c:v>
                </c:pt>
                <c:pt idx="2">
                  <c:v>49.89208633093525</c:v>
                </c:pt>
                <c:pt idx="3">
                  <c:v>49.89208633093525</c:v>
                </c:pt>
                <c:pt idx="4">
                  <c:v>49.89208633093525</c:v>
                </c:pt>
                <c:pt idx="5">
                  <c:v>49.89208633093525</c:v>
                </c:pt>
                <c:pt idx="6">
                  <c:v>49.89208633093525</c:v>
                </c:pt>
                <c:pt idx="7">
                  <c:v>49.89208633093525</c:v>
                </c:pt>
                <c:pt idx="8">
                  <c:v>49.89208633093525</c:v>
                </c:pt>
                <c:pt idx="9">
                  <c:v>49.89208633093525</c:v>
                </c:pt>
                <c:pt idx="10">
                  <c:v>49.89208633093525</c:v>
                </c:pt>
                <c:pt idx="11">
                  <c:v>49.89208633093525</c:v>
                </c:pt>
                <c:pt idx="12">
                  <c:v>49.89208633093525</c:v>
                </c:pt>
                <c:pt idx="13">
                  <c:v>49.89208633093525</c:v>
                </c:pt>
                <c:pt idx="14">
                  <c:v>49.89208633093525</c:v>
                </c:pt>
                <c:pt idx="15">
                  <c:v>49.89208633093525</c:v>
                </c:pt>
                <c:pt idx="16">
                  <c:v>49.892086330935257</c:v>
                </c:pt>
              </c:numCache>
            </c:numRef>
          </c:val>
        </c:ser>
        <c:ser>
          <c:idx val="1"/>
          <c:order val="1"/>
          <c:tx>
            <c:v>All</c:v>
          </c:tx>
          <c:val>
            <c:numRef>
              <c:f>'2014'!$F$63:$F$79</c:f>
              <c:numCache>
                <c:formatCode>General</c:formatCode>
                <c:ptCount val="17"/>
                <c:pt idx="0">
                  <c:v>41.26</c:v>
                </c:pt>
                <c:pt idx="1">
                  <c:v>41.279761904761905</c:v>
                </c:pt>
                <c:pt idx="2">
                  <c:v>41.279761904761905</c:v>
                </c:pt>
                <c:pt idx="3">
                  <c:v>41.279761904761905</c:v>
                </c:pt>
                <c:pt idx="4">
                  <c:v>41.279761904761905</c:v>
                </c:pt>
                <c:pt idx="5">
                  <c:v>41.279761904761905</c:v>
                </c:pt>
                <c:pt idx="6">
                  <c:v>41.279761904761905</c:v>
                </c:pt>
                <c:pt idx="7">
                  <c:v>41.279761904761905</c:v>
                </c:pt>
                <c:pt idx="8">
                  <c:v>41.279761904761905</c:v>
                </c:pt>
                <c:pt idx="9">
                  <c:v>41.279761904761905</c:v>
                </c:pt>
                <c:pt idx="10">
                  <c:v>41.279761904761905</c:v>
                </c:pt>
                <c:pt idx="11">
                  <c:v>41.279761904761905</c:v>
                </c:pt>
                <c:pt idx="12">
                  <c:v>41.279761904761905</c:v>
                </c:pt>
                <c:pt idx="13">
                  <c:v>41.279761904761905</c:v>
                </c:pt>
                <c:pt idx="14">
                  <c:v>41.279761904761905</c:v>
                </c:pt>
                <c:pt idx="15">
                  <c:v>41.279761904761905</c:v>
                </c:pt>
                <c:pt idx="16">
                  <c:v>41.279761904761912</c:v>
                </c:pt>
              </c:numCache>
            </c:numRef>
          </c:val>
        </c:ser>
        <c:axId val="75556352"/>
        <c:axId val="75557888"/>
      </c:barChart>
      <c:catAx>
        <c:axId val="75556352"/>
        <c:scaling>
          <c:orientation val="minMax"/>
        </c:scaling>
        <c:axPos val="b"/>
        <c:tickLblPos val="nextTo"/>
        <c:crossAx val="75557888"/>
        <c:crosses val="autoZero"/>
        <c:auto val="1"/>
        <c:lblAlgn val="ctr"/>
        <c:lblOffset val="100"/>
      </c:catAx>
      <c:valAx>
        <c:axId val="75557888"/>
        <c:scaling>
          <c:orientation val="minMax"/>
          <c:max val="52"/>
          <c:min val="28"/>
        </c:scaling>
        <c:axPos val="l"/>
        <c:majorGridlines/>
        <c:numFmt formatCode="General" sourceLinked="1"/>
        <c:tickLblPos val="nextTo"/>
        <c:crossAx val="75556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v>Per Cow</c:v>
          </c:tx>
          <c:val>
            <c:numRef>
              <c:f>'2011'!$D$3:$D$76</c:f>
              <c:numCache>
                <c:formatCode>General</c:formatCode>
                <c:ptCount val="74"/>
                <c:pt idx="0">
                  <c:v>38.186131386861312</c:v>
                </c:pt>
                <c:pt idx="1">
                  <c:v>40.57692307692308</c:v>
                </c:pt>
                <c:pt idx="2">
                  <c:v>41.630769230769232</c:v>
                </c:pt>
                <c:pt idx="3">
                  <c:v>41.31818181818182</c:v>
                </c:pt>
                <c:pt idx="4">
                  <c:v>39.29296875</c:v>
                </c:pt>
                <c:pt idx="5">
                  <c:v>39.326771653543304</c:v>
                </c:pt>
                <c:pt idx="6">
                  <c:v>40.334645669291341</c:v>
                </c:pt>
                <c:pt idx="7">
                  <c:v>43.611538461538458</c:v>
                </c:pt>
                <c:pt idx="8">
                  <c:v>42.815384615384616</c:v>
                </c:pt>
                <c:pt idx="9">
                  <c:v>44.723076923076924</c:v>
                </c:pt>
                <c:pt idx="10">
                  <c:v>44.069230769230771</c:v>
                </c:pt>
                <c:pt idx="11">
                  <c:v>44.46153846153846</c:v>
                </c:pt>
                <c:pt idx="12">
                  <c:v>45.823076923076925</c:v>
                </c:pt>
                <c:pt idx="13">
                  <c:v>44.984615384615381</c:v>
                </c:pt>
                <c:pt idx="14">
                  <c:v>45.596153846153847</c:v>
                </c:pt>
                <c:pt idx="15">
                  <c:v>42.450067131345691</c:v>
                </c:pt>
                <c:pt idx="16">
                  <c:v>0</c:v>
                </c:pt>
                <c:pt idx="17">
                  <c:v>0</c:v>
                </c:pt>
                <c:pt idx="18">
                  <c:v>44.3</c:v>
                </c:pt>
                <c:pt idx="19">
                  <c:v>44.46153846153846</c:v>
                </c:pt>
                <c:pt idx="20">
                  <c:v>46.392307692307689</c:v>
                </c:pt>
                <c:pt idx="21">
                  <c:v>44.780303030303031</c:v>
                </c:pt>
                <c:pt idx="22">
                  <c:v>44.403225806451616</c:v>
                </c:pt>
                <c:pt idx="23">
                  <c:v>45.060483870967744</c:v>
                </c:pt>
                <c:pt idx="24">
                  <c:v>46.133064516129032</c:v>
                </c:pt>
                <c:pt idx="25">
                  <c:v>46.609756097560975</c:v>
                </c:pt>
                <c:pt idx="26">
                  <c:v>46.270161290322584</c:v>
                </c:pt>
                <c:pt idx="27">
                  <c:v>46.126016260162601</c:v>
                </c:pt>
                <c:pt idx="28">
                  <c:v>45.41393442622951</c:v>
                </c:pt>
                <c:pt idx="29">
                  <c:v>44.950819672131146</c:v>
                </c:pt>
                <c:pt idx="30">
                  <c:v>46.48770491803279</c:v>
                </c:pt>
                <c:pt idx="31">
                  <c:v>44.98770491803279</c:v>
                </c:pt>
                <c:pt idx="32">
                  <c:v>45.805555555555557</c:v>
                </c:pt>
                <c:pt idx="33">
                  <c:v>44.448412698412696</c:v>
                </c:pt>
                <c:pt idx="34">
                  <c:v>45.488732614275882</c:v>
                </c:pt>
                <c:pt idx="35">
                  <c:v>0</c:v>
                </c:pt>
                <c:pt idx="36">
                  <c:v>0</c:v>
                </c:pt>
                <c:pt idx="37">
                  <c:v>38.5</c:v>
                </c:pt>
                <c:pt idx="38">
                  <c:v>45.535714285714285</c:v>
                </c:pt>
                <c:pt idx="39">
                  <c:v>44.722222222222221</c:v>
                </c:pt>
                <c:pt idx="40">
                  <c:v>45.099137931034484</c:v>
                </c:pt>
                <c:pt idx="41">
                  <c:v>48.577586206896555</c:v>
                </c:pt>
                <c:pt idx="42">
                  <c:v>47.724137931034484</c:v>
                </c:pt>
                <c:pt idx="43">
                  <c:v>45.663793103448278</c:v>
                </c:pt>
                <c:pt idx="44">
                  <c:v>46.413793103448278</c:v>
                </c:pt>
                <c:pt idx="45">
                  <c:v>47.611111111111114</c:v>
                </c:pt>
                <c:pt idx="46">
                  <c:v>46.182203389830505</c:v>
                </c:pt>
                <c:pt idx="47">
                  <c:v>41.583333333333336</c:v>
                </c:pt>
                <c:pt idx="48">
                  <c:v>43.162500000000001</c:v>
                </c:pt>
                <c:pt idx="49">
                  <c:v>42.858333333333334</c:v>
                </c:pt>
                <c:pt idx="50">
                  <c:v>42.185950413223139</c:v>
                </c:pt>
                <c:pt idx="51">
                  <c:v>40.028225806451616</c:v>
                </c:pt>
                <c:pt idx="52">
                  <c:v>44.039682539682538</c:v>
                </c:pt>
                <c:pt idx="53">
                  <c:v>44.759181647384274</c:v>
                </c:pt>
                <c:pt idx="54">
                  <c:v>0</c:v>
                </c:pt>
                <c:pt idx="55">
                  <c:v>0</c:v>
                </c:pt>
                <c:pt idx="56">
                  <c:v>40.700000000000003</c:v>
                </c:pt>
                <c:pt idx="57">
                  <c:v>44.46</c:v>
                </c:pt>
                <c:pt idx="58">
                  <c:v>45.356000000000002</c:v>
                </c:pt>
                <c:pt idx="59">
                  <c:v>44.359375</c:v>
                </c:pt>
                <c:pt idx="60">
                  <c:v>44.902439024390247</c:v>
                </c:pt>
                <c:pt idx="61">
                  <c:v>46.760683760683762</c:v>
                </c:pt>
                <c:pt idx="62">
                  <c:v>43.064102564102562</c:v>
                </c:pt>
                <c:pt idx="63">
                  <c:v>47.456140350877192</c:v>
                </c:pt>
                <c:pt idx="64">
                  <c:v>46.732456140350877</c:v>
                </c:pt>
                <c:pt idx="65">
                  <c:v>46.517857142857146</c:v>
                </c:pt>
                <c:pt idx="66">
                  <c:v>48.504504504504503</c:v>
                </c:pt>
                <c:pt idx="67">
                  <c:v>46.4375</c:v>
                </c:pt>
                <c:pt idx="68">
                  <c:v>48.151785714285715</c:v>
                </c:pt>
                <c:pt idx="69">
                  <c:v>46.026548672566371</c:v>
                </c:pt>
                <c:pt idx="70">
                  <c:v>48.415929203539825</c:v>
                </c:pt>
                <c:pt idx="71">
                  <c:v>48.151785714285715</c:v>
                </c:pt>
                <c:pt idx="72">
                  <c:v>46.517857142857146</c:v>
                </c:pt>
                <c:pt idx="73">
                  <c:v>46.36343530845631</c:v>
                </c:pt>
              </c:numCache>
            </c:numRef>
          </c:val>
        </c:ser>
        <c:axId val="73664384"/>
        <c:axId val="73665920"/>
      </c:barChart>
      <c:catAx>
        <c:axId val="73664384"/>
        <c:scaling>
          <c:orientation val="minMax"/>
        </c:scaling>
        <c:axPos val="b"/>
        <c:tickLblPos val="nextTo"/>
        <c:crossAx val="73665920"/>
        <c:crosses val="autoZero"/>
        <c:auto val="1"/>
        <c:lblAlgn val="ctr"/>
        <c:lblOffset val="100"/>
      </c:catAx>
      <c:valAx>
        <c:axId val="73665920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3664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'2014'!$D$103:$D$119</c:f>
              <c:numCache>
                <c:formatCode>General</c:formatCode>
                <c:ptCount val="17"/>
                <c:pt idx="0">
                  <c:v>47.32</c:v>
                </c:pt>
                <c:pt idx="1">
                  <c:v>47.15734265734266</c:v>
                </c:pt>
                <c:pt idx="2">
                  <c:v>47.15734265734266</c:v>
                </c:pt>
                <c:pt idx="3">
                  <c:v>47.15734265734266</c:v>
                </c:pt>
                <c:pt idx="4">
                  <c:v>47.15734265734266</c:v>
                </c:pt>
                <c:pt idx="5">
                  <c:v>47.15734265734266</c:v>
                </c:pt>
                <c:pt idx="6">
                  <c:v>47.15734265734266</c:v>
                </c:pt>
                <c:pt idx="7">
                  <c:v>47.15734265734266</c:v>
                </c:pt>
                <c:pt idx="8">
                  <c:v>47.15734265734266</c:v>
                </c:pt>
                <c:pt idx="9">
                  <c:v>47.15734265734266</c:v>
                </c:pt>
                <c:pt idx="10">
                  <c:v>47.15734265734266</c:v>
                </c:pt>
                <c:pt idx="11">
                  <c:v>47.15734265734266</c:v>
                </c:pt>
                <c:pt idx="12">
                  <c:v>47.15734265734266</c:v>
                </c:pt>
                <c:pt idx="13">
                  <c:v>47.15734265734266</c:v>
                </c:pt>
                <c:pt idx="14">
                  <c:v>47.15734265734266</c:v>
                </c:pt>
                <c:pt idx="15">
                  <c:v>47.15734265734266</c:v>
                </c:pt>
                <c:pt idx="16">
                  <c:v>47.157342657342646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'2014'!$F$103:$F$119</c:f>
              <c:numCache>
                <c:formatCode>General</c:formatCode>
                <c:ptCount val="17"/>
                <c:pt idx="0">
                  <c:v>38.909999999999997</c:v>
                </c:pt>
                <c:pt idx="1">
                  <c:v>38.979768786127167</c:v>
                </c:pt>
                <c:pt idx="2">
                  <c:v>38.979768786127167</c:v>
                </c:pt>
                <c:pt idx="3">
                  <c:v>38.979768786127167</c:v>
                </c:pt>
                <c:pt idx="4">
                  <c:v>38.979768786127167</c:v>
                </c:pt>
                <c:pt idx="5">
                  <c:v>38.979768786127167</c:v>
                </c:pt>
                <c:pt idx="6">
                  <c:v>38.979768786127167</c:v>
                </c:pt>
                <c:pt idx="7">
                  <c:v>38.979768786127167</c:v>
                </c:pt>
                <c:pt idx="8">
                  <c:v>38.979768786127167</c:v>
                </c:pt>
                <c:pt idx="9">
                  <c:v>38.979768786127167</c:v>
                </c:pt>
                <c:pt idx="10">
                  <c:v>38.979768786127167</c:v>
                </c:pt>
                <c:pt idx="11">
                  <c:v>38.979768786127167</c:v>
                </c:pt>
                <c:pt idx="12">
                  <c:v>38.979768786127167</c:v>
                </c:pt>
                <c:pt idx="13">
                  <c:v>38.979768786127167</c:v>
                </c:pt>
                <c:pt idx="14">
                  <c:v>38.979768786127167</c:v>
                </c:pt>
                <c:pt idx="15">
                  <c:v>38.979768786127167</c:v>
                </c:pt>
                <c:pt idx="16">
                  <c:v>38.979768786127167</c:v>
                </c:pt>
              </c:numCache>
            </c:numRef>
          </c:val>
        </c:ser>
        <c:axId val="75594752"/>
        <c:axId val="75596544"/>
      </c:barChart>
      <c:catAx>
        <c:axId val="75594752"/>
        <c:scaling>
          <c:orientation val="minMax"/>
        </c:scaling>
        <c:axPos val="b"/>
        <c:tickLblPos val="nextTo"/>
        <c:crossAx val="75596544"/>
        <c:crosses val="autoZero"/>
        <c:auto val="1"/>
        <c:lblAlgn val="ctr"/>
        <c:lblOffset val="100"/>
      </c:catAx>
      <c:valAx>
        <c:axId val="75596544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559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'2014'!$D$83:$D$99</c:f>
              <c:numCache>
                <c:formatCode>General</c:formatCode>
                <c:ptCount val="17"/>
                <c:pt idx="0">
                  <c:v>51.92</c:v>
                </c:pt>
                <c:pt idx="1">
                  <c:v>51.904411764705884</c:v>
                </c:pt>
                <c:pt idx="2">
                  <c:v>51.904411764705884</c:v>
                </c:pt>
                <c:pt idx="3">
                  <c:v>51.904411764705884</c:v>
                </c:pt>
                <c:pt idx="4">
                  <c:v>51.904411764705884</c:v>
                </c:pt>
                <c:pt idx="5">
                  <c:v>51.904411764705884</c:v>
                </c:pt>
                <c:pt idx="6">
                  <c:v>51.904411764705884</c:v>
                </c:pt>
                <c:pt idx="7">
                  <c:v>51.904411764705884</c:v>
                </c:pt>
                <c:pt idx="8">
                  <c:v>51.904411764705884</c:v>
                </c:pt>
                <c:pt idx="9">
                  <c:v>51.904411764705884</c:v>
                </c:pt>
                <c:pt idx="10">
                  <c:v>51.904411764705884</c:v>
                </c:pt>
                <c:pt idx="11">
                  <c:v>51.904411764705884</c:v>
                </c:pt>
                <c:pt idx="12">
                  <c:v>51.904411764705884</c:v>
                </c:pt>
                <c:pt idx="13">
                  <c:v>51.904411764705884</c:v>
                </c:pt>
                <c:pt idx="14">
                  <c:v>51.904411764705884</c:v>
                </c:pt>
                <c:pt idx="15">
                  <c:v>51.904411764705884</c:v>
                </c:pt>
                <c:pt idx="16">
                  <c:v>51.904411764705863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'2014'!$F$83:$F$99</c:f>
              <c:numCache>
                <c:formatCode>General</c:formatCode>
                <c:ptCount val="17"/>
                <c:pt idx="0">
                  <c:v>40.909999999999997</c:v>
                </c:pt>
                <c:pt idx="1">
                  <c:v>41.040697674418603</c:v>
                </c:pt>
                <c:pt idx="2">
                  <c:v>41.040697674418603</c:v>
                </c:pt>
                <c:pt idx="3">
                  <c:v>41.040697674418603</c:v>
                </c:pt>
                <c:pt idx="4">
                  <c:v>41.040697674418603</c:v>
                </c:pt>
                <c:pt idx="5">
                  <c:v>41.040697674418603</c:v>
                </c:pt>
                <c:pt idx="6">
                  <c:v>41.040697674418603</c:v>
                </c:pt>
                <c:pt idx="7">
                  <c:v>41.040697674418603</c:v>
                </c:pt>
                <c:pt idx="8">
                  <c:v>41.040697674418603</c:v>
                </c:pt>
                <c:pt idx="9">
                  <c:v>41.040697674418603</c:v>
                </c:pt>
                <c:pt idx="10">
                  <c:v>41.040697674418603</c:v>
                </c:pt>
                <c:pt idx="11">
                  <c:v>41.040697674418603</c:v>
                </c:pt>
                <c:pt idx="12">
                  <c:v>41.040697674418603</c:v>
                </c:pt>
                <c:pt idx="13">
                  <c:v>41.040697674418603</c:v>
                </c:pt>
                <c:pt idx="14">
                  <c:v>41.040697674418603</c:v>
                </c:pt>
                <c:pt idx="15">
                  <c:v>41.040697674418603</c:v>
                </c:pt>
                <c:pt idx="16">
                  <c:v>41.04069767441861</c:v>
                </c:pt>
              </c:numCache>
            </c:numRef>
          </c:val>
        </c:ser>
        <c:axId val="75694848"/>
        <c:axId val="75696384"/>
      </c:barChart>
      <c:catAx>
        <c:axId val="75694848"/>
        <c:scaling>
          <c:orientation val="minMax"/>
        </c:scaling>
        <c:axPos val="b"/>
        <c:tickLblPos val="nextTo"/>
        <c:crossAx val="75696384"/>
        <c:crosses val="autoZero"/>
        <c:auto val="1"/>
        <c:lblAlgn val="ctr"/>
        <c:lblOffset val="100"/>
      </c:catAx>
      <c:valAx>
        <c:axId val="75696384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5694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'2013'!$D$123:$D$140</c:f>
              <c:numCache>
                <c:formatCode>General</c:formatCode>
                <c:ptCount val="18"/>
                <c:pt idx="0">
                  <c:v>55.59</c:v>
                </c:pt>
                <c:pt idx="1">
                  <c:v>42.96875</c:v>
                </c:pt>
                <c:pt idx="2">
                  <c:v>37.700000000000003</c:v>
                </c:pt>
                <c:pt idx="3">
                  <c:v>43.707407407407409</c:v>
                </c:pt>
                <c:pt idx="4">
                  <c:v>41.137323943661968</c:v>
                </c:pt>
                <c:pt idx="5">
                  <c:v>42.640845070422536</c:v>
                </c:pt>
                <c:pt idx="6">
                  <c:v>43.427083333333336</c:v>
                </c:pt>
                <c:pt idx="7">
                  <c:v>44.060283687943262</c:v>
                </c:pt>
                <c:pt idx="8">
                  <c:v>46.953900709219859</c:v>
                </c:pt>
                <c:pt idx="9">
                  <c:v>45.833333333333336</c:v>
                </c:pt>
                <c:pt idx="10">
                  <c:v>45.770833333333336</c:v>
                </c:pt>
                <c:pt idx="11">
                  <c:v>45.051369863013697</c:v>
                </c:pt>
                <c:pt idx="12">
                  <c:v>43.106164383561641</c:v>
                </c:pt>
                <c:pt idx="13">
                  <c:v>42.844827586206897</c:v>
                </c:pt>
                <c:pt idx="14">
                  <c:v>41.557823129251702</c:v>
                </c:pt>
                <c:pt idx="15">
                  <c:v>39.333333333333336</c:v>
                </c:pt>
                <c:pt idx="16">
                  <c:v>39.7687074829932</c:v>
                </c:pt>
                <c:pt idx="17">
                  <c:v>42.86637416231347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'2013'!$F$123:$F$140</c:f>
              <c:numCache>
                <c:formatCode>General</c:formatCode>
                <c:ptCount val="18"/>
                <c:pt idx="0">
                  <c:v>44.98</c:v>
                </c:pt>
                <c:pt idx="1">
                  <c:v>37.960122699386503</c:v>
                </c:pt>
                <c:pt idx="2">
                  <c:v>31.223926380368098</c:v>
                </c:pt>
                <c:pt idx="3">
                  <c:v>36.199386503067487</c:v>
                </c:pt>
                <c:pt idx="4">
                  <c:v>35.403030303030306</c:v>
                </c:pt>
                <c:pt idx="5">
                  <c:v>37.147239263803684</c:v>
                </c:pt>
                <c:pt idx="6">
                  <c:v>38.365030674846629</c:v>
                </c:pt>
                <c:pt idx="7">
                  <c:v>38.113496932515339</c:v>
                </c:pt>
                <c:pt idx="8">
                  <c:v>40.616564417177912</c:v>
                </c:pt>
                <c:pt idx="9">
                  <c:v>40.243902439024389</c:v>
                </c:pt>
                <c:pt idx="10">
                  <c:v>40.435582822085891</c:v>
                </c:pt>
                <c:pt idx="11">
                  <c:v>40.106707317073173</c:v>
                </c:pt>
                <c:pt idx="12">
                  <c:v>38.375</c:v>
                </c:pt>
                <c:pt idx="13">
                  <c:v>38.113496932515339</c:v>
                </c:pt>
                <c:pt idx="14">
                  <c:v>37.478527607361961</c:v>
                </c:pt>
                <c:pt idx="15">
                  <c:v>35.472392638036808</c:v>
                </c:pt>
                <c:pt idx="16">
                  <c:v>35.865030674846629</c:v>
                </c:pt>
                <c:pt idx="17">
                  <c:v>37.569964850321256</c:v>
                </c:pt>
              </c:numCache>
            </c:numRef>
          </c:val>
        </c:ser>
        <c:axId val="75712768"/>
        <c:axId val="75718656"/>
      </c:barChart>
      <c:catAx>
        <c:axId val="75712768"/>
        <c:scaling>
          <c:orientation val="minMax"/>
        </c:scaling>
        <c:axPos val="b"/>
        <c:tickLblPos val="nextTo"/>
        <c:crossAx val="75718656"/>
        <c:crosses val="autoZero"/>
        <c:auto val="1"/>
        <c:lblAlgn val="ctr"/>
        <c:lblOffset val="100"/>
      </c:catAx>
      <c:valAx>
        <c:axId val="75718656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571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Milk cows</c:v>
          </c:tx>
          <c:val>
            <c:numRef>
              <c:f>'2014'!$D$144:$D$160</c:f>
              <c:numCache>
                <c:formatCode>General</c:formatCode>
                <c:ptCount val="17"/>
                <c:pt idx="0">
                  <c:v>36.17</c:v>
                </c:pt>
                <c:pt idx="1">
                  <c:v>34.923611111111114</c:v>
                </c:pt>
                <c:pt idx="2">
                  <c:v>34.923611111111114</c:v>
                </c:pt>
                <c:pt idx="3">
                  <c:v>34.923611111111114</c:v>
                </c:pt>
                <c:pt idx="4">
                  <c:v>34.923611111111114</c:v>
                </c:pt>
                <c:pt idx="5">
                  <c:v>34.923611111111114</c:v>
                </c:pt>
                <c:pt idx="6">
                  <c:v>34.923611111111114</c:v>
                </c:pt>
                <c:pt idx="7">
                  <c:v>34.923611111111114</c:v>
                </c:pt>
                <c:pt idx="8">
                  <c:v>34.923611111111114</c:v>
                </c:pt>
                <c:pt idx="9">
                  <c:v>34.923611111111114</c:v>
                </c:pt>
                <c:pt idx="10">
                  <c:v>34.923611111111114</c:v>
                </c:pt>
                <c:pt idx="11">
                  <c:v>34.923611111111114</c:v>
                </c:pt>
                <c:pt idx="12">
                  <c:v>34.923611111111114</c:v>
                </c:pt>
                <c:pt idx="13">
                  <c:v>34.923611111111114</c:v>
                </c:pt>
                <c:pt idx="14">
                  <c:v>34.923611111111114</c:v>
                </c:pt>
                <c:pt idx="15">
                  <c:v>34.923611111111114</c:v>
                </c:pt>
                <c:pt idx="16">
                  <c:v>34.9236111111111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'2014'!$F$144:$F$160</c:f>
              <c:numCache>
                <c:formatCode>General</c:formatCode>
                <c:ptCount val="17"/>
                <c:pt idx="0">
                  <c:v>32.81</c:v>
                </c:pt>
                <c:pt idx="1">
                  <c:v>31.043209876543209</c:v>
                </c:pt>
                <c:pt idx="2">
                  <c:v>31.043209876543209</c:v>
                </c:pt>
                <c:pt idx="3">
                  <c:v>31.043209876543209</c:v>
                </c:pt>
                <c:pt idx="4">
                  <c:v>31.043209876543209</c:v>
                </c:pt>
                <c:pt idx="5">
                  <c:v>31.043209876543209</c:v>
                </c:pt>
                <c:pt idx="6">
                  <c:v>31.043209876543209</c:v>
                </c:pt>
                <c:pt idx="7">
                  <c:v>31.043209876543209</c:v>
                </c:pt>
                <c:pt idx="8">
                  <c:v>31.043209876543209</c:v>
                </c:pt>
                <c:pt idx="9">
                  <c:v>31.043209876543209</c:v>
                </c:pt>
                <c:pt idx="10">
                  <c:v>31.043209876543209</c:v>
                </c:pt>
                <c:pt idx="11">
                  <c:v>31.043209876543209</c:v>
                </c:pt>
                <c:pt idx="12">
                  <c:v>31.043209876543209</c:v>
                </c:pt>
                <c:pt idx="13">
                  <c:v>31.043209876543209</c:v>
                </c:pt>
                <c:pt idx="14">
                  <c:v>31.043209876543209</c:v>
                </c:pt>
                <c:pt idx="15">
                  <c:v>31.043209876543209</c:v>
                </c:pt>
                <c:pt idx="16">
                  <c:v>31.043209876543202</c:v>
                </c:pt>
              </c:numCache>
            </c:numRef>
          </c:val>
        </c:ser>
        <c:axId val="75833344"/>
        <c:axId val="75834880"/>
      </c:barChart>
      <c:catAx>
        <c:axId val="75833344"/>
        <c:scaling>
          <c:orientation val="minMax"/>
        </c:scaling>
        <c:axPos val="b"/>
        <c:tickLblPos val="nextTo"/>
        <c:crossAx val="75834880"/>
        <c:crosses val="autoZero"/>
        <c:auto val="1"/>
        <c:lblAlgn val="ctr"/>
        <c:lblOffset val="100"/>
      </c:catAx>
      <c:valAx>
        <c:axId val="75834880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583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376393168245764E-2"/>
          <c:y val="4.6503437790737324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val>
            <c:numRef>
              <c:f>'2014'!$D$165:$D$181</c:f>
              <c:numCache>
                <c:formatCode>General</c:formatCode>
                <c:ptCount val="17"/>
                <c:pt idx="0">
                  <c:v>39.751968503937007</c:v>
                </c:pt>
                <c:pt idx="1">
                  <c:v>39.751968503937007</c:v>
                </c:pt>
                <c:pt idx="2">
                  <c:v>39.751968503937007</c:v>
                </c:pt>
                <c:pt idx="3">
                  <c:v>39.751968503937007</c:v>
                </c:pt>
                <c:pt idx="4">
                  <c:v>39.751968503937007</c:v>
                </c:pt>
                <c:pt idx="5">
                  <c:v>39.751968503937007</c:v>
                </c:pt>
                <c:pt idx="6">
                  <c:v>39.751968503937007</c:v>
                </c:pt>
                <c:pt idx="7">
                  <c:v>39.751968503937007</c:v>
                </c:pt>
                <c:pt idx="8">
                  <c:v>39.751968503937007</c:v>
                </c:pt>
                <c:pt idx="9">
                  <c:v>39.751968503937007</c:v>
                </c:pt>
                <c:pt idx="10">
                  <c:v>39.751968503937007</c:v>
                </c:pt>
                <c:pt idx="11">
                  <c:v>39.751968503937007</c:v>
                </c:pt>
                <c:pt idx="12">
                  <c:v>39.751968503937007</c:v>
                </c:pt>
                <c:pt idx="13">
                  <c:v>39.751968503937007</c:v>
                </c:pt>
                <c:pt idx="14">
                  <c:v>39.751968503937007</c:v>
                </c:pt>
                <c:pt idx="15">
                  <c:v>39.751968503936993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val>
            <c:numRef>
              <c:f>'2014'!$F$165:$F$181</c:f>
              <c:numCache>
                <c:formatCode>General</c:formatCode>
                <c:ptCount val="17"/>
                <c:pt idx="0">
                  <c:v>31.751572327044027</c:v>
                </c:pt>
                <c:pt idx="1">
                  <c:v>31.751572327044027</c:v>
                </c:pt>
                <c:pt idx="2">
                  <c:v>31.751572327044027</c:v>
                </c:pt>
                <c:pt idx="3">
                  <c:v>31.751572327044027</c:v>
                </c:pt>
                <c:pt idx="4">
                  <c:v>31.751572327044027</c:v>
                </c:pt>
                <c:pt idx="5">
                  <c:v>31.751572327044027</c:v>
                </c:pt>
                <c:pt idx="6">
                  <c:v>31.751572327044027</c:v>
                </c:pt>
                <c:pt idx="7">
                  <c:v>31.751572327044027</c:v>
                </c:pt>
                <c:pt idx="8">
                  <c:v>31.751572327044027</c:v>
                </c:pt>
                <c:pt idx="9">
                  <c:v>31.751572327044027</c:v>
                </c:pt>
                <c:pt idx="10">
                  <c:v>31.751572327044027</c:v>
                </c:pt>
                <c:pt idx="11">
                  <c:v>31.751572327044027</c:v>
                </c:pt>
                <c:pt idx="12">
                  <c:v>31.751572327044027</c:v>
                </c:pt>
                <c:pt idx="13">
                  <c:v>31.751572327044027</c:v>
                </c:pt>
                <c:pt idx="14">
                  <c:v>31.751572327044027</c:v>
                </c:pt>
                <c:pt idx="15">
                  <c:v>31.75157232704402</c:v>
                </c:pt>
              </c:numCache>
            </c:numRef>
          </c:val>
        </c:ser>
        <c:axId val="75851264"/>
        <c:axId val="75852800"/>
      </c:barChart>
      <c:catAx>
        <c:axId val="75851264"/>
        <c:scaling>
          <c:orientation val="minMax"/>
        </c:scaling>
        <c:axPos val="b"/>
        <c:tickLblPos val="nextTo"/>
        <c:crossAx val="75852800"/>
        <c:crosses val="autoZero"/>
        <c:auto val="1"/>
        <c:lblAlgn val="ctr"/>
        <c:lblOffset val="100"/>
      </c:catAx>
      <c:valAx>
        <c:axId val="75852800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585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22"/>
          <c:y val="0.41450150143335834"/>
          <c:w val="0.16666552550496408"/>
          <c:h val="0.13896571285938067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'2014'!$D$184:$D$200</c:f>
              <c:numCache>
                <c:formatCode>General</c:formatCode>
                <c:ptCount val="17"/>
                <c:pt idx="0">
                  <c:v>35.193277310924373</c:v>
                </c:pt>
                <c:pt idx="1">
                  <c:v>35.193277310924373</c:v>
                </c:pt>
                <c:pt idx="2">
                  <c:v>35.193277310924373</c:v>
                </c:pt>
                <c:pt idx="3">
                  <c:v>35.193277310924373</c:v>
                </c:pt>
                <c:pt idx="4">
                  <c:v>35.193277310924373</c:v>
                </c:pt>
                <c:pt idx="5">
                  <c:v>35.193277310924373</c:v>
                </c:pt>
                <c:pt idx="6">
                  <c:v>35.193277310924373</c:v>
                </c:pt>
                <c:pt idx="7">
                  <c:v>35.193277310924373</c:v>
                </c:pt>
                <c:pt idx="8">
                  <c:v>35.193277310924373</c:v>
                </c:pt>
                <c:pt idx="9">
                  <c:v>35.193277310924373</c:v>
                </c:pt>
                <c:pt idx="10">
                  <c:v>35.193277310924373</c:v>
                </c:pt>
                <c:pt idx="11">
                  <c:v>35.193277310924373</c:v>
                </c:pt>
                <c:pt idx="12">
                  <c:v>35.193277310924373</c:v>
                </c:pt>
                <c:pt idx="13">
                  <c:v>35.193277310924373</c:v>
                </c:pt>
                <c:pt idx="14">
                  <c:v>35.193277310924373</c:v>
                </c:pt>
                <c:pt idx="15">
                  <c:v>35.193277310924373</c:v>
                </c:pt>
                <c:pt idx="16">
                  <c:v>35.193277310924373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'2014'!$F$184:$F$200</c:f>
              <c:numCache>
                <c:formatCode>General</c:formatCode>
                <c:ptCount val="17"/>
                <c:pt idx="0">
                  <c:v>27.372549019607842</c:v>
                </c:pt>
                <c:pt idx="1">
                  <c:v>27.372549019607842</c:v>
                </c:pt>
                <c:pt idx="2">
                  <c:v>27.372549019607842</c:v>
                </c:pt>
                <c:pt idx="3">
                  <c:v>27.372549019607842</c:v>
                </c:pt>
                <c:pt idx="4">
                  <c:v>27.372549019607842</c:v>
                </c:pt>
                <c:pt idx="5">
                  <c:v>27.372549019607842</c:v>
                </c:pt>
                <c:pt idx="6">
                  <c:v>27.372549019607842</c:v>
                </c:pt>
                <c:pt idx="7">
                  <c:v>27.372549019607842</c:v>
                </c:pt>
                <c:pt idx="8">
                  <c:v>27.372549019607842</c:v>
                </c:pt>
                <c:pt idx="9">
                  <c:v>27.372549019607842</c:v>
                </c:pt>
                <c:pt idx="10">
                  <c:v>27.372549019607842</c:v>
                </c:pt>
                <c:pt idx="11">
                  <c:v>27.372549019607842</c:v>
                </c:pt>
                <c:pt idx="12">
                  <c:v>27.372549019607842</c:v>
                </c:pt>
                <c:pt idx="13">
                  <c:v>27.372549019607842</c:v>
                </c:pt>
                <c:pt idx="14">
                  <c:v>27.372549019607842</c:v>
                </c:pt>
                <c:pt idx="15">
                  <c:v>27.372549019607842</c:v>
                </c:pt>
                <c:pt idx="16">
                  <c:v>27.372549019607842</c:v>
                </c:pt>
              </c:numCache>
            </c:numRef>
          </c:val>
        </c:ser>
        <c:axId val="75881472"/>
        <c:axId val="75887360"/>
      </c:barChart>
      <c:catAx>
        <c:axId val="75881472"/>
        <c:scaling>
          <c:orientation val="minMax"/>
        </c:scaling>
        <c:axPos val="b"/>
        <c:tickLblPos val="nextTo"/>
        <c:crossAx val="75887360"/>
        <c:crosses val="autoZero"/>
        <c:auto val="1"/>
        <c:lblAlgn val="ctr"/>
        <c:lblOffset val="100"/>
      </c:catAx>
      <c:valAx>
        <c:axId val="75887360"/>
        <c:scaling>
          <c:orientation val="minMax"/>
          <c:max val="50"/>
          <c:min val="25"/>
        </c:scaling>
        <c:axPos val="l"/>
        <c:majorGridlines/>
        <c:numFmt formatCode="General" sourceLinked="1"/>
        <c:tickLblPos val="nextTo"/>
        <c:crossAx val="7588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2962661925323724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'2014'!$D$203:$D$219</c:f>
              <c:numCache>
                <c:formatCode>General</c:formatCode>
                <c:ptCount val="17"/>
                <c:pt idx="0">
                  <c:v>38.200000000000003</c:v>
                </c:pt>
                <c:pt idx="1">
                  <c:v>38.234782608695653</c:v>
                </c:pt>
                <c:pt idx="2">
                  <c:v>38.234782608695653</c:v>
                </c:pt>
                <c:pt idx="3">
                  <c:v>38.234782608695653</c:v>
                </c:pt>
                <c:pt idx="4">
                  <c:v>38.234782608695653</c:v>
                </c:pt>
                <c:pt idx="5">
                  <c:v>38.234782608695653</c:v>
                </c:pt>
                <c:pt idx="6">
                  <c:v>38.234782608695653</c:v>
                </c:pt>
                <c:pt idx="7">
                  <c:v>38.234782608695653</c:v>
                </c:pt>
                <c:pt idx="8">
                  <c:v>38.234782608695653</c:v>
                </c:pt>
                <c:pt idx="9">
                  <c:v>38.234782608695653</c:v>
                </c:pt>
                <c:pt idx="10">
                  <c:v>38.234782608695653</c:v>
                </c:pt>
                <c:pt idx="11">
                  <c:v>38.234782608695653</c:v>
                </c:pt>
                <c:pt idx="12">
                  <c:v>38.234782608695653</c:v>
                </c:pt>
                <c:pt idx="13">
                  <c:v>38.234782608695653</c:v>
                </c:pt>
                <c:pt idx="14">
                  <c:v>38.234782608695653</c:v>
                </c:pt>
                <c:pt idx="15">
                  <c:v>38.234782608695653</c:v>
                </c:pt>
                <c:pt idx="16">
                  <c:v>38.234782608695653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'2014'!$F$203:$F$219</c:f>
              <c:numCache>
                <c:formatCode>General</c:formatCode>
                <c:ptCount val="17"/>
                <c:pt idx="0">
                  <c:v>29.9</c:v>
                </c:pt>
                <c:pt idx="1">
                  <c:v>29.911564625850339</c:v>
                </c:pt>
                <c:pt idx="2">
                  <c:v>29.911564625850339</c:v>
                </c:pt>
                <c:pt idx="3">
                  <c:v>29.911564625850339</c:v>
                </c:pt>
                <c:pt idx="4">
                  <c:v>29.911564625850339</c:v>
                </c:pt>
                <c:pt idx="5">
                  <c:v>29.911564625850339</c:v>
                </c:pt>
                <c:pt idx="6">
                  <c:v>29.911564625850339</c:v>
                </c:pt>
                <c:pt idx="7">
                  <c:v>29.911564625850339</c:v>
                </c:pt>
                <c:pt idx="8">
                  <c:v>29.911564625850339</c:v>
                </c:pt>
                <c:pt idx="9">
                  <c:v>29.911564625850339</c:v>
                </c:pt>
                <c:pt idx="10">
                  <c:v>29.911564625850339</c:v>
                </c:pt>
                <c:pt idx="11">
                  <c:v>29.911564625850339</c:v>
                </c:pt>
                <c:pt idx="12">
                  <c:v>29.911564625850339</c:v>
                </c:pt>
                <c:pt idx="13">
                  <c:v>29.911564625850339</c:v>
                </c:pt>
                <c:pt idx="14">
                  <c:v>29.911564625850339</c:v>
                </c:pt>
                <c:pt idx="15">
                  <c:v>29.911564625850339</c:v>
                </c:pt>
                <c:pt idx="16">
                  <c:v>29.911564625850346</c:v>
                </c:pt>
              </c:numCache>
            </c:numRef>
          </c:val>
        </c:ser>
        <c:axId val="75916032"/>
        <c:axId val="75917568"/>
      </c:barChart>
      <c:catAx>
        <c:axId val="75916032"/>
        <c:scaling>
          <c:orientation val="minMax"/>
        </c:scaling>
        <c:axPos val="b"/>
        <c:tickLblPos val="nextTo"/>
        <c:crossAx val="75917568"/>
        <c:crosses val="autoZero"/>
        <c:auto val="1"/>
        <c:lblAlgn val="ctr"/>
        <c:lblOffset val="100"/>
      </c:catAx>
      <c:valAx>
        <c:axId val="75917568"/>
        <c:scaling>
          <c:orientation val="minMax"/>
          <c:max val="45"/>
          <c:min val="25"/>
        </c:scaling>
        <c:axPos val="l"/>
        <c:majorGridlines/>
        <c:numFmt formatCode="General" sourceLinked="1"/>
        <c:tickLblPos val="nextTo"/>
        <c:crossAx val="75916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'2013'!$D$222:$D$239</c:f>
              <c:numCache>
                <c:formatCode>General</c:formatCode>
                <c:ptCount val="18"/>
                <c:pt idx="0">
                  <c:v>41.9953</c:v>
                </c:pt>
                <c:pt idx="1">
                  <c:v>39.582608695652176</c:v>
                </c:pt>
                <c:pt idx="2">
                  <c:v>40.521551724137929</c:v>
                </c:pt>
                <c:pt idx="3">
                  <c:v>39.213675213675216</c:v>
                </c:pt>
                <c:pt idx="4">
                  <c:v>38.918103448275865</c:v>
                </c:pt>
                <c:pt idx="5">
                  <c:v>37.512931034482762</c:v>
                </c:pt>
                <c:pt idx="6">
                  <c:v>39.591743119266056</c:v>
                </c:pt>
                <c:pt idx="7">
                  <c:v>39.886363636363633</c:v>
                </c:pt>
                <c:pt idx="8">
                  <c:v>41.259090909090908</c:v>
                </c:pt>
                <c:pt idx="9">
                  <c:v>40.407079646017699</c:v>
                </c:pt>
                <c:pt idx="10">
                  <c:v>38.157894736842103</c:v>
                </c:pt>
                <c:pt idx="11">
                  <c:v>36.357758620689658</c:v>
                </c:pt>
                <c:pt idx="12">
                  <c:v>39.247863247863251</c:v>
                </c:pt>
                <c:pt idx="13">
                  <c:v>41.29059829059829</c:v>
                </c:pt>
                <c:pt idx="14">
                  <c:v>41.085470085470085</c:v>
                </c:pt>
                <c:pt idx="15">
                  <c:v>40.737288135593218</c:v>
                </c:pt>
                <c:pt idx="16">
                  <c:v>40.737288135593218</c:v>
                </c:pt>
                <c:pt idx="17">
                  <c:v>39.656706792475745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'2013'!$F$222:$F$239</c:f>
              <c:numCache>
                <c:formatCode>General</c:formatCode>
                <c:ptCount val="18"/>
                <c:pt idx="0">
                  <c:v>34.051000000000002</c:v>
                </c:pt>
                <c:pt idx="1">
                  <c:v>30.550335570469798</c:v>
                </c:pt>
                <c:pt idx="2">
                  <c:v>31.546979865771814</c:v>
                </c:pt>
                <c:pt idx="3">
                  <c:v>30.791946308724832</c:v>
                </c:pt>
                <c:pt idx="4">
                  <c:v>30.710884353741495</c:v>
                </c:pt>
                <c:pt idx="5">
                  <c:v>29.602040816326532</c:v>
                </c:pt>
                <c:pt idx="6">
                  <c:v>29.357142857142858</c:v>
                </c:pt>
                <c:pt idx="7">
                  <c:v>29.846938775510203</c:v>
                </c:pt>
                <c:pt idx="8">
                  <c:v>30.874149659863946</c:v>
                </c:pt>
                <c:pt idx="9">
                  <c:v>31.061224489795919</c:v>
                </c:pt>
                <c:pt idx="10">
                  <c:v>29.591836734693878</c:v>
                </c:pt>
                <c:pt idx="11">
                  <c:v>28.69047619047619</c:v>
                </c:pt>
                <c:pt idx="12">
                  <c:v>31.238095238095237</c:v>
                </c:pt>
                <c:pt idx="13">
                  <c:v>32.863945578231295</c:v>
                </c:pt>
                <c:pt idx="14">
                  <c:v>32.700680272108841</c:v>
                </c:pt>
                <c:pt idx="15">
                  <c:v>32.700680272108841</c:v>
                </c:pt>
                <c:pt idx="16">
                  <c:v>32.700680272108841</c:v>
                </c:pt>
                <c:pt idx="17">
                  <c:v>30.926752328448163</c:v>
                </c:pt>
              </c:numCache>
            </c:numRef>
          </c:val>
        </c:ser>
        <c:axId val="75946240"/>
        <c:axId val="75948032"/>
      </c:barChart>
      <c:catAx>
        <c:axId val="75946240"/>
        <c:scaling>
          <c:orientation val="minMax"/>
        </c:scaling>
        <c:axPos val="b"/>
        <c:tickLblPos val="nextTo"/>
        <c:crossAx val="75948032"/>
        <c:crosses val="autoZero"/>
        <c:auto val="1"/>
        <c:lblAlgn val="ctr"/>
        <c:lblOffset val="100"/>
      </c:catAx>
      <c:valAx>
        <c:axId val="75948032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594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'2013'!$D$23:$D$38</c:f>
              <c:numCache>
                <c:formatCode>General</c:formatCode>
                <c:ptCount val="16"/>
                <c:pt idx="0">
                  <c:v>47.47</c:v>
                </c:pt>
                <c:pt idx="1">
                  <c:v>46.265765765765764</c:v>
                </c:pt>
                <c:pt idx="2">
                  <c:v>46.346846846846844</c:v>
                </c:pt>
                <c:pt idx="3">
                  <c:v>49.555045871559635</c:v>
                </c:pt>
                <c:pt idx="4">
                  <c:v>48.037383177570092</c:v>
                </c:pt>
                <c:pt idx="5">
                  <c:v>44.201834862385319</c:v>
                </c:pt>
                <c:pt idx="6">
                  <c:v>44.4</c:v>
                </c:pt>
                <c:pt idx="7">
                  <c:v>42.326271186440678</c:v>
                </c:pt>
                <c:pt idx="8">
                  <c:v>42.672268907563023</c:v>
                </c:pt>
                <c:pt idx="9">
                  <c:v>40.634453781512605</c:v>
                </c:pt>
                <c:pt idx="10">
                  <c:v>42.106481481481481</c:v>
                </c:pt>
                <c:pt idx="11">
                  <c:v>43.26605504587156</c:v>
                </c:pt>
                <c:pt idx="12">
                  <c:v>42.268181818181816</c:v>
                </c:pt>
                <c:pt idx="13">
                  <c:v>40.953703703703702</c:v>
                </c:pt>
                <c:pt idx="14">
                  <c:v>40.951327433628322</c:v>
                </c:pt>
                <c:pt idx="15">
                  <c:v>43.856115705893629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'2013'!$F$23:$F$38</c:f>
              <c:numCache>
                <c:formatCode>General</c:formatCode>
                <c:ptCount val="16"/>
                <c:pt idx="0">
                  <c:v>35.479999999999997</c:v>
                </c:pt>
                <c:pt idx="1">
                  <c:v>37.485401459854018</c:v>
                </c:pt>
                <c:pt idx="2">
                  <c:v>37.551094890510946</c:v>
                </c:pt>
                <c:pt idx="3">
                  <c:v>38.859712230215827</c:v>
                </c:pt>
                <c:pt idx="4">
                  <c:v>36.714285714285715</c:v>
                </c:pt>
                <c:pt idx="5">
                  <c:v>34.170212765957444</c:v>
                </c:pt>
                <c:pt idx="6">
                  <c:v>34.394366197183096</c:v>
                </c:pt>
                <c:pt idx="7">
                  <c:v>34.208904109589042</c:v>
                </c:pt>
                <c:pt idx="8">
                  <c:v>34.544217687074827</c:v>
                </c:pt>
                <c:pt idx="9">
                  <c:v>32.894557823129254</c:v>
                </c:pt>
                <c:pt idx="10">
                  <c:v>30.726351351351351</c:v>
                </c:pt>
                <c:pt idx="11">
                  <c:v>31.651006711409394</c:v>
                </c:pt>
                <c:pt idx="12">
                  <c:v>30.996666666666666</c:v>
                </c:pt>
                <c:pt idx="13">
                  <c:v>29.486666666666668</c:v>
                </c:pt>
                <c:pt idx="14">
                  <c:v>30.245098039215687</c:v>
                </c:pt>
                <c:pt idx="15">
                  <c:v>33.852038736650719</c:v>
                </c:pt>
              </c:numCache>
            </c:numRef>
          </c:val>
        </c:ser>
        <c:axId val="76202368"/>
        <c:axId val="76203904"/>
      </c:barChart>
      <c:catAx>
        <c:axId val="76202368"/>
        <c:scaling>
          <c:orientation val="minMax"/>
        </c:scaling>
        <c:axPos val="b"/>
        <c:tickLblPos val="nextTo"/>
        <c:crossAx val="76203904"/>
        <c:crosses val="autoZero"/>
        <c:auto val="1"/>
        <c:lblAlgn val="ctr"/>
        <c:lblOffset val="100"/>
      </c:catAx>
      <c:valAx>
        <c:axId val="76203904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202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'2013'!$D$3:$D$19</c:f>
              <c:numCache>
                <c:formatCode>General</c:formatCode>
                <c:ptCount val="17"/>
                <c:pt idx="0">
                  <c:v>47.25</c:v>
                </c:pt>
                <c:pt idx="1">
                  <c:v>42.231092436974791</c:v>
                </c:pt>
                <c:pt idx="2">
                  <c:v>41.710084033613448</c:v>
                </c:pt>
                <c:pt idx="3">
                  <c:v>41.287500000000001</c:v>
                </c:pt>
                <c:pt idx="4">
                  <c:v>42.170833333333334</c:v>
                </c:pt>
                <c:pt idx="5">
                  <c:v>43.087499999999999</c:v>
                </c:pt>
                <c:pt idx="6">
                  <c:v>42.25</c:v>
                </c:pt>
                <c:pt idx="7">
                  <c:v>44.114406779661017</c:v>
                </c:pt>
                <c:pt idx="8">
                  <c:v>44.238738738738739</c:v>
                </c:pt>
                <c:pt idx="9">
                  <c:v>46.344036697247709</c:v>
                </c:pt>
                <c:pt idx="10">
                  <c:v>45.940366972477065</c:v>
                </c:pt>
                <c:pt idx="11">
                  <c:v>46.377272727272725</c:v>
                </c:pt>
                <c:pt idx="12">
                  <c:v>45.245454545454542</c:v>
                </c:pt>
                <c:pt idx="13">
                  <c:v>45.363636363636367</c:v>
                </c:pt>
                <c:pt idx="14">
                  <c:v>46.809090909090912</c:v>
                </c:pt>
                <c:pt idx="15">
                  <c:v>45.263392857142854</c:v>
                </c:pt>
                <c:pt idx="16">
                  <c:v>44.162227092976231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'2013'!$F$3:$F$19</c:f>
              <c:numCache>
                <c:formatCode>General</c:formatCode>
                <c:ptCount val="17"/>
                <c:pt idx="0">
                  <c:v>36.479999999999997</c:v>
                </c:pt>
                <c:pt idx="1">
                  <c:v>35.143356643356647</c:v>
                </c:pt>
                <c:pt idx="2">
                  <c:v>34.709790209790206</c:v>
                </c:pt>
                <c:pt idx="3">
                  <c:v>34.646853146853147</c:v>
                </c:pt>
                <c:pt idx="4">
                  <c:v>35.388111888111887</c:v>
                </c:pt>
                <c:pt idx="5">
                  <c:v>36.15734265734266</c:v>
                </c:pt>
                <c:pt idx="6">
                  <c:v>35.610714285714288</c:v>
                </c:pt>
                <c:pt idx="7">
                  <c:v>37.182142857142857</c:v>
                </c:pt>
                <c:pt idx="8">
                  <c:v>34.826241134751776</c:v>
                </c:pt>
                <c:pt idx="9">
                  <c:v>35.826241134751776</c:v>
                </c:pt>
                <c:pt idx="10">
                  <c:v>35.51418439716312</c:v>
                </c:pt>
                <c:pt idx="11">
                  <c:v>36.180851063829785</c:v>
                </c:pt>
                <c:pt idx="12">
                  <c:v>35.297872340425535</c:v>
                </c:pt>
                <c:pt idx="13">
                  <c:v>35.390070921985817</c:v>
                </c:pt>
                <c:pt idx="14">
                  <c:v>36.5177304964539</c:v>
                </c:pt>
                <c:pt idx="15">
                  <c:v>35.953900709219859</c:v>
                </c:pt>
                <c:pt idx="16">
                  <c:v>35.623026925792892</c:v>
                </c:pt>
              </c:numCache>
            </c:numRef>
          </c:val>
        </c:ser>
        <c:axId val="76097408"/>
        <c:axId val="76098944"/>
      </c:barChart>
      <c:catAx>
        <c:axId val="76097408"/>
        <c:scaling>
          <c:orientation val="minMax"/>
        </c:scaling>
        <c:axPos val="b"/>
        <c:tickLblPos val="nextTo"/>
        <c:crossAx val="76098944"/>
        <c:crosses val="autoZero"/>
        <c:auto val="1"/>
        <c:lblAlgn val="ctr"/>
        <c:lblOffset val="100"/>
      </c:catAx>
      <c:valAx>
        <c:axId val="76098944"/>
        <c:scaling>
          <c:orientation val="minMax"/>
          <c:max val="51"/>
          <c:min val="30"/>
        </c:scaling>
        <c:axPos val="l"/>
        <c:majorGridlines/>
        <c:numFmt formatCode="General" sourceLinked="1"/>
        <c:tickLblPos val="nextTo"/>
        <c:crossAx val="76097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'2012'!$D$23:$D$39</c:f>
              <c:numCache>
                <c:formatCode>General</c:formatCode>
                <c:ptCount val="17"/>
                <c:pt idx="0">
                  <c:v>43.9</c:v>
                </c:pt>
                <c:pt idx="1">
                  <c:v>45.143518518518519</c:v>
                </c:pt>
                <c:pt idx="2">
                  <c:v>47.940366972477065</c:v>
                </c:pt>
                <c:pt idx="3">
                  <c:v>47.71844660194175</c:v>
                </c:pt>
                <c:pt idx="4">
                  <c:v>47.140776699029125</c:v>
                </c:pt>
                <c:pt idx="5">
                  <c:v>47.674757281553397</c:v>
                </c:pt>
                <c:pt idx="6">
                  <c:v>45.92307692307692</c:v>
                </c:pt>
                <c:pt idx="7">
                  <c:v>48.91346153846154</c:v>
                </c:pt>
                <c:pt idx="8">
                  <c:v>47.019047619047619</c:v>
                </c:pt>
                <c:pt idx="9">
                  <c:v>47.362745098039213</c:v>
                </c:pt>
                <c:pt idx="10">
                  <c:v>47.077669902912625</c:v>
                </c:pt>
                <c:pt idx="11">
                  <c:v>48.572815533980581</c:v>
                </c:pt>
                <c:pt idx="12">
                  <c:v>48.257281553398059</c:v>
                </c:pt>
                <c:pt idx="13">
                  <c:v>47.121359223300971</c:v>
                </c:pt>
                <c:pt idx="14">
                  <c:v>48.82692307692308</c:v>
                </c:pt>
                <c:pt idx="15">
                  <c:v>47.325471698113205</c:v>
                </c:pt>
                <c:pt idx="16">
                  <c:v>47.467847882718253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'2012'!$F$23:$F$39</c:f>
              <c:numCache>
                <c:formatCode>General</c:formatCode>
                <c:ptCount val="17"/>
                <c:pt idx="0">
                  <c:v>35.700000000000003</c:v>
                </c:pt>
                <c:pt idx="1">
                  <c:v>35.587591240875909</c:v>
                </c:pt>
                <c:pt idx="2">
                  <c:v>37.593525179856115</c:v>
                </c:pt>
                <c:pt idx="3">
                  <c:v>35.359712230215827</c:v>
                </c:pt>
                <c:pt idx="4">
                  <c:v>34.931654676258994</c:v>
                </c:pt>
                <c:pt idx="5">
                  <c:v>35.327338129496404</c:v>
                </c:pt>
                <c:pt idx="6">
                  <c:v>34.114285714285714</c:v>
                </c:pt>
                <c:pt idx="7">
                  <c:v>36.335714285714289</c:v>
                </c:pt>
                <c:pt idx="8">
                  <c:v>35.264285714285712</c:v>
                </c:pt>
                <c:pt idx="9">
                  <c:v>34.50714285714286</c:v>
                </c:pt>
                <c:pt idx="10">
                  <c:v>34.635714285714286</c:v>
                </c:pt>
                <c:pt idx="11">
                  <c:v>35.735714285714288</c:v>
                </c:pt>
                <c:pt idx="12">
                  <c:v>35.758992805755398</c:v>
                </c:pt>
                <c:pt idx="13">
                  <c:v>34.917266187050359</c:v>
                </c:pt>
                <c:pt idx="14">
                  <c:v>36.271428571428572</c:v>
                </c:pt>
                <c:pt idx="15">
                  <c:v>35.832142857142856</c:v>
                </c:pt>
                <c:pt idx="16">
                  <c:v>35.478167268062514</c:v>
                </c:pt>
              </c:numCache>
            </c:numRef>
          </c:val>
        </c:ser>
        <c:axId val="74048640"/>
        <c:axId val="74050176"/>
      </c:barChart>
      <c:catAx>
        <c:axId val="74048640"/>
        <c:scaling>
          <c:orientation val="minMax"/>
        </c:scaling>
        <c:axPos val="b"/>
        <c:tickLblPos val="nextTo"/>
        <c:crossAx val="74050176"/>
        <c:crosses val="autoZero"/>
        <c:auto val="1"/>
        <c:lblAlgn val="ctr"/>
        <c:lblOffset val="100"/>
      </c:catAx>
      <c:valAx>
        <c:axId val="7405017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4048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"/>
          <c:y val="0.41450150143335834"/>
          <c:w val="0.16666552550496408"/>
          <c:h val="0.12962661925323737"/>
        </c:manualLayout>
      </c:layout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'2013'!$D$42:$D$59</c:f>
              <c:numCache>
                <c:formatCode>0.0000</c:formatCode>
                <c:ptCount val="18"/>
                <c:pt idx="0" formatCode="General">
                  <c:v>47.14</c:v>
                </c:pt>
                <c:pt idx="1">
                  <c:v>40.517699115044245</c:v>
                </c:pt>
                <c:pt idx="2" formatCode="General">
                  <c:v>39.267543859649123</c:v>
                </c:pt>
                <c:pt idx="3" formatCode="General">
                  <c:v>41.135964912280699</c:v>
                </c:pt>
                <c:pt idx="4" formatCode="General">
                  <c:v>42.377192982456137</c:v>
                </c:pt>
                <c:pt idx="5" formatCode="General">
                  <c:v>42.395652173913042</c:v>
                </c:pt>
                <c:pt idx="6" formatCode="General">
                  <c:v>41.466101694915253</c:v>
                </c:pt>
                <c:pt idx="7" formatCode="General">
                  <c:v>43.885964912280699</c:v>
                </c:pt>
                <c:pt idx="8" formatCode="General">
                  <c:v>41.952586206896555</c:v>
                </c:pt>
                <c:pt idx="9" formatCode="General">
                  <c:v>43.064102564102562</c:v>
                </c:pt>
                <c:pt idx="10" formatCode="General">
                  <c:v>43.847457627118644</c:v>
                </c:pt>
                <c:pt idx="11" formatCode="General">
                  <c:v>42.634453781512605</c:v>
                </c:pt>
                <c:pt idx="12" formatCode="General">
                  <c:v>42.122881355932201</c:v>
                </c:pt>
                <c:pt idx="13" formatCode="General">
                  <c:v>41.987804878048777</c:v>
                </c:pt>
                <c:pt idx="14" formatCode="General">
                  <c:v>42.491935483870968</c:v>
                </c:pt>
                <c:pt idx="15" formatCode="General">
                  <c:v>44.787999999999997</c:v>
                </c:pt>
                <c:pt idx="16" formatCode="General">
                  <c:v>43.94140625</c:v>
                </c:pt>
                <c:pt idx="17" formatCode="General">
                  <c:v>42.36729673737635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'2013'!$F$42:$F$59</c:f>
              <c:numCache>
                <c:formatCode>General</c:formatCode>
                <c:ptCount val="18"/>
                <c:pt idx="0">
                  <c:v>35.479999999999997</c:v>
                </c:pt>
                <c:pt idx="1">
                  <c:v>29.538709677419355</c:v>
                </c:pt>
                <c:pt idx="2">
                  <c:v>28.695512820512821</c:v>
                </c:pt>
                <c:pt idx="3">
                  <c:v>30.060897435897434</c:v>
                </c:pt>
                <c:pt idx="4">
                  <c:v>30.967948717948719</c:v>
                </c:pt>
                <c:pt idx="5">
                  <c:v>31.253205128205128</c:v>
                </c:pt>
                <c:pt idx="6">
                  <c:v>30.968354430379748</c:v>
                </c:pt>
                <c:pt idx="7">
                  <c:v>31.664556962025316</c:v>
                </c:pt>
                <c:pt idx="8">
                  <c:v>30.60691823899371</c:v>
                </c:pt>
                <c:pt idx="9">
                  <c:v>31.490625000000001</c:v>
                </c:pt>
                <c:pt idx="10">
                  <c:v>32.337499999999999</c:v>
                </c:pt>
                <c:pt idx="11">
                  <c:v>31.709375000000001</c:v>
                </c:pt>
                <c:pt idx="12">
                  <c:v>31.261006289308177</c:v>
                </c:pt>
                <c:pt idx="13">
                  <c:v>32.278125000000003</c:v>
                </c:pt>
                <c:pt idx="14">
                  <c:v>32.726708074534159</c:v>
                </c:pt>
                <c:pt idx="15">
                  <c:v>34.773291925465841</c:v>
                </c:pt>
                <c:pt idx="16">
                  <c:v>34.719135802469133</c:v>
                </c:pt>
                <c:pt idx="17">
                  <c:v>31.565741906447467</c:v>
                </c:pt>
              </c:numCache>
            </c:numRef>
          </c:val>
        </c:ser>
        <c:axId val="76111232"/>
        <c:axId val="76121216"/>
      </c:barChart>
      <c:catAx>
        <c:axId val="76111232"/>
        <c:scaling>
          <c:orientation val="minMax"/>
        </c:scaling>
        <c:axPos val="b"/>
        <c:tickLblPos val="nextTo"/>
        <c:crossAx val="76121216"/>
        <c:crosses val="autoZero"/>
        <c:auto val="1"/>
        <c:lblAlgn val="ctr"/>
        <c:lblOffset val="100"/>
      </c:catAx>
      <c:valAx>
        <c:axId val="76121216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611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v>Per Cow</c:v>
          </c:tx>
          <c:val>
            <c:numRef>
              <c:f>'2012'!$D$3:$D$239</c:f>
              <c:numCache>
                <c:formatCode>General</c:formatCode>
                <c:ptCount val="237"/>
                <c:pt idx="0">
                  <c:v>42.7</c:v>
                </c:pt>
                <c:pt idx="1">
                  <c:v>47.433035714285715</c:v>
                </c:pt>
                <c:pt idx="2">
                  <c:v>47.171171171171174</c:v>
                </c:pt>
                <c:pt idx="3">
                  <c:v>47.229729729729726</c:v>
                </c:pt>
                <c:pt idx="4">
                  <c:v>45.711711711711715</c:v>
                </c:pt>
                <c:pt idx="5">
                  <c:v>50.46078431372549</c:v>
                </c:pt>
                <c:pt idx="6">
                  <c:v>48.661764705882355</c:v>
                </c:pt>
                <c:pt idx="7">
                  <c:v>46.735294117647058</c:v>
                </c:pt>
                <c:pt idx="8">
                  <c:v>50.160194174757279</c:v>
                </c:pt>
                <c:pt idx="9">
                  <c:v>46.26442307692308</c:v>
                </c:pt>
                <c:pt idx="10">
                  <c:v>45.847619047619048</c:v>
                </c:pt>
                <c:pt idx="11">
                  <c:v>46.414285714285711</c:v>
                </c:pt>
                <c:pt idx="12">
                  <c:v>45.676190476190477</c:v>
                </c:pt>
                <c:pt idx="13">
                  <c:v>45.56666666666667</c:v>
                </c:pt>
                <c:pt idx="14">
                  <c:v>46.138095238095239</c:v>
                </c:pt>
                <c:pt idx="15">
                  <c:v>49.285714285714285</c:v>
                </c:pt>
                <c:pt idx="16">
                  <c:v>47.250445342960354</c:v>
                </c:pt>
                <c:pt idx="18">
                  <c:v>0</c:v>
                </c:pt>
                <c:pt idx="19">
                  <c:v>0</c:v>
                </c:pt>
                <c:pt idx="20">
                  <c:v>43.9</c:v>
                </c:pt>
                <c:pt idx="21">
                  <c:v>45.143518518518519</c:v>
                </c:pt>
                <c:pt idx="22">
                  <c:v>47.940366972477065</c:v>
                </c:pt>
                <c:pt idx="23">
                  <c:v>47.71844660194175</c:v>
                </c:pt>
                <c:pt idx="24">
                  <c:v>47.140776699029125</c:v>
                </c:pt>
                <c:pt idx="25">
                  <c:v>47.674757281553397</c:v>
                </c:pt>
                <c:pt idx="26">
                  <c:v>45.92307692307692</c:v>
                </c:pt>
                <c:pt idx="27">
                  <c:v>48.91346153846154</c:v>
                </c:pt>
                <c:pt idx="28">
                  <c:v>47.019047619047619</c:v>
                </c:pt>
                <c:pt idx="29">
                  <c:v>47.362745098039213</c:v>
                </c:pt>
                <c:pt idx="30">
                  <c:v>47.077669902912625</c:v>
                </c:pt>
                <c:pt idx="31">
                  <c:v>48.572815533980581</c:v>
                </c:pt>
                <c:pt idx="32">
                  <c:v>48.257281553398059</c:v>
                </c:pt>
                <c:pt idx="33">
                  <c:v>47.121359223300971</c:v>
                </c:pt>
                <c:pt idx="34">
                  <c:v>48.82692307692308</c:v>
                </c:pt>
                <c:pt idx="35">
                  <c:v>47.325471698113205</c:v>
                </c:pt>
                <c:pt idx="36">
                  <c:v>47.467847882718253</c:v>
                </c:pt>
                <c:pt idx="38">
                  <c:v>0</c:v>
                </c:pt>
                <c:pt idx="39">
                  <c:v>0</c:v>
                </c:pt>
                <c:pt idx="40">
                  <c:v>43.8</c:v>
                </c:pt>
                <c:pt idx="41">
                  <c:v>48.976635514018689</c:v>
                </c:pt>
                <c:pt idx="42">
                  <c:v>47.977064220183486</c:v>
                </c:pt>
                <c:pt idx="43">
                  <c:v>48.440366972477065</c:v>
                </c:pt>
                <c:pt idx="44">
                  <c:v>49.256880733944953</c:v>
                </c:pt>
                <c:pt idx="45">
                  <c:v>49.990990990990994</c:v>
                </c:pt>
                <c:pt idx="46">
                  <c:v>50.674999999999997</c:v>
                </c:pt>
                <c:pt idx="47">
                  <c:v>49.524509803921568</c:v>
                </c:pt>
                <c:pt idx="48">
                  <c:v>48.120370370370374</c:v>
                </c:pt>
                <c:pt idx="49">
                  <c:v>47.041666666666664</c:v>
                </c:pt>
                <c:pt idx="50">
                  <c:v>47.754629629629626</c:v>
                </c:pt>
                <c:pt idx="51">
                  <c:v>46.461165048543691</c:v>
                </c:pt>
                <c:pt idx="52">
                  <c:v>42.39903846153846</c:v>
                </c:pt>
                <c:pt idx="53">
                  <c:v>44.23557692307692</c:v>
                </c:pt>
                <c:pt idx="54">
                  <c:v>43.171296296296298</c:v>
                </c:pt>
                <c:pt idx="55">
                  <c:v>43.098214285714285</c:v>
                </c:pt>
                <c:pt idx="56">
                  <c:v>47.141560394491542</c:v>
                </c:pt>
                <c:pt idx="58">
                  <c:v>0</c:v>
                </c:pt>
                <c:pt idx="59">
                  <c:v>0</c:v>
                </c:pt>
                <c:pt idx="60">
                  <c:v>43.8</c:v>
                </c:pt>
                <c:pt idx="61">
                  <c:v>42.729729729729726</c:v>
                </c:pt>
                <c:pt idx="62">
                  <c:v>43.328828828828826</c:v>
                </c:pt>
                <c:pt idx="63">
                  <c:v>39.684684684684683</c:v>
                </c:pt>
                <c:pt idx="64">
                  <c:v>41.166666666666664</c:v>
                </c:pt>
                <c:pt idx="65">
                  <c:v>39.808035714285715</c:v>
                </c:pt>
                <c:pt idx="66">
                  <c:v>36.521929824561404</c:v>
                </c:pt>
                <c:pt idx="67">
                  <c:v>43.082608695652176</c:v>
                </c:pt>
                <c:pt idx="68">
                  <c:v>45.674796747967477</c:v>
                </c:pt>
                <c:pt idx="69">
                  <c:v>48.024000000000001</c:v>
                </c:pt>
                <c:pt idx="70">
                  <c:v>48.564102564102562</c:v>
                </c:pt>
                <c:pt idx="71">
                  <c:v>50.887500000000003</c:v>
                </c:pt>
                <c:pt idx="72">
                  <c:v>52.801652892561982</c:v>
                </c:pt>
                <c:pt idx="73">
                  <c:v>52.67622950819672</c:v>
                </c:pt>
                <c:pt idx="74">
                  <c:v>52.67622950819672</c:v>
                </c:pt>
                <c:pt idx="75">
                  <c:v>53.4</c:v>
                </c:pt>
                <c:pt idx="76">
                  <c:v>46.068466357695641</c:v>
                </c:pt>
                <c:pt idx="79">
                  <c:v>0</c:v>
                </c:pt>
                <c:pt idx="80">
                  <c:v>42.9</c:v>
                </c:pt>
                <c:pt idx="81">
                  <c:v>54.097560975609753</c:v>
                </c:pt>
                <c:pt idx="82">
                  <c:v>51.928961748633874</c:v>
                </c:pt>
                <c:pt idx="83">
                  <c:v>55.26229508196721</c:v>
                </c:pt>
                <c:pt idx="84">
                  <c:v>53.693548387096776</c:v>
                </c:pt>
                <c:pt idx="85">
                  <c:v>53.802419354838712</c:v>
                </c:pt>
                <c:pt idx="86">
                  <c:v>58.586363636363636</c:v>
                </c:pt>
                <c:pt idx="87">
                  <c:v>59.436363636363637</c:v>
                </c:pt>
                <c:pt idx="88">
                  <c:v>57.190265486725664</c:v>
                </c:pt>
                <c:pt idx="89">
                  <c:v>55.217391304347828</c:v>
                </c:pt>
                <c:pt idx="90">
                  <c:v>57.239130434782609</c:v>
                </c:pt>
                <c:pt idx="91">
                  <c:v>58.530172413793103</c:v>
                </c:pt>
                <c:pt idx="92">
                  <c:v>54.512711864406782</c:v>
                </c:pt>
                <c:pt idx="93">
                  <c:v>53.533333333333331</c:v>
                </c:pt>
                <c:pt idx="94">
                  <c:v>55.458333333333336</c:v>
                </c:pt>
                <c:pt idx="95">
                  <c:v>56.916666666666664</c:v>
                </c:pt>
                <c:pt idx="96">
                  <c:v>53.462809917355372</c:v>
                </c:pt>
                <c:pt idx="97">
                  <c:v>55.554270473476137</c:v>
                </c:pt>
                <c:pt idx="99">
                  <c:v>0</c:v>
                </c:pt>
                <c:pt idx="100">
                  <c:v>0</c:v>
                </c:pt>
                <c:pt idx="101">
                  <c:v>47.3</c:v>
                </c:pt>
                <c:pt idx="102">
                  <c:v>54.943089430894311</c:v>
                </c:pt>
                <c:pt idx="103">
                  <c:v>54.357723577235774</c:v>
                </c:pt>
                <c:pt idx="104">
                  <c:v>53.195999999999998</c:v>
                </c:pt>
                <c:pt idx="105">
                  <c:v>51.165354330708659</c:v>
                </c:pt>
                <c:pt idx="106">
                  <c:v>53.542635658914726</c:v>
                </c:pt>
                <c:pt idx="107">
                  <c:v>53.9</c:v>
                </c:pt>
                <c:pt idx="108">
                  <c:v>51.622950819672134</c:v>
                </c:pt>
                <c:pt idx="109">
                  <c:v>51.162601626016261</c:v>
                </c:pt>
                <c:pt idx="110">
                  <c:v>51.287999999999997</c:v>
                </c:pt>
                <c:pt idx="111">
                  <c:v>54.212000000000003</c:v>
                </c:pt>
                <c:pt idx="112">
                  <c:v>56.015999999999998</c:v>
                </c:pt>
                <c:pt idx="113">
                  <c:v>57.602564102564102</c:v>
                </c:pt>
                <c:pt idx="114">
                  <c:v>54.788135593220339</c:v>
                </c:pt>
                <c:pt idx="115">
                  <c:v>55.579831932773111</c:v>
                </c:pt>
                <c:pt idx="116">
                  <c:v>53.053719008264466</c:v>
                </c:pt>
                <c:pt idx="117">
                  <c:v>53.762040405350923</c:v>
                </c:pt>
                <c:pt idx="119">
                  <c:v>0</c:v>
                </c:pt>
                <c:pt idx="120">
                  <c:v>0</c:v>
                </c:pt>
                <c:pt idx="121">
                  <c:v>48.9</c:v>
                </c:pt>
                <c:pt idx="122">
                  <c:v>55.719008264462808</c:v>
                </c:pt>
                <c:pt idx="123">
                  <c:v>55.394308943089428</c:v>
                </c:pt>
                <c:pt idx="124">
                  <c:v>54.173387096774192</c:v>
                </c:pt>
                <c:pt idx="125">
                  <c:v>55.528225806451616</c:v>
                </c:pt>
                <c:pt idx="126">
                  <c:v>55.66935483870968</c:v>
                </c:pt>
                <c:pt idx="127">
                  <c:v>58.457264957264954</c:v>
                </c:pt>
                <c:pt idx="128">
                  <c:v>56.141025641025642</c:v>
                </c:pt>
                <c:pt idx="129">
                  <c:v>58.682203389830505</c:v>
                </c:pt>
                <c:pt idx="130">
                  <c:v>58.343220338983052</c:v>
                </c:pt>
                <c:pt idx="131">
                  <c:v>56.737288135593218</c:v>
                </c:pt>
                <c:pt idx="132">
                  <c:v>56.756302521008401</c:v>
                </c:pt>
                <c:pt idx="133">
                  <c:v>56.407563025210081</c:v>
                </c:pt>
                <c:pt idx="134">
                  <c:v>55.028925619834709</c:v>
                </c:pt>
                <c:pt idx="135">
                  <c:v>53.277777777777779</c:v>
                </c:pt>
                <c:pt idx="136">
                  <c:v>47.555555555555557</c:v>
                </c:pt>
                <c:pt idx="137">
                  <c:v>55.591427460771435</c:v>
                </c:pt>
                <c:pt idx="139">
                  <c:v>0</c:v>
                </c:pt>
                <c:pt idx="140">
                  <c:v>0</c:v>
                </c:pt>
                <c:pt idx="141">
                  <c:v>44.3</c:v>
                </c:pt>
                <c:pt idx="142">
                  <c:v>50.3984375</c:v>
                </c:pt>
                <c:pt idx="143">
                  <c:v>49.554263565891475</c:v>
                </c:pt>
                <c:pt idx="144">
                  <c:v>47.71153846153846</c:v>
                </c:pt>
                <c:pt idx="145">
                  <c:v>46.896946564885496</c:v>
                </c:pt>
                <c:pt idx="146">
                  <c:v>43.814814814814817</c:v>
                </c:pt>
                <c:pt idx="147">
                  <c:v>43.744360902255636</c:v>
                </c:pt>
                <c:pt idx="148">
                  <c:v>42.304511278195491</c:v>
                </c:pt>
                <c:pt idx="149">
                  <c:v>42.299242424242422</c:v>
                </c:pt>
                <c:pt idx="150">
                  <c:v>41.5</c:v>
                </c:pt>
                <c:pt idx="151">
                  <c:v>39.335820895522389</c:v>
                </c:pt>
                <c:pt idx="152">
                  <c:v>40.082089552238806</c:v>
                </c:pt>
                <c:pt idx="153">
                  <c:v>40.309701492537314</c:v>
                </c:pt>
                <c:pt idx="154">
                  <c:v>37.79457364341085</c:v>
                </c:pt>
                <c:pt idx="155">
                  <c:v>36.323076923076925</c:v>
                </c:pt>
                <c:pt idx="156">
                  <c:v>38.62977099236641</c:v>
                </c:pt>
                <c:pt idx="157">
                  <c:v>41.446969696969695</c:v>
                </c:pt>
                <c:pt idx="158">
                  <c:v>42.63413241924664</c:v>
                </c:pt>
                <c:pt idx="160">
                  <c:v>0</c:v>
                </c:pt>
                <c:pt idx="161">
                  <c:v>0</c:v>
                </c:pt>
                <c:pt idx="162">
                  <c:v>42.45</c:v>
                </c:pt>
                <c:pt idx="163">
                  <c:v>39.88148148148148</c:v>
                </c:pt>
                <c:pt idx="164">
                  <c:v>38.462962962962962</c:v>
                </c:pt>
                <c:pt idx="165">
                  <c:v>39.107407407407408</c:v>
                </c:pt>
                <c:pt idx="166">
                  <c:v>39.816000000000003</c:v>
                </c:pt>
                <c:pt idx="167">
                  <c:v>38.273809523809526</c:v>
                </c:pt>
                <c:pt idx="168">
                  <c:v>37.924603174603178</c:v>
                </c:pt>
                <c:pt idx="169">
                  <c:v>38.551587301587304</c:v>
                </c:pt>
                <c:pt idx="170">
                  <c:v>37.304000000000002</c:v>
                </c:pt>
                <c:pt idx="171">
                  <c:v>35.524000000000001</c:v>
                </c:pt>
                <c:pt idx="172">
                  <c:v>36.308</c:v>
                </c:pt>
                <c:pt idx="173">
                  <c:v>37.908000000000001</c:v>
                </c:pt>
                <c:pt idx="174">
                  <c:v>37.387096774193552</c:v>
                </c:pt>
                <c:pt idx="175">
                  <c:v>37.159999999999997</c:v>
                </c:pt>
                <c:pt idx="176">
                  <c:v>35.456000000000003</c:v>
                </c:pt>
                <c:pt idx="177">
                  <c:v>37.020000000000003</c:v>
                </c:pt>
                <c:pt idx="178">
                  <c:v>37.738996575069692</c:v>
                </c:pt>
                <c:pt idx="179">
                  <c:v>0</c:v>
                </c:pt>
                <c:pt idx="180">
                  <c:v>0</c:v>
                </c:pt>
                <c:pt idx="181">
                  <c:v>45.49</c:v>
                </c:pt>
                <c:pt idx="182">
                  <c:v>37.99596774193548</c:v>
                </c:pt>
                <c:pt idx="183">
                  <c:v>41.474193548387099</c:v>
                </c:pt>
                <c:pt idx="184">
                  <c:v>40.932539682539684</c:v>
                </c:pt>
                <c:pt idx="185">
                  <c:v>41.797619047619051</c:v>
                </c:pt>
                <c:pt idx="186">
                  <c:v>41.263565891472865</c:v>
                </c:pt>
                <c:pt idx="187">
                  <c:v>42.795833333333334</c:v>
                </c:pt>
                <c:pt idx="188">
                  <c:v>43.487603305785122</c:v>
                </c:pt>
                <c:pt idx="189">
                  <c:v>45.252066115702476</c:v>
                </c:pt>
                <c:pt idx="190">
                  <c:v>44.929752066115704</c:v>
                </c:pt>
                <c:pt idx="191">
                  <c:v>43.487603305785122</c:v>
                </c:pt>
                <c:pt idx="192">
                  <c:v>43.024590163934427</c:v>
                </c:pt>
                <c:pt idx="193">
                  <c:v>39.601626016260163</c:v>
                </c:pt>
                <c:pt idx="194">
                  <c:v>39.20967741935484</c:v>
                </c:pt>
                <c:pt idx="195">
                  <c:v>39.850806451612904</c:v>
                </c:pt>
                <c:pt idx="196">
                  <c:v>41.987288135593218</c:v>
                </c:pt>
                <c:pt idx="197">
                  <c:v>41.806048815028767</c:v>
                </c:pt>
                <c:pt idx="198">
                  <c:v>0</c:v>
                </c:pt>
                <c:pt idx="199">
                  <c:v>0</c:v>
                </c:pt>
                <c:pt idx="200">
                  <c:v>44.76</c:v>
                </c:pt>
                <c:pt idx="201">
                  <c:v>43.254464285714285</c:v>
                </c:pt>
                <c:pt idx="202">
                  <c:v>42.631818181818183</c:v>
                </c:pt>
                <c:pt idx="203">
                  <c:v>46.604545454545452</c:v>
                </c:pt>
                <c:pt idx="204">
                  <c:v>44.640909090909091</c:v>
                </c:pt>
                <c:pt idx="205">
                  <c:v>43.603603603603602</c:v>
                </c:pt>
                <c:pt idx="206">
                  <c:v>44.2</c:v>
                </c:pt>
                <c:pt idx="207">
                  <c:v>46.768181818181816</c:v>
                </c:pt>
                <c:pt idx="208">
                  <c:v>44.477477477477478</c:v>
                </c:pt>
                <c:pt idx="209">
                  <c:v>44.081081081081081</c:v>
                </c:pt>
                <c:pt idx="210">
                  <c:v>45.590090090090094</c:v>
                </c:pt>
                <c:pt idx="211">
                  <c:v>44.276785714285715</c:v>
                </c:pt>
                <c:pt idx="212">
                  <c:v>43.294642857142854</c:v>
                </c:pt>
                <c:pt idx="213">
                  <c:v>42.464285714285715</c:v>
                </c:pt>
                <c:pt idx="214">
                  <c:v>45.379464285714285</c:v>
                </c:pt>
                <c:pt idx="215">
                  <c:v>44.311403508771932</c:v>
                </c:pt>
                <c:pt idx="216">
                  <c:v>44.371916877574776</c:v>
                </c:pt>
                <c:pt idx="217">
                  <c:v>0</c:v>
                </c:pt>
                <c:pt idx="218">
                  <c:v>0</c:v>
                </c:pt>
                <c:pt idx="219">
                  <c:v>46.36</c:v>
                </c:pt>
                <c:pt idx="220">
                  <c:v>40.991452991452988</c:v>
                </c:pt>
                <c:pt idx="221">
                  <c:v>41.563025210084035</c:v>
                </c:pt>
                <c:pt idx="222">
                  <c:v>40.85</c:v>
                </c:pt>
                <c:pt idx="223">
                  <c:v>40.737499999999997</c:v>
                </c:pt>
                <c:pt idx="224">
                  <c:v>40.720338983050844</c:v>
                </c:pt>
                <c:pt idx="225">
                  <c:v>44.228813559322035</c:v>
                </c:pt>
                <c:pt idx="226">
                  <c:v>43.313043478260873</c:v>
                </c:pt>
                <c:pt idx="227">
                  <c:v>42.954545454545453</c:v>
                </c:pt>
                <c:pt idx="228">
                  <c:v>45.432432432432435</c:v>
                </c:pt>
                <c:pt idx="229">
                  <c:v>43.676991150442475</c:v>
                </c:pt>
                <c:pt idx="230">
                  <c:v>42.609649122807021</c:v>
                </c:pt>
                <c:pt idx="231">
                  <c:v>40.122807017543863</c:v>
                </c:pt>
                <c:pt idx="232">
                  <c:v>41.44736842105263</c:v>
                </c:pt>
                <c:pt idx="233">
                  <c:v>39.621739130434783</c:v>
                </c:pt>
                <c:pt idx="234">
                  <c:v>39.125</c:v>
                </c:pt>
                <c:pt idx="235">
                  <c:v>44.529914529914528</c:v>
                </c:pt>
                <c:pt idx="236">
                  <c:v>41.995288842583996</c:v>
                </c:pt>
              </c:numCache>
            </c:numRef>
          </c:val>
        </c:ser>
        <c:axId val="76026240"/>
        <c:axId val="76027776"/>
      </c:barChart>
      <c:catAx>
        <c:axId val="76026240"/>
        <c:scaling>
          <c:orientation val="minMax"/>
        </c:scaling>
        <c:axPos val="b"/>
        <c:tickLblPos val="nextTo"/>
        <c:crossAx val="76027776"/>
        <c:crosses val="autoZero"/>
        <c:auto val="1"/>
        <c:lblAlgn val="ctr"/>
        <c:lblOffset val="100"/>
      </c:catAx>
      <c:valAx>
        <c:axId val="76027776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6026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val>
            <c:numRef>
              <c:f>'2013'!$D$63:$D$79</c:f>
              <c:numCache>
                <c:formatCode>General</c:formatCode>
                <c:ptCount val="17"/>
                <c:pt idx="0">
                  <c:v>46.07</c:v>
                </c:pt>
                <c:pt idx="1">
                  <c:v>45.178030303030305</c:v>
                </c:pt>
                <c:pt idx="2">
                  <c:v>46.970149253731343</c:v>
                </c:pt>
                <c:pt idx="3">
                  <c:v>49.904411764705884</c:v>
                </c:pt>
                <c:pt idx="4">
                  <c:v>48.128676470588232</c:v>
                </c:pt>
                <c:pt idx="5">
                  <c:v>47.920289855072461</c:v>
                </c:pt>
                <c:pt idx="6">
                  <c:v>49.753623188405797</c:v>
                </c:pt>
                <c:pt idx="7">
                  <c:v>50.568840579710148</c:v>
                </c:pt>
                <c:pt idx="8">
                  <c:v>51.802158273381295</c:v>
                </c:pt>
                <c:pt idx="9">
                  <c:v>51.780141843971634</c:v>
                </c:pt>
                <c:pt idx="10">
                  <c:v>50.742957746478872</c:v>
                </c:pt>
                <c:pt idx="11">
                  <c:v>51.8986013986014</c:v>
                </c:pt>
                <c:pt idx="12">
                  <c:v>49.2112676056338</c:v>
                </c:pt>
                <c:pt idx="13">
                  <c:v>50.857638888888886</c:v>
                </c:pt>
                <c:pt idx="14">
                  <c:v>51.74125874125874</c:v>
                </c:pt>
                <c:pt idx="15">
                  <c:v>49.93706293706294</c:v>
                </c:pt>
                <c:pt idx="16">
                  <c:v>49.759673923368119</c:v>
                </c:pt>
              </c:numCache>
            </c:numRef>
          </c:val>
        </c:ser>
        <c:ser>
          <c:idx val="1"/>
          <c:order val="1"/>
          <c:val>
            <c:numRef>
              <c:f>'2013'!$F$63:$F$79</c:f>
              <c:numCache>
                <c:formatCode>General</c:formatCode>
                <c:ptCount val="17"/>
                <c:pt idx="0">
                  <c:v>36.75</c:v>
                </c:pt>
                <c:pt idx="1">
                  <c:v>36.362804878048777</c:v>
                </c:pt>
                <c:pt idx="2">
                  <c:v>38.145454545454548</c:v>
                </c:pt>
                <c:pt idx="3">
                  <c:v>40.885542168674696</c:v>
                </c:pt>
                <c:pt idx="4">
                  <c:v>39.430722891566262</c:v>
                </c:pt>
                <c:pt idx="5">
                  <c:v>39.598802395209582</c:v>
                </c:pt>
                <c:pt idx="6">
                  <c:v>41.113772455089823</c:v>
                </c:pt>
                <c:pt idx="7">
                  <c:v>41.787425149700596</c:v>
                </c:pt>
                <c:pt idx="8">
                  <c:v>42.860119047619051</c:v>
                </c:pt>
                <c:pt idx="9">
                  <c:v>42.94705882352941</c:v>
                </c:pt>
                <c:pt idx="10">
                  <c:v>42.385294117647057</c:v>
                </c:pt>
                <c:pt idx="11">
                  <c:v>43.655882352941177</c:v>
                </c:pt>
                <c:pt idx="12">
                  <c:v>40.865497076023395</c:v>
                </c:pt>
                <c:pt idx="13">
                  <c:v>42.827485380116961</c:v>
                </c:pt>
                <c:pt idx="14">
                  <c:v>43.781065088757394</c:v>
                </c:pt>
                <c:pt idx="15">
                  <c:v>42.254437869822482</c:v>
                </c:pt>
                <c:pt idx="16">
                  <c:v>41.260090949346747</c:v>
                </c:pt>
              </c:numCache>
            </c:numRef>
          </c:val>
        </c:ser>
        <c:axId val="76048640"/>
        <c:axId val="76050432"/>
      </c:barChart>
      <c:catAx>
        <c:axId val="76048640"/>
        <c:scaling>
          <c:orientation val="minMax"/>
        </c:scaling>
        <c:axPos val="b"/>
        <c:tickLblPos val="nextTo"/>
        <c:crossAx val="76050432"/>
        <c:crosses val="autoZero"/>
        <c:auto val="1"/>
        <c:lblAlgn val="ctr"/>
        <c:lblOffset val="100"/>
      </c:catAx>
      <c:valAx>
        <c:axId val="76050432"/>
        <c:scaling>
          <c:orientation val="minMax"/>
          <c:max val="50"/>
          <c:min val="28"/>
        </c:scaling>
        <c:axPos val="l"/>
        <c:majorGridlines/>
        <c:numFmt formatCode="General" sourceLinked="1"/>
        <c:tickLblPos val="nextTo"/>
        <c:crossAx val="76048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'2013'!$D$103:$D$119</c:f>
              <c:numCache>
                <c:formatCode>General</c:formatCode>
                <c:ptCount val="17"/>
                <c:pt idx="0">
                  <c:v>53.76</c:v>
                </c:pt>
                <c:pt idx="1">
                  <c:v>48.992957746478872</c:v>
                </c:pt>
                <c:pt idx="2">
                  <c:v>46.751748251748253</c:v>
                </c:pt>
                <c:pt idx="3">
                  <c:v>46.456521739130437</c:v>
                </c:pt>
                <c:pt idx="4">
                  <c:v>47.336956521739133</c:v>
                </c:pt>
                <c:pt idx="5">
                  <c:v>48.086956521739133</c:v>
                </c:pt>
                <c:pt idx="6">
                  <c:v>50.265957446808514</c:v>
                </c:pt>
                <c:pt idx="7">
                  <c:v>49.119718309859152</c:v>
                </c:pt>
                <c:pt idx="8">
                  <c:v>46.82167832167832</c:v>
                </c:pt>
                <c:pt idx="9">
                  <c:v>48.996527777777779</c:v>
                </c:pt>
                <c:pt idx="10">
                  <c:v>49.1875</c:v>
                </c:pt>
                <c:pt idx="11">
                  <c:v>47.164335664335667</c:v>
                </c:pt>
                <c:pt idx="12">
                  <c:v>45.175862068965515</c:v>
                </c:pt>
                <c:pt idx="13">
                  <c:v>46.3</c:v>
                </c:pt>
                <c:pt idx="14">
                  <c:v>45.948630136986303</c:v>
                </c:pt>
                <c:pt idx="15">
                  <c:v>43.260273972602739</c:v>
                </c:pt>
                <c:pt idx="16">
                  <c:v>47.324374965323308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'2013'!$F$103:$F$119</c:f>
              <c:numCache>
                <c:formatCode>General</c:formatCode>
                <c:ptCount val="17"/>
                <c:pt idx="0">
                  <c:v>42.31</c:v>
                </c:pt>
                <c:pt idx="1">
                  <c:v>40.213872832369944</c:v>
                </c:pt>
                <c:pt idx="2">
                  <c:v>38.644508670520231</c:v>
                </c:pt>
                <c:pt idx="3">
                  <c:v>37.057803468208093</c:v>
                </c:pt>
                <c:pt idx="4">
                  <c:v>37.760115606936417</c:v>
                </c:pt>
                <c:pt idx="5">
                  <c:v>38.358381502890175</c:v>
                </c:pt>
                <c:pt idx="6">
                  <c:v>40.968208092485547</c:v>
                </c:pt>
                <c:pt idx="7">
                  <c:v>40.086206896551722</c:v>
                </c:pt>
                <c:pt idx="8">
                  <c:v>38.479885057471265</c:v>
                </c:pt>
                <c:pt idx="9">
                  <c:v>40.548850574712645</c:v>
                </c:pt>
                <c:pt idx="10">
                  <c:v>40.706896551724135</c:v>
                </c:pt>
                <c:pt idx="11">
                  <c:v>38.98554913294798</c:v>
                </c:pt>
                <c:pt idx="12">
                  <c:v>37.864161849710982</c:v>
                </c:pt>
                <c:pt idx="13">
                  <c:v>38.806358381502889</c:v>
                </c:pt>
                <c:pt idx="14">
                  <c:v>38.777456647398843</c:v>
                </c:pt>
                <c:pt idx="15">
                  <c:v>36.508670520231213</c:v>
                </c:pt>
                <c:pt idx="16">
                  <c:v>38.917795052377478</c:v>
                </c:pt>
              </c:numCache>
            </c:numRef>
          </c:val>
        </c:ser>
        <c:axId val="76218368"/>
        <c:axId val="76219904"/>
      </c:barChart>
      <c:catAx>
        <c:axId val="76218368"/>
        <c:scaling>
          <c:orientation val="minMax"/>
        </c:scaling>
        <c:axPos val="b"/>
        <c:tickLblPos val="nextTo"/>
        <c:crossAx val="76219904"/>
        <c:crosses val="autoZero"/>
        <c:auto val="1"/>
        <c:lblAlgn val="ctr"/>
        <c:lblOffset val="100"/>
      </c:catAx>
      <c:valAx>
        <c:axId val="76219904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621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'2013'!$D$83:$D$99</c:f>
              <c:numCache>
                <c:formatCode>General</c:formatCode>
                <c:ptCount val="17"/>
                <c:pt idx="0">
                  <c:v>55.55</c:v>
                </c:pt>
                <c:pt idx="1">
                  <c:v>50.551724137931032</c:v>
                </c:pt>
                <c:pt idx="2">
                  <c:v>55.105072463768117</c:v>
                </c:pt>
                <c:pt idx="3">
                  <c:v>53.904929577464792</c:v>
                </c:pt>
                <c:pt idx="4">
                  <c:v>52.977099236641223</c:v>
                </c:pt>
                <c:pt idx="5">
                  <c:v>53.450757575757578</c:v>
                </c:pt>
                <c:pt idx="6">
                  <c:v>54.9</c:v>
                </c:pt>
                <c:pt idx="7">
                  <c:v>55.042307692307695</c:v>
                </c:pt>
                <c:pt idx="8">
                  <c:v>55.613636363636367</c:v>
                </c:pt>
                <c:pt idx="9">
                  <c:v>54.169172932330824</c:v>
                </c:pt>
                <c:pt idx="10">
                  <c:v>54.63703703703704</c:v>
                </c:pt>
                <c:pt idx="11">
                  <c:v>51.456521739130437</c:v>
                </c:pt>
                <c:pt idx="12">
                  <c:v>46.847826086956523</c:v>
                </c:pt>
                <c:pt idx="13">
                  <c:v>45.95289855072464</c:v>
                </c:pt>
                <c:pt idx="14">
                  <c:v>47.517985611510788</c:v>
                </c:pt>
                <c:pt idx="15">
                  <c:v>46.648936170212764</c:v>
                </c:pt>
                <c:pt idx="16">
                  <c:v>51.918393678360644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'2013'!$F$83:$F$99</c:f>
              <c:numCache>
                <c:formatCode>General</c:formatCode>
                <c:ptCount val="17"/>
                <c:pt idx="0">
                  <c:v>42.4</c:v>
                </c:pt>
                <c:pt idx="1">
                  <c:v>43.117647058823529</c:v>
                </c:pt>
                <c:pt idx="2">
                  <c:v>44.732352941176472</c:v>
                </c:pt>
                <c:pt idx="3">
                  <c:v>44.24566473988439</c:v>
                </c:pt>
                <c:pt idx="4">
                  <c:v>39.885057471264368</c:v>
                </c:pt>
                <c:pt idx="5">
                  <c:v>40.548850574712645</c:v>
                </c:pt>
                <c:pt idx="6">
                  <c:v>41.494186046511629</c:v>
                </c:pt>
                <c:pt idx="7">
                  <c:v>41.60174418604651</c:v>
                </c:pt>
                <c:pt idx="8">
                  <c:v>42.433526011560694</c:v>
                </c:pt>
                <c:pt idx="9">
                  <c:v>41.644508670520231</c:v>
                </c:pt>
                <c:pt idx="10">
                  <c:v>42.635838150289018</c:v>
                </c:pt>
                <c:pt idx="11">
                  <c:v>41.046242774566473</c:v>
                </c:pt>
                <c:pt idx="12">
                  <c:v>37.369942196531795</c:v>
                </c:pt>
                <c:pt idx="13">
                  <c:v>36.656069364161851</c:v>
                </c:pt>
                <c:pt idx="14">
                  <c:v>38.179190751445084</c:v>
                </c:pt>
                <c:pt idx="15">
                  <c:v>38.020231213872833</c:v>
                </c:pt>
                <c:pt idx="16">
                  <c:v>40.907403476757828</c:v>
                </c:pt>
              </c:numCache>
            </c:numRef>
          </c:val>
        </c:ser>
        <c:axId val="76240384"/>
        <c:axId val="76241920"/>
      </c:barChart>
      <c:catAx>
        <c:axId val="76240384"/>
        <c:scaling>
          <c:orientation val="minMax"/>
        </c:scaling>
        <c:axPos val="b"/>
        <c:tickLblPos val="nextTo"/>
        <c:crossAx val="76241920"/>
        <c:crosses val="autoZero"/>
        <c:auto val="1"/>
        <c:lblAlgn val="ctr"/>
        <c:lblOffset val="100"/>
      </c:catAx>
      <c:valAx>
        <c:axId val="76241920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624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611"/>
          <c:y val="0.41450150143335834"/>
          <c:w val="0.16666552550496408"/>
          <c:h val="0.12962661925323704"/>
        </c:manualLayout>
      </c:layout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'2013'!$D$123:$D$140</c:f>
              <c:numCache>
                <c:formatCode>General</c:formatCode>
                <c:ptCount val="18"/>
                <c:pt idx="0">
                  <c:v>55.59</c:v>
                </c:pt>
                <c:pt idx="1">
                  <c:v>42.96875</c:v>
                </c:pt>
                <c:pt idx="2">
                  <c:v>37.700000000000003</c:v>
                </c:pt>
                <c:pt idx="3">
                  <c:v>43.707407407407409</c:v>
                </c:pt>
                <c:pt idx="4">
                  <c:v>41.137323943661968</c:v>
                </c:pt>
                <c:pt idx="5">
                  <c:v>42.640845070422536</c:v>
                </c:pt>
                <c:pt idx="6">
                  <c:v>43.427083333333336</c:v>
                </c:pt>
                <c:pt idx="7">
                  <c:v>44.060283687943262</c:v>
                </c:pt>
                <c:pt idx="8">
                  <c:v>46.953900709219859</c:v>
                </c:pt>
                <c:pt idx="9">
                  <c:v>45.833333333333336</c:v>
                </c:pt>
                <c:pt idx="10">
                  <c:v>45.770833333333336</c:v>
                </c:pt>
                <c:pt idx="11">
                  <c:v>45.051369863013697</c:v>
                </c:pt>
                <c:pt idx="12">
                  <c:v>43.106164383561641</c:v>
                </c:pt>
                <c:pt idx="13">
                  <c:v>42.844827586206897</c:v>
                </c:pt>
                <c:pt idx="14">
                  <c:v>41.557823129251702</c:v>
                </c:pt>
                <c:pt idx="15">
                  <c:v>39.333333333333336</c:v>
                </c:pt>
                <c:pt idx="16">
                  <c:v>39.7687074829932</c:v>
                </c:pt>
                <c:pt idx="17">
                  <c:v>42.86637416231347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'2013'!$F$123:$F$140</c:f>
              <c:numCache>
                <c:formatCode>General</c:formatCode>
                <c:ptCount val="18"/>
                <c:pt idx="0">
                  <c:v>44.98</c:v>
                </c:pt>
                <c:pt idx="1">
                  <c:v>37.960122699386503</c:v>
                </c:pt>
                <c:pt idx="2">
                  <c:v>31.223926380368098</c:v>
                </c:pt>
                <c:pt idx="3">
                  <c:v>36.199386503067487</c:v>
                </c:pt>
                <c:pt idx="4">
                  <c:v>35.403030303030306</c:v>
                </c:pt>
                <c:pt idx="5">
                  <c:v>37.147239263803684</c:v>
                </c:pt>
                <c:pt idx="6">
                  <c:v>38.365030674846629</c:v>
                </c:pt>
                <c:pt idx="7">
                  <c:v>38.113496932515339</c:v>
                </c:pt>
                <c:pt idx="8">
                  <c:v>40.616564417177912</c:v>
                </c:pt>
                <c:pt idx="9">
                  <c:v>40.243902439024389</c:v>
                </c:pt>
                <c:pt idx="10">
                  <c:v>40.435582822085891</c:v>
                </c:pt>
                <c:pt idx="11">
                  <c:v>40.106707317073173</c:v>
                </c:pt>
                <c:pt idx="12">
                  <c:v>38.375</c:v>
                </c:pt>
                <c:pt idx="13">
                  <c:v>38.113496932515339</c:v>
                </c:pt>
                <c:pt idx="14">
                  <c:v>37.478527607361961</c:v>
                </c:pt>
                <c:pt idx="15">
                  <c:v>35.472392638036808</c:v>
                </c:pt>
                <c:pt idx="16">
                  <c:v>35.865030674846629</c:v>
                </c:pt>
                <c:pt idx="17">
                  <c:v>37.569964850321256</c:v>
                </c:pt>
              </c:numCache>
            </c:numRef>
          </c:val>
        </c:ser>
        <c:axId val="76286976"/>
        <c:axId val="76288768"/>
      </c:barChart>
      <c:catAx>
        <c:axId val="76286976"/>
        <c:scaling>
          <c:orientation val="minMax"/>
        </c:scaling>
        <c:axPos val="b"/>
        <c:tickLblPos val="nextTo"/>
        <c:crossAx val="76288768"/>
        <c:crosses val="autoZero"/>
        <c:auto val="1"/>
        <c:lblAlgn val="ctr"/>
        <c:lblOffset val="100"/>
      </c:catAx>
      <c:valAx>
        <c:axId val="76288768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628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611"/>
          <c:y val="0.41450150143335834"/>
          <c:w val="0.16666552550496408"/>
          <c:h val="0.12962661925323704"/>
        </c:manualLayout>
      </c:layout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Milk cows</c:v>
          </c:tx>
          <c:val>
            <c:numRef>
              <c:f>'2013'!$D$144:$D$161</c:f>
              <c:numCache>
                <c:formatCode>General</c:formatCode>
                <c:ptCount val="18"/>
                <c:pt idx="0">
                  <c:v>42.63</c:v>
                </c:pt>
                <c:pt idx="1">
                  <c:v>36.819727891156461</c:v>
                </c:pt>
                <c:pt idx="2">
                  <c:v>34.173469387755105</c:v>
                </c:pt>
                <c:pt idx="3">
                  <c:v>34.624113475177303</c:v>
                </c:pt>
                <c:pt idx="4">
                  <c:v>31.583916083916083</c:v>
                </c:pt>
                <c:pt idx="5">
                  <c:v>30.86013986013986</c:v>
                </c:pt>
                <c:pt idx="6">
                  <c:v>32.930069930069934</c:v>
                </c:pt>
                <c:pt idx="7">
                  <c:v>29.83450704225352</c:v>
                </c:pt>
                <c:pt idx="8">
                  <c:v>32.62676056338028</c:v>
                </c:pt>
                <c:pt idx="9">
                  <c:v>34.16549295774648</c:v>
                </c:pt>
                <c:pt idx="10">
                  <c:v>35.964788732394368</c:v>
                </c:pt>
                <c:pt idx="11">
                  <c:v>34.638888888888886</c:v>
                </c:pt>
                <c:pt idx="12">
                  <c:v>34.375</c:v>
                </c:pt>
                <c:pt idx="13">
                  <c:v>33.902777777777779</c:v>
                </c:pt>
                <c:pt idx="14">
                  <c:v>34.621527777777779</c:v>
                </c:pt>
                <c:pt idx="15">
                  <c:v>36.604166666666664</c:v>
                </c:pt>
                <c:pt idx="16">
                  <c:v>34.810344827586206</c:v>
                </c:pt>
                <c:pt idx="17">
                  <c:v>36.169046124179111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'2013'!$F$144:$F$161</c:f>
              <c:numCache>
                <c:formatCode>General</c:formatCode>
                <c:ptCount val="18"/>
                <c:pt idx="0">
                  <c:v>37.68</c:v>
                </c:pt>
                <c:pt idx="1">
                  <c:v>33.618012422360252</c:v>
                </c:pt>
                <c:pt idx="2">
                  <c:v>31.201863354037268</c:v>
                </c:pt>
                <c:pt idx="3">
                  <c:v>30.322981366459626</c:v>
                </c:pt>
                <c:pt idx="4">
                  <c:v>27.87962962962963</c:v>
                </c:pt>
                <c:pt idx="5">
                  <c:v>27.24074074074074</c:v>
                </c:pt>
                <c:pt idx="6">
                  <c:v>29.067901234567902</c:v>
                </c:pt>
                <c:pt idx="7">
                  <c:v>26.151234567901234</c:v>
                </c:pt>
                <c:pt idx="8">
                  <c:v>28.598765432098766</c:v>
                </c:pt>
                <c:pt idx="9">
                  <c:v>29.947530864197532</c:v>
                </c:pt>
                <c:pt idx="10">
                  <c:v>31.52469135802469</c:v>
                </c:pt>
                <c:pt idx="11">
                  <c:v>30.790123456790123</c:v>
                </c:pt>
                <c:pt idx="12">
                  <c:v>30.555555555555557</c:v>
                </c:pt>
                <c:pt idx="13">
                  <c:v>30.135802469135804</c:v>
                </c:pt>
                <c:pt idx="14">
                  <c:v>30.77469135802469</c:v>
                </c:pt>
                <c:pt idx="15">
                  <c:v>32.537037037037038</c:v>
                </c:pt>
                <c:pt idx="16">
                  <c:v>30.966257668711656</c:v>
                </c:pt>
                <c:pt idx="17">
                  <c:v>32.087521234351506</c:v>
                </c:pt>
              </c:numCache>
            </c:numRef>
          </c:val>
        </c:ser>
        <c:axId val="76317440"/>
        <c:axId val="76318976"/>
      </c:barChart>
      <c:catAx>
        <c:axId val="76317440"/>
        <c:scaling>
          <c:orientation val="minMax"/>
        </c:scaling>
        <c:axPos val="b"/>
        <c:tickLblPos val="nextTo"/>
        <c:crossAx val="76318976"/>
        <c:crosses val="autoZero"/>
        <c:auto val="1"/>
        <c:lblAlgn val="ctr"/>
        <c:lblOffset val="100"/>
      </c:catAx>
      <c:valAx>
        <c:axId val="7631897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31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611"/>
          <c:y val="0.41450150143335834"/>
          <c:w val="0.16666552550496408"/>
          <c:h val="0.12962661925323704"/>
        </c:manualLayout>
      </c:layout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376393168245764E-2"/>
          <c:y val="4.6503437790737324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val>
            <c:numRef>
              <c:f>'2013'!$D$165:$D$181</c:f>
              <c:numCache>
                <c:formatCode>General</c:formatCode>
                <c:ptCount val="17"/>
                <c:pt idx="0">
                  <c:v>37.74</c:v>
                </c:pt>
                <c:pt idx="1">
                  <c:v>35.355172413793106</c:v>
                </c:pt>
                <c:pt idx="2">
                  <c:v>35.849264705882355</c:v>
                </c:pt>
                <c:pt idx="3">
                  <c:v>37.535714285714285</c:v>
                </c:pt>
                <c:pt idx="4">
                  <c:v>39.27642276422764</c:v>
                </c:pt>
                <c:pt idx="5">
                  <c:v>41.788617886178862</c:v>
                </c:pt>
                <c:pt idx="6">
                  <c:v>42.638211382113823</c:v>
                </c:pt>
                <c:pt idx="7">
                  <c:v>40.766129032258064</c:v>
                </c:pt>
                <c:pt idx="8">
                  <c:v>44.33467741935484</c:v>
                </c:pt>
                <c:pt idx="9">
                  <c:v>41.74596774193548</c:v>
                </c:pt>
                <c:pt idx="10">
                  <c:v>42.246031746031747</c:v>
                </c:pt>
                <c:pt idx="11">
                  <c:v>41.797619047619051</c:v>
                </c:pt>
                <c:pt idx="12">
                  <c:v>42.051181102362207</c:v>
                </c:pt>
                <c:pt idx="13">
                  <c:v>38.598425196850393</c:v>
                </c:pt>
                <c:pt idx="14">
                  <c:v>38.49212598425197</c:v>
                </c:pt>
                <c:pt idx="15">
                  <c:v>34.122047244094489</c:v>
                </c:pt>
                <c:pt idx="16">
                  <c:v>39.773173863511218</c:v>
                </c:pt>
              </c:numCache>
            </c:numRef>
          </c:val>
        </c:ser>
        <c:ser>
          <c:idx val="1"/>
          <c:order val="1"/>
          <c:val>
            <c:numRef>
              <c:f>'2013'!$F$165:$F$181</c:f>
              <c:numCache>
                <c:formatCode>General</c:formatCode>
                <c:ptCount val="17"/>
                <c:pt idx="0">
                  <c:v>32.81</c:v>
                </c:pt>
                <c:pt idx="1">
                  <c:v>31.450920245398773</c:v>
                </c:pt>
                <c:pt idx="2">
                  <c:v>29.911042944785276</c:v>
                </c:pt>
                <c:pt idx="3">
                  <c:v>29.375776397515526</c:v>
                </c:pt>
                <c:pt idx="4">
                  <c:v>30.575949367088608</c:v>
                </c:pt>
                <c:pt idx="5">
                  <c:v>32.531645569620252</c:v>
                </c:pt>
                <c:pt idx="6">
                  <c:v>33.193037974683541</c:v>
                </c:pt>
                <c:pt idx="7">
                  <c:v>31.99367088607595</c:v>
                </c:pt>
                <c:pt idx="8">
                  <c:v>34.794303797468352</c:v>
                </c:pt>
                <c:pt idx="9">
                  <c:v>32.7626582278481</c:v>
                </c:pt>
                <c:pt idx="10">
                  <c:v>33.689873417721522</c:v>
                </c:pt>
                <c:pt idx="11">
                  <c:v>33.332278481012658</c:v>
                </c:pt>
                <c:pt idx="12">
                  <c:v>33.588050314465406</c:v>
                </c:pt>
                <c:pt idx="13">
                  <c:v>30.830188679245282</c:v>
                </c:pt>
                <c:pt idx="14">
                  <c:v>30.745283018867923</c:v>
                </c:pt>
                <c:pt idx="15">
                  <c:v>27.254716981132077</c:v>
                </c:pt>
                <c:pt idx="16">
                  <c:v>31.735293086861951</c:v>
                </c:pt>
              </c:numCache>
            </c:numRef>
          </c:val>
        </c:ser>
        <c:axId val="76339456"/>
        <c:axId val="76341248"/>
      </c:barChart>
      <c:catAx>
        <c:axId val="76339456"/>
        <c:scaling>
          <c:orientation val="minMax"/>
        </c:scaling>
        <c:axPos val="b"/>
        <c:tickLblPos val="nextTo"/>
        <c:crossAx val="76341248"/>
        <c:crosses val="autoZero"/>
        <c:auto val="1"/>
        <c:lblAlgn val="ctr"/>
        <c:lblOffset val="100"/>
      </c:catAx>
      <c:valAx>
        <c:axId val="76341248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33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3896571285938075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'2013'!$D$184:$D$200</c:f>
              <c:numCache>
                <c:formatCode>General</c:formatCode>
                <c:ptCount val="17"/>
                <c:pt idx="0">
                  <c:v>41.81</c:v>
                </c:pt>
                <c:pt idx="1">
                  <c:v>34.874015748031496</c:v>
                </c:pt>
                <c:pt idx="2">
                  <c:v>34.19291338582677</c:v>
                </c:pt>
                <c:pt idx="3">
                  <c:v>33.045801526717554</c:v>
                </c:pt>
                <c:pt idx="4">
                  <c:v>36.174796747967477</c:v>
                </c:pt>
                <c:pt idx="5">
                  <c:v>34.897435897435898</c:v>
                </c:pt>
                <c:pt idx="6">
                  <c:v>35.662393162393165</c:v>
                </c:pt>
                <c:pt idx="7">
                  <c:v>36.311965811965813</c:v>
                </c:pt>
                <c:pt idx="8">
                  <c:v>35.353448275862071</c:v>
                </c:pt>
                <c:pt idx="9">
                  <c:v>36.741379310344826</c:v>
                </c:pt>
                <c:pt idx="10">
                  <c:v>35.663793103448278</c:v>
                </c:pt>
                <c:pt idx="11">
                  <c:v>36.086206896551722</c:v>
                </c:pt>
                <c:pt idx="12">
                  <c:v>33.724137931034484</c:v>
                </c:pt>
                <c:pt idx="13">
                  <c:v>32.176724137931032</c:v>
                </c:pt>
                <c:pt idx="14">
                  <c:v>35.128205128205131</c:v>
                </c:pt>
                <c:pt idx="15">
                  <c:v>36.648305084745765</c:v>
                </c:pt>
                <c:pt idx="16">
                  <c:v>35.112101476564099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'2013'!$F$184:$F$200</c:f>
              <c:numCache>
                <c:formatCode>General</c:formatCode>
                <c:ptCount val="17"/>
                <c:pt idx="0">
                  <c:v>35.26</c:v>
                </c:pt>
                <c:pt idx="1">
                  <c:v>28.210191082802549</c:v>
                </c:pt>
                <c:pt idx="2">
                  <c:v>27.659235668789808</c:v>
                </c:pt>
                <c:pt idx="3">
                  <c:v>27.573248407643312</c:v>
                </c:pt>
                <c:pt idx="4">
                  <c:v>28.340764331210192</c:v>
                </c:pt>
                <c:pt idx="5">
                  <c:v>27.039735099337747</c:v>
                </c:pt>
                <c:pt idx="6">
                  <c:v>27.632450331125828</c:v>
                </c:pt>
                <c:pt idx="7">
                  <c:v>28.135761589403973</c:v>
                </c:pt>
                <c:pt idx="8">
                  <c:v>27.158940397350992</c:v>
                </c:pt>
                <c:pt idx="9">
                  <c:v>28.225165562913908</c:v>
                </c:pt>
                <c:pt idx="10">
                  <c:v>27.397350993377483</c:v>
                </c:pt>
                <c:pt idx="11">
                  <c:v>27.721854304635762</c:v>
                </c:pt>
                <c:pt idx="12">
                  <c:v>25.90728476821192</c:v>
                </c:pt>
                <c:pt idx="13">
                  <c:v>24.718543046357617</c:v>
                </c:pt>
                <c:pt idx="14">
                  <c:v>27.218543046357617</c:v>
                </c:pt>
                <c:pt idx="15">
                  <c:v>28.639072847682119</c:v>
                </c:pt>
                <c:pt idx="16">
                  <c:v>27.438542765146728</c:v>
                </c:pt>
              </c:numCache>
            </c:numRef>
          </c:val>
        </c:ser>
        <c:axId val="76365824"/>
        <c:axId val="76367360"/>
      </c:barChart>
      <c:catAx>
        <c:axId val="76365824"/>
        <c:scaling>
          <c:orientation val="minMax"/>
        </c:scaling>
        <c:axPos val="b"/>
        <c:tickLblPos val="nextTo"/>
        <c:crossAx val="76367360"/>
        <c:crosses val="autoZero"/>
        <c:auto val="1"/>
        <c:lblAlgn val="ctr"/>
        <c:lblOffset val="100"/>
      </c:catAx>
      <c:valAx>
        <c:axId val="76367360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36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'2013'!$D$203:$D$219</c:f>
              <c:numCache>
                <c:formatCode>General</c:formatCode>
                <c:ptCount val="17"/>
                <c:pt idx="0">
                  <c:v>44.37</c:v>
                </c:pt>
                <c:pt idx="1">
                  <c:v>41.604166666666664</c:v>
                </c:pt>
                <c:pt idx="2">
                  <c:v>41.66115702479339</c:v>
                </c:pt>
                <c:pt idx="3">
                  <c:v>39.869918699186989</c:v>
                </c:pt>
                <c:pt idx="4">
                  <c:v>36.135593220338983</c:v>
                </c:pt>
                <c:pt idx="5">
                  <c:v>37.590090090090094</c:v>
                </c:pt>
                <c:pt idx="6">
                  <c:v>39.391891891891895</c:v>
                </c:pt>
                <c:pt idx="7">
                  <c:v>38.071428571428569</c:v>
                </c:pt>
                <c:pt idx="8">
                  <c:v>37.825892857142854</c:v>
                </c:pt>
                <c:pt idx="9">
                  <c:v>37.973451327433629</c:v>
                </c:pt>
                <c:pt idx="10">
                  <c:v>38.429203539823007</c:v>
                </c:pt>
                <c:pt idx="11">
                  <c:v>36.924778761061944</c:v>
                </c:pt>
                <c:pt idx="12">
                  <c:v>36.05263157894737</c:v>
                </c:pt>
                <c:pt idx="13">
                  <c:v>36.688596491228068</c:v>
                </c:pt>
                <c:pt idx="14">
                  <c:v>36.291304347826085</c:v>
                </c:pt>
                <c:pt idx="15">
                  <c:v>38.539130434782606</c:v>
                </c:pt>
                <c:pt idx="16">
                  <c:v>38.203282366842807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'2013'!$F$203:$F$219</c:f>
              <c:numCache>
                <c:formatCode>General</c:formatCode>
                <c:ptCount val="17"/>
                <c:pt idx="0">
                  <c:v>34.36</c:v>
                </c:pt>
                <c:pt idx="1">
                  <c:v>33.962585034013607</c:v>
                </c:pt>
                <c:pt idx="2">
                  <c:v>34.292517006802719</c:v>
                </c:pt>
                <c:pt idx="3">
                  <c:v>33.360544217687078</c:v>
                </c:pt>
                <c:pt idx="4">
                  <c:v>29.006802721088434</c:v>
                </c:pt>
                <c:pt idx="5">
                  <c:v>28.3843537414966</c:v>
                </c:pt>
                <c:pt idx="6">
                  <c:v>29.744897959183675</c:v>
                </c:pt>
                <c:pt idx="7">
                  <c:v>29.006802721088434</c:v>
                </c:pt>
                <c:pt idx="8">
                  <c:v>29.017123287671232</c:v>
                </c:pt>
                <c:pt idx="9">
                  <c:v>29.19047619047619</c:v>
                </c:pt>
                <c:pt idx="10">
                  <c:v>29.540816326530614</c:v>
                </c:pt>
                <c:pt idx="11">
                  <c:v>28.3843537414966</c:v>
                </c:pt>
                <c:pt idx="12">
                  <c:v>27.959183673469386</c:v>
                </c:pt>
                <c:pt idx="13">
                  <c:v>28.452380952380953</c:v>
                </c:pt>
                <c:pt idx="14">
                  <c:v>28.391156462585034</c:v>
                </c:pt>
                <c:pt idx="15">
                  <c:v>30.14965986394558</c:v>
                </c:pt>
                <c:pt idx="16">
                  <c:v>29.922910259994413</c:v>
                </c:pt>
              </c:numCache>
            </c:numRef>
          </c:val>
        </c:ser>
        <c:axId val="76404224"/>
        <c:axId val="76405760"/>
      </c:barChart>
      <c:catAx>
        <c:axId val="76404224"/>
        <c:scaling>
          <c:orientation val="minMax"/>
        </c:scaling>
        <c:axPos val="b"/>
        <c:tickLblPos val="nextTo"/>
        <c:crossAx val="76405760"/>
        <c:crosses val="autoZero"/>
        <c:auto val="1"/>
        <c:lblAlgn val="ctr"/>
        <c:lblOffset val="100"/>
      </c:catAx>
      <c:valAx>
        <c:axId val="76405760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404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'2012'!$D$3:$D$19</c:f>
              <c:numCache>
                <c:formatCode>General</c:formatCode>
                <c:ptCount val="17"/>
                <c:pt idx="0">
                  <c:v>42.7</c:v>
                </c:pt>
                <c:pt idx="1">
                  <c:v>47.433035714285715</c:v>
                </c:pt>
                <c:pt idx="2">
                  <c:v>47.171171171171174</c:v>
                </c:pt>
                <c:pt idx="3">
                  <c:v>47.229729729729726</c:v>
                </c:pt>
                <c:pt idx="4">
                  <c:v>45.711711711711715</c:v>
                </c:pt>
                <c:pt idx="5">
                  <c:v>50.46078431372549</c:v>
                </c:pt>
                <c:pt idx="6">
                  <c:v>48.661764705882355</c:v>
                </c:pt>
                <c:pt idx="7">
                  <c:v>46.735294117647058</c:v>
                </c:pt>
                <c:pt idx="8">
                  <c:v>50.160194174757279</c:v>
                </c:pt>
                <c:pt idx="9">
                  <c:v>46.26442307692308</c:v>
                </c:pt>
                <c:pt idx="10">
                  <c:v>45.847619047619048</c:v>
                </c:pt>
                <c:pt idx="11">
                  <c:v>46.414285714285711</c:v>
                </c:pt>
                <c:pt idx="12">
                  <c:v>45.676190476190477</c:v>
                </c:pt>
                <c:pt idx="13">
                  <c:v>45.56666666666667</c:v>
                </c:pt>
                <c:pt idx="14">
                  <c:v>46.138095238095239</c:v>
                </c:pt>
                <c:pt idx="15">
                  <c:v>49.285714285714285</c:v>
                </c:pt>
                <c:pt idx="16">
                  <c:v>47.250445342960354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'2012'!$F$3:$F$19</c:f>
              <c:numCache>
                <c:formatCode>General</c:formatCode>
                <c:ptCount val="17"/>
                <c:pt idx="0">
                  <c:v>35</c:v>
                </c:pt>
                <c:pt idx="1">
                  <c:v>38.496376811594203</c:v>
                </c:pt>
                <c:pt idx="2">
                  <c:v>38.21897810218978</c:v>
                </c:pt>
                <c:pt idx="3">
                  <c:v>38.26642335766423</c:v>
                </c:pt>
                <c:pt idx="4">
                  <c:v>37.036496350364963</c:v>
                </c:pt>
                <c:pt idx="5">
                  <c:v>37.569343065693431</c:v>
                </c:pt>
                <c:pt idx="6">
                  <c:v>36.229927007299267</c:v>
                </c:pt>
                <c:pt idx="7">
                  <c:v>34.795620437956202</c:v>
                </c:pt>
                <c:pt idx="8">
                  <c:v>37.711678832116789</c:v>
                </c:pt>
                <c:pt idx="9">
                  <c:v>35.120437956204377</c:v>
                </c:pt>
                <c:pt idx="10">
                  <c:v>35.138686131386862</c:v>
                </c:pt>
                <c:pt idx="11">
                  <c:v>35.572992700729927</c:v>
                </c:pt>
                <c:pt idx="12">
                  <c:v>35.007299270072991</c:v>
                </c:pt>
                <c:pt idx="13">
                  <c:v>34.923357664233578</c:v>
                </c:pt>
                <c:pt idx="14">
                  <c:v>35.361313868613138</c:v>
                </c:pt>
                <c:pt idx="15">
                  <c:v>37.773722627737229</c:v>
                </c:pt>
                <c:pt idx="16">
                  <c:v>36.481510278923793</c:v>
                </c:pt>
              </c:numCache>
            </c:numRef>
          </c:val>
        </c:ser>
        <c:axId val="73898624"/>
        <c:axId val="73904512"/>
      </c:barChart>
      <c:catAx>
        <c:axId val="73898624"/>
        <c:scaling>
          <c:orientation val="minMax"/>
        </c:scaling>
        <c:axPos val="b"/>
        <c:tickLblPos val="nextTo"/>
        <c:crossAx val="73904512"/>
        <c:crosses val="autoZero"/>
        <c:auto val="1"/>
        <c:lblAlgn val="ctr"/>
        <c:lblOffset val="100"/>
      </c:catAx>
      <c:valAx>
        <c:axId val="73904512"/>
        <c:scaling>
          <c:orientation val="minMax"/>
          <c:max val="51"/>
          <c:min val="30"/>
        </c:scaling>
        <c:axPos val="l"/>
        <c:majorGridlines/>
        <c:numFmt formatCode="General" sourceLinked="1"/>
        <c:tickLblPos val="nextTo"/>
        <c:crossAx val="73898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22"/>
          <c:y val="0.41450150143335834"/>
          <c:w val="0.16666552550496408"/>
          <c:h val="0.12962661925323732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'2013'!$D$222:$D$239</c:f>
              <c:numCache>
                <c:formatCode>General</c:formatCode>
                <c:ptCount val="18"/>
                <c:pt idx="0">
                  <c:v>41.9953</c:v>
                </c:pt>
                <c:pt idx="1">
                  <c:v>39.582608695652176</c:v>
                </c:pt>
                <c:pt idx="2">
                  <c:v>40.521551724137929</c:v>
                </c:pt>
                <c:pt idx="3">
                  <c:v>39.213675213675216</c:v>
                </c:pt>
                <c:pt idx="4">
                  <c:v>38.918103448275865</c:v>
                </c:pt>
                <c:pt idx="5">
                  <c:v>37.512931034482762</c:v>
                </c:pt>
                <c:pt idx="6">
                  <c:v>39.591743119266056</c:v>
                </c:pt>
                <c:pt idx="7">
                  <c:v>39.886363636363633</c:v>
                </c:pt>
                <c:pt idx="8">
                  <c:v>41.259090909090908</c:v>
                </c:pt>
                <c:pt idx="9">
                  <c:v>40.407079646017699</c:v>
                </c:pt>
                <c:pt idx="10">
                  <c:v>38.157894736842103</c:v>
                </c:pt>
                <c:pt idx="11">
                  <c:v>36.357758620689658</c:v>
                </c:pt>
                <c:pt idx="12">
                  <c:v>39.247863247863251</c:v>
                </c:pt>
                <c:pt idx="13">
                  <c:v>41.29059829059829</c:v>
                </c:pt>
                <c:pt idx="14">
                  <c:v>41.085470085470085</c:v>
                </c:pt>
                <c:pt idx="15">
                  <c:v>40.737288135593218</c:v>
                </c:pt>
                <c:pt idx="16">
                  <c:v>40.737288135593218</c:v>
                </c:pt>
                <c:pt idx="17">
                  <c:v>39.656706792475745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'2013'!$F$222:$F$239</c:f>
              <c:numCache>
                <c:formatCode>General</c:formatCode>
                <c:ptCount val="18"/>
                <c:pt idx="0">
                  <c:v>34.051000000000002</c:v>
                </c:pt>
                <c:pt idx="1">
                  <c:v>30.550335570469798</c:v>
                </c:pt>
                <c:pt idx="2">
                  <c:v>31.546979865771814</c:v>
                </c:pt>
                <c:pt idx="3">
                  <c:v>30.791946308724832</c:v>
                </c:pt>
                <c:pt idx="4">
                  <c:v>30.710884353741495</c:v>
                </c:pt>
                <c:pt idx="5">
                  <c:v>29.602040816326532</c:v>
                </c:pt>
                <c:pt idx="6">
                  <c:v>29.357142857142858</c:v>
                </c:pt>
                <c:pt idx="7">
                  <c:v>29.846938775510203</c:v>
                </c:pt>
                <c:pt idx="8">
                  <c:v>30.874149659863946</c:v>
                </c:pt>
                <c:pt idx="9">
                  <c:v>31.061224489795919</c:v>
                </c:pt>
                <c:pt idx="10">
                  <c:v>29.591836734693878</c:v>
                </c:pt>
                <c:pt idx="11">
                  <c:v>28.69047619047619</c:v>
                </c:pt>
                <c:pt idx="12">
                  <c:v>31.238095238095237</c:v>
                </c:pt>
                <c:pt idx="13">
                  <c:v>32.863945578231295</c:v>
                </c:pt>
                <c:pt idx="14">
                  <c:v>32.700680272108841</c:v>
                </c:pt>
                <c:pt idx="15">
                  <c:v>32.700680272108841</c:v>
                </c:pt>
                <c:pt idx="16">
                  <c:v>32.700680272108841</c:v>
                </c:pt>
                <c:pt idx="17">
                  <c:v>30.926752328448163</c:v>
                </c:pt>
              </c:numCache>
            </c:numRef>
          </c:val>
        </c:ser>
        <c:axId val="76434432"/>
        <c:axId val="76436224"/>
      </c:barChart>
      <c:catAx>
        <c:axId val="76434432"/>
        <c:scaling>
          <c:orientation val="minMax"/>
        </c:scaling>
        <c:axPos val="b"/>
        <c:tickLblPos val="nextTo"/>
        <c:crossAx val="76436224"/>
        <c:crosses val="autoZero"/>
        <c:auto val="1"/>
        <c:lblAlgn val="ctr"/>
        <c:lblOffset val="100"/>
      </c:catAx>
      <c:valAx>
        <c:axId val="76436224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43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611"/>
          <c:y val="0.41450150143335834"/>
          <c:w val="0.16666552550496408"/>
          <c:h val="0.12962661925323704"/>
        </c:manualLayout>
      </c:layout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'2014'!$D$23:$D$38</c:f>
              <c:numCache>
                <c:formatCode>General</c:formatCode>
                <c:ptCount val="16"/>
                <c:pt idx="0">
                  <c:v>43.86</c:v>
                </c:pt>
                <c:pt idx="1">
                  <c:v>43.620535714285715</c:v>
                </c:pt>
                <c:pt idx="2">
                  <c:v>43.620535714285715</c:v>
                </c:pt>
                <c:pt idx="3">
                  <c:v>43.620535714285715</c:v>
                </c:pt>
                <c:pt idx="4">
                  <c:v>43.620535714285715</c:v>
                </c:pt>
                <c:pt idx="5">
                  <c:v>43.620535714285715</c:v>
                </c:pt>
                <c:pt idx="6">
                  <c:v>43.620535714285715</c:v>
                </c:pt>
                <c:pt idx="7">
                  <c:v>43.620535714285715</c:v>
                </c:pt>
                <c:pt idx="8">
                  <c:v>43.620535714285715</c:v>
                </c:pt>
                <c:pt idx="9">
                  <c:v>43.620535714285715</c:v>
                </c:pt>
                <c:pt idx="10">
                  <c:v>43.620535714285715</c:v>
                </c:pt>
                <c:pt idx="11">
                  <c:v>43.620535714285715</c:v>
                </c:pt>
                <c:pt idx="12">
                  <c:v>43.620535714285715</c:v>
                </c:pt>
                <c:pt idx="13">
                  <c:v>43.620535714285715</c:v>
                </c:pt>
                <c:pt idx="14">
                  <c:v>43.620535714285715</c:v>
                </c:pt>
                <c:pt idx="15">
                  <c:v>43.620535714285708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'2014'!$F$23:$F$38</c:f>
              <c:numCache>
                <c:formatCode>General</c:formatCode>
                <c:ptCount val="16"/>
                <c:pt idx="0">
                  <c:v>33.85</c:v>
                </c:pt>
                <c:pt idx="1">
                  <c:v>33.693103448275863</c:v>
                </c:pt>
                <c:pt idx="2">
                  <c:v>33.693103448275863</c:v>
                </c:pt>
                <c:pt idx="3">
                  <c:v>33.693103448275863</c:v>
                </c:pt>
                <c:pt idx="4">
                  <c:v>33.693103448275863</c:v>
                </c:pt>
                <c:pt idx="5">
                  <c:v>33.693103448275863</c:v>
                </c:pt>
                <c:pt idx="6">
                  <c:v>33.693103448275863</c:v>
                </c:pt>
                <c:pt idx="7">
                  <c:v>33.693103448275863</c:v>
                </c:pt>
                <c:pt idx="8">
                  <c:v>33.693103448275863</c:v>
                </c:pt>
                <c:pt idx="9">
                  <c:v>33.693103448275863</c:v>
                </c:pt>
                <c:pt idx="10">
                  <c:v>33.693103448275863</c:v>
                </c:pt>
                <c:pt idx="11">
                  <c:v>33.693103448275863</c:v>
                </c:pt>
                <c:pt idx="12">
                  <c:v>33.693103448275863</c:v>
                </c:pt>
                <c:pt idx="13">
                  <c:v>33.693103448275863</c:v>
                </c:pt>
                <c:pt idx="14">
                  <c:v>33.693103448275863</c:v>
                </c:pt>
                <c:pt idx="15">
                  <c:v>33.693103448275856</c:v>
                </c:pt>
              </c:numCache>
            </c:numRef>
          </c:val>
        </c:ser>
        <c:axId val="76473088"/>
        <c:axId val="76474624"/>
      </c:barChart>
      <c:catAx>
        <c:axId val="76473088"/>
        <c:scaling>
          <c:orientation val="minMax"/>
        </c:scaling>
        <c:axPos val="b"/>
        <c:tickLblPos val="nextTo"/>
        <c:crossAx val="76474624"/>
        <c:crosses val="autoZero"/>
        <c:auto val="1"/>
        <c:lblAlgn val="ctr"/>
        <c:lblOffset val="100"/>
      </c:catAx>
      <c:valAx>
        <c:axId val="76474624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47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'2014'!$D$3:$D$19</c:f>
              <c:numCache>
                <c:formatCode>General</c:formatCode>
                <c:ptCount val="17"/>
                <c:pt idx="0">
                  <c:v>44.162199999999999</c:v>
                </c:pt>
                <c:pt idx="1">
                  <c:v>44.223684210526315</c:v>
                </c:pt>
                <c:pt idx="2">
                  <c:v>44.223684210526315</c:v>
                </c:pt>
                <c:pt idx="3">
                  <c:v>44.223684210526315</c:v>
                </c:pt>
                <c:pt idx="4">
                  <c:v>44.223684210526315</c:v>
                </c:pt>
                <c:pt idx="5">
                  <c:v>44.223684210526315</c:v>
                </c:pt>
                <c:pt idx="6">
                  <c:v>44.223684210526315</c:v>
                </c:pt>
                <c:pt idx="7">
                  <c:v>44.223684210526315</c:v>
                </c:pt>
                <c:pt idx="8">
                  <c:v>44.223684210526315</c:v>
                </c:pt>
                <c:pt idx="9">
                  <c:v>44.223684210526315</c:v>
                </c:pt>
                <c:pt idx="10">
                  <c:v>44.223684210526315</c:v>
                </c:pt>
                <c:pt idx="11">
                  <c:v>44.223684210526315</c:v>
                </c:pt>
                <c:pt idx="12">
                  <c:v>44.223684210526315</c:v>
                </c:pt>
                <c:pt idx="13">
                  <c:v>44.223684210526315</c:v>
                </c:pt>
                <c:pt idx="14">
                  <c:v>44.223684210526315</c:v>
                </c:pt>
                <c:pt idx="15">
                  <c:v>44.223684210526315</c:v>
                </c:pt>
                <c:pt idx="16">
                  <c:v>44.223684210526322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'2014'!$F$3:$F$19</c:f>
              <c:numCache>
                <c:formatCode>General</c:formatCode>
                <c:ptCount val="17"/>
                <c:pt idx="0">
                  <c:v>35.622999999999998</c:v>
                </c:pt>
                <c:pt idx="1">
                  <c:v>36.799270072992698</c:v>
                </c:pt>
                <c:pt idx="2">
                  <c:v>36.799270072992698</c:v>
                </c:pt>
                <c:pt idx="3">
                  <c:v>36.799270072992698</c:v>
                </c:pt>
                <c:pt idx="4">
                  <c:v>36.799270072992698</c:v>
                </c:pt>
                <c:pt idx="5">
                  <c:v>36.799270072992698</c:v>
                </c:pt>
                <c:pt idx="6">
                  <c:v>36.799270072992698</c:v>
                </c:pt>
                <c:pt idx="7">
                  <c:v>36.799270072992698</c:v>
                </c:pt>
                <c:pt idx="8">
                  <c:v>36.799270072992698</c:v>
                </c:pt>
                <c:pt idx="9">
                  <c:v>36.799270072992698</c:v>
                </c:pt>
                <c:pt idx="10">
                  <c:v>36.799270072992698</c:v>
                </c:pt>
                <c:pt idx="11">
                  <c:v>36.799270072992698</c:v>
                </c:pt>
                <c:pt idx="12">
                  <c:v>36.799270072992698</c:v>
                </c:pt>
                <c:pt idx="13">
                  <c:v>36.799270072992698</c:v>
                </c:pt>
                <c:pt idx="14">
                  <c:v>36.799270072992698</c:v>
                </c:pt>
                <c:pt idx="15">
                  <c:v>36.799270072992698</c:v>
                </c:pt>
                <c:pt idx="16">
                  <c:v>36.799270072992712</c:v>
                </c:pt>
              </c:numCache>
            </c:numRef>
          </c:val>
        </c:ser>
        <c:axId val="76560640"/>
        <c:axId val="76566528"/>
      </c:barChart>
      <c:catAx>
        <c:axId val="76560640"/>
        <c:scaling>
          <c:orientation val="minMax"/>
        </c:scaling>
        <c:axPos val="b"/>
        <c:tickLblPos val="nextTo"/>
        <c:crossAx val="76566528"/>
        <c:crosses val="autoZero"/>
        <c:auto val="1"/>
        <c:lblAlgn val="ctr"/>
        <c:lblOffset val="100"/>
      </c:catAx>
      <c:valAx>
        <c:axId val="76566528"/>
        <c:scaling>
          <c:orientation val="minMax"/>
          <c:max val="51"/>
          <c:min val="30"/>
        </c:scaling>
        <c:axPos val="l"/>
        <c:majorGridlines/>
        <c:numFmt formatCode="General" sourceLinked="1"/>
        <c:tickLblPos val="nextTo"/>
        <c:crossAx val="76560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'2013'!$D$42:$D$59</c:f>
              <c:numCache>
                <c:formatCode>0.0000</c:formatCode>
                <c:ptCount val="18"/>
                <c:pt idx="0" formatCode="General">
                  <c:v>47.14</c:v>
                </c:pt>
                <c:pt idx="1">
                  <c:v>40.517699115044245</c:v>
                </c:pt>
                <c:pt idx="2" formatCode="General">
                  <c:v>39.267543859649123</c:v>
                </c:pt>
                <c:pt idx="3" formatCode="General">
                  <c:v>41.135964912280699</c:v>
                </c:pt>
                <c:pt idx="4" formatCode="General">
                  <c:v>42.377192982456137</c:v>
                </c:pt>
                <c:pt idx="5" formatCode="General">
                  <c:v>42.395652173913042</c:v>
                </c:pt>
                <c:pt idx="6" formatCode="General">
                  <c:v>41.466101694915253</c:v>
                </c:pt>
                <c:pt idx="7" formatCode="General">
                  <c:v>43.885964912280699</c:v>
                </c:pt>
                <c:pt idx="8" formatCode="General">
                  <c:v>41.952586206896555</c:v>
                </c:pt>
                <c:pt idx="9" formatCode="General">
                  <c:v>43.064102564102562</c:v>
                </c:pt>
                <c:pt idx="10" formatCode="General">
                  <c:v>43.847457627118644</c:v>
                </c:pt>
                <c:pt idx="11" formatCode="General">
                  <c:v>42.634453781512605</c:v>
                </c:pt>
                <c:pt idx="12" formatCode="General">
                  <c:v>42.122881355932201</c:v>
                </c:pt>
                <c:pt idx="13" formatCode="General">
                  <c:v>41.987804878048777</c:v>
                </c:pt>
                <c:pt idx="14" formatCode="General">
                  <c:v>42.491935483870968</c:v>
                </c:pt>
                <c:pt idx="15" formatCode="General">
                  <c:v>44.787999999999997</c:v>
                </c:pt>
                <c:pt idx="16" formatCode="General">
                  <c:v>43.94140625</c:v>
                </c:pt>
                <c:pt idx="17" formatCode="General">
                  <c:v>42.36729673737635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'2013'!$F$42:$F$59</c:f>
              <c:numCache>
                <c:formatCode>General</c:formatCode>
                <c:ptCount val="18"/>
                <c:pt idx="0">
                  <c:v>35.479999999999997</c:v>
                </c:pt>
                <c:pt idx="1">
                  <c:v>29.538709677419355</c:v>
                </c:pt>
                <c:pt idx="2">
                  <c:v>28.695512820512821</c:v>
                </c:pt>
                <c:pt idx="3">
                  <c:v>30.060897435897434</c:v>
                </c:pt>
                <c:pt idx="4">
                  <c:v>30.967948717948719</c:v>
                </c:pt>
                <c:pt idx="5">
                  <c:v>31.253205128205128</c:v>
                </c:pt>
                <c:pt idx="6">
                  <c:v>30.968354430379748</c:v>
                </c:pt>
                <c:pt idx="7">
                  <c:v>31.664556962025316</c:v>
                </c:pt>
                <c:pt idx="8">
                  <c:v>30.60691823899371</c:v>
                </c:pt>
                <c:pt idx="9">
                  <c:v>31.490625000000001</c:v>
                </c:pt>
                <c:pt idx="10">
                  <c:v>32.337499999999999</c:v>
                </c:pt>
                <c:pt idx="11">
                  <c:v>31.709375000000001</c:v>
                </c:pt>
                <c:pt idx="12">
                  <c:v>31.261006289308177</c:v>
                </c:pt>
                <c:pt idx="13">
                  <c:v>32.278125000000003</c:v>
                </c:pt>
                <c:pt idx="14">
                  <c:v>32.726708074534159</c:v>
                </c:pt>
                <c:pt idx="15">
                  <c:v>34.773291925465841</c:v>
                </c:pt>
                <c:pt idx="16">
                  <c:v>34.719135802469133</c:v>
                </c:pt>
                <c:pt idx="17">
                  <c:v>31.565741906447467</c:v>
                </c:pt>
              </c:numCache>
            </c:numRef>
          </c:val>
        </c:ser>
        <c:axId val="76595200"/>
        <c:axId val="76596736"/>
      </c:barChart>
      <c:catAx>
        <c:axId val="76595200"/>
        <c:scaling>
          <c:orientation val="minMax"/>
        </c:scaling>
        <c:axPos val="b"/>
        <c:tickLblPos val="nextTo"/>
        <c:crossAx val="76596736"/>
        <c:crosses val="autoZero"/>
        <c:auto val="1"/>
        <c:lblAlgn val="ctr"/>
        <c:lblOffset val="100"/>
      </c:catAx>
      <c:valAx>
        <c:axId val="76596736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6595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v>Per Cow</c:v>
          </c:tx>
          <c:val>
            <c:numRef>
              <c:f>'2012'!$D$3:$D$239</c:f>
              <c:numCache>
                <c:formatCode>General</c:formatCode>
                <c:ptCount val="237"/>
                <c:pt idx="0">
                  <c:v>42.7</c:v>
                </c:pt>
                <c:pt idx="1">
                  <c:v>47.433035714285715</c:v>
                </c:pt>
                <c:pt idx="2">
                  <c:v>47.171171171171174</c:v>
                </c:pt>
                <c:pt idx="3">
                  <c:v>47.229729729729726</c:v>
                </c:pt>
                <c:pt idx="4">
                  <c:v>45.711711711711715</c:v>
                </c:pt>
                <c:pt idx="5">
                  <c:v>50.46078431372549</c:v>
                </c:pt>
                <c:pt idx="6">
                  <c:v>48.661764705882355</c:v>
                </c:pt>
                <c:pt idx="7">
                  <c:v>46.735294117647058</c:v>
                </c:pt>
                <c:pt idx="8">
                  <c:v>50.160194174757279</c:v>
                </c:pt>
                <c:pt idx="9">
                  <c:v>46.26442307692308</c:v>
                </c:pt>
                <c:pt idx="10">
                  <c:v>45.847619047619048</c:v>
                </c:pt>
                <c:pt idx="11">
                  <c:v>46.414285714285711</c:v>
                </c:pt>
                <c:pt idx="12">
                  <c:v>45.676190476190477</c:v>
                </c:pt>
                <c:pt idx="13">
                  <c:v>45.56666666666667</c:v>
                </c:pt>
                <c:pt idx="14">
                  <c:v>46.138095238095239</c:v>
                </c:pt>
                <c:pt idx="15">
                  <c:v>49.285714285714285</c:v>
                </c:pt>
                <c:pt idx="16">
                  <c:v>47.250445342960354</c:v>
                </c:pt>
                <c:pt idx="18">
                  <c:v>0</c:v>
                </c:pt>
                <c:pt idx="19">
                  <c:v>0</c:v>
                </c:pt>
                <c:pt idx="20">
                  <c:v>43.9</c:v>
                </c:pt>
                <c:pt idx="21">
                  <c:v>45.143518518518519</c:v>
                </c:pt>
                <c:pt idx="22">
                  <c:v>47.940366972477065</c:v>
                </c:pt>
                <c:pt idx="23">
                  <c:v>47.71844660194175</c:v>
                </c:pt>
                <c:pt idx="24">
                  <c:v>47.140776699029125</c:v>
                </c:pt>
                <c:pt idx="25">
                  <c:v>47.674757281553397</c:v>
                </c:pt>
                <c:pt idx="26">
                  <c:v>45.92307692307692</c:v>
                </c:pt>
                <c:pt idx="27">
                  <c:v>48.91346153846154</c:v>
                </c:pt>
                <c:pt idx="28">
                  <c:v>47.019047619047619</c:v>
                </c:pt>
                <c:pt idx="29">
                  <c:v>47.362745098039213</c:v>
                </c:pt>
                <c:pt idx="30">
                  <c:v>47.077669902912625</c:v>
                </c:pt>
                <c:pt idx="31">
                  <c:v>48.572815533980581</c:v>
                </c:pt>
                <c:pt idx="32">
                  <c:v>48.257281553398059</c:v>
                </c:pt>
                <c:pt idx="33">
                  <c:v>47.121359223300971</c:v>
                </c:pt>
                <c:pt idx="34">
                  <c:v>48.82692307692308</c:v>
                </c:pt>
                <c:pt idx="35">
                  <c:v>47.325471698113205</c:v>
                </c:pt>
                <c:pt idx="36">
                  <c:v>47.467847882718253</c:v>
                </c:pt>
                <c:pt idx="38">
                  <c:v>0</c:v>
                </c:pt>
                <c:pt idx="39">
                  <c:v>0</c:v>
                </c:pt>
                <c:pt idx="40">
                  <c:v>43.8</c:v>
                </c:pt>
                <c:pt idx="41">
                  <c:v>48.976635514018689</c:v>
                </c:pt>
                <c:pt idx="42">
                  <c:v>47.977064220183486</c:v>
                </c:pt>
                <c:pt idx="43">
                  <c:v>48.440366972477065</c:v>
                </c:pt>
                <c:pt idx="44">
                  <c:v>49.256880733944953</c:v>
                </c:pt>
                <c:pt idx="45">
                  <c:v>49.990990990990994</c:v>
                </c:pt>
                <c:pt idx="46">
                  <c:v>50.674999999999997</c:v>
                </c:pt>
                <c:pt idx="47">
                  <c:v>49.524509803921568</c:v>
                </c:pt>
                <c:pt idx="48">
                  <c:v>48.120370370370374</c:v>
                </c:pt>
                <c:pt idx="49">
                  <c:v>47.041666666666664</c:v>
                </c:pt>
                <c:pt idx="50">
                  <c:v>47.754629629629626</c:v>
                </c:pt>
                <c:pt idx="51">
                  <c:v>46.461165048543691</c:v>
                </c:pt>
                <c:pt idx="52">
                  <c:v>42.39903846153846</c:v>
                </c:pt>
                <c:pt idx="53">
                  <c:v>44.23557692307692</c:v>
                </c:pt>
                <c:pt idx="54">
                  <c:v>43.171296296296298</c:v>
                </c:pt>
                <c:pt idx="55">
                  <c:v>43.098214285714285</c:v>
                </c:pt>
                <c:pt idx="56">
                  <c:v>47.141560394491542</c:v>
                </c:pt>
                <c:pt idx="58">
                  <c:v>0</c:v>
                </c:pt>
                <c:pt idx="59">
                  <c:v>0</c:v>
                </c:pt>
                <c:pt idx="60">
                  <c:v>43.8</c:v>
                </c:pt>
                <c:pt idx="61">
                  <c:v>42.729729729729726</c:v>
                </c:pt>
                <c:pt idx="62">
                  <c:v>43.328828828828826</c:v>
                </c:pt>
                <c:pt idx="63">
                  <c:v>39.684684684684683</c:v>
                </c:pt>
                <c:pt idx="64">
                  <c:v>41.166666666666664</c:v>
                </c:pt>
                <c:pt idx="65">
                  <c:v>39.808035714285715</c:v>
                </c:pt>
                <c:pt idx="66">
                  <c:v>36.521929824561404</c:v>
                </c:pt>
                <c:pt idx="67">
                  <c:v>43.082608695652176</c:v>
                </c:pt>
                <c:pt idx="68">
                  <c:v>45.674796747967477</c:v>
                </c:pt>
                <c:pt idx="69">
                  <c:v>48.024000000000001</c:v>
                </c:pt>
                <c:pt idx="70">
                  <c:v>48.564102564102562</c:v>
                </c:pt>
                <c:pt idx="71">
                  <c:v>50.887500000000003</c:v>
                </c:pt>
                <c:pt idx="72">
                  <c:v>52.801652892561982</c:v>
                </c:pt>
                <c:pt idx="73">
                  <c:v>52.67622950819672</c:v>
                </c:pt>
                <c:pt idx="74">
                  <c:v>52.67622950819672</c:v>
                </c:pt>
                <c:pt idx="75">
                  <c:v>53.4</c:v>
                </c:pt>
                <c:pt idx="76">
                  <c:v>46.068466357695641</c:v>
                </c:pt>
                <c:pt idx="79">
                  <c:v>0</c:v>
                </c:pt>
                <c:pt idx="80">
                  <c:v>42.9</c:v>
                </c:pt>
                <c:pt idx="81">
                  <c:v>54.097560975609753</c:v>
                </c:pt>
                <c:pt idx="82">
                  <c:v>51.928961748633874</c:v>
                </c:pt>
                <c:pt idx="83">
                  <c:v>55.26229508196721</c:v>
                </c:pt>
                <c:pt idx="84">
                  <c:v>53.693548387096776</c:v>
                </c:pt>
                <c:pt idx="85">
                  <c:v>53.802419354838712</c:v>
                </c:pt>
                <c:pt idx="86">
                  <c:v>58.586363636363636</c:v>
                </c:pt>
                <c:pt idx="87">
                  <c:v>59.436363636363637</c:v>
                </c:pt>
                <c:pt idx="88">
                  <c:v>57.190265486725664</c:v>
                </c:pt>
                <c:pt idx="89">
                  <c:v>55.217391304347828</c:v>
                </c:pt>
                <c:pt idx="90">
                  <c:v>57.239130434782609</c:v>
                </c:pt>
                <c:pt idx="91">
                  <c:v>58.530172413793103</c:v>
                </c:pt>
                <c:pt idx="92">
                  <c:v>54.512711864406782</c:v>
                </c:pt>
                <c:pt idx="93">
                  <c:v>53.533333333333331</c:v>
                </c:pt>
                <c:pt idx="94">
                  <c:v>55.458333333333336</c:v>
                </c:pt>
                <c:pt idx="95">
                  <c:v>56.916666666666664</c:v>
                </c:pt>
                <c:pt idx="96">
                  <c:v>53.462809917355372</c:v>
                </c:pt>
                <c:pt idx="97">
                  <c:v>55.554270473476137</c:v>
                </c:pt>
                <c:pt idx="99">
                  <c:v>0</c:v>
                </c:pt>
                <c:pt idx="100">
                  <c:v>0</c:v>
                </c:pt>
                <c:pt idx="101">
                  <c:v>47.3</c:v>
                </c:pt>
                <c:pt idx="102">
                  <c:v>54.943089430894311</c:v>
                </c:pt>
                <c:pt idx="103">
                  <c:v>54.357723577235774</c:v>
                </c:pt>
                <c:pt idx="104">
                  <c:v>53.195999999999998</c:v>
                </c:pt>
                <c:pt idx="105">
                  <c:v>51.165354330708659</c:v>
                </c:pt>
                <c:pt idx="106">
                  <c:v>53.542635658914726</c:v>
                </c:pt>
                <c:pt idx="107">
                  <c:v>53.9</c:v>
                </c:pt>
                <c:pt idx="108">
                  <c:v>51.622950819672134</c:v>
                </c:pt>
                <c:pt idx="109">
                  <c:v>51.162601626016261</c:v>
                </c:pt>
                <c:pt idx="110">
                  <c:v>51.287999999999997</c:v>
                </c:pt>
                <c:pt idx="111">
                  <c:v>54.212000000000003</c:v>
                </c:pt>
                <c:pt idx="112">
                  <c:v>56.015999999999998</c:v>
                </c:pt>
                <c:pt idx="113">
                  <c:v>57.602564102564102</c:v>
                </c:pt>
                <c:pt idx="114">
                  <c:v>54.788135593220339</c:v>
                </c:pt>
                <c:pt idx="115">
                  <c:v>55.579831932773111</c:v>
                </c:pt>
                <c:pt idx="116">
                  <c:v>53.053719008264466</c:v>
                </c:pt>
                <c:pt idx="117">
                  <c:v>53.762040405350923</c:v>
                </c:pt>
                <c:pt idx="119">
                  <c:v>0</c:v>
                </c:pt>
                <c:pt idx="120">
                  <c:v>0</c:v>
                </c:pt>
                <c:pt idx="121">
                  <c:v>48.9</c:v>
                </c:pt>
                <c:pt idx="122">
                  <c:v>55.719008264462808</c:v>
                </c:pt>
                <c:pt idx="123">
                  <c:v>55.394308943089428</c:v>
                </c:pt>
                <c:pt idx="124">
                  <c:v>54.173387096774192</c:v>
                </c:pt>
                <c:pt idx="125">
                  <c:v>55.528225806451616</c:v>
                </c:pt>
                <c:pt idx="126">
                  <c:v>55.66935483870968</c:v>
                </c:pt>
                <c:pt idx="127">
                  <c:v>58.457264957264954</c:v>
                </c:pt>
                <c:pt idx="128">
                  <c:v>56.141025641025642</c:v>
                </c:pt>
                <c:pt idx="129">
                  <c:v>58.682203389830505</c:v>
                </c:pt>
                <c:pt idx="130">
                  <c:v>58.343220338983052</c:v>
                </c:pt>
                <c:pt idx="131">
                  <c:v>56.737288135593218</c:v>
                </c:pt>
                <c:pt idx="132">
                  <c:v>56.756302521008401</c:v>
                </c:pt>
                <c:pt idx="133">
                  <c:v>56.407563025210081</c:v>
                </c:pt>
                <c:pt idx="134">
                  <c:v>55.028925619834709</c:v>
                </c:pt>
                <c:pt idx="135">
                  <c:v>53.277777777777779</c:v>
                </c:pt>
                <c:pt idx="136">
                  <c:v>47.555555555555557</c:v>
                </c:pt>
                <c:pt idx="137">
                  <c:v>55.591427460771435</c:v>
                </c:pt>
                <c:pt idx="139">
                  <c:v>0</c:v>
                </c:pt>
                <c:pt idx="140">
                  <c:v>0</c:v>
                </c:pt>
                <c:pt idx="141">
                  <c:v>44.3</c:v>
                </c:pt>
                <c:pt idx="142">
                  <c:v>50.3984375</c:v>
                </c:pt>
                <c:pt idx="143">
                  <c:v>49.554263565891475</c:v>
                </c:pt>
                <c:pt idx="144">
                  <c:v>47.71153846153846</c:v>
                </c:pt>
                <c:pt idx="145">
                  <c:v>46.896946564885496</c:v>
                </c:pt>
                <c:pt idx="146">
                  <c:v>43.814814814814817</c:v>
                </c:pt>
                <c:pt idx="147">
                  <c:v>43.744360902255636</c:v>
                </c:pt>
                <c:pt idx="148">
                  <c:v>42.304511278195491</c:v>
                </c:pt>
                <c:pt idx="149">
                  <c:v>42.299242424242422</c:v>
                </c:pt>
                <c:pt idx="150">
                  <c:v>41.5</c:v>
                </c:pt>
                <c:pt idx="151">
                  <c:v>39.335820895522389</c:v>
                </c:pt>
                <c:pt idx="152">
                  <c:v>40.082089552238806</c:v>
                </c:pt>
                <c:pt idx="153">
                  <c:v>40.309701492537314</c:v>
                </c:pt>
                <c:pt idx="154">
                  <c:v>37.79457364341085</c:v>
                </c:pt>
                <c:pt idx="155">
                  <c:v>36.323076923076925</c:v>
                </c:pt>
                <c:pt idx="156">
                  <c:v>38.62977099236641</c:v>
                </c:pt>
                <c:pt idx="157">
                  <c:v>41.446969696969695</c:v>
                </c:pt>
                <c:pt idx="158">
                  <c:v>42.63413241924664</c:v>
                </c:pt>
                <c:pt idx="160">
                  <c:v>0</c:v>
                </c:pt>
                <c:pt idx="161">
                  <c:v>0</c:v>
                </c:pt>
                <c:pt idx="162">
                  <c:v>42.45</c:v>
                </c:pt>
                <c:pt idx="163">
                  <c:v>39.88148148148148</c:v>
                </c:pt>
                <c:pt idx="164">
                  <c:v>38.462962962962962</c:v>
                </c:pt>
                <c:pt idx="165">
                  <c:v>39.107407407407408</c:v>
                </c:pt>
                <c:pt idx="166">
                  <c:v>39.816000000000003</c:v>
                </c:pt>
                <c:pt idx="167">
                  <c:v>38.273809523809526</c:v>
                </c:pt>
                <c:pt idx="168">
                  <c:v>37.924603174603178</c:v>
                </c:pt>
                <c:pt idx="169">
                  <c:v>38.551587301587304</c:v>
                </c:pt>
                <c:pt idx="170">
                  <c:v>37.304000000000002</c:v>
                </c:pt>
                <c:pt idx="171">
                  <c:v>35.524000000000001</c:v>
                </c:pt>
                <c:pt idx="172">
                  <c:v>36.308</c:v>
                </c:pt>
                <c:pt idx="173">
                  <c:v>37.908000000000001</c:v>
                </c:pt>
                <c:pt idx="174">
                  <c:v>37.387096774193552</c:v>
                </c:pt>
                <c:pt idx="175">
                  <c:v>37.159999999999997</c:v>
                </c:pt>
                <c:pt idx="176">
                  <c:v>35.456000000000003</c:v>
                </c:pt>
                <c:pt idx="177">
                  <c:v>37.020000000000003</c:v>
                </c:pt>
                <c:pt idx="178">
                  <c:v>37.738996575069692</c:v>
                </c:pt>
                <c:pt idx="179">
                  <c:v>0</c:v>
                </c:pt>
                <c:pt idx="180">
                  <c:v>0</c:v>
                </c:pt>
                <c:pt idx="181">
                  <c:v>45.49</c:v>
                </c:pt>
                <c:pt idx="182">
                  <c:v>37.99596774193548</c:v>
                </c:pt>
                <c:pt idx="183">
                  <c:v>41.474193548387099</c:v>
                </c:pt>
                <c:pt idx="184">
                  <c:v>40.932539682539684</c:v>
                </c:pt>
                <c:pt idx="185">
                  <c:v>41.797619047619051</c:v>
                </c:pt>
                <c:pt idx="186">
                  <c:v>41.263565891472865</c:v>
                </c:pt>
                <c:pt idx="187">
                  <c:v>42.795833333333334</c:v>
                </c:pt>
                <c:pt idx="188">
                  <c:v>43.487603305785122</c:v>
                </c:pt>
                <c:pt idx="189">
                  <c:v>45.252066115702476</c:v>
                </c:pt>
                <c:pt idx="190">
                  <c:v>44.929752066115704</c:v>
                </c:pt>
                <c:pt idx="191">
                  <c:v>43.487603305785122</c:v>
                </c:pt>
                <c:pt idx="192">
                  <c:v>43.024590163934427</c:v>
                </c:pt>
                <c:pt idx="193">
                  <c:v>39.601626016260163</c:v>
                </c:pt>
                <c:pt idx="194">
                  <c:v>39.20967741935484</c:v>
                </c:pt>
                <c:pt idx="195">
                  <c:v>39.850806451612904</c:v>
                </c:pt>
                <c:pt idx="196">
                  <c:v>41.987288135593218</c:v>
                </c:pt>
                <c:pt idx="197">
                  <c:v>41.806048815028767</c:v>
                </c:pt>
                <c:pt idx="198">
                  <c:v>0</c:v>
                </c:pt>
                <c:pt idx="199">
                  <c:v>0</c:v>
                </c:pt>
                <c:pt idx="200">
                  <c:v>44.76</c:v>
                </c:pt>
                <c:pt idx="201">
                  <c:v>43.254464285714285</c:v>
                </c:pt>
                <c:pt idx="202">
                  <c:v>42.631818181818183</c:v>
                </c:pt>
                <c:pt idx="203">
                  <c:v>46.604545454545452</c:v>
                </c:pt>
                <c:pt idx="204">
                  <c:v>44.640909090909091</c:v>
                </c:pt>
                <c:pt idx="205">
                  <c:v>43.603603603603602</c:v>
                </c:pt>
                <c:pt idx="206">
                  <c:v>44.2</c:v>
                </c:pt>
                <c:pt idx="207">
                  <c:v>46.768181818181816</c:v>
                </c:pt>
                <c:pt idx="208">
                  <c:v>44.477477477477478</c:v>
                </c:pt>
                <c:pt idx="209">
                  <c:v>44.081081081081081</c:v>
                </c:pt>
                <c:pt idx="210">
                  <c:v>45.590090090090094</c:v>
                </c:pt>
                <c:pt idx="211">
                  <c:v>44.276785714285715</c:v>
                </c:pt>
                <c:pt idx="212">
                  <c:v>43.294642857142854</c:v>
                </c:pt>
                <c:pt idx="213">
                  <c:v>42.464285714285715</c:v>
                </c:pt>
                <c:pt idx="214">
                  <c:v>45.379464285714285</c:v>
                </c:pt>
                <c:pt idx="215">
                  <c:v>44.311403508771932</c:v>
                </c:pt>
                <c:pt idx="216">
                  <c:v>44.371916877574776</c:v>
                </c:pt>
                <c:pt idx="217">
                  <c:v>0</c:v>
                </c:pt>
                <c:pt idx="218">
                  <c:v>0</c:v>
                </c:pt>
                <c:pt idx="219">
                  <c:v>46.36</c:v>
                </c:pt>
                <c:pt idx="220">
                  <c:v>40.991452991452988</c:v>
                </c:pt>
                <c:pt idx="221">
                  <c:v>41.563025210084035</c:v>
                </c:pt>
                <c:pt idx="222">
                  <c:v>40.85</c:v>
                </c:pt>
                <c:pt idx="223">
                  <c:v>40.737499999999997</c:v>
                </c:pt>
                <c:pt idx="224">
                  <c:v>40.720338983050844</c:v>
                </c:pt>
                <c:pt idx="225">
                  <c:v>44.228813559322035</c:v>
                </c:pt>
                <c:pt idx="226">
                  <c:v>43.313043478260873</c:v>
                </c:pt>
                <c:pt idx="227">
                  <c:v>42.954545454545453</c:v>
                </c:pt>
                <c:pt idx="228">
                  <c:v>45.432432432432435</c:v>
                </c:pt>
                <c:pt idx="229">
                  <c:v>43.676991150442475</c:v>
                </c:pt>
                <c:pt idx="230">
                  <c:v>42.609649122807021</c:v>
                </c:pt>
                <c:pt idx="231">
                  <c:v>40.122807017543863</c:v>
                </c:pt>
                <c:pt idx="232">
                  <c:v>41.44736842105263</c:v>
                </c:pt>
                <c:pt idx="233">
                  <c:v>39.621739130434783</c:v>
                </c:pt>
                <c:pt idx="234">
                  <c:v>39.125</c:v>
                </c:pt>
                <c:pt idx="235">
                  <c:v>44.529914529914528</c:v>
                </c:pt>
                <c:pt idx="236">
                  <c:v>41.995288842583996</c:v>
                </c:pt>
              </c:numCache>
            </c:numRef>
          </c:val>
        </c:ser>
        <c:axId val="76633216"/>
        <c:axId val="76634752"/>
      </c:barChart>
      <c:catAx>
        <c:axId val="76633216"/>
        <c:scaling>
          <c:orientation val="minMax"/>
        </c:scaling>
        <c:axPos val="b"/>
        <c:tickLblPos val="nextTo"/>
        <c:crossAx val="76634752"/>
        <c:crosses val="autoZero"/>
        <c:auto val="1"/>
        <c:lblAlgn val="ctr"/>
        <c:lblOffset val="100"/>
      </c:catAx>
      <c:valAx>
        <c:axId val="76634752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6633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val>
            <c:numRef>
              <c:f>'2013'!$D$63:$D$79</c:f>
              <c:numCache>
                <c:formatCode>General</c:formatCode>
                <c:ptCount val="17"/>
                <c:pt idx="0">
                  <c:v>46.07</c:v>
                </c:pt>
                <c:pt idx="1">
                  <c:v>45.178030303030305</c:v>
                </c:pt>
                <c:pt idx="2">
                  <c:v>46.970149253731343</c:v>
                </c:pt>
                <c:pt idx="3">
                  <c:v>49.904411764705884</c:v>
                </c:pt>
                <c:pt idx="4">
                  <c:v>48.128676470588232</c:v>
                </c:pt>
                <c:pt idx="5">
                  <c:v>47.920289855072461</c:v>
                </c:pt>
                <c:pt idx="6">
                  <c:v>49.753623188405797</c:v>
                </c:pt>
                <c:pt idx="7">
                  <c:v>50.568840579710148</c:v>
                </c:pt>
                <c:pt idx="8">
                  <c:v>51.802158273381295</c:v>
                </c:pt>
                <c:pt idx="9">
                  <c:v>51.780141843971634</c:v>
                </c:pt>
                <c:pt idx="10">
                  <c:v>50.742957746478872</c:v>
                </c:pt>
                <c:pt idx="11">
                  <c:v>51.8986013986014</c:v>
                </c:pt>
                <c:pt idx="12">
                  <c:v>49.2112676056338</c:v>
                </c:pt>
                <c:pt idx="13">
                  <c:v>50.857638888888886</c:v>
                </c:pt>
                <c:pt idx="14">
                  <c:v>51.74125874125874</c:v>
                </c:pt>
                <c:pt idx="15">
                  <c:v>49.93706293706294</c:v>
                </c:pt>
                <c:pt idx="16">
                  <c:v>49.759673923368119</c:v>
                </c:pt>
              </c:numCache>
            </c:numRef>
          </c:val>
        </c:ser>
        <c:ser>
          <c:idx val="1"/>
          <c:order val="1"/>
          <c:val>
            <c:numRef>
              <c:f>'2013'!$F$63:$F$79</c:f>
              <c:numCache>
                <c:formatCode>General</c:formatCode>
                <c:ptCount val="17"/>
                <c:pt idx="0">
                  <c:v>36.75</c:v>
                </c:pt>
                <c:pt idx="1">
                  <c:v>36.362804878048777</c:v>
                </c:pt>
                <c:pt idx="2">
                  <c:v>38.145454545454548</c:v>
                </c:pt>
                <c:pt idx="3">
                  <c:v>40.885542168674696</c:v>
                </c:pt>
                <c:pt idx="4">
                  <c:v>39.430722891566262</c:v>
                </c:pt>
                <c:pt idx="5">
                  <c:v>39.598802395209582</c:v>
                </c:pt>
                <c:pt idx="6">
                  <c:v>41.113772455089823</c:v>
                </c:pt>
                <c:pt idx="7">
                  <c:v>41.787425149700596</c:v>
                </c:pt>
                <c:pt idx="8">
                  <c:v>42.860119047619051</c:v>
                </c:pt>
                <c:pt idx="9">
                  <c:v>42.94705882352941</c:v>
                </c:pt>
                <c:pt idx="10">
                  <c:v>42.385294117647057</c:v>
                </c:pt>
                <c:pt idx="11">
                  <c:v>43.655882352941177</c:v>
                </c:pt>
                <c:pt idx="12">
                  <c:v>40.865497076023395</c:v>
                </c:pt>
                <c:pt idx="13">
                  <c:v>42.827485380116961</c:v>
                </c:pt>
                <c:pt idx="14">
                  <c:v>43.781065088757394</c:v>
                </c:pt>
                <c:pt idx="15">
                  <c:v>42.254437869822482</c:v>
                </c:pt>
                <c:pt idx="16">
                  <c:v>41.260090949346747</c:v>
                </c:pt>
              </c:numCache>
            </c:numRef>
          </c:val>
        </c:ser>
        <c:axId val="76667904"/>
        <c:axId val="76677888"/>
      </c:barChart>
      <c:catAx>
        <c:axId val="76667904"/>
        <c:scaling>
          <c:orientation val="minMax"/>
        </c:scaling>
        <c:axPos val="b"/>
        <c:tickLblPos val="nextTo"/>
        <c:crossAx val="76677888"/>
        <c:crosses val="autoZero"/>
        <c:auto val="1"/>
        <c:lblAlgn val="ctr"/>
        <c:lblOffset val="100"/>
      </c:catAx>
      <c:valAx>
        <c:axId val="76677888"/>
        <c:scaling>
          <c:orientation val="minMax"/>
          <c:max val="50"/>
          <c:min val="28"/>
        </c:scaling>
        <c:axPos val="l"/>
        <c:majorGridlines/>
        <c:numFmt formatCode="General" sourceLinked="1"/>
        <c:tickLblPos val="nextTo"/>
        <c:crossAx val="7666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'2013'!$D$103:$D$119</c:f>
              <c:numCache>
                <c:formatCode>General</c:formatCode>
                <c:ptCount val="17"/>
                <c:pt idx="0">
                  <c:v>53.76</c:v>
                </c:pt>
                <c:pt idx="1">
                  <c:v>48.992957746478872</c:v>
                </c:pt>
                <c:pt idx="2">
                  <c:v>46.751748251748253</c:v>
                </c:pt>
                <c:pt idx="3">
                  <c:v>46.456521739130437</c:v>
                </c:pt>
                <c:pt idx="4">
                  <c:v>47.336956521739133</c:v>
                </c:pt>
                <c:pt idx="5">
                  <c:v>48.086956521739133</c:v>
                </c:pt>
                <c:pt idx="6">
                  <c:v>50.265957446808514</c:v>
                </c:pt>
                <c:pt idx="7">
                  <c:v>49.119718309859152</c:v>
                </c:pt>
                <c:pt idx="8">
                  <c:v>46.82167832167832</c:v>
                </c:pt>
                <c:pt idx="9">
                  <c:v>48.996527777777779</c:v>
                </c:pt>
                <c:pt idx="10">
                  <c:v>49.1875</c:v>
                </c:pt>
                <c:pt idx="11">
                  <c:v>47.164335664335667</c:v>
                </c:pt>
                <c:pt idx="12">
                  <c:v>45.175862068965515</c:v>
                </c:pt>
                <c:pt idx="13">
                  <c:v>46.3</c:v>
                </c:pt>
                <c:pt idx="14">
                  <c:v>45.948630136986303</c:v>
                </c:pt>
                <c:pt idx="15">
                  <c:v>43.260273972602739</c:v>
                </c:pt>
                <c:pt idx="16">
                  <c:v>47.324374965323308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'2013'!$F$103:$F$119</c:f>
              <c:numCache>
                <c:formatCode>General</c:formatCode>
                <c:ptCount val="17"/>
                <c:pt idx="0">
                  <c:v>42.31</c:v>
                </c:pt>
                <c:pt idx="1">
                  <c:v>40.213872832369944</c:v>
                </c:pt>
                <c:pt idx="2">
                  <c:v>38.644508670520231</c:v>
                </c:pt>
                <c:pt idx="3">
                  <c:v>37.057803468208093</c:v>
                </c:pt>
                <c:pt idx="4">
                  <c:v>37.760115606936417</c:v>
                </c:pt>
                <c:pt idx="5">
                  <c:v>38.358381502890175</c:v>
                </c:pt>
                <c:pt idx="6">
                  <c:v>40.968208092485547</c:v>
                </c:pt>
                <c:pt idx="7">
                  <c:v>40.086206896551722</c:v>
                </c:pt>
                <c:pt idx="8">
                  <c:v>38.479885057471265</c:v>
                </c:pt>
                <c:pt idx="9">
                  <c:v>40.548850574712645</c:v>
                </c:pt>
                <c:pt idx="10">
                  <c:v>40.706896551724135</c:v>
                </c:pt>
                <c:pt idx="11">
                  <c:v>38.98554913294798</c:v>
                </c:pt>
                <c:pt idx="12">
                  <c:v>37.864161849710982</c:v>
                </c:pt>
                <c:pt idx="13">
                  <c:v>38.806358381502889</c:v>
                </c:pt>
                <c:pt idx="14">
                  <c:v>38.777456647398843</c:v>
                </c:pt>
                <c:pt idx="15">
                  <c:v>36.508670520231213</c:v>
                </c:pt>
                <c:pt idx="16">
                  <c:v>38.917795052377478</c:v>
                </c:pt>
              </c:numCache>
            </c:numRef>
          </c:val>
        </c:ser>
        <c:axId val="76694272"/>
        <c:axId val="76695808"/>
      </c:barChart>
      <c:catAx>
        <c:axId val="76694272"/>
        <c:scaling>
          <c:orientation val="minMax"/>
        </c:scaling>
        <c:axPos val="b"/>
        <c:tickLblPos val="nextTo"/>
        <c:crossAx val="76695808"/>
        <c:crosses val="autoZero"/>
        <c:auto val="1"/>
        <c:lblAlgn val="ctr"/>
        <c:lblOffset val="100"/>
      </c:catAx>
      <c:valAx>
        <c:axId val="76695808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6694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'2013'!$D$83:$D$99</c:f>
              <c:numCache>
                <c:formatCode>General</c:formatCode>
                <c:ptCount val="17"/>
                <c:pt idx="0">
                  <c:v>55.55</c:v>
                </c:pt>
                <c:pt idx="1">
                  <c:v>50.551724137931032</c:v>
                </c:pt>
                <c:pt idx="2">
                  <c:v>55.105072463768117</c:v>
                </c:pt>
                <c:pt idx="3">
                  <c:v>53.904929577464792</c:v>
                </c:pt>
                <c:pt idx="4">
                  <c:v>52.977099236641223</c:v>
                </c:pt>
                <c:pt idx="5">
                  <c:v>53.450757575757578</c:v>
                </c:pt>
                <c:pt idx="6">
                  <c:v>54.9</c:v>
                </c:pt>
                <c:pt idx="7">
                  <c:v>55.042307692307695</c:v>
                </c:pt>
                <c:pt idx="8">
                  <c:v>55.613636363636367</c:v>
                </c:pt>
                <c:pt idx="9">
                  <c:v>54.169172932330824</c:v>
                </c:pt>
                <c:pt idx="10">
                  <c:v>54.63703703703704</c:v>
                </c:pt>
                <c:pt idx="11">
                  <c:v>51.456521739130437</c:v>
                </c:pt>
                <c:pt idx="12">
                  <c:v>46.847826086956523</c:v>
                </c:pt>
                <c:pt idx="13">
                  <c:v>45.95289855072464</c:v>
                </c:pt>
                <c:pt idx="14">
                  <c:v>47.517985611510788</c:v>
                </c:pt>
                <c:pt idx="15">
                  <c:v>46.648936170212764</c:v>
                </c:pt>
                <c:pt idx="16">
                  <c:v>51.918393678360644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'2013'!$F$83:$F$99</c:f>
              <c:numCache>
                <c:formatCode>General</c:formatCode>
                <c:ptCount val="17"/>
                <c:pt idx="0">
                  <c:v>42.4</c:v>
                </c:pt>
                <c:pt idx="1">
                  <c:v>43.117647058823529</c:v>
                </c:pt>
                <c:pt idx="2">
                  <c:v>44.732352941176472</c:v>
                </c:pt>
                <c:pt idx="3">
                  <c:v>44.24566473988439</c:v>
                </c:pt>
                <c:pt idx="4">
                  <c:v>39.885057471264368</c:v>
                </c:pt>
                <c:pt idx="5">
                  <c:v>40.548850574712645</c:v>
                </c:pt>
                <c:pt idx="6">
                  <c:v>41.494186046511629</c:v>
                </c:pt>
                <c:pt idx="7">
                  <c:v>41.60174418604651</c:v>
                </c:pt>
                <c:pt idx="8">
                  <c:v>42.433526011560694</c:v>
                </c:pt>
                <c:pt idx="9">
                  <c:v>41.644508670520231</c:v>
                </c:pt>
                <c:pt idx="10">
                  <c:v>42.635838150289018</c:v>
                </c:pt>
                <c:pt idx="11">
                  <c:v>41.046242774566473</c:v>
                </c:pt>
                <c:pt idx="12">
                  <c:v>37.369942196531795</c:v>
                </c:pt>
                <c:pt idx="13">
                  <c:v>36.656069364161851</c:v>
                </c:pt>
                <c:pt idx="14">
                  <c:v>38.179190751445084</c:v>
                </c:pt>
                <c:pt idx="15">
                  <c:v>38.020231213872833</c:v>
                </c:pt>
                <c:pt idx="16">
                  <c:v>40.907403476757828</c:v>
                </c:pt>
              </c:numCache>
            </c:numRef>
          </c:val>
        </c:ser>
        <c:axId val="76720384"/>
        <c:axId val="76722176"/>
      </c:barChart>
      <c:catAx>
        <c:axId val="76720384"/>
        <c:scaling>
          <c:orientation val="minMax"/>
        </c:scaling>
        <c:axPos val="b"/>
        <c:tickLblPos val="nextTo"/>
        <c:crossAx val="76722176"/>
        <c:crosses val="autoZero"/>
        <c:auto val="1"/>
        <c:lblAlgn val="ctr"/>
        <c:lblOffset val="100"/>
      </c:catAx>
      <c:valAx>
        <c:axId val="76722176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672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611"/>
          <c:y val="0.41450150143335834"/>
          <c:w val="0.16666552550496408"/>
          <c:h val="0.12962661925323704"/>
        </c:manualLayout>
      </c:layout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'2013'!$D$123:$D$140</c:f>
              <c:numCache>
                <c:formatCode>General</c:formatCode>
                <c:ptCount val="18"/>
                <c:pt idx="0">
                  <c:v>55.59</c:v>
                </c:pt>
                <c:pt idx="1">
                  <c:v>42.96875</c:v>
                </c:pt>
                <c:pt idx="2">
                  <c:v>37.700000000000003</c:v>
                </c:pt>
                <c:pt idx="3">
                  <c:v>43.707407407407409</c:v>
                </c:pt>
                <c:pt idx="4">
                  <c:v>41.137323943661968</c:v>
                </c:pt>
                <c:pt idx="5">
                  <c:v>42.640845070422536</c:v>
                </c:pt>
                <c:pt idx="6">
                  <c:v>43.427083333333336</c:v>
                </c:pt>
                <c:pt idx="7">
                  <c:v>44.060283687943262</c:v>
                </c:pt>
                <c:pt idx="8">
                  <c:v>46.953900709219859</c:v>
                </c:pt>
                <c:pt idx="9">
                  <c:v>45.833333333333336</c:v>
                </c:pt>
                <c:pt idx="10">
                  <c:v>45.770833333333336</c:v>
                </c:pt>
                <c:pt idx="11">
                  <c:v>45.051369863013697</c:v>
                </c:pt>
                <c:pt idx="12">
                  <c:v>43.106164383561641</c:v>
                </c:pt>
                <c:pt idx="13">
                  <c:v>42.844827586206897</c:v>
                </c:pt>
                <c:pt idx="14">
                  <c:v>41.557823129251702</c:v>
                </c:pt>
                <c:pt idx="15">
                  <c:v>39.333333333333336</c:v>
                </c:pt>
                <c:pt idx="16">
                  <c:v>39.7687074829932</c:v>
                </c:pt>
                <c:pt idx="17">
                  <c:v>42.86637416231347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'2013'!$F$123:$F$140</c:f>
              <c:numCache>
                <c:formatCode>General</c:formatCode>
                <c:ptCount val="18"/>
                <c:pt idx="0">
                  <c:v>44.98</c:v>
                </c:pt>
                <c:pt idx="1">
                  <c:v>37.960122699386503</c:v>
                </c:pt>
                <c:pt idx="2">
                  <c:v>31.223926380368098</c:v>
                </c:pt>
                <c:pt idx="3">
                  <c:v>36.199386503067487</c:v>
                </c:pt>
                <c:pt idx="4">
                  <c:v>35.403030303030306</c:v>
                </c:pt>
                <c:pt idx="5">
                  <c:v>37.147239263803684</c:v>
                </c:pt>
                <c:pt idx="6">
                  <c:v>38.365030674846629</c:v>
                </c:pt>
                <c:pt idx="7">
                  <c:v>38.113496932515339</c:v>
                </c:pt>
                <c:pt idx="8">
                  <c:v>40.616564417177912</c:v>
                </c:pt>
                <c:pt idx="9">
                  <c:v>40.243902439024389</c:v>
                </c:pt>
                <c:pt idx="10">
                  <c:v>40.435582822085891</c:v>
                </c:pt>
                <c:pt idx="11">
                  <c:v>40.106707317073173</c:v>
                </c:pt>
                <c:pt idx="12">
                  <c:v>38.375</c:v>
                </c:pt>
                <c:pt idx="13">
                  <c:v>38.113496932515339</c:v>
                </c:pt>
                <c:pt idx="14">
                  <c:v>37.478527607361961</c:v>
                </c:pt>
                <c:pt idx="15">
                  <c:v>35.472392638036808</c:v>
                </c:pt>
                <c:pt idx="16">
                  <c:v>35.865030674846629</c:v>
                </c:pt>
                <c:pt idx="17">
                  <c:v>37.569964850321256</c:v>
                </c:pt>
              </c:numCache>
            </c:numRef>
          </c:val>
        </c:ser>
        <c:axId val="76754944"/>
        <c:axId val="76756480"/>
      </c:barChart>
      <c:catAx>
        <c:axId val="76754944"/>
        <c:scaling>
          <c:orientation val="minMax"/>
        </c:scaling>
        <c:axPos val="b"/>
        <c:tickLblPos val="nextTo"/>
        <c:crossAx val="76756480"/>
        <c:crosses val="autoZero"/>
        <c:auto val="1"/>
        <c:lblAlgn val="ctr"/>
        <c:lblOffset val="100"/>
      </c:catAx>
      <c:valAx>
        <c:axId val="76756480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6754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611"/>
          <c:y val="0.41450150143335834"/>
          <c:w val="0.16666552550496408"/>
          <c:h val="0.12962661925323704"/>
        </c:manualLayout>
      </c:layout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Milk cows</c:v>
          </c:tx>
          <c:val>
            <c:numRef>
              <c:f>'2013'!$D$144:$D$161</c:f>
              <c:numCache>
                <c:formatCode>General</c:formatCode>
                <c:ptCount val="18"/>
                <c:pt idx="0">
                  <c:v>42.63</c:v>
                </c:pt>
                <c:pt idx="1">
                  <c:v>36.819727891156461</c:v>
                </c:pt>
                <c:pt idx="2">
                  <c:v>34.173469387755105</c:v>
                </c:pt>
                <c:pt idx="3">
                  <c:v>34.624113475177303</c:v>
                </c:pt>
                <c:pt idx="4">
                  <c:v>31.583916083916083</c:v>
                </c:pt>
                <c:pt idx="5">
                  <c:v>30.86013986013986</c:v>
                </c:pt>
                <c:pt idx="6">
                  <c:v>32.930069930069934</c:v>
                </c:pt>
                <c:pt idx="7">
                  <c:v>29.83450704225352</c:v>
                </c:pt>
                <c:pt idx="8">
                  <c:v>32.62676056338028</c:v>
                </c:pt>
                <c:pt idx="9">
                  <c:v>34.16549295774648</c:v>
                </c:pt>
                <c:pt idx="10">
                  <c:v>35.964788732394368</c:v>
                </c:pt>
                <c:pt idx="11">
                  <c:v>34.638888888888886</c:v>
                </c:pt>
                <c:pt idx="12">
                  <c:v>34.375</c:v>
                </c:pt>
                <c:pt idx="13">
                  <c:v>33.902777777777779</c:v>
                </c:pt>
                <c:pt idx="14">
                  <c:v>34.621527777777779</c:v>
                </c:pt>
                <c:pt idx="15">
                  <c:v>36.604166666666664</c:v>
                </c:pt>
                <c:pt idx="16">
                  <c:v>34.810344827586206</c:v>
                </c:pt>
                <c:pt idx="17">
                  <c:v>36.169046124179111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'2013'!$F$144:$F$161</c:f>
              <c:numCache>
                <c:formatCode>General</c:formatCode>
                <c:ptCount val="18"/>
                <c:pt idx="0">
                  <c:v>37.68</c:v>
                </c:pt>
                <c:pt idx="1">
                  <c:v>33.618012422360252</c:v>
                </c:pt>
                <c:pt idx="2">
                  <c:v>31.201863354037268</c:v>
                </c:pt>
                <c:pt idx="3">
                  <c:v>30.322981366459626</c:v>
                </c:pt>
                <c:pt idx="4">
                  <c:v>27.87962962962963</c:v>
                </c:pt>
                <c:pt idx="5">
                  <c:v>27.24074074074074</c:v>
                </c:pt>
                <c:pt idx="6">
                  <c:v>29.067901234567902</c:v>
                </c:pt>
                <c:pt idx="7">
                  <c:v>26.151234567901234</c:v>
                </c:pt>
                <c:pt idx="8">
                  <c:v>28.598765432098766</c:v>
                </c:pt>
                <c:pt idx="9">
                  <c:v>29.947530864197532</c:v>
                </c:pt>
                <c:pt idx="10">
                  <c:v>31.52469135802469</c:v>
                </c:pt>
                <c:pt idx="11">
                  <c:v>30.790123456790123</c:v>
                </c:pt>
                <c:pt idx="12">
                  <c:v>30.555555555555557</c:v>
                </c:pt>
                <c:pt idx="13">
                  <c:v>30.135802469135804</c:v>
                </c:pt>
                <c:pt idx="14">
                  <c:v>30.77469135802469</c:v>
                </c:pt>
                <c:pt idx="15">
                  <c:v>32.537037037037038</c:v>
                </c:pt>
                <c:pt idx="16">
                  <c:v>30.966257668711656</c:v>
                </c:pt>
                <c:pt idx="17">
                  <c:v>32.087521234351506</c:v>
                </c:pt>
              </c:numCache>
            </c:numRef>
          </c:val>
        </c:ser>
        <c:axId val="76776960"/>
        <c:axId val="76778496"/>
      </c:barChart>
      <c:catAx>
        <c:axId val="76776960"/>
        <c:scaling>
          <c:orientation val="minMax"/>
        </c:scaling>
        <c:axPos val="b"/>
        <c:tickLblPos val="nextTo"/>
        <c:crossAx val="76778496"/>
        <c:crosses val="autoZero"/>
        <c:auto val="1"/>
        <c:lblAlgn val="ctr"/>
        <c:lblOffset val="100"/>
      </c:catAx>
      <c:valAx>
        <c:axId val="7677849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776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611"/>
          <c:y val="0.41450150143335834"/>
          <c:w val="0.16666552550496408"/>
          <c:h val="0.12962661925323704"/>
        </c:manualLayout>
      </c:layout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'2012'!$D$43:$D$58</c:f>
              <c:numCache>
                <c:formatCode>General</c:formatCode>
                <c:ptCount val="16"/>
                <c:pt idx="0">
                  <c:v>43.8</c:v>
                </c:pt>
                <c:pt idx="1">
                  <c:v>48.976635514018689</c:v>
                </c:pt>
                <c:pt idx="2">
                  <c:v>47.977064220183486</c:v>
                </c:pt>
                <c:pt idx="3">
                  <c:v>48.440366972477065</c:v>
                </c:pt>
                <c:pt idx="4">
                  <c:v>49.256880733944953</c:v>
                </c:pt>
                <c:pt idx="5">
                  <c:v>49.990990990990994</c:v>
                </c:pt>
                <c:pt idx="6">
                  <c:v>50.674999999999997</c:v>
                </c:pt>
                <c:pt idx="7">
                  <c:v>49.524509803921568</c:v>
                </c:pt>
                <c:pt idx="8">
                  <c:v>48.120370370370374</c:v>
                </c:pt>
                <c:pt idx="9">
                  <c:v>47.041666666666664</c:v>
                </c:pt>
                <c:pt idx="10">
                  <c:v>47.754629629629626</c:v>
                </c:pt>
                <c:pt idx="11">
                  <c:v>46.461165048543691</c:v>
                </c:pt>
                <c:pt idx="12">
                  <c:v>42.39903846153846</c:v>
                </c:pt>
                <c:pt idx="13">
                  <c:v>44.23557692307692</c:v>
                </c:pt>
                <c:pt idx="14">
                  <c:v>43.171296296296298</c:v>
                </c:pt>
                <c:pt idx="15">
                  <c:v>43.098214285714285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'2012'!$F$43:$F$58</c:f>
              <c:numCache>
                <c:formatCode>General</c:formatCode>
                <c:ptCount val="16"/>
                <c:pt idx="0">
                  <c:v>38.9</c:v>
                </c:pt>
                <c:pt idx="1">
                  <c:v>37.432142857142857</c:v>
                </c:pt>
                <c:pt idx="2">
                  <c:v>37.088652482269502</c:v>
                </c:pt>
                <c:pt idx="3">
                  <c:v>37.446808510638299</c:v>
                </c:pt>
                <c:pt idx="4">
                  <c:v>38.078014184397162</c:v>
                </c:pt>
                <c:pt idx="5">
                  <c:v>39.077464788732392</c:v>
                </c:pt>
                <c:pt idx="6">
                  <c:v>35.686619718309856</c:v>
                </c:pt>
                <c:pt idx="7">
                  <c:v>35.079861111111114</c:v>
                </c:pt>
                <c:pt idx="8">
                  <c:v>35.841379310344827</c:v>
                </c:pt>
                <c:pt idx="9">
                  <c:v>35.28125</c:v>
                </c:pt>
                <c:pt idx="10">
                  <c:v>35.815972222222221</c:v>
                </c:pt>
                <c:pt idx="11">
                  <c:v>34.428057553956833</c:v>
                </c:pt>
                <c:pt idx="12">
                  <c:v>31.723021582733814</c:v>
                </c:pt>
                <c:pt idx="13">
                  <c:v>33.097122302158276</c:v>
                </c:pt>
                <c:pt idx="14">
                  <c:v>32.83450704225352</c:v>
                </c:pt>
                <c:pt idx="15">
                  <c:v>33.289655172413795</c:v>
                </c:pt>
              </c:numCache>
            </c:numRef>
          </c:val>
        </c:ser>
        <c:axId val="73920896"/>
        <c:axId val="73922432"/>
      </c:barChart>
      <c:catAx>
        <c:axId val="73920896"/>
        <c:scaling>
          <c:orientation val="minMax"/>
        </c:scaling>
        <c:axPos val="b"/>
        <c:tickLblPos val="nextTo"/>
        <c:crossAx val="73922432"/>
        <c:crosses val="autoZero"/>
        <c:auto val="1"/>
        <c:lblAlgn val="ctr"/>
        <c:lblOffset val="100"/>
      </c:catAx>
      <c:valAx>
        <c:axId val="73922432"/>
        <c:scaling>
          <c:orientation val="minMax"/>
          <c:max val="55"/>
          <c:min val="30"/>
        </c:scaling>
        <c:axPos val="l"/>
        <c:majorGridlines/>
        <c:numFmt formatCode="General" sourceLinked="1"/>
        <c:tickLblPos val="nextTo"/>
        <c:crossAx val="73920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22"/>
          <c:y val="0.41450150143335834"/>
          <c:w val="0.16666552550496408"/>
          <c:h val="0.12962661925323732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376393168245764E-2"/>
          <c:y val="4.6503437790737324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val>
            <c:numRef>
              <c:f>'2013'!$D$165:$D$181</c:f>
              <c:numCache>
                <c:formatCode>General</c:formatCode>
                <c:ptCount val="17"/>
                <c:pt idx="0">
                  <c:v>37.74</c:v>
                </c:pt>
                <c:pt idx="1">
                  <c:v>35.355172413793106</c:v>
                </c:pt>
                <c:pt idx="2">
                  <c:v>35.849264705882355</c:v>
                </c:pt>
                <c:pt idx="3">
                  <c:v>37.535714285714285</c:v>
                </c:pt>
                <c:pt idx="4">
                  <c:v>39.27642276422764</c:v>
                </c:pt>
                <c:pt idx="5">
                  <c:v>41.788617886178862</c:v>
                </c:pt>
                <c:pt idx="6">
                  <c:v>42.638211382113823</c:v>
                </c:pt>
                <c:pt idx="7">
                  <c:v>40.766129032258064</c:v>
                </c:pt>
                <c:pt idx="8">
                  <c:v>44.33467741935484</c:v>
                </c:pt>
                <c:pt idx="9">
                  <c:v>41.74596774193548</c:v>
                </c:pt>
                <c:pt idx="10">
                  <c:v>42.246031746031747</c:v>
                </c:pt>
                <c:pt idx="11">
                  <c:v>41.797619047619051</c:v>
                </c:pt>
                <c:pt idx="12">
                  <c:v>42.051181102362207</c:v>
                </c:pt>
                <c:pt idx="13">
                  <c:v>38.598425196850393</c:v>
                </c:pt>
                <c:pt idx="14">
                  <c:v>38.49212598425197</c:v>
                </c:pt>
                <c:pt idx="15">
                  <c:v>34.122047244094489</c:v>
                </c:pt>
                <c:pt idx="16">
                  <c:v>39.773173863511218</c:v>
                </c:pt>
              </c:numCache>
            </c:numRef>
          </c:val>
        </c:ser>
        <c:ser>
          <c:idx val="1"/>
          <c:order val="1"/>
          <c:val>
            <c:numRef>
              <c:f>'2013'!$F$165:$F$181</c:f>
              <c:numCache>
                <c:formatCode>General</c:formatCode>
                <c:ptCount val="17"/>
                <c:pt idx="0">
                  <c:v>32.81</c:v>
                </c:pt>
                <c:pt idx="1">
                  <c:v>31.450920245398773</c:v>
                </c:pt>
                <c:pt idx="2">
                  <c:v>29.911042944785276</c:v>
                </c:pt>
                <c:pt idx="3">
                  <c:v>29.375776397515526</c:v>
                </c:pt>
                <c:pt idx="4">
                  <c:v>30.575949367088608</c:v>
                </c:pt>
                <c:pt idx="5">
                  <c:v>32.531645569620252</c:v>
                </c:pt>
                <c:pt idx="6">
                  <c:v>33.193037974683541</c:v>
                </c:pt>
                <c:pt idx="7">
                  <c:v>31.99367088607595</c:v>
                </c:pt>
                <c:pt idx="8">
                  <c:v>34.794303797468352</c:v>
                </c:pt>
                <c:pt idx="9">
                  <c:v>32.7626582278481</c:v>
                </c:pt>
                <c:pt idx="10">
                  <c:v>33.689873417721522</c:v>
                </c:pt>
                <c:pt idx="11">
                  <c:v>33.332278481012658</c:v>
                </c:pt>
                <c:pt idx="12">
                  <c:v>33.588050314465406</c:v>
                </c:pt>
                <c:pt idx="13">
                  <c:v>30.830188679245282</c:v>
                </c:pt>
                <c:pt idx="14">
                  <c:v>30.745283018867923</c:v>
                </c:pt>
                <c:pt idx="15">
                  <c:v>27.254716981132077</c:v>
                </c:pt>
                <c:pt idx="16">
                  <c:v>31.735293086861951</c:v>
                </c:pt>
              </c:numCache>
            </c:numRef>
          </c:val>
        </c:ser>
        <c:axId val="76852224"/>
        <c:axId val="76858112"/>
      </c:barChart>
      <c:catAx>
        <c:axId val="76852224"/>
        <c:scaling>
          <c:orientation val="minMax"/>
        </c:scaling>
        <c:axPos val="b"/>
        <c:tickLblPos val="nextTo"/>
        <c:crossAx val="76858112"/>
        <c:crosses val="autoZero"/>
        <c:auto val="1"/>
        <c:lblAlgn val="ctr"/>
        <c:lblOffset val="100"/>
      </c:catAx>
      <c:valAx>
        <c:axId val="76858112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85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44"/>
          <c:y val="0.41450150143335834"/>
          <c:w val="0.16666552550496408"/>
          <c:h val="0.13896571285938075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'2013'!$D$184:$D$200</c:f>
              <c:numCache>
                <c:formatCode>General</c:formatCode>
                <c:ptCount val="17"/>
                <c:pt idx="0">
                  <c:v>41.81</c:v>
                </c:pt>
                <c:pt idx="1">
                  <c:v>34.874015748031496</c:v>
                </c:pt>
                <c:pt idx="2">
                  <c:v>34.19291338582677</c:v>
                </c:pt>
                <c:pt idx="3">
                  <c:v>33.045801526717554</c:v>
                </c:pt>
                <c:pt idx="4">
                  <c:v>36.174796747967477</c:v>
                </c:pt>
                <c:pt idx="5">
                  <c:v>34.897435897435898</c:v>
                </c:pt>
                <c:pt idx="6">
                  <c:v>35.662393162393165</c:v>
                </c:pt>
                <c:pt idx="7">
                  <c:v>36.311965811965813</c:v>
                </c:pt>
                <c:pt idx="8">
                  <c:v>35.353448275862071</c:v>
                </c:pt>
                <c:pt idx="9">
                  <c:v>36.741379310344826</c:v>
                </c:pt>
                <c:pt idx="10">
                  <c:v>35.663793103448278</c:v>
                </c:pt>
                <c:pt idx="11">
                  <c:v>36.086206896551722</c:v>
                </c:pt>
                <c:pt idx="12">
                  <c:v>33.724137931034484</c:v>
                </c:pt>
                <c:pt idx="13">
                  <c:v>32.176724137931032</c:v>
                </c:pt>
                <c:pt idx="14">
                  <c:v>35.128205128205131</c:v>
                </c:pt>
                <c:pt idx="15">
                  <c:v>36.648305084745765</c:v>
                </c:pt>
                <c:pt idx="16">
                  <c:v>35.112101476564099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'2013'!$F$184:$F$200</c:f>
              <c:numCache>
                <c:formatCode>General</c:formatCode>
                <c:ptCount val="17"/>
                <c:pt idx="0">
                  <c:v>35.26</c:v>
                </c:pt>
                <c:pt idx="1">
                  <c:v>28.210191082802549</c:v>
                </c:pt>
                <c:pt idx="2">
                  <c:v>27.659235668789808</c:v>
                </c:pt>
                <c:pt idx="3">
                  <c:v>27.573248407643312</c:v>
                </c:pt>
                <c:pt idx="4">
                  <c:v>28.340764331210192</c:v>
                </c:pt>
                <c:pt idx="5">
                  <c:v>27.039735099337747</c:v>
                </c:pt>
                <c:pt idx="6">
                  <c:v>27.632450331125828</c:v>
                </c:pt>
                <c:pt idx="7">
                  <c:v>28.135761589403973</c:v>
                </c:pt>
                <c:pt idx="8">
                  <c:v>27.158940397350992</c:v>
                </c:pt>
                <c:pt idx="9">
                  <c:v>28.225165562913908</c:v>
                </c:pt>
                <c:pt idx="10">
                  <c:v>27.397350993377483</c:v>
                </c:pt>
                <c:pt idx="11">
                  <c:v>27.721854304635762</c:v>
                </c:pt>
                <c:pt idx="12">
                  <c:v>25.90728476821192</c:v>
                </c:pt>
                <c:pt idx="13">
                  <c:v>24.718543046357617</c:v>
                </c:pt>
                <c:pt idx="14">
                  <c:v>27.218543046357617</c:v>
                </c:pt>
                <c:pt idx="15">
                  <c:v>28.639072847682119</c:v>
                </c:pt>
                <c:pt idx="16">
                  <c:v>27.438542765146728</c:v>
                </c:pt>
              </c:numCache>
            </c:numRef>
          </c:val>
        </c:ser>
        <c:axId val="76890880"/>
        <c:axId val="76892416"/>
      </c:barChart>
      <c:catAx>
        <c:axId val="76890880"/>
        <c:scaling>
          <c:orientation val="minMax"/>
        </c:scaling>
        <c:axPos val="b"/>
        <c:tickLblPos val="nextTo"/>
        <c:crossAx val="76892416"/>
        <c:crosses val="autoZero"/>
        <c:auto val="1"/>
        <c:lblAlgn val="ctr"/>
        <c:lblOffset val="100"/>
      </c:catAx>
      <c:valAx>
        <c:axId val="7689241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89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66"/>
          <c:y val="0.41450150143335834"/>
          <c:w val="0.16666552550496408"/>
          <c:h val="0.12962661925323715"/>
        </c:manualLayout>
      </c:layout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'2013'!$D$203:$D$219</c:f>
              <c:numCache>
                <c:formatCode>General</c:formatCode>
                <c:ptCount val="17"/>
                <c:pt idx="0">
                  <c:v>44.37</c:v>
                </c:pt>
                <c:pt idx="1">
                  <c:v>41.604166666666664</c:v>
                </c:pt>
                <c:pt idx="2">
                  <c:v>41.66115702479339</c:v>
                </c:pt>
                <c:pt idx="3">
                  <c:v>39.869918699186989</c:v>
                </c:pt>
                <c:pt idx="4">
                  <c:v>36.135593220338983</c:v>
                </c:pt>
                <c:pt idx="5">
                  <c:v>37.590090090090094</c:v>
                </c:pt>
                <c:pt idx="6">
                  <c:v>39.391891891891895</c:v>
                </c:pt>
                <c:pt idx="7">
                  <c:v>38.071428571428569</c:v>
                </c:pt>
                <c:pt idx="8">
                  <c:v>37.825892857142854</c:v>
                </c:pt>
                <c:pt idx="9">
                  <c:v>37.973451327433629</c:v>
                </c:pt>
                <c:pt idx="10">
                  <c:v>38.429203539823007</c:v>
                </c:pt>
                <c:pt idx="11">
                  <c:v>36.924778761061944</c:v>
                </c:pt>
                <c:pt idx="12">
                  <c:v>36.05263157894737</c:v>
                </c:pt>
                <c:pt idx="13">
                  <c:v>36.688596491228068</c:v>
                </c:pt>
                <c:pt idx="14">
                  <c:v>36.291304347826085</c:v>
                </c:pt>
                <c:pt idx="15">
                  <c:v>38.539130434782606</c:v>
                </c:pt>
                <c:pt idx="16">
                  <c:v>38.203282366842807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'2013'!$F$203:$F$219</c:f>
              <c:numCache>
                <c:formatCode>General</c:formatCode>
                <c:ptCount val="17"/>
                <c:pt idx="0">
                  <c:v>34.36</c:v>
                </c:pt>
                <c:pt idx="1">
                  <c:v>33.962585034013607</c:v>
                </c:pt>
                <c:pt idx="2">
                  <c:v>34.292517006802719</c:v>
                </c:pt>
                <c:pt idx="3">
                  <c:v>33.360544217687078</c:v>
                </c:pt>
                <c:pt idx="4">
                  <c:v>29.006802721088434</c:v>
                </c:pt>
                <c:pt idx="5">
                  <c:v>28.3843537414966</c:v>
                </c:pt>
                <c:pt idx="6">
                  <c:v>29.744897959183675</c:v>
                </c:pt>
                <c:pt idx="7">
                  <c:v>29.006802721088434</c:v>
                </c:pt>
                <c:pt idx="8">
                  <c:v>29.017123287671232</c:v>
                </c:pt>
                <c:pt idx="9">
                  <c:v>29.19047619047619</c:v>
                </c:pt>
                <c:pt idx="10">
                  <c:v>29.540816326530614</c:v>
                </c:pt>
                <c:pt idx="11">
                  <c:v>28.3843537414966</c:v>
                </c:pt>
                <c:pt idx="12">
                  <c:v>27.959183673469386</c:v>
                </c:pt>
                <c:pt idx="13">
                  <c:v>28.452380952380953</c:v>
                </c:pt>
                <c:pt idx="14">
                  <c:v>28.391156462585034</c:v>
                </c:pt>
                <c:pt idx="15">
                  <c:v>30.14965986394558</c:v>
                </c:pt>
                <c:pt idx="16">
                  <c:v>29.922910259994413</c:v>
                </c:pt>
              </c:numCache>
            </c:numRef>
          </c:val>
        </c:ser>
        <c:axId val="76908800"/>
        <c:axId val="76922880"/>
      </c:barChart>
      <c:catAx>
        <c:axId val="76908800"/>
        <c:scaling>
          <c:orientation val="minMax"/>
        </c:scaling>
        <c:axPos val="b"/>
        <c:tickLblPos val="nextTo"/>
        <c:crossAx val="76922880"/>
        <c:crosses val="autoZero"/>
        <c:auto val="1"/>
        <c:lblAlgn val="ctr"/>
        <c:lblOffset val="100"/>
      </c:catAx>
      <c:valAx>
        <c:axId val="76922880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90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589"/>
          <c:y val="0.41450150143335834"/>
          <c:w val="0.16666552550496408"/>
          <c:h val="0.1296266192532371"/>
        </c:manualLayout>
      </c:layout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130016356651265E-2"/>
          <c:y val="4.2660978616865977E-2"/>
          <c:w val="0.71880349195481064"/>
          <c:h val="0.83253261930154987"/>
        </c:manualLayout>
      </c:layout>
      <c:barChart>
        <c:barDir val="col"/>
        <c:grouping val="clustered"/>
        <c:ser>
          <c:idx val="0"/>
          <c:order val="0"/>
          <c:tx>
            <c:v>per milk cow</c:v>
          </c:tx>
          <c:val>
            <c:numRef>
              <c:f>'2013'!$D$222:$D$239</c:f>
              <c:numCache>
                <c:formatCode>General</c:formatCode>
                <c:ptCount val="18"/>
                <c:pt idx="0">
                  <c:v>41.9953</c:v>
                </c:pt>
                <c:pt idx="1">
                  <c:v>39.582608695652176</c:v>
                </c:pt>
                <c:pt idx="2">
                  <c:v>40.521551724137929</c:v>
                </c:pt>
                <c:pt idx="3">
                  <c:v>39.213675213675216</c:v>
                </c:pt>
                <c:pt idx="4">
                  <c:v>38.918103448275865</c:v>
                </c:pt>
                <c:pt idx="5">
                  <c:v>37.512931034482762</c:v>
                </c:pt>
                <c:pt idx="6">
                  <c:v>39.591743119266056</c:v>
                </c:pt>
                <c:pt idx="7">
                  <c:v>39.886363636363633</c:v>
                </c:pt>
                <c:pt idx="8">
                  <c:v>41.259090909090908</c:v>
                </c:pt>
                <c:pt idx="9">
                  <c:v>40.407079646017699</c:v>
                </c:pt>
                <c:pt idx="10">
                  <c:v>38.157894736842103</c:v>
                </c:pt>
                <c:pt idx="11">
                  <c:v>36.357758620689658</c:v>
                </c:pt>
                <c:pt idx="12">
                  <c:v>39.247863247863251</c:v>
                </c:pt>
                <c:pt idx="13">
                  <c:v>41.29059829059829</c:v>
                </c:pt>
                <c:pt idx="14">
                  <c:v>41.085470085470085</c:v>
                </c:pt>
                <c:pt idx="15">
                  <c:v>40.737288135593218</c:v>
                </c:pt>
                <c:pt idx="16">
                  <c:v>40.737288135593218</c:v>
                </c:pt>
                <c:pt idx="17">
                  <c:v>39.656706792475745</c:v>
                </c:pt>
              </c:numCache>
            </c:numRef>
          </c:val>
        </c:ser>
        <c:ser>
          <c:idx val="1"/>
          <c:order val="1"/>
          <c:tx>
            <c:v>all cows</c:v>
          </c:tx>
          <c:val>
            <c:numRef>
              <c:f>'2013'!$F$222:$F$239</c:f>
              <c:numCache>
                <c:formatCode>General</c:formatCode>
                <c:ptCount val="18"/>
                <c:pt idx="0">
                  <c:v>34.051000000000002</c:v>
                </c:pt>
                <c:pt idx="1">
                  <c:v>30.550335570469798</c:v>
                </c:pt>
                <c:pt idx="2">
                  <c:v>31.546979865771814</c:v>
                </c:pt>
                <c:pt idx="3">
                  <c:v>30.791946308724832</c:v>
                </c:pt>
                <c:pt idx="4">
                  <c:v>30.710884353741495</c:v>
                </c:pt>
                <c:pt idx="5">
                  <c:v>29.602040816326532</c:v>
                </c:pt>
                <c:pt idx="6">
                  <c:v>29.357142857142858</c:v>
                </c:pt>
                <c:pt idx="7">
                  <c:v>29.846938775510203</c:v>
                </c:pt>
                <c:pt idx="8">
                  <c:v>30.874149659863946</c:v>
                </c:pt>
                <c:pt idx="9">
                  <c:v>31.061224489795919</c:v>
                </c:pt>
                <c:pt idx="10">
                  <c:v>29.591836734693878</c:v>
                </c:pt>
                <c:pt idx="11">
                  <c:v>28.69047619047619</c:v>
                </c:pt>
                <c:pt idx="12">
                  <c:v>31.238095238095237</c:v>
                </c:pt>
                <c:pt idx="13">
                  <c:v>32.863945578231295</c:v>
                </c:pt>
                <c:pt idx="14">
                  <c:v>32.700680272108841</c:v>
                </c:pt>
                <c:pt idx="15">
                  <c:v>32.700680272108841</c:v>
                </c:pt>
                <c:pt idx="16">
                  <c:v>32.700680272108841</c:v>
                </c:pt>
                <c:pt idx="17">
                  <c:v>30.926752328448163</c:v>
                </c:pt>
              </c:numCache>
            </c:numRef>
          </c:val>
        </c:ser>
        <c:axId val="76950912"/>
        <c:axId val="76960896"/>
      </c:barChart>
      <c:catAx>
        <c:axId val="76950912"/>
        <c:scaling>
          <c:orientation val="minMax"/>
        </c:scaling>
        <c:axPos val="b"/>
        <c:tickLblPos val="nextTo"/>
        <c:crossAx val="76960896"/>
        <c:crosses val="autoZero"/>
        <c:auto val="1"/>
        <c:lblAlgn val="ctr"/>
        <c:lblOffset val="100"/>
      </c:catAx>
      <c:valAx>
        <c:axId val="76960896"/>
        <c:scaling>
          <c:orientation val="minMax"/>
          <c:max val="50"/>
          <c:min val="30"/>
        </c:scaling>
        <c:axPos val="l"/>
        <c:majorGridlines/>
        <c:numFmt formatCode="General" sourceLinked="1"/>
        <c:tickLblPos val="nextTo"/>
        <c:crossAx val="7695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65548328198611"/>
          <c:y val="0.41450150143335834"/>
          <c:w val="0.16666552550496408"/>
          <c:h val="0.12962661925323704"/>
        </c:manualLayout>
      </c:layout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Per Cow</c:v>
          </c:tx>
          <c:val>
            <c:numRef>
              <c:f>'2012'!$D$3:$D$239</c:f>
              <c:numCache>
                <c:formatCode>General</c:formatCode>
                <c:ptCount val="237"/>
                <c:pt idx="0">
                  <c:v>42.7</c:v>
                </c:pt>
                <c:pt idx="1">
                  <c:v>47.433035714285715</c:v>
                </c:pt>
                <c:pt idx="2">
                  <c:v>47.171171171171174</c:v>
                </c:pt>
                <c:pt idx="3">
                  <c:v>47.229729729729726</c:v>
                </c:pt>
                <c:pt idx="4">
                  <c:v>45.711711711711715</c:v>
                </c:pt>
                <c:pt idx="5">
                  <c:v>50.46078431372549</c:v>
                </c:pt>
                <c:pt idx="6">
                  <c:v>48.661764705882355</c:v>
                </c:pt>
                <c:pt idx="7">
                  <c:v>46.735294117647058</c:v>
                </c:pt>
                <c:pt idx="8">
                  <c:v>50.160194174757279</c:v>
                </c:pt>
                <c:pt idx="9">
                  <c:v>46.26442307692308</c:v>
                </c:pt>
                <c:pt idx="10">
                  <c:v>45.847619047619048</c:v>
                </c:pt>
                <c:pt idx="11">
                  <c:v>46.414285714285711</c:v>
                </c:pt>
                <c:pt idx="12">
                  <c:v>45.676190476190477</c:v>
                </c:pt>
                <c:pt idx="13">
                  <c:v>45.56666666666667</c:v>
                </c:pt>
                <c:pt idx="14">
                  <c:v>46.138095238095239</c:v>
                </c:pt>
                <c:pt idx="15">
                  <c:v>49.285714285714285</c:v>
                </c:pt>
                <c:pt idx="16">
                  <c:v>47.250445342960354</c:v>
                </c:pt>
                <c:pt idx="18">
                  <c:v>0</c:v>
                </c:pt>
                <c:pt idx="19">
                  <c:v>0</c:v>
                </c:pt>
                <c:pt idx="20">
                  <c:v>43.9</c:v>
                </c:pt>
                <c:pt idx="21">
                  <c:v>45.143518518518519</c:v>
                </c:pt>
                <c:pt idx="22">
                  <c:v>47.940366972477065</c:v>
                </c:pt>
                <c:pt idx="23">
                  <c:v>47.71844660194175</c:v>
                </c:pt>
                <c:pt idx="24">
                  <c:v>47.140776699029125</c:v>
                </c:pt>
                <c:pt idx="25">
                  <c:v>47.674757281553397</c:v>
                </c:pt>
                <c:pt idx="26">
                  <c:v>45.92307692307692</c:v>
                </c:pt>
                <c:pt idx="27">
                  <c:v>48.91346153846154</c:v>
                </c:pt>
                <c:pt idx="28">
                  <c:v>47.019047619047619</c:v>
                </c:pt>
                <c:pt idx="29">
                  <c:v>47.362745098039213</c:v>
                </c:pt>
                <c:pt idx="30">
                  <c:v>47.077669902912625</c:v>
                </c:pt>
                <c:pt idx="31">
                  <c:v>48.572815533980581</c:v>
                </c:pt>
                <c:pt idx="32">
                  <c:v>48.257281553398059</c:v>
                </c:pt>
                <c:pt idx="33">
                  <c:v>47.121359223300971</c:v>
                </c:pt>
                <c:pt idx="34">
                  <c:v>48.82692307692308</c:v>
                </c:pt>
                <c:pt idx="35">
                  <c:v>47.325471698113205</c:v>
                </c:pt>
                <c:pt idx="36">
                  <c:v>47.467847882718253</c:v>
                </c:pt>
                <c:pt idx="38">
                  <c:v>0</c:v>
                </c:pt>
                <c:pt idx="39">
                  <c:v>0</c:v>
                </c:pt>
                <c:pt idx="40">
                  <c:v>43.8</c:v>
                </c:pt>
                <c:pt idx="41">
                  <c:v>48.976635514018689</c:v>
                </c:pt>
                <c:pt idx="42">
                  <c:v>47.977064220183486</c:v>
                </c:pt>
                <c:pt idx="43">
                  <c:v>48.440366972477065</c:v>
                </c:pt>
                <c:pt idx="44">
                  <c:v>49.256880733944953</c:v>
                </c:pt>
                <c:pt idx="45">
                  <c:v>49.990990990990994</c:v>
                </c:pt>
                <c:pt idx="46">
                  <c:v>50.674999999999997</c:v>
                </c:pt>
                <c:pt idx="47">
                  <c:v>49.524509803921568</c:v>
                </c:pt>
                <c:pt idx="48">
                  <c:v>48.120370370370374</c:v>
                </c:pt>
                <c:pt idx="49">
                  <c:v>47.041666666666664</c:v>
                </c:pt>
                <c:pt idx="50">
                  <c:v>47.754629629629626</c:v>
                </c:pt>
                <c:pt idx="51">
                  <c:v>46.461165048543691</c:v>
                </c:pt>
                <c:pt idx="52">
                  <c:v>42.39903846153846</c:v>
                </c:pt>
                <c:pt idx="53">
                  <c:v>44.23557692307692</c:v>
                </c:pt>
                <c:pt idx="54">
                  <c:v>43.171296296296298</c:v>
                </c:pt>
                <c:pt idx="55">
                  <c:v>43.098214285714285</c:v>
                </c:pt>
                <c:pt idx="56">
                  <c:v>47.141560394491542</c:v>
                </c:pt>
                <c:pt idx="58">
                  <c:v>0</c:v>
                </c:pt>
                <c:pt idx="59">
                  <c:v>0</c:v>
                </c:pt>
                <c:pt idx="60">
                  <c:v>43.8</c:v>
                </c:pt>
                <c:pt idx="61">
                  <c:v>42.729729729729726</c:v>
                </c:pt>
                <c:pt idx="62">
                  <c:v>43.328828828828826</c:v>
                </c:pt>
                <c:pt idx="63">
                  <c:v>39.684684684684683</c:v>
                </c:pt>
                <c:pt idx="64">
                  <c:v>41.166666666666664</c:v>
                </c:pt>
                <c:pt idx="65">
                  <c:v>39.808035714285715</c:v>
                </c:pt>
                <c:pt idx="66">
                  <c:v>36.521929824561404</c:v>
                </c:pt>
                <c:pt idx="67">
                  <c:v>43.082608695652176</c:v>
                </c:pt>
                <c:pt idx="68">
                  <c:v>45.674796747967477</c:v>
                </c:pt>
                <c:pt idx="69">
                  <c:v>48.024000000000001</c:v>
                </c:pt>
                <c:pt idx="70">
                  <c:v>48.564102564102562</c:v>
                </c:pt>
                <c:pt idx="71">
                  <c:v>50.887500000000003</c:v>
                </c:pt>
                <c:pt idx="72">
                  <c:v>52.801652892561982</c:v>
                </c:pt>
                <c:pt idx="73">
                  <c:v>52.67622950819672</c:v>
                </c:pt>
                <c:pt idx="74">
                  <c:v>52.67622950819672</c:v>
                </c:pt>
                <c:pt idx="75">
                  <c:v>53.4</c:v>
                </c:pt>
                <c:pt idx="76">
                  <c:v>46.068466357695641</c:v>
                </c:pt>
                <c:pt idx="79">
                  <c:v>0</c:v>
                </c:pt>
                <c:pt idx="80">
                  <c:v>42.9</c:v>
                </c:pt>
                <c:pt idx="81">
                  <c:v>54.097560975609753</c:v>
                </c:pt>
                <c:pt idx="82">
                  <c:v>51.928961748633874</c:v>
                </c:pt>
                <c:pt idx="83">
                  <c:v>55.26229508196721</c:v>
                </c:pt>
                <c:pt idx="84">
                  <c:v>53.693548387096776</c:v>
                </c:pt>
                <c:pt idx="85">
                  <c:v>53.802419354838712</c:v>
                </c:pt>
                <c:pt idx="86">
                  <c:v>58.586363636363636</c:v>
                </c:pt>
                <c:pt idx="87">
                  <c:v>59.436363636363637</c:v>
                </c:pt>
                <c:pt idx="88">
                  <c:v>57.190265486725664</c:v>
                </c:pt>
                <c:pt idx="89">
                  <c:v>55.217391304347828</c:v>
                </c:pt>
                <c:pt idx="90">
                  <c:v>57.239130434782609</c:v>
                </c:pt>
                <c:pt idx="91">
                  <c:v>58.530172413793103</c:v>
                </c:pt>
                <c:pt idx="92">
                  <c:v>54.512711864406782</c:v>
                </c:pt>
                <c:pt idx="93">
                  <c:v>53.533333333333331</c:v>
                </c:pt>
                <c:pt idx="94">
                  <c:v>55.458333333333336</c:v>
                </c:pt>
                <c:pt idx="95">
                  <c:v>56.916666666666664</c:v>
                </c:pt>
                <c:pt idx="96">
                  <c:v>53.462809917355372</c:v>
                </c:pt>
                <c:pt idx="97">
                  <c:v>55.554270473476137</c:v>
                </c:pt>
                <c:pt idx="99">
                  <c:v>0</c:v>
                </c:pt>
                <c:pt idx="100">
                  <c:v>0</c:v>
                </c:pt>
                <c:pt idx="101">
                  <c:v>47.3</c:v>
                </c:pt>
                <c:pt idx="102">
                  <c:v>54.943089430894311</c:v>
                </c:pt>
                <c:pt idx="103">
                  <c:v>54.357723577235774</c:v>
                </c:pt>
                <c:pt idx="104">
                  <c:v>53.195999999999998</c:v>
                </c:pt>
                <c:pt idx="105">
                  <c:v>51.165354330708659</c:v>
                </c:pt>
                <c:pt idx="106">
                  <c:v>53.542635658914726</c:v>
                </c:pt>
                <c:pt idx="107">
                  <c:v>53.9</c:v>
                </c:pt>
                <c:pt idx="108">
                  <c:v>51.622950819672134</c:v>
                </c:pt>
                <c:pt idx="109">
                  <c:v>51.162601626016261</c:v>
                </c:pt>
                <c:pt idx="110">
                  <c:v>51.287999999999997</c:v>
                </c:pt>
                <c:pt idx="111">
                  <c:v>54.212000000000003</c:v>
                </c:pt>
                <c:pt idx="112">
                  <c:v>56.015999999999998</c:v>
                </c:pt>
                <c:pt idx="113">
                  <c:v>57.602564102564102</c:v>
                </c:pt>
                <c:pt idx="114">
                  <c:v>54.788135593220339</c:v>
                </c:pt>
                <c:pt idx="115">
                  <c:v>55.579831932773111</c:v>
                </c:pt>
                <c:pt idx="116">
                  <c:v>53.053719008264466</c:v>
                </c:pt>
                <c:pt idx="117">
                  <c:v>53.762040405350923</c:v>
                </c:pt>
                <c:pt idx="119">
                  <c:v>0</c:v>
                </c:pt>
                <c:pt idx="120">
                  <c:v>0</c:v>
                </c:pt>
                <c:pt idx="121">
                  <c:v>48.9</c:v>
                </c:pt>
                <c:pt idx="122">
                  <c:v>55.719008264462808</c:v>
                </c:pt>
                <c:pt idx="123">
                  <c:v>55.394308943089428</c:v>
                </c:pt>
                <c:pt idx="124">
                  <c:v>54.173387096774192</c:v>
                </c:pt>
                <c:pt idx="125">
                  <c:v>55.528225806451616</c:v>
                </c:pt>
                <c:pt idx="126">
                  <c:v>55.66935483870968</c:v>
                </c:pt>
                <c:pt idx="127">
                  <c:v>58.457264957264954</c:v>
                </c:pt>
                <c:pt idx="128">
                  <c:v>56.141025641025642</c:v>
                </c:pt>
                <c:pt idx="129">
                  <c:v>58.682203389830505</c:v>
                </c:pt>
                <c:pt idx="130">
                  <c:v>58.343220338983052</c:v>
                </c:pt>
                <c:pt idx="131">
                  <c:v>56.737288135593218</c:v>
                </c:pt>
                <c:pt idx="132">
                  <c:v>56.756302521008401</c:v>
                </c:pt>
                <c:pt idx="133">
                  <c:v>56.407563025210081</c:v>
                </c:pt>
                <c:pt idx="134">
                  <c:v>55.028925619834709</c:v>
                </c:pt>
                <c:pt idx="135">
                  <c:v>53.277777777777779</c:v>
                </c:pt>
                <c:pt idx="136">
                  <c:v>47.555555555555557</c:v>
                </c:pt>
                <c:pt idx="137">
                  <c:v>55.591427460771435</c:v>
                </c:pt>
                <c:pt idx="139">
                  <c:v>0</c:v>
                </c:pt>
                <c:pt idx="140">
                  <c:v>0</c:v>
                </c:pt>
                <c:pt idx="141">
                  <c:v>44.3</c:v>
                </c:pt>
                <c:pt idx="142">
                  <c:v>50.3984375</c:v>
                </c:pt>
                <c:pt idx="143">
                  <c:v>49.554263565891475</c:v>
                </c:pt>
                <c:pt idx="144">
                  <c:v>47.71153846153846</c:v>
                </c:pt>
                <c:pt idx="145">
                  <c:v>46.896946564885496</c:v>
                </c:pt>
                <c:pt idx="146">
                  <c:v>43.814814814814817</c:v>
                </c:pt>
                <c:pt idx="147">
                  <c:v>43.744360902255636</c:v>
                </c:pt>
                <c:pt idx="148">
                  <c:v>42.304511278195491</c:v>
                </c:pt>
                <c:pt idx="149">
                  <c:v>42.299242424242422</c:v>
                </c:pt>
                <c:pt idx="150">
                  <c:v>41.5</c:v>
                </c:pt>
                <c:pt idx="151">
                  <c:v>39.335820895522389</c:v>
                </c:pt>
                <c:pt idx="152">
                  <c:v>40.082089552238806</c:v>
                </c:pt>
                <c:pt idx="153">
                  <c:v>40.309701492537314</c:v>
                </c:pt>
                <c:pt idx="154">
                  <c:v>37.79457364341085</c:v>
                </c:pt>
                <c:pt idx="155">
                  <c:v>36.323076923076925</c:v>
                </c:pt>
                <c:pt idx="156">
                  <c:v>38.62977099236641</c:v>
                </c:pt>
                <c:pt idx="157">
                  <c:v>41.446969696969695</c:v>
                </c:pt>
                <c:pt idx="158">
                  <c:v>42.63413241924664</c:v>
                </c:pt>
                <c:pt idx="160">
                  <c:v>0</c:v>
                </c:pt>
                <c:pt idx="161">
                  <c:v>0</c:v>
                </c:pt>
                <c:pt idx="162">
                  <c:v>42.45</c:v>
                </c:pt>
                <c:pt idx="163">
                  <c:v>39.88148148148148</c:v>
                </c:pt>
                <c:pt idx="164">
                  <c:v>38.462962962962962</c:v>
                </c:pt>
                <c:pt idx="165">
                  <c:v>39.107407407407408</c:v>
                </c:pt>
                <c:pt idx="166">
                  <c:v>39.816000000000003</c:v>
                </c:pt>
                <c:pt idx="167">
                  <c:v>38.273809523809526</c:v>
                </c:pt>
                <c:pt idx="168">
                  <c:v>37.924603174603178</c:v>
                </c:pt>
                <c:pt idx="169">
                  <c:v>38.551587301587304</c:v>
                </c:pt>
                <c:pt idx="170">
                  <c:v>37.304000000000002</c:v>
                </c:pt>
                <c:pt idx="171">
                  <c:v>35.524000000000001</c:v>
                </c:pt>
                <c:pt idx="172">
                  <c:v>36.308</c:v>
                </c:pt>
                <c:pt idx="173">
                  <c:v>37.908000000000001</c:v>
                </c:pt>
                <c:pt idx="174">
                  <c:v>37.387096774193552</c:v>
                </c:pt>
                <c:pt idx="175">
                  <c:v>37.159999999999997</c:v>
                </c:pt>
                <c:pt idx="176">
                  <c:v>35.456000000000003</c:v>
                </c:pt>
                <c:pt idx="177">
                  <c:v>37.020000000000003</c:v>
                </c:pt>
                <c:pt idx="178">
                  <c:v>37.738996575069692</c:v>
                </c:pt>
                <c:pt idx="179">
                  <c:v>0</c:v>
                </c:pt>
                <c:pt idx="180">
                  <c:v>0</c:v>
                </c:pt>
                <c:pt idx="181">
                  <c:v>45.49</c:v>
                </c:pt>
                <c:pt idx="182">
                  <c:v>37.99596774193548</c:v>
                </c:pt>
                <c:pt idx="183">
                  <c:v>41.474193548387099</c:v>
                </c:pt>
                <c:pt idx="184">
                  <c:v>40.932539682539684</c:v>
                </c:pt>
                <c:pt idx="185">
                  <c:v>41.797619047619051</c:v>
                </c:pt>
                <c:pt idx="186">
                  <c:v>41.263565891472865</c:v>
                </c:pt>
                <c:pt idx="187">
                  <c:v>42.795833333333334</c:v>
                </c:pt>
                <c:pt idx="188">
                  <c:v>43.487603305785122</c:v>
                </c:pt>
                <c:pt idx="189">
                  <c:v>45.252066115702476</c:v>
                </c:pt>
                <c:pt idx="190">
                  <c:v>44.929752066115704</c:v>
                </c:pt>
                <c:pt idx="191">
                  <c:v>43.487603305785122</c:v>
                </c:pt>
                <c:pt idx="192">
                  <c:v>43.024590163934427</c:v>
                </c:pt>
                <c:pt idx="193">
                  <c:v>39.601626016260163</c:v>
                </c:pt>
                <c:pt idx="194">
                  <c:v>39.20967741935484</c:v>
                </c:pt>
                <c:pt idx="195">
                  <c:v>39.850806451612904</c:v>
                </c:pt>
                <c:pt idx="196">
                  <c:v>41.987288135593218</c:v>
                </c:pt>
                <c:pt idx="197">
                  <c:v>41.806048815028767</c:v>
                </c:pt>
                <c:pt idx="198">
                  <c:v>0</c:v>
                </c:pt>
                <c:pt idx="199">
                  <c:v>0</c:v>
                </c:pt>
                <c:pt idx="200">
                  <c:v>44.76</c:v>
                </c:pt>
                <c:pt idx="201">
                  <c:v>43.254464285714285</c:v>
                </c:pt>
                <c:pt idx="202">
                  <c:v>42.631818181818183</c:v>
                </c:pt>
                <c:pt idx="203">
                  <c:v>46.604545454545452</c:v>
                </c:pt>
                <c:pt idx="204">
                  <c:v>44.640909090909091</c:v>
                </c:pt>
                <c:pt idx="205">
                  <c:v>43.603603603603602</c:v>
                </c:pt>
                <c:pt idx="206">
                  <c:v>44.2</c:v>
                </c:pt>
                <c:pt idx="207">
                  <c:v>46.768181818181816</c:v>
                </c:pt>
                <c:pt idx="208">
                  <c:v>44.477477477477478</c:v>
                </c:pt>
                <c:pt idx="209">
                  <c:v>44.081081081081081</c:v>
                </c:pt>
                <c:pt idx="210">
                  <c:v>45.590090090090094</c:v>
                </c:pt>
                <c:pt idx="211">
                  <c:v>44.276785714285715</c:v>
                </c:pt>
                <c:pt idx="212">
                  <c:v>43.294642857142854</c:v>
                </c:pt>
                <c:pt idx="213">
                  <c:v>42.464285714285715</c:v>
                </c:pt>
                <c:pt idx="214">
                  <c:v>45.379464285714285</c:v>
                </c:pt>
                <c:pt idx="215">
                  <c:v>44.311403508771932</c:v>
                </c:pt>
                <c:pt idx="216">
                  <c:v>44.371916877574776</c:v>
                </c:pt>
                <c:pt idx="217">
                  <c:v>0</c:v>
                </c:pt>
                <c:pt idx="218">
                  <c:v>0</c:v>
                </c:pt>
                <c:pt idx="219">
                  <c:v>46.36</c:v>
                </c:pt>
                <c:pt idx="220">
                  <c:v>40.991452991452988</c:v>
                </c:pt>
                <c:pt idx="221">
                  <c:v>41.563025210084035</c:v>
                </c:pt>
                <c:pt idx="222">
                  <c:v>40.85</c:v>
                </c:pt>
                <c:pt idx="223">
                  <c:v>40.737499999999997</c:v>
                </c:pt>
                <c:pt idx="224">
                  <c:v>40.720338983050844</c:v>
                </c:pt>
                <c:pt idx="225">
                  <c:v>44.228813559322035</c:v>
                </c:pt>
                <c:pt idx="226">
                  <c:v>43.313043478260873</c:v>
                </c:pt>
                <c:pt idx="227">
                  <c:v>42.954545454545453</c:v>
                </c:pt>
                <c:pt idx="228">
                  <c:v>45.432432432432435</c:v>
                </c:pt>
                <c:pt idx="229">
                  <c:v>43.676991150442475</c:v>
                </c:pt>
                <c:pt idx="230">
                  <c:v>42.609649122807021</c:v>
                </c:pt>
                <c:pt idx="231">
                  <c:v>40.122807017543863</c:v>
                </c:pt>
                <c:pt idx="232">
                  <c:v>41.44736842105263</c:v>
                </c:pt>
                <c:pt idx="233">
                  <c:v>39.621739130434783</c:v>
                </c:pt>
                <c:pt idx="234">
                  <c:v>39.125</c:v>
                </c:pt>
                <c:pt idx="235">
                  <c:v>44.529914529914528</c:v>
                </c:pt>
                <c:pt idx="236">
                  <c:v>41.995288842583996</c:v>
                </c:pt>
              </c:numCache>
            </c:numRef>
          </c:val>
        </c:ser>
        <c:axId val="73962624"/>
        <c:axId val="73964160"/>
      </c:barChart>
      <c:catAx>
        <c:axId val="73962624"/>
        <c:scaling>
          <c:orientation val="minMax"/>
        </c:scaling>
        <c:axPos val="b"/>
        <c:tickLblPos val="nextTo"/>
        <c:crossAx val="73964160"/>
        <c:crosses val="autoZero"/>
        <c:auto val="1"/>
        <c:lblAlgn val="ctr"/>
        <c:lblOffset val="100"/>
      </c:catAx>
      <c:valAx>
        <c:axId val="73964160"/>
        <c:scaling>
          <c:orientation val="minMax"/>
          <c:max val="60"/>
          <c:min val="30"/>
        </c:scaling>
        <c:axPos val="l"/>
        <c:majorGridlines/>
        <c:numFmt formatCode="General" sourceLinked="1"/>
        <c:tickLblPos val="nextTo"/>
        <c:crossAx val="7396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13" Type="http://schemas.openxmlformats.org/officeDocument/2006/relationships/chart" Target="../charts/chart70.xml"/><Relationship Id="rId18" Type="http://schemas.openxmlformats.org/officeDocument/2006/relationships/chart" Target="../charts/chart75.xml"/><Relationship Id="rId26" Type="http://schemas.openxmlformats.org/officeDocument/2006/relationships/chart" Target="../charts/chart83.xml"/><Relationship Id="rId3" Type="http://schemas.openxmlformats.org/officeDocument/2006/relationships/chart" Target="../charts/chart60.xml"/><Relationship Id="rId21" Type="http://schemas.openxmlformats.org/officeDocument/2006/relationships/chart" Target="../charts/chart78.xml"/><Relationship Id="rId7" Type="http://schemas.openxmlformats.org/officeDocument/2006/relationships/chart" Target="../charts/chart64.xml"/><Relationship Id="rId12" Type="http://schemas.openxmlformats.org/officeDocument/2006/relationships/chart" Target="../charts/chart69.xml"/><Relationship Id="rId17" Type="http://schemas.openxmlformats.org/officeDocument/2006/relationships/chart" Target="../charts/chart74.xml"/><Relationship Id="rId25" Type="http://schemas.openxmlformats.org/officeDocument/2006/relationships/chart" Target="../charts/chart82.xml"/><Relationship Id="rId2" Type="http://schemas.openxmlformats.org/officeDocument/2006/relationships/chart" Target="../charts/chart59.xml"/><Relationship Id="rId16" Type="http://schemas.openxmlformats.org/officeDocument/2006/relationships/chart" Target="../charts/chart73.xml"/><Relationship Id="rId20" Type="http://schemas.openxmlformats.org/officeDocument/2006/relationships/chart" Target="../charts/chart77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11" Type="http://schemas.openxmlformats.org/officeDocument/2006/relationships/chart" Target="../charts/chart68.xml"/><Relationship Id="rId24" Type="http://schemas.openxmlformats.org/officeDocument/2006/relationships/chart" Target="../charts/chart81.xml"/><Relationship Id="rId5" Type="http://schemas.openxmlformats.org/officeDocument/2006/relationships/chart" Target="../charts/chart62.xml"/><Relationship Id="rId15" Type="http://schemas.openxmlformats.org/officeDocument/2006/relationships/chart" Target="../charts/chart72.xml"/><Relationship Id="rId23" Type="http://schemas.openxmlformats.org/officeDocument/2006/relationships/chart" Target="../charts/chart80.xml"/><Relationship Id="rId10" Type="http://schemas.openxmlformats.org/officeDocument/2006/relationships/chart" Target="../charts/chart67.xml"/><Relationship Id="rId19" Type="http://schemas.openxmlformats.org/officeDocument/2006/relationships/chart" Target="../charts/chart76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Relationship Id="rId14" Type="http://schemas.openxmlformats.org/officeDocument/2006/relationships/chart" Target="../charts/chart71.xml"/><Relationship Id="rId22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2</xdr:row>
      <xdr:rowOff>19050</xdr:rowOff>
    </xdr:from>
    <xdr:to>
      <xdr:col>14</xdr:col>
      <xdr:colOff>400051</xdr:colOff>
      <xdr:row>10</xdr:row>
      <xdr:rowOff>200026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19051</xdr:colOff>
      <xdr:row>20</xdr:row>
      <xdr:rowOff>19049</xdr:rowOff>
    </xdr:from>
    <xdr:to>
      <xdr:col>14</xdr:col>
      <xdr:colOff>400051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42</xdr:row>
      <xdr:rowOff>95250</xdr:rowOff>
    </xdr:from>
    <xdr:to>
      <xdr:col>14</xdr:col>
      <xdr:colOff>400050</xdr:colOff>
      <xdr:row>53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63</xdr:row>
      <xdr:rowOff>114300</xdr:rowOff>
    </xdr:from>
    <xdr:to>
      <xdr:col>14</xdr:col>
      <xdr:colOff>419100</xdr:colOff>
      <xdr:row>74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76</xdr:row>
      <xdr:rowOff>228600</xdr:rowOff>
    </xdr:from>
    <xdr:to>
      <xdr:col>11</xdr:col>
      <xdr:colOff>495300</xdr:colOff>
      <xdr:row>82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22</xdr:row>
      <xdr:rowOff>28574</xdr:rowOff>
    </xdr:from>
    <xdr:to>
      <xdr:col>14</xdr:col>
      <xdr:colOff>419101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5</xdr:row>
      <xdr:rowOff>85725</xdr:rowOff>
    </xdr:from>
    <xdr:to>
      <xdr:col>14</xdr:col>
      <xdr:colOff>419100</xdr:colOff>
      <xdr:row>13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47626</xdr:colOff>
      <xdr:row>42</xdr:row>
      <xdr:rowOff>19049</xdr:rowOff>
    </xdr:from>
    <xdr:to>
      <xdr:col>14</xdr:col>
      <xdr:colOff>428626</xdr:colOff>
      <xdr:row>49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239</xdr:row>
      <xdr:rowOff>85725</xdr:rowOff>
    </xdr:from>
    <xdr:to>
      <xdr:col>11</xdr:col>
      <xdr:colOff>476250</xdr:colOff>
      <xdr:row>246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38101</xdr:colOff>
      <xdr:row>68</xdr:row>
      <xdr:rowOff>180974</xdr:rowOff>
    </xdr:from>
    <xdr:to>
      <xdr:col>14</xdr:col>
      <xdr:colOff>419101</xdr:colOff>
      <xdr:row>76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66676</xdr:colOff>
      <xdr:row>106</xdr:row>
      <xdr:rowOff>209549</xdr:rowOff>
    </xdr:from>
    <xdr:to>
      <xdr:col>14</xdr:col>
      <xdr:colOff>447676</xdr:colOff>
      <xdr:row>114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85</xdr:row>
      <xdr:rowOff>85725</xdr:rowOff>
    </xdr:from>
    <xdr:to>
      <xdr:col>14</xdr:col>
      <xdr:colOff>419100</xdr:colOff>
      <xdr:row>93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47626</xdr:colOff>
      <xdr:row>123</xdr:row>
      <xdr:rowOff>19049</xdr:rowOff>
    </xdr:from>
    <xdr:to>
      <xdr:col>14</xdr:col>
      <xdr:colOff>428626</xdr:colOff>
      <xdr:row>130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114301</xdr:colOff>
      <xdr:row>143</xdr:row>
      <xdr:rowOff>28574</xdr:rowOff>
    </xdr:from>
    <xdr:to>
      <xdr:col>14</xdr:col>
      <xdr:colOff>495301</xdr:colOff>
      <xdr:row>150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19051</xdr:colOff>
      <xdr:row>165</xdr:row>
      <xdr:rowOff>19050</xdr:rowOff>
    </xdr:from>
    <xdr:to>
      <xdr:col>14</xdr:col>
      <xdr:colOff>400051</xdr:colOff>
      <xdr:row>173</xdr:row>
      <xdr:rowOff>200026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57151</xdr:colOff>
      <xdr:row>187</xdr:row>
      <xdr:rowOff>200024</xdr:rowOff>
    </xdr:from>
    <xdr:to>
      <xdr:col>14</xdr:col>
      <xdr:colOff>438151</xdr:colOff>
      <xdr:row>195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28575</xdr:colOff>
      <xdr:row>206</xdr:row>
      <xdr:rowOff>171450</xdr:rowOff>
    </xdr:from>
    <xdr:to>
      <xdr:col>14</xdr:col>
      <xdr:colOff>409575</xdr:colOff>
      <xdr:row>217</xdr:row>
      <xdr:rowOff>95249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171450</xdr:colOff>
      <xdr:row>223</xdr:row>
      <xdr:rowOff>47625</xdr:rowOff>
    </xdr:from>
    <xdr:to>
      <xdr:col>14</xdr:col>
      <xdr:colOff>552450</xdr:colOff>
      <xdr:row>234</xdr:row>
      <xdr:rowOff>209550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25</xdr:row>
      <xdr:rowOff>209549</xdr:rowOff>
    </xdr:from>
    <xdr:to>
      <xdr:col>14</xdr:col>
      <xdr:colOff>504826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5</xdr:row>
      <xdr:rowOff>85725</xdr:rowOff>
    </xdr:from>
    <xdr:to>
      <xdr:col>14</xdr:col>
      <xdr:colOff>419100</xdr:colOff>
      <xdr:row>13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19051</xdr:colOff>
      <xdr:row>43</xdr:row>
      <xdr:rowOff>47624</xdr:rowOff>
    </xdr:from>
    <xdr:to>
      <xdr:col>14</xdr:col>
      <xdr:colOff>400051</xdr:colOff>
      <xdr:row>50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239</xdr:row>
      <xdr:rowOff>85725</xdr:rowOff>
    </xdr:from>
    <xdr:to>
      <xdr:col>11</xdr:col>
      <xdr:colOff>476250</xdr:colOff>
      <xdr:row>246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67</xdr:row>
      <xdr:rowOff>104774</xdr:rowOff>
    </xdr:from>
    <xdr:to>
      <xdr:col>14</xdr:col>
      <xdr:colOff>381001</xdr:colOff>
      <xdr:row>74</xdr:row>
      <xdr:rowOff>209550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</xdr:colOff>
      <xdr:row>106</xdr:row>
      <xdr:rowOff>19049</xdr:rowOff>
    </xdr:from>
    <xdr:to>
      <xdr:col>14</xdr:col>
      <xdr:colOff>381001</xdr:colOff>
      <xdr:row>113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86</xdr:row>
      <xdr:rowOff>38100</xdr:rowOff>
    </xdr:from>
    <xdr:to>
      <xdr:col>14</xdr:col>
      <xdr:colOff>419100</xdr:colOff>
      <xdr:row>93</xdr:row>
      <xdr:rowOff>228600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676276</xdr:colOff>
      <xdr:row>126</xdr:row>
      <xdr:rowOff>104774</xdr:rowOff>
    </xdr:from>
    <xdr:to>
      <xdr:col>14</xdr:col>
      <xdr:colOff>361951</xdr:colOff>
      <xdr:row>133</xdr:row>
      <xdr:rowOff>209550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95251</xdr:colOff>
      <xdr:row>151</xdr:row>
      <xdr:rowOff>209549</xdr:rowOff>
    </xdr:from>
    <xdr:to>
      <xdr:col>14</xdr:col>
      <xdr:colOff>476251</xdr:colOff>
      <xdr:row>160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19051</xdr:colOff>
      <xdr:row>167</xdr:row>
      <xdr:rowOff>0</xdr:rowOff>
    </xdr:from>
    <xdr:to>
      <xdr:col>14</xdr:col>
      <xdr:colOff>400051</xdr:colOff>
      <xdr:row>176</xdr:row>
      <xdr:rowOff>180976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57151</xdr:colOff>
      <xdr:row>187</xdr:row>
      <xdr:rowOff>47624</xdr:rowOff>
    </xdr:from>
    <xdr:to>
      <xdr:col>14</xdr:col>
      <xdr:colOff>438151</xdr:colOff>
      <xdr:row>194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207</xdr:row>
      <xdr:rowOff>171450</xdr:rowOff>
    </xdr:from>
    <xdr:to>
      <xdr:col>13</xdr:col>
      <xdr:colOff>590550</xdr:colOff>
      <xdr:row>215</xdr:row>
      <xdr:rowOff>228600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38100</xdr:colOff>
      <xdr:row>226</xdr:row>
      <xdr:rowOff>114300</xdr:rowOff>
    </xdr:from>
    <xdr:to>
      <xdr:col>14</xdr:col>
      <xdr:colOff>419100</xdr:colOff>
      <xdr:row>237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333376</xdr:colOff>
      <xdr:row>24</xdr:row>
      <xdr:rowOff>238124</xdr:rowOff>
    </xdr:from>
    <xdr:to>
      <xdr:col>17</xdr:col>
      <xdr:colOff>104776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5</xdr:row>
      <xdr:rowOff>85725</xdr:rowOff>
    </xdr:from>
    <xdr:to>
      <xdr:col>14</xdr:col>
      <xdr:colOff>419100</xdr:colOff>
      <xdr:row>13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47626</xdr:colOff>
      <xdr:row>41</xdr:row>
      <xdr:rowOff>19049</xdr:rowOff>
    </xdr:from>
    <xdr:to>
      <xdr:col>14</xdr:col>
      <xdr:colOff>428626</xdr:colOff>
      <xdr:row>48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238</xdr:row>
      <xdr:rowOff>85725</xdr:rowOff>
    </xdr:from>
    <xdr:to>
      <xdr:col>11</xdr:col>
      <xdr:colOff>476250</xdr:colOff>
      <xdr:row>245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38101</xdr:colOff>
      <xdr:row>68</xdr:row>
      <xdr:rowOff>180974</xdr:rowOff>
    </xdr:from>
    <xdr:to>
      <xdr:col>14</xdr:col>
      <xdr:colOff>419101</xdr:colOff>
      <xdr:row>76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38101</xdr:colOff>
      <xdr:row>102</xdr:row>
      <xdr:rowOff>28574</xdr:rowOff>
    </xdr:from>
    <xdr:to>
      <xdr:col>14</xdr:col>
      <xdr:colOff>419101</xdr:colOff>
      <xdr:row>109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85</xdr:row>
      <xdr:rowOff>85725</xdr:rowOff>
    </xdr:from>
    <xdr:to>
      <xdr:col>14</xdr:col>
      <xdr:colOff>419100</xdr:colOff>
      <xdr:row>93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47626</xdr:colOff>
      <xdr:row>122</xdr:row>
      <xdr:rowOff>19049</xdr:rowOff>
    </xdr:from>
    <xdr:to>
      <xdr:col>14</xdr:col>
      <xdr:colOff>428626</xdr:colOff>
      <xdr:row>129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114301</xdr:colOff>
      <xdr:row>143</xdr:row>
      <xdr:rowOff>28574</xdr:rowOff>
    </xdr:from>
    <xdr:to>
      <xdr:col>14</xdr:col>
      <xdr:colOff>495301</xdr:colOff>
      <xdr:row>150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19051</xdr:colOff>
      <xdr:row>163</xdr:row>
      <xdr:rowOff>19050</xdr:rowOff>
    </xdr:from>
    <xdr:to>
      <xdr:col>14</xdr:col>
      <xdr:colOff>400051</xdr:colOff>
      <xdr:row>172</xdr:row>
      <xdr:rowOff>200026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19051</xdr:colOff>
      <xdr:row>182</xdr:row>
      <xdr:rowOff>19049</xdr:rowOff>
    </xdr:from>
    <xdr:to>
      <xdr:col>14</xdr:col>
      <xdr:colOff>400051</xdr:colOff>
      <xdr:row>189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19050</xdr:colOff>
      <xdr:row>205</xdr:row>
      <xdr:rowOff>95250</xdr:rowOff>
    </xdr:from>
    <xdr:to>
      <xdr:col>14</xdr:col>
      <xdr:colOff>400050</xdr:colOff>
      <xdr:row>216</xdr:row>
      <xdr:rowOff>19049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38100</xdr:colOff>
      <xdr:row>226</xdr:row>
      <xdr:rowOff>114300</xdr:rowOff>
    </xdr:from>
    <xdr:to>
      <xdr:col>14</xdr:col>
      <xdr:colOff>419100</xdr:colOff>
      <xdr:row>237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133351</xdr:colOff>
      <xdr:row>28</xdr:row>
      <xdr:rowOff>209549</xdr:rowOff>
    </xdr:from>
    <xdr:to>
      <xdr:col>14</xdr:col>
      <xdr:colOff>514351</xdr:colOff>
      <xdr:row>36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38100</xdr:colOff>
      <xdr:row>5</xdr:row>
      <xdr:rowOff>85725</xdr:rowOff>
    </xdr:from>
    <xdr:to>
      <xdr:col>14</xdr:col>
      <xdr:colOff>419100</xdr:colOff>
      <xdr:row>13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47626</xdr:colOff>
      <xdr:row>41</xdr:row>
      <xdr:rowOff>19049</xdr:rowOff>
    </xdr:from>
    <xdr:to>
      <xdr:col>14</xdr:col>
      <xdr:colOff>428626</xdr:colOff>
      <xdr:row>48</xdr:row>
      <xdr:rowOff>123825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228600</xdr:colOff>
      <xdr:row>238</xdr:row>
      <xdr:rowOff>85725</xdr:rowOff>
    </xdr:from>
    <xdr:to>
      <xdr:col>11</xdr:col>
      <xdr:colOff>476250</xdr:colOff>
      <xdr:row>245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38101</xdr:colOff>
      <xdr:row>68</xdr:row>
      <xdr:rowOff>180974</xdr:rowOff>
    </xdr:from>
    <xdr:to>
      <xdr:col>14</xdr:col>
      <xdr:colOff>419101</xdr:colOff>
      <xdr:row>76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38101</xdr:colOff>
      <xdr:row>102</xdr:row>
      <xdr:rowOff>28574</xdr:rowOff>
    </xdr:from>
    <xdr:to>
      <xdr:col>14</xdr:col>
      <xdr:colOff>419101</xdr:colOff>
      <xdr:row>109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38100</xdr:colOff>
      <xdr:row>85</xdr:row>
      <xdr:rowOff>85725</xdr:rowOff>
    </xdr:from>
    <xdr:to>
      <xdr:col>14</xdr:col>
      <xdr:colOff>419100</xdr:colOff>
      <xdr:row>93</xdr:row>
      <xdr:rowOff>38100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47626</xdr:colOff>
      <xdr:row>122</xdr:row>
      <xdr:rowOff>19049</xdr:rowOff>
    </xdr:from>
    <xdr:to>
      <xdr:col>14</xdr:col>
      <xdr:colOff>428626</xdr:colOff>
      <xdr:row>129</xdr:row>
      <xdr:rowOff>123825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114301</xdr:colOff>
      <xdr:row>143</xdr:row>
      <xdr:rowOff>28574</xdr:rowOff>
    </xdr:from>
    <xdr:to>
      <xdr:col>14</xdr:col>
      <xdr:colOff>495301</xdr:colOff>
      <xdr:row>150</xdr:row>
      <xdr:rowOff>133350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19051</xdr:colOff>
      <xdr:row>163</xdr:row>
      <xdr:rowOff>19050</xdr:rowOff>
    </xdr:from>
    <xdr:to>
      <xdr:col>14</xdr:col>
      <xdr:colOff>400051</xdr:colOff>
      <xdr:row>172</xdr:row>
      <xdr:rowOff>200026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19051</xdr:colOff>
      <xdr:row>182</xdr:row>
      <xdr:rowOff>19049</xdr:rowOff>
    </xdr:from>
    <xdr:to>
      <xdr:col>14</xdr:col>
      <xdr:colOff>400051</xdr:colOff>
      <xdr:row>189</xdr:row>
      <xdr:rowOff>123825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19050</xdr:colOff>
      <xdr:row>205</xdr:row>
      <xdr:rowOff>95250</xdr:rowOff>
    </xdr:from>
    <xdr:to>
      <xdr:col>14</xdr:col>
      <xdr:colOff>400050</xdr:colOff>
      <xdr:row>216</xdr:row>
      <xdr:rowOff>19049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38100</xdr:colOff>
      <xdr:row>226</xdr:row>
      <xdr:rowOff>114300</xdr:rowOff>
    </xdr:from>
    <xdr:to>
      <xdr:col>14</xdr:col>
      <xdr:colOff>419100</xdr:colOff>
      <xdr:row>237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22</xdr:row>
      <xdr:rowOff>28574</xdr:rowOff>
    </xdr:from>
    <xdr:to>
      <xdr:col>14</xdr:col>
      <xdr:colOff>419101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5</xdr:row>
      <xdr:rowOff>85725</xdr:rowOff>
    </xdr:from>
    <xdr:to>
      <xdr:col>14</xdr:col>
      <xdr:colOff>419100</xdr:colOff>
      <xdr:row>13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47626</xdr:colOff>
      <xdr:row>41</xdr:row>
      <xdr:rowOff>19049</xdr:rowOff>
    </xdr:from>
    <xdr:to>
      <xdr:col>14</xdr:col>
      <xdr:colOff>428626</xdr:colOff>
      <xdr:row>48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238</xdr:row>
      <xdr:rowOff>85725</xdr:rowOff>
    </xdr:from>
    <xdr:to>
      <xdr:col>11</xdr:col>
      <xdr:colOff>476250</xdr:colOff>
      <xdr:row>245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38101</xdr:colOff>
      <xdr:row>68</xdr:row>
      <xdr:rowOff>180974</xdr:rowOff>
    </xdr:from>
    <xdr:to>
      <xdr:col>14</xdr:col>
      <xdr:colOff>419101</xdr:colOff>
      <xdr:row>76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38101</xdr:colOff>
      <xdr:row>102</xdr:row>
      <xdr:rowOff>28574</xdr:rowOff>
    </xdr:from>
    <xdr:to>
      <xdr:col>14</xdr:col>
      <xdr:colOff>419101</xdr:colOff>
      <xdr:row>109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85</xdr:row>
      <xdr:rowOff>85725</xdr:rowOff>
    </xdr:from>
    <xdr:to>
      <xdr:col>14</xdr:col>
      <xdr:colOff>419100</xdr:colOff>
      <xdr:row>93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47626</xdr:colOff>
      <xdr:row>122</xdr:row>
      <xdr:rowOff>19049</xdr:rowOff>
    </xdr:from>
    <xdr:to>
      <xdr:col>14</xdr:col>
      <xdr:colOff>428626</xdr:colOff>
      <xdr:row>129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114301</xdr:colOff>
      <xdr:row>143</xdr:row>
      <xdr:rowOff>28574</xdr:rowOff>
    </xdr:from>
    <xdr:to>
      <xdr:col>14</xdr:col>
      <xdr:colOff>495301</xdr:colOff>
      <xdr:row>150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19051</xdr:colOff>
      <xdr:row>163</xdr:row>
      <xdr:rowOff>19050</xdr:rowOff>
    </xdr:from>
    <xdr:to>
      <xdr:col>14</xdr:col>
      <xdr:colOff>400051</xdr:colOff>
      <xdr:row>172</xdr:row>
      <xdr:rowOff>200026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19051</xdr:colOff>
      <xdr:row>182</xdr:row>
      <xdr:rowOff>19049</xdr:rowOff>
    </xdr:from>
    <xdr:to>
      <xdr:col>14</xdr:col>
      <xdr:colOff>400051</xdr:colOff>
      <xdr:row>189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19050</xdr:colOff>
      <xdr:row>205</xdr:row>
      <xdr:rowOff>95250</xdr:rowOff>
    </xdr:from>
    <xdr:to>
      <xdr:col>14</xdr:col>
      <xdr:colOff>400050</xdr:colOff>
      <xdr:row>216</xdr:row>
      <xdr:rowOff>19049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38100</xdr:colOff>
      <xdr:row>226</xdr:row>
      <xdr:rowOff>114300</xdr:rowOff>
    </xdr:from>
    <xdr:to>
      <xdr:col>14</xdr:col>
      <xdr:colOff>419100</xdr:colOff>
      <xdr:row>237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38101</xdr:colOff>
      <xdr:row>22</xdr:row>
      <xdr:rowOff>28574</xdr:rowOff>
    </xdr:from>
    <xdr:to>
      <xdr:col>14</xdr:col>
      <xdr:colOff>419101</xdr:colOff>
      <xdr:row>29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38100</xdr:colOff>
      <xdr:row>5</xdr:row>
      <xdr:rowOff>85725</xdr:rowOff>
    </xdr:from>
    <xdr:to>
      <xdr:col>14</xdr:col>
      <xdr:colOff>419100</xdr:colOff>
      <xdr:row>13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47626</xdr:colOff>
      <xdr:row>41</xdr:row>
      <xdr:rowOff>19049</xdr:rowOff>
    </xdr:from>
    <xdr:to>
      <xdr:col>14</xdr:col>
      <xdr:colOff>428626</xdr:colOff>
      <xdr:row>48</xdr:row>
      <xdr:rowOff>123825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228600</xdr:colOff>
      <xdr:row>238</xdr:row>
      <xdr:rowOff>85725</xdr:rowOff>
    </xdr:from>
    <xdr:to>
      <xdr:col>11</xdr:col>
      <xdr:colOff>476250</xdr:colOff>
      <xdr:row>245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38101</xdr:colOff>
      <xdr:row>68</xdr:row>
      <xdr:rowOff>180974</xdr:rowOff>
    </xdr:from>
    <xdr:to>
      <xdr:col>14</xdr:col>
      <xdr:colOff>419101</xdr:colOff>
      <xdr:row>76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38101</xdr:colOff>
      <xdr:row>102</xdr:row>
      <xdr:rowOff>28574</xdr:rowOff>
    </xdr:from>
    <xdr:to>
      <xdr:col>14</xdr:col>
      <xdr:colOff>419101</xdr:colOff>
      <xdr:row>109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38100</xdr:colOff>
      <xdr:row>85</xdr:row>
      <xdr:rowOff>85725</xdr:rowOff>
    </xdr:from>
    <xdr:to>
      <xdr:col>14</xdr:col>
      <xdr:colOff>419100</xdr:colOff>
      <xdr:row>93</xdr:row>
      <xdr:rowOff>38100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47626</xdr:colOff>
      <xdr:row>122</xdr:row>
      <xdr:rowOff>19049</xdr:rowOff>
    </xdr:from>
    <xdr:to>
      <xdr:col>14</xdr:col>
      <xdr:colOff>428626</xdr:colOff>
      <xdr:row>129</xdr:row>
      <xdr:rowOff>123825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114301</xdr:colOff>
      <xdr:row>143</xdr:row>
      <xdr:rowOff>28574</xdr:rowOff>
    </xdr:from>
    <xdr:to>
      <xdr:col>14</xdr:col>
      <xdr:colOff>495301</xdr:colOff>
      <xdr:row>150</xdr:row>
      <xdr:rowOff>133350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19051</xdr:colOff>
      <xdr:row>163</xdr:row>
      <xdr:rowOff>19050</xdr:rowOff>
    </xdr:from>
    <xdr:to>
      <xdr:col>14</xdr:col>
      <xdr:colOff>400051</xdr:colOff>
      <xdr:row>172</xdr:row>
      <xdr:rowOff>200026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19051</xdr:colOff>
      <xdr:row>182</xdr:row>
      <xdr:rowOff>19049</xdr:rowOff>
    </xdr:from>
    <xdr:to>
      <xdr:col>14</xdr:col>
      <xdr:colOff>400051</xdr:colOff>
      <xdr:row>189</xdr:row>
      <xdr:rowOff>123825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19050</xdr:colOff>
      <xdr:row>205</xdr:row>
      <xdr:rowOff>95250</xdr:rowOff>
    </xdr:from>
    <xdr:to>
      <xdr:col>14</xdr:col>
      <xdr:colOff>400050</xdr:colOff>
      <xdr:row>216</xdr:row>
      <xdr:rowOff>19049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38100</xdr:colOff>
      <xdr:row>226</xdr:row>
      <xdr:rowOff>114300</xdr:rowOff>
    </xdr:from>
    <xdr:to>
      <xdr:col>14</xdr:col>
      <xdr:colOff>419100</xdr:colOff>
      <xdr:row>237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workbookViewId="0">
      <selection activeCell="G77" sqref="G77"/>
    </sheetView>
  </sheetViews>
  <sheetFormatPr defaultRowHeight="18.75"/>
  <cols>
    <col min="1" max="1" width="5.42578125" style="1" customWidth="1"/>
    <col min="2" max="2" width="10.5703125" style="1" customWidth="1"/>
    <col min="3" max="4" width="11.42578125" style="1" customWidth="1"/>
    <col min="5" max="5" width="10.85546875" style="1" customWidth="1"/>
    <col min="6" max="6" width="10.42578125" style="1" customWidth="1"/>
    <col min="7" max="15" width="9.140625" style="1"/>
  </cols>
  <sheetData>
    <row r="1" spans="1:6">
      <c r="A1" s="6" t="s">
        <v>11</v>
      </c>
      <c r="D1" s="1" t="s">
        <v>0</v>
      </c>
    </row>
    <row r="2" spans="1:6"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</row>
    <row r="3" spans="1:6">
      <c r="A3" s="1">
        <v>2</v>
      </c>
      <c r="B3" s="1">
        <v>10463</v>
      </c>
      <c r="C3" s="1">
        <v>137</v>
      </c>
      <c r="D3" s="1">
        <f t="shared" ref="D3:D17" si="0">(B3/2)/C3</f>
        <v>38.186131386861312</v>
      </c>
      <c r="E3" s="1">
        <f>C3+21</f>
        <v>158</v>
      </c>
      <c r="F3" s="1">
        <f t="shared" ref="F3:F17" si="1">(B3/2)/E3</f>
        <v>33.110759493670884</v>
      </c>
    </row>
    <row r="4" spans="1:6">
      <c r="A4" s="1">
        <v>4</v>
      </c>
      <c r="B4" s="1">
        <v>10550</v>
      </c>
      <c r="C4" s="1">
        <f>C3+1+(-8)</f>
        <v>130</v>
      </c>
      <c r="D4" s="1">
        <f t="shared" si="0"/>
        <v>40.57692307692308</v>
      </c>
      <c r="E4" s="1">
        <f>C4+28</f>
        <v>158</v>
      </c>
      <c r="F4" s="1">
        <f t="shared" si="1"/>
        <v>33.38607594936709</v>
      </c>
    </row>
    <row r="5" spans="1:6">
      <c r="A5" s="1">
        <v>6</v>
      </c>
      <c r="B5" s="1">
        <v>10824</v>
      </c>
      <c r="C5" s="1">
        <f>C4</f>
        <v>130</v>
      </c>
      <c r="D5" s="1">
        <f t="shared" si="0"/>
        <v>41.630769230769232</v>
      </c>
      <c r="E5" s="1">
        <f>C5+28</f>
        <v>158</v>
      </c>
      <c r="F5" s="1">
        <f t="shared" si="1"/>
        <v>34.253164556962027</v>
      </c>
    </row>
    <row r="6" spans="1:6">
      <c r="A6" s="1">
        <v>8</v>
      </c>
      <c r="B6" s="1">
        <v>10908</v>
      </c>
      <c r="C6" s="1">
        <f>C5+2</f>
        <v>132</v>
      </c>
      <c r="D6" s="1">
        <f t="shared" si="0"/>
        <v>41.31818181818182</v>
      </c>
      <c r="E6" s="1">
        <f>C6+26</f>
        <v>158</v>
      </c>
      <c r="F6" s="1">
        <f t="shared" si="1"/>
        <v>34.518987341772153</v>
      </c>
    </row>
    <row r="7" spans="1:6">
      <c r="A7" s="1">
        <v>10</v>
      </c>
      <c r="B7" s="1">
        <v>10059</v>
      </c>
      <c r="C7" s="1">
        <f>C6-4</f>
        <v>128</v>
      </c>
      <c r="D7" s="1">
        <f t="shared" si="0"/>
        <v>39.29296875</v>
      </c>
      <c r="E7" s="1">
        <f>C7+26</f>
        <v>154</v>
      </c>
      <c r="F7" s="1">
        <f t="shared" si="1"/>
        <v>32.659090909090907</v>
      </c>
    </row>
    <row r="8" spans="1:6">
      <c r="A8" s="1">
        <v>12</v>
      </c>
      <c r="B8" s="1">
        <v>9989</v>
      </c>
      <c r="C8" s="1">
        <f>C7-1</f>
        <v>127</v>
      </c>
      <c r="D8" s="1">
        <f t="shared" si="0"/>
        <v>39.326771653543304</v>
      </c>
      <c r="E8" s="1">
        <f>C8+26</f>
        <v>153</v>
      </c>
      <c r="F8" s="1">
        <f t="shared" si="1"/>
        <v>32.643790849673202</v>
      </c>
    </row>
    <row r="9" spans="1:6">
      <c r="A9" s="1">
        <v>14</v>
      </c>
      <c r="B9" s="1">
        <v>10245</v>
      </c>
      <c r="C9" s="1">
        <f>C8</f>
        <v>127</v>
      </c>
      <c r="D9" s="1">
        <f t="shared" si="0"/>
        <v>40.334645669291341</v>
      </c>
      <c r="E9" s="1">
        <f>C9+26</f>
        <v>153</v>
      </c>
      <c r="F9" s="1">
        <f t="shared" si="1"/>
        <v>33.480392156862742</v>
      </c>
    </row>
    <row r="10" spans="1:6">
      <c r="A10" s="1">
        <v>16</v>
      </c>
      <c r="B10" s="1">
        <v>11339</v>
      </c>
      <c r="C10" s="1">
        <f>C9+3</f>
        <v>130</v>
      </c>
      <c r="D10" s="1">
        <f t="shared" si="0"/>
        <v>43.611538461538458</v>
      </c>
      <c r="E10" s="1">
        <f>C10+23</f>
        <v>153</v>
      </c>
      <c r="F10" s="1">
        <f t="shared" si="1"/>
        <v>37.055555555555557</v>
      </c>
    </row>
    <row r="11" spans="1:6">
      <c r="A11" s="1">
        <v>18</v>
      </c>
      <c r="B11" s="1">
        <v>11132</v>
      </c>
      <c r="C11" s="1">
        <f t="shared" ref="C11:C16" si="2">C10</f>
        <v>130</v>
      </c>
      <c r="D11" s="1">
        <f t="shared" si="0"/>
        <v>42.815384615384616</v>
      </c>
      <c r="E11" s="3">
        <f>C11+23</f>
        <v>153</v>
      </c>
      <c r="F11" s="1">
        <f t="shared" si="1"/>
        <v>36.37908496732026</v>
      </c>
    </row>
    <row r="12" spans="1:6">
      <c r="A12" s="1">
        <v>20</v>
      </c>
      <c r="B12" s="1">
        <v>11628</v>
      </c>
      <c r="C12" s="1">
        <f>C11+2+(-2)</f>
        <v>130</v>
      </c>
      <c r="D12" s="1">
        <f t="shared" si="0"/>
        <v>44.723076923076924</v>
      </c>
      <c r="E12" s="3">
        <f>C12+23+(-1)</f>
        <v>152</v>
      </c>
      <c r="F12" s="1">
        <f t="shared" si="1"/>
        <v>38.25</v>
      </c>
    </row>
    <row r="13" spans="1:6">
      <c r="A13" s="1">
        <v>22</v>
      </c>
      <c r="B13" s="1">
        <v>11458</v>
      </c>
      <c r="C13" s="1">
        <f t="shared" si="2"/>
        <v>130</v>
      </c>
      <c r="D13" s="1">
        <f t="shared" si="0"/>
        <v>44.069230769230771</v>
      </c>
      <c r="E13" s="3">
        <f>C13+22</f>
        <v>152</v>
      </c>
      <c r="F13" s="1">
        <f t="shared" si="1"/>
        <v>37.690789473684212</v>
      </c>
    </row>
    <row r="14" spans="1:6">
      <c r="A14" s="1">
        <v>24</v>
      </c>
      <c r="B14" s="1">
        <v>11560</v>
      </c>
      <c r="C14" s="1">
        <f t="shared" si="2"/>
        <v>130</v>
      </c>
      <c r="D14" s="1">
        <f t="shared" si="0"/>
        <v>44.46153846153846</v>
      </c>
      <c r="E14" s="3">
        <f>C14+22</f>
        <v>152</v>
      </c>
      <c r="F14" s="1">
        <f t="shared" si="1"/>
        <v>38.026315789473685</v>
      </c>
    </row>
    <row r="15" spans="1:6">
      <c r="A15" s="1">
        <v>26</v>
      </c>
      <c r="B15" s="1">
        <v>11914</v>
      </c>
      <c r="C15" s="1">
        <f t="shared" si="2"/>
        <v>130</v>
      </c>
      <c r="D15" s="1">
        <f t="shared" si="0"/>
        <v>45.823076923076925</v>
      </c>
      <c r="E15" s="3">
        <f>C15+22</f>
        <v>152</v>
      </c>
      <c r="F15" s="1">
        <f t="shared" si="1"/>
        <v>39.190789473684212</v>
      </c>
    </row>
    <row r="16" spans="1:6">
      <c r="A16" s="1">
        <v>28</v>
      </c>
      <c r="B16" s="1">
        <v>11696</v>
      </c>
      <c r="C16" s="1">
        <f t="shared" si="2"/>
        <v>130</v>
      </c>
      <c r="D16" s="1">
        <f t="shared" si="0"/>
        <v>44.984615384615381</v>
      </c>
      <c r="E16" s="3">
        <f>C16+22</f>
        <v>152</v>
      </c>
      <c r="F16" s="1">
        <f t="shared" si="1"/>
        <v>38.473684210526315</v>
      </c>
    </row>
    <row r="17" spans="1:6">
      <c r="A17" s="1">
        <v>30</v>
      </c>
      <c r="B17" s="1">
        <v>11855</v>
      </c>
      <c r="C17" s="1">
        <f>C16</f>
        <v>130</v>
      </c>
      <c r="D17" s="1">
        <f t="shared" si="0"/>
        <v>45.596153846153847</v>
      </c>
      <c r="E17" s="3">
        <f>C16+22</f>
        <v>152</v>
      </c>
      <c r="F17" s="1">
        <f t="shared" si="1"/>
        <v>38.996710526315788</v>
      </c>
    </row>
    <row r="18" spans="1:6">
      <c r="A18" s="1" t="s">
        <v>12</v>
      </c>
      <c r="B18" s="1">
        <f>SUM(B3:B17)/15</f>
        <v>11041.333333333334</v>
      </c>
      <c r="C18" s="1">
        <f>SUM(C3:C17)/15</f>
        <v>130.06666666666666</v>
      </c>
      <c r="D18" s="1">
        <f>SUM(D3:D17)/15</f>
        <v>42.450067131345691</v>
      </c>
      <c r="E18" s="1">
        <f>SUM(E3:E17)/15</f>
        <v>154</v>
      </c>
      <c r="F18" s="1">
        <f>SUM(F3:F17)/15</f>
        <v>35.874346083597267</v>
      </c>
    </row>
    <row r="19" spans="1:6">
      <c r="A19" s="1" t="s">
        <v>8</v>
      </c>
      <c r="D19" s="1" t="s">
        <v>0</v>
      </c>
    </row>
    <row r="20" spans="1:6">
      <c r="B20" s="1" t="s">
        <v>1</v>
      </c>
      <c r="C20" s="1" t="s">
        <v>2</v>
      </c>
      <c r="D20" s="1" t="s">
        <v>3</v>
      </c>
      <c r="E20" s="1" t="s">
        <v>4</v>
      </c>
      <c r="F20" s="1" t="s">
        <v>3</v>
      </c>
    </row>
    <row r="21" spans="1:6">
      <c r="A21" s="4" t="s">
        <v>5</v>
      </c>
      <c r="B21" s="3"/>
      <c r="C21" s="3"/>
      <c r="D21" s="3">
        <v>44.3</v>
      </c>
      <c r="E21" s="3"/>
      <c r="F21" s="3">
        <v>37.1</v>
      </c>
    </row>
    <row r="22" spans="1:6">
      <c r="A22" s="3">
        <v>2</v>
      </c>
      <c r="B22" s="3">
        <v>11560</v>
      </c>
      <c r="C22" s="3">
        <f>130+2+(-2)</f>
        <v>130</v>
      </c>
      <c r="D22" s="3">
        <f>(B22/2)/C22</f>
        <v>44.46153846153846</v>
      </c>
      <c r="E22" s="3">
        <f>130+19+(2)</f>
        <v>151</v>
      </c>
      <c r="F22" s="3">
        <f>(B22/2)/E22</f>
        <v>38.278145695364238</v>
      </c>
    </row>
    <row r="23" spans="1:6">
      <c r="A23" s="3">
        <v>4</v>
      </c>
      <c r="B23" s="3">
        <v>12062</v>
      </c>
      <c r="C23" s="3">
        <f>C22</f>
        <v>130</v>
      </c>
      <c r="D23" s="3">
        <f t="shared" ref="D23:D35" si="3">(B23/2)/C23</f>
        <v>46.392307692307689</v>
      </c>
      <c r="E23" s="3">
        <f>E22</f>
        <v>151</v>
      </c>
      <c r="F23" s="3">
        <f t="shared" ref="F23:F35" si="4">(B23/2)/E23</f>
        <v>39.940397350993379</v>
      </c>
    </row>
    <row r="24" spans="1:6">
      <c r="A24" s="3">
        <v>6</v>
      </c>
      <c r="B24" s="3">
        <v>11822</v>
      </c>
      <c r="C24" s="5">
        <f>C23+1+1</f>
        <v>132</v>
      </c>
      <c r="D24" s="3">
        <f t="shared" si="3"/>
        <v>44.780303030303031</v>
      </c>
      <c r="E24" s="3">
        <f>E23+1</f>
        <v>152</v>
      </c>
      <c r="F24" s="3">
        <f t="shared" si="4"/>
        <v>38.888157894736842</v>
      </c>
    </row>
    <row r="25" spans="1:6">
      <c r="A25" s="3">
        <v>8</v>
      </c>
      <c r="B25" s="3">
        <v>11012</v>
      </c>
      <c r="C25" s="3">
        <f>C24+(-8)</f>
        <v>124</v>
      </c>
      <c r="D25" s="3">
        <f t="shared" si="3"/>
        <v>44.403225806451616</v>
      </c>
      <c r="E25" s="3">
        <f>E24</f>
        <v>152</v>
      </c>
      <c r="F25" s="3">
        <f t="shared" si="4"/>
        <v>36.223684210526315</v>
      </c>
    </row>
    <row r="26" spans="1:6">
      <c r="A26" s="3">
        <v>10</v>
      </c>
      <c r="B26" s="3">
        <v>11175</v>
      </c>
      <c r="C26" s="3">
        <f>C25+(-2)+2</f>
        <v>124</v>
      </c>
      <c r="D26" s="3">
        <f t="shared" si="3"/>
        <v>45.060483870967744</v>
      </c>
      <c r="E26" s="3">
        <f>E25+(-2)</f>
        <v>150</v>
      </c>
      <c r="F26" s="3">
        <f t="shared" si="4"/>
        <v>37.25</v>
      </c>
    </row>
    <row r="27" spans="1:6">
      <c r="A27" s="3">
        <v>12</v>
      </c>
      <c r="B27" s="3">
        <v>11441</v>
      </c>
      <c r="C27" s="3">
        <f>C26</f>
        <v>124</v>
      </c>
      <c r="D27" s="3">
        <f t="shared" si="3"/>
        <v>46.133064516129032</v>
      </c>
      <c r="E27" s="3">
        <f t="shared" ref="E27:E35" si="5">E26</f>
        <v>150</v>
      </c>
      <c r="F27" s="3">
        <f t="shared" si="4"/>
        <v>38.136666666666663</v>
      </c>
    </row>
    <row r="28" spans="1:6">
      <c r="A28" s="3">
        <v>14</v>
      </c>
      <c r="B28" s="3">
        <v>11466</v>
      </c>
      <c r="C28" s="3">
        <f>C27+(-1)</f>
        <v>123</v>
      </c>
      <c r="D28" s="3">
        <f t="shared" si="3"/>
        <v>46.609756097560975</v>
      </c>
      <c r="E28" s="3">
        <f>E27+(-2)</f>
        <v>148</v>
      </c>
      <c r="F28" s="3">
        <f t="shared" si="4"/>
        <v>38.736486486486484</v>
      </c>
    </row>
    <row r="29" spans="1:6">
      <c r="A29" s="3">
        <v>16</v>
      </c>
      <c r="B29" s="3">
        <v>11475</v>
      </c>
      <c r="C29" s="3">
        <f>C28+1</f>
        <v>124</v>
      </c>
      <c r="D29" s="3">
        <f t="shared" si="3"/>
        <v>46.270161290322584</v>
      </c>
      <c r="E29" s="3">
        <f t="shared" si="5"/>
        <v>148</v>
      </c>
      <c r="F29" s="3">
        <f t="shared" si="4"/>
        <v>38.766891891891895</v>
      </c>
    </row>
    <row r="30" spans="1:6">
      <c r="A30" s="3">
        <v>18</v>
      </c>
      <c r="B30" s="3">
        <v>11347</v>
      </c>
      <c r="C30" s="3">
        <f>C29+(-1)</f>
        <v>123</v>
      </c>
      <c r="D30" s="3">
        <f t="shared" si="3"/>
        <v>46.126016260162601</v>
      </c>
      <c r="E30" s="3">
        <f>E29+(-2)</f>
        <v>146</v>
      </c>
      <c r="F30" s="3">
        <f t="shared" si="4"/>
        <v>38.859589041095887</v>
      </c>
    </row>
    <row r="31" spans="1:6">
      <c r="A31" s="3">
        <v>20</v>
      </c>
      <c r="B31" s="3">
        <v>11081</v>
      </c>
      <c r="C31" s="3">
        <f>C30+(-1)</f>
        <v>122</v>
      </c>
      <c r="D31" s="3">
        <f t="shared" si="3"/>
        <v>45.41393442622951</v>
      </c>
      <c r="E31" s="3">
        <f t="shared" si="5"/>
        <v>146</v>
      </c>
      <c r="F31" s="3">
        <f t="shared" si="4"/>
        <v>37.948630136986303</v>
      </c>
    </row>
    <row r="32" spans="1:6">
      <c r="A32" s="3">
        <v>22</v>
      </c>
      <c r="B32" s="3">
        <v>10968</v>
      </c>
      <c r="C32" s="3">
        <f>C31</f>
        <v>122</v>
      </c>
      <c r="D32" s="3">
        <f t="shared" si="3"/>
        <v>44.950819672131146</v>
      </c>
      <c r="E32" s="3">
        <f t="shared" si="5"/>
        <v>146</v>
      </c>
      <c r="F32" s="3">
        <f t="shared" si="4"/>
        <v>37.561643835616437</v>
      </c>
    </row>
    <row r="33" spans="1:6">
      <c r="A33" s="3">
        <v>24</v>
      </c>
      <c r="B33" s="3">
        <v>11343</v>
      </c>
      <c r="C33" s="3">
        <f>C32</f>
        <v>122</v>
      </c>
      <c r="D33" s="3">
        <f t="shared" si="3"/>
        <v>46.48770491803279</v>
      </c>
      <c r="E33" s="3">
        <f t="shared" si="5"/>
        <v>146</v>
      </c>
      <c r="F33" s="3">
        <f t="shared" si="4"/>
        <v>38.845890410958901</v>
      </c>
    </row>
    <row r="34" spans="1:6">
      <c r="A34" s="3">
        <v>26</v>
      </c>
      <c r="B34" s="3">
        <v>10977</v>
      </c>
      <c r="C34" s="3">
        <f>C33</f>
        <v>122</v>
      </c>
      <c r="D34" s="3">
        <f t="shared" si="3"/>
        <v>44.98770491803279</v>
      </c>
      <c r="E34" s="3">
        <f t="shared" si="5"/>
        <v>146</v>
      </c>
      <c r="F34" s="3">
        <f t="shared" si="4"/>
        <v>37.592465753424655</v>
      </c>
    </row>
    <row r="35" spans="1:6">
      <c r="A35" s="3">
        <v>28</v>
      </c>
      <c r="B35" s="3">
        <v>11543</v>
      </c>
      <c r="C35" s="3">
        <f>C34+3+1</f>
        <v>126</v>
      </c>
      <c r="D35" s="3">
        <f t="shared" si="3"/>
        <v>45.805555555555557</v>
      </c>
      <c r="E35" s="3">
        <f t="shared" si="5"/>
        <v>146</v>
      </c>
      <c r="F35" s="3">
        <f t="shared" si="4"/>
        <v>39.530821917808218</v>
      </c>
    </row>
    <row r="36" spans="1:6">
      <c r="A36" s="3">
        <v>30</v>
      </c>
      <c r="B36" s="3">
        <v>11201</v>
      </c>
      <c r="C36" s="5">
        <v>126</v>
      </c>
      <c r="D36" s="3">
        <f>(B36/2)/C36</f>
        <v>44.448412698412696</v>
      </c>
      <c r="E36" s="3">
        <f>E35</f>
        <v>146</v>
      </c>
      <c r="F36" s="3">
        <f>(B36/2)/E36</f>
        <v>38.359589041095887</v>
      </c>
    </row>
    <row r="37" spans="1:6">
      <c r="A37" s="1" t="s">
        <v>12</v>
      </c>
      <c r="B37" s="1">
        <f>SUM(B22:B36)/15</f>
        <v>11364.866666666667</v>
      </c>
      <c r="C37" s="1">
        <f>SUM(C22:C36)/15</f>
        <v>124.93333333333334</v>
      </c>
      <c r="D37" s="1">
        <f>SUM(D22:D36)/15</f>
        <v>45.488732614275882</v>
      </c>
      <c r="E37" s="1">
        <f>SUM(E22:E36)/15</f>
        <v>148.26666666666668</v>
      </c>
      <c r="F37" s="1">
        <f>SUM(F22:F36)/15</f>
        <v>38.327937355576815</v>
      </c>
    </row>
    <row r="38" spans="1:6">
      <c r="A38" s="1" t="s">
        <v>6</v>
      </c>
      <c r="D38" s="1" t="s">
        <v>0</v>
      </c>
    </row>
    <row r="39" spans="1:6">
      <c r="B39" s="1" t="s">
        <v>1</v>
      </c>
      <c r="C39" s="1" t="s">
        <v>2</v>
      </c>
      <c r="D39" s="1" t="s">
        <v>3</v>
      </c>
      <c r="E39" s="1" t="s">
        <v>4</v>
      </c>
      <c r="F39" s="1" t="s">
        <v>3</v>
      </c>
    </row>
    <row r="40" spans="1:6">
      <c r="A40" s="4" t="s">
        <v>5</v>
      </c>
      <c r="B40" s="3"/>
      <c r="C40" s="3"/>
      <c r="D40" s="3">
        <v>38.5</v>
      </c>
      <c r="E40" s="3"/>
      <c r="F40" s="3">
        <v>35.5</v>
      </c>
    </row>
    <row r="41" spans="1:6">
      <c r="A41" s="3">
        <v>1</v>
      </c>
      <c r="B41" s="3">
        <v>11475</v>
      </c>
      <c r="C41" s="3">
        <v>126</v>
      </c>
      <c r="D41" s="3">
        <f t="shared" ref="D41:D54" si="6">(B41/2)/C41</f>
        <v>45.535714285714285</v>
      </c>
      <c r="E41" s="3">
        <f>126+3+17</f>
        <v>146</v>
      </c>
      <c r="F41" s="3">
        <f t="shared" ref="F41:F54" si="7">(B41/2)/E41</f>
        <v>39.297945205479451</v>
      </c>
    </row>
    <row r="42" spans="1:6">
      <c r="A42" s="3">
        <v>3</v>
      </c>
      <c r="B42" s="3">
        <v>11270</v>
      </c>
      <c r="C42" s="3">
        <f>C41</f>
        <v>126</v>
      </c>
      <c r="D42" s="3">
        <f t="shared" si="6"/>
        <v>44.722222222222221</v>
      </c>
      <c r="E42" s="3">
        <f>E41+(-3)</f>
        <v>143</v>
      </c>
      <c r="F42" s="3">
        <f t="shared" si="7"/>
        <v>39.405594405594407</v>
      </c>
    </row>
    <row r="43" spans="1:6">
      <c r="A43" s="3">
        <v>5</v>
      </c>
      <c r="B43" s="3">
        <v>10463</v>
      </c>
      <c r="C43" s="3">
        <f>C42+(-8)+1+(-3)</f>
        <v>116</v>
      </c>
      <c r="D43" s="3">
        <f t="shared" si="6"/>
        <v>45.099137931034484</v>
      </c>
      <c r="E43" s="3">
        <f>E42+(-3)</f>
        <v>140</v>
      </c>
      <c r="F43" s="3">
        <f t="shared" si="7"/>
        <v>37.36785714285714</v>
      </c>
    </row>
    <row r="44" spans="1:6">
      <c r="A44" s="3">
        <v>7</v>
      </c>
      <c r="B44" s="3">
        <v>11270</v>
      </c>
      <c r="C44" s="3">
        <f>C43</f>
        <v>116</v>
      </c>
      <c r="D44" s="3">
        <f t="shared" si="6"/>
        <v>48.577586206896555</v>
      </c>
      <c r="E44" s="3">
        <f>E43</f>
        <v>140</v>
      </c>
      <c r="F44" s="3">
        <f t="shared" si="7"/>
        <v>40.25</v>
      </c>
    </row>
    <row r="45" spans="1:6">
      <c r="A45" s="3">
        <v>9</v>
      </c>
      <c r="B45" s="3">
        <v>11072</v>
      </c>
      <c r="C45" s="3">
        <f>C44</f>
        <v>116</v>
      </c>
      <c r="D45" s="3">
        <f t="shared" si="6"/>
        <v>47.724137931034484</v>
      </c>
      <c r="E45" s="3">
        <f>E44</f>
        <v>140</v>
      </c>
      <c r="F45" s="3">
        <f t="shared" si="7"/>
        <v>39.542857142857144</v>
      </c>
    </row>
    <row r="46" spans="1:6">
      <c r="A46" s="3">
        <v>11</v>
      </c>
      <c r="B46" s="3">
        <v>10594</v>
      </c>
      <c r="C46" s="3">
        <f>C45</f>
        <v>116</v>
      </c>
      <c r="D46" s="3">
        <f t="shared" si="6"/>
        <v>45.663793103448278</v>
      </c>
      <c r="E46" s="3">
        <f>E45</f>
        <v>140</v>
      </c>
      <c r="F46" s="3">
        <f t="shared" si="7"/>
        <v>37.835714285714289</v>
      </c>
    </row>
    <row r="47" spans="1:6">
      <c r="A47" s="3">
        <v>13</v>
      </c>
      <c r="B47" s="3">
        <v>10768</v>
      </c>
      <c r="C47" s="3">
        <f>C46</f>
        <v>116</v>
      </c>
      <c r="D47" s="3">
        <f t="shared" si="6"/>
        <v>46.413793103448278</v>
      </c>
      <c r="E47" s="3">
        <f>E46</f>
        <v>140</v>
      </c>
      <c r="F47" s="3">
        <f t="shared" si="7"/>
        <v>38.457142857142856</v>
      </c>
    </row>
    <row r="48" spans="1:6">
      <c r="A48" s="3">
        <v>15</v>
      </c>
      <c r="B48" s="3">
        <v>11141</v>
      </c>
      <c r="C48" s="3">
        <f>C47+1</f>
        <v>117</v>
      </c>
      <c r="D48" s="3">
        <f t="shared" si="6"/>
        <v>47.611111111111114</v>
      </c>
      <c r="E48" s="3">
        <f>E47</f>
        <v>140</v>
      </c>
      <c r="F48" s="3">
        <f t="shared" si="7"/>
        <v>39.789285714285711</v>
      </c>
    </row>
    <row r="49" spans="1:15">
      <c r="A49" s="3">
        <v>17</v>
      </c>
      <c r="B49" s="3">
        <v>10899</v>
      </c>
      <c r="C49" s="3">
        <f>C48+2+(-1)</f>
        <v>118</v>
      </c>
      <c r="D49" s="3">
        <f t="shared" si="6"/>
        <v>46.182203389830505</v>
      </c>
      <c r="E49" s="3">
        <f>E48+(-1)</f>
        <v>139</v>
      </c>
      <c r="F49" s="3">
        <f t="shared" si="7"/>
        <v>39.205035971223019</v>
      </c>
    </row>
    <row r="50" spans="1:15">
      <c r="A50" s="3">
        <v>19</v>
      </c>
      <c r="B50" s="3">
        <v>9980</v>
      </c>
      <c r="C50" s="3">
        <f>C49+1+1</f>
        <v>120</v>
      </c>
      <c r="D50" s="3">
        <f t="shared" si="6"/>
        <v>41.583333333333336</v>
      </c>
      <c r="E50" s="3">
        <f>E49+1</f>
        <v>140</v>
      </c>
      <c r="F50" s="3">
        <f t="shared" si="7"/>
        <v>35.642857142857146</v>
      </c>
    </row>
    <row r="51" spans="1:15" s="7" customFormat="1">
      <c r="A51" s="3">
        <v>21</v>
      </c>
      <c r="B51" s="3">
        <v>10359</v>
      </c>
      <c r="C51" s="3">
        <f>C50</f>
        <v>120</v>
      </c>
      <c r="D51" s="3">
        <f t="shared" si="6"/>
        <v>43.162500000000001</v>
      </c>
      <c r="E51" s="3">
        <f>E50</f>
        <v>140</v>
      </c>
      <c r="F51" s="3">
        <f t="shared" si="7"/>
        <v>36.996428571428574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23</v>
      </c>
      <c r="B52" s="3">
        <v>10286</v>
      </c>
      <c r="C52" s="3">
        <f>C51</f>
        <v>120</v>
      </c>
      <c r="D52" s="3">
        <f t="shared" si="6"/>
        <v>42.858333333333334</v>
      </c>
      <c r="E52" s="3">
        <f>E51</f>
        <v>140</v>
      </c>
      <c r="F52" s="3">
        <f t="shared" si="7"/>
        <v>36.735714285714288</v>
      </c>
    </row>
    <row r="53" spans="1:15">
      <c r="A53" s="3">
        <v>25</v>
      </c>
      <c r="B53" s="3">
        <v>10209</v>
      </c>
      <c r="C53" s="3">
        <f>C52+1</f>
        <v>121</v>
      </c>
      <c r="D53" s="3">
        <f t="shared" si="6"/>
        <v>42.185950413223139</v>
      </c>
      <c r="E53" s="3">
        <f>E52+1</f>
        <v>141</v>
      </c>
      <c r="F53" s="3">
        <f t="shared" si="7"/>
        <v>36.202127659574465</v>
      </c>
    </row>
    <row r="54" spans="1:15">
      <c r="A54" s="3">
        <v>27</v>
      </c>
      <c r="B54" s="3">
        <v>9927</v>
      </c>
      <c r="C54" s="3">
        <f>C53+3</f>
        <v>124</v>
      </c>
      <c r="D54" s="3">
        <f t="shared" si="6"/>
        <v>40.028225806451616</v>
      </c>
      <c r="E54" s="3">
        <f>E53</f>
        <v>141</v>
      </c>
      <c r="F54" s="3">
        <f t="shared" si="7"/>
        <v>35.202127659574465</v>
      </c>
    </row>
    <row r="55" spans="1:15">
      <c r="A55" s="3">
        <v>29</v>
      </c>
      <c r="B55" s="3">
        <v>11098</v>
      </c>
      <c r="C55" s="3">
        <f>C54+2</f>
        <v>126</v>
      </c>
      <c r="D55" s="3">
        <f>(B55/2)/C55</f>
        <v>44.039682539682538</v>
      </c>
      <c r="E55" s="3">
        <f>E54+2</f>
        <v>143</v>
      </c>
      <c r="F55" s="3">
        <f>(B55/2)/E55</f>
        <v>38.804195804195807</v>
      </c>
    </row>
    <row r="56" spans="1:15">
      <c r="A56" s="1" t="s">
        <v>12</v>
      </c>
      <c r="B56" s="1">
        <f>SUM(B41:B55)/15</f>
        <v>10720.733333333334</v>
      </c>
      <c r="C56" s="1">
        <f>SUM(C41:C55)/15</f>
        <v>119.86666666666666</v>
      </c>
      <c r="D56" s="1">
        <f>SUM(D41:D55)/15</f>
        <v>44.759181647384274</v>
      </c>
      <c r="E56" s="1">
        <f>SUM(E41:E55)/15</f>
        <v>140.86666666666667</v>
      </c>
      <c r="F56" s="1">
        <f>SUM(F41:F55)/15</f>
        <v>38.048992256566592</v>
      </c>
    </row>
    <row r="57" spans="1:15">
      <c r="A57" s="1" t="s">
        <v>7</v>
      </c>
      <c r="D57" s="1" t="s">
        <v>0</v>
      </c>
    </row>
    <row r="58" spans="1:15">
      <c r="B58" s="1" t="s">
        <v>1</v>
      </c>
      <c r="C58" s="1" t="s">
        <v>2</v>
      </c>
      <c r="D58" s="1" t="s">
        <v>3</v>
      </c>
      <c r="E58" s="1" t="s">
        <v>4</v>
      </c>
      <c r="F58" s="1" t="s">
        <v>3</v>
      </c>
    </row>
    <row r="59" spans="1:15">
      <c r="A59" s="1" t="s">
        <v>5</v>
      </c>
      <c r="D59" s="1">
        <v>40.700000000000003</v>
      </c>
      <c r="F59" s="1">
        <v>34</v>
      </c>
    </row>
    <row r="60" spans="1:15">
      <c r="A60" s="1">
        <v>1</v>
      </c>
      <c r="B60" s="3">
        <v>11115</v>
      </c>
      <c r="C60" s="3">
        <f>126-1</f>
        <v>125</v>
      </c>
      <c r="D60" s="3">
        <f t="shared" ref="D60:D74" si="8">(B60/2)/C60</f>
        <v>44.46</v>
      </c>
      <c r="E60" s="3">
        <f>143-1</f>
        <v>142</v>
      </c>
      <c r="F60" s="3">
        <f t="shared" ref="F60:F74" si="9">(B60/2)/E60</f>
        <v>39.137323943661968</v>
      </c>
    </row>
    <row r="61" spans="1:15">
      <c r="A61" s="1">
        <v>3</v>
      </c>
      <c r="B61" s="3">
        <v>11339</v>
      </c>
      <c r="C61" s="3">
        <f>C60</f>
        <v>125</v>
      </c>
      <c r="D61" s="3">
        <f t="shared" si="8"/>
        <v>45.356000000000002</v>
      </c>
      <c r="E61" s="3">
        <f t="shared" ref="E61:E74" si="10">E60</f>
        <v>142</v>
      </c>
      <c r="F61" s="3">
        <f t="shared" si="9"/>
        <v>39.926056338028168</v>
      </c>
    </row>
    <row r="62" spans="1:15">
      <c r="A62" s="1">
        <v>5</v>
      </c>
      <c r="B62" s="3">
        <v>11356</v>
      </c>
      <c r="C62" s="5">
        <f>C61+1+2</f>
        <v>128</v>
      </c>
      <c r="D62" s="3">
        <f t="shared" si="8"/>
        <v>44.359375</v>
      </c>
      <c r="E62" s="3">
        <f>126+14</f>
        <v>140</v>
      </c>
      <c r="F62" s="3">
        <f t="shared" si="9"/>
        <v>40.557142857142857</v>
      </c>
    </row>
    <row r="63" spans="1:15">
      <c r="A63" s="1">
        <v>7</v>
      </c>
      <c r="B63" s="3">
        <v>11046</v>
      </c>
      <c r="C63" s="3">
        <f>C62+2+(-7)</f>
        <v>123</v>
      </c>
      <c r="D63" s="3">
        <f t="shared" si="8"/>
        <v>44.902439024390247</v>
      </c>
      <c r="E63" s="3">
        <f t="shared" si="10"/>
        <v>140</v>
      </c>
      <c r="F63" s="3">
        <f t="shared" si="9"/>
        <v>39.450000000000003</v>
      </c>
    </row>
    <row r="64" spans="1:15">
      <c r="A64" s="1">
        <v>9</v>
      </c>
      <c r="B64" s="3">
        <v>10942</v>
      </c>
      <c r="C64" s="3">
        <f>C63+(-7)+1</f>
        <v>117</v>
      </c>
      <c r="D64" s="3">
        <f t="shared" si="8"/>
        <v>46.760683760683762</v>
      </c>
      <c r="E64" s="3">
        <f t="shared" si="10"/>
        <v>140</v>
      </c>
      <c r="F64" s="3">
        <f t="shared" si="9"/>
        <v>39.078571428571429</v>
      </c>
    </row>
    <row r="65" spans="1:6">
      <c r="A65" s="1">
        <v>11</v>
      </c>
      <c r="B65" s="3">
        <v>10077</v>
      </c>
      <c r="C65" s="3">
        <f>C64</f>
        <v>117</v>
      </c>
      <c r="D65" s="3">
        <f t="shared" si="8"/>
        <v>43.064102564102562</v>
      </c>
      <c r="E65" s="3">
        <f t="shared" si="10"/>
        <v>140</v>
      </c>
      <c r="F65" s="3">
        <f t="shared" si="9"/>
        <v>35.989285714285714</v>
      </c>
    </row>
    <row r="66" spans="1:6">
      <c r="A66" s="1">
        <v>13</v>
      </c>
      <c r="B66" s="3">
        <v>10820</v>
      </c>
      <c r="C66" s="3">
        <f>C65+(-4)+1</f>
        <v>114</v>
      </c>
      <c r="D66" s="3">
        <f t="shared" si="8"/>
        <v>47.456140350877192</v>
      </c>
      <c r="E66" s="3">
        <f t="shared" si="10"/>
        <v>140</v>
      </c>
      <c r="F66" s="3">
        <f t="shared" si="9"/>
        <v>38.642857142857146</v>
      </c>
    </row>
    <row r="67" spans="1:6">
      <c r="A67" s="1">
        <v>15</v>
      </c>
      <c r="B67" s="3">
        <v>10655</v>
      </c>
      <c r="C67" s="3">
        <f>C66</f>
        <v>114</v>
      </c>
      <c r="D67" s="3">
        <f t="shared" si="8"/>
        <v>46.732456140350877</v>
      </c>
      <c r="E67" s="3">
        <f t="shared" si="10"/>
        <v>140</v>
      </c>
      <c r="F67" s="3">
        <f t="shared" si="9"/>
        <v>38.053571428571431</v>
      </c>
    </row>
    <row r="68" spans="1:6">
      <c r="A68" s="1">
        <v>17</v>
      </c>
      <c r="B68" s="3">
        <v>10420</v>
      </c>
      <c r="C68" s="3">
        <f>C67-2</f>
        <v>112</v>
      </c>
      <c r="D68" s="3">
        <f t="shared" si="8"/>
        <v>46.517857142857146</v>
      </c>
      <c r="E68" s="3">
        <f>E67-2</f>
        <v>138</v>
      </c>
      <c r="F68" s="3">
        <f t="shared" si="9"/>
        <v>37.753623188405797</v>
      </c>
    </row>
    <row r="69" spans="1:6">
      <c r="A69" s="3">
        <v>19</v>
      </c>
      <c r="B69" s="3">
        <v>10768</v>
      </c>
      <c r="C69" s="3">
        <f>C68-1</f>
        <v>111</v>
      </c>
      <c r="D69" s="3">
        <f t="shared" si="8"/>
        <v>48.504504504504503</v>
      </c>
      <c r="E69" s="3">
        <f t="shared" si="10"/>
        <v>138</v>
      </c>
      <c r="F69" s="3">
        <f t="shared" si="9"/>
        <v>39.014492753623188</v>
      </c>
    </row>
    <row r="70" spans="1:6">
      <c r="A70" s="3">
        <v>21</v>
      </c>
      <c r="B70" s="3">
        <v>10402</v>
      </c>
      <c r="C70" s="3">
        <f>C69+1</f>
        <v>112</v>
      </c>
      <c r="D70" s="3">
        <f t="shared" si="8"/>
        <v>46.4375</v>
      </c>
      <c r="E70" s="3">
        <f t="shared" si="10"/>
        <v>138</v>
      </c>
      <c r="F70" s="3">
        <f t="shared" si="9"/>
        <v>37.688405797101453</v>
      </c>
    </row>
    <row r="71" spans="1:6">
      <c r="A71" s="3">
        <v>23</v>
      </c>
      <c r="B71" s="3">
        <v>10786</v>
      </c>
      <c r="C71" s="3">
        <f>C70</f>
        <v>112</v>
      </c>
      <c r="D71" s="3">
        <f t="shared" si="8"/>
        <v>48.151785714285715</v>
      </c>
      <c r="E71" s="3">
        <f t="shared" si="10"/>
        <v>138</v>
      </c>
      <c r="F71" s="3">
        <f t="shared" si="9"/>
        <v>39.079710144927539</v>
      </c>
    </row>
    <row r="72" spans="1:6">
      <c r="A72" s="3">
        <v>25</v>
      </c>
      <c r="B72" s="3">
        <v>10402</v>
      </c>
      <c r="C72" s="3">
        <f>C71+1</f>
        <v>113</v>
      </c>
      <c r="D72" s="3">
        <f t="shared" si="8"/>
        <v>46.026548672566371</v>
      </c>
      <c r="E72" s="3">
        <f t="shared" si="10"/>
        <v>138</v>
      </c>
      <c r="F72" s="3">
        <f t="shared" si="9"/>
        <v>37.688405797101453</v>
      </c>
    </row>
    <row r="73" spans="1:6">
      <c r="A73" s="1">
        <v>27</v>
      </c>
      <c r="B73" s="3">
        <v>10942</v>
      </c>
      <c r="C73" s="3">
        <f>C72</f>
        <v>113</v>
      </c>
      <c r="D73" s="3">
        <f t="shared" si="8"/>
        <v>48.415929203539825</v>
      </c>
      <c r="E73" s="3">
        <f t="shared" si="10"/>
        <v>138</v>
      </c>
      <c r="F73" s="3">
        <f t="shared" si="9"/>
        <v>39.644927536231883</v>
      </c>
    </row>
    <row r="74" spans="1:6">
      <c r="A74" s="1">
        <v>29</v>
      </c>
      <c r="B74" s="3">
        <v>10786</v>
      </c>
      <c r="C74" s="3">
        <f>C73-1</f>
        <v>112</v>
      </c>
      <c r="D74" s="3">
        <f t="shared" si="8"/>
        <v>48.151785714285715</v>
      </c>
      <c r="E74" s="3">
        <f t="shared" si="10"/>
        <v>138</v>
      </c>
      <c r="F74" s="3">
        <f t="shared" si="9"/>
        <v>39.079710144927539</v>
      </c>
    </row>
    <row r="75" spans="1:6">
      <c r="A75" s="1">
        <v>31</v>
      </c>
      <c r="B75" s="3">
        <v>10420</v>
      </c>
      <c r="C75" s="3">
        <f>C74</f>
        <v>112</v>
      </c>
      <c r="D75" s="3">
        <f>(B75/2)/C75</f>
        <v>46.517857142857146</v>
      </c>
      <c r="E75" s="3">
        <f>E74</f>
        <v>138</v>
      </c>
      <c r="F75" s="3">
        <f>(B75/2)/E75</f>
        <v>37.753623188405797</v>
      </c>
    </row>
    <row r="76" spans="1:6">
      <c r="A76" s="1" t="s">
        <v>12</v>
      </c>
      <c r="B76" s="1">
        <f>SUM(B60:B75)/16</f>
        <v>10767.25</v>
      </c>
      <c r="C76" s="1">
        <f>SUM(C60:C75)/16</f>
        <v>116.25</v>
      </c>
      <c r="D76" s="1">
        <f>SUM(D60:D75)/16</f>
        <v>46.36343530845631</v>
      </c>
      <c r="E76" s="1">
        <f>SUM(E60:E75)/16</f>
        <v>139.25</v>
      </c>
      <c r="F76" s="1">
        <f>SUM(F60:F75)/16</f>
        <v>38.658606712740209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9"/>
  <sheetViews>
    <sheetView topLeftCell="A220" workbookViewId="0">
      <selection activeCell="G222" sqref="G222"/>
    </sheetView>
  </sheetViews>
  <sheetFormatPr defaultRowHeight="18.75"/>
  <cols>
    <col min="1" max="1" width="6.7109375" style="1" customWidth="1"/>
    <col min="2" max="2" width="10.5703125" style="1" customWidth="1"/>
    <col min="3" max="4" width="11.42578125" style="1" customWidth="1"/>
    <col min="5" max="5" width="10.85546875" style="1" customWidth="1"/>
    <col min="6" max="6" width="10.42578125" style="1" customWidth="1"/>
    <col min="7" max="15" width="9.140625" style="1"/>
  </cols>
  <sheetData>
    <row r="1" spans="1:6">
      <c r="A1" s="1" t="s">
        <v>9</v>
      </c>
      <c r="D1" s="1" t="s">
        <v>0</v>
      </c>
    </row>
    <row r="2" spans="1:6"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</row>
    <row r="3" spans="1:6">
      <c r="A3" s="1" t="s">
        <v>5</v>
      </c>
      <c r="D3" s="1">
        <v>42.7</v>
      </c>
      <c r="F3" s="1">
        <v>35</v>
      </c>
    </row>
    <row r="4" spans="1:6">
      <c r="A4" s="3">
        <v>2</v>
      </c>
      <c r="B4" s="3">
        <v>10625</v>
      </c>
      <c r="C4" s="3">
        <v>112</v>
      </c>
      <c r="D4" s="3">
        <f t="shared" ref="D4:D17" si="0">(B4/2)/C4</f>
        <v>47.433035714285715</v>
      </c>
      <c r="E4" s="3">
        <f>112+26</f>
        <v>138</v>
      </c>
      <c r="F4" s="3">
        <f t="shared" ref="F4:F17" si="1">(B4/2)/E4</f>
        <v>38.496376811594203</v>
      </c>
    </row>
    <row r="5" spans="1:6">
      <c r="A5" s="3">
        <v>4</v>
      </c>
      <c r="B5" s="3">
        <v>10472</v>
      </c>
      <c r="C5" s="3">
        <f>C4-1</f>
        <v>111</v>
      </c>
      <c r="D5" s="3">
        <f t="shared" si="0"/>
        <v>47.171171171171174</v>
      </c>
      <c r="E5" s="3">
        <f>E4-1</f>
        <v>137</v>
      </c>
      <c r="F5" s="3">
        <f t="shared" si="1"/>
        <v>38.21897810218978</v>
      </c>
    </row>
    <row r="6" spans="1:6">
      <c r="A6" s="3">
        <v>6</v>
      </c>
      <c r="B6" s="3">
        <v>10485</v>
      </c>
      <c r="C6" s="3">
        <f t="shared" ref="C6:C17" si="2">C5</f>
        <v>111</v>
      </c>
      <c r="D6" s="3">
        <f t="shared" si="0"/>
        <v>47.229729729729726</v>
      </c>
      <c r="E6" s="3">
        <f t="shared" ref="E6:E17" si="3">E5</f>
        <v>137</v>
      </c>
      <c r="F6" s="3">
        <f t="shared" si="1"/>
        <v>38.26642335766423</v>
      </c>
    </row>
    <row r="7" spans="1:6" ht="21">
      <c r="A7" s="8">
        <v>8</v>
      </c>
      <c r="B7" s="8">
        <v>10148</v>
      </c>
      <c r="C7" s="9">
        <f t="shared" si="2"/>
        <v>111</v>
      </c>
      <c r="D7" s="8">
        <f t="shared" si="0"/>
        <v>45.711711711711715</v>
      </c>
      <c r="E7" s="9">
        <f t="shared" si="3"/>
        <v>137</v>
      </c>
      <c r="F7" s="8">
        <f t="shared" si="1"/>
        <v>37.036496350364963</v>
      </c>
    </row>
    <row r="8" spans="1:6">
      <c r="A8" s="3">
        <v>10</v>
      </c>
      <c r="B8" s="3">
        <v>10294</v>
      </c>
      <c r="C8" s="3">
        <f>C7-9</f>
        <v>102</v>
      </c>
      <c r="D8" s="3">
        <f t="shared" si="0"/>
        <v>50.46078431372549</v>
      </c>
      <c r="E8" s="3">
        <f t="shared" si="3"/>
        <v>137</v>
      </c>
      <c r="F8" s="3">
        <f t="shared" si="1"/>
        <v>37.569343065693431</v>
      </c>
    </row>
    <row r="9" spans="1:6">
      <c r="A9" s="3">
        <v>12</v>
      </c>
      <c r="B9" s="3">
        <v>9927</v>
      </c>
      <c r="C9" s="3">
        <f t="shared" si="2"/>
        <v>102</v>
      </c>
      <c r="D9" s="3">
        <f t="shared" si="0"/>
        <v>48.661764705882355</v>
      </c>
      <c r="E9" s="3">
        <f t="shared" si="3"/>
        <v>137</v>
      </c>
      <c r="F9" s="3">
        <f t="shared" si="1"/>
        <v>36.229927007299267</v>
      </c>
    </row>
    <row r="10" spans="1:6">
      <c r="A10" s="3">
        <v>14</v>
      </c>
      <c r="B10" s="3">
        <v>9534</v>
      </c>
      <c r="C10" s="3">
        <f>C9</f>
        <v>102</v>
      </c>
      <c r="D10" s="3">
        <f t="shared" si="0"/>
        <v>46.735294117647058</v>
      </c>
      <c r="E10" s="3">
        <f t="shared" si="3"/>
        <v>137</v>
      </c>
      <c r="F10" s="3">
        <f t="shared" si="1"/>
        <v>34.795620437956202</v>
      </c>
    </row>
    <row r="11" spans="1:6">
      <c r="A11" s="3">
        <v>16</v>
      </c>
      <c r="B11" s="3">
        <v>10333</v>
      </c>
      <c r="C11" s="3">
        <f>C10+1</f>
        <v>103</v>
      </c>
      <c r="D11" s="3">
        <f t="shared" si="0"/>
        <v>50.160194174757279</v>
      </c>
      <c r="E11" s="3">
        <f t="shared" si="3"/>
        <v>137</v>
      </c>
      <c r="F11" s="3">
        <f t="shared" si="1"/>
        <v>37.711678832116789</v>
      </c>
    </row>
    <row r="12" spans="1:6">
      <c r="A12" s="3">
        <v>18</v>
      </c>
      <c r="B12" s="3">
        <v>9623</v>
      </c>
      <c r="C12" s="3">
        <f>C11+1</f>
        <v>104</v>
      </c>
      <c r="D12" s="3">
        <f t="shared" si="0"/>
        <v>46.26442307692308</v>
      </c>
      <c r="E12" s="3">
        <f t="shared" si="3"/>
        <v>137</v>
      </c>
      <c r="F12" s="3">
        <f t="shared" si="1"/>
        <v>35.120437956204377</v>
      </c>
    </row>
    <row r="13" spans="1:6">
      <c r="A13" s="3">
        <v>20</v>
      </c>
      <c r="B13" s="3">
        <v>9628</v>
      </c>
      <c r="C13" s="3">
        <f>C12+1</f>
        <v>105</v>
      </c>
      <c r="D13" s="3">
        <f t="shared" si="0"/>
        <v>45.847619047619048</v>
      </c>
      <c r="E13" s="3">
        <f t="shared" si="3"/>
        <v>137</v>
      </c>
      <c r="F13" s="3">
        <f t="shared" si="1"/>
        <v>35.138686131386862</v>
      </c>
    </row>
    <row r="14" spans="1:6">
      <c r="A14" s="3">
        <v>22</v>
      </c>
      <c r="B14" s="3">
        <v>9747</v>
      </c>
      <c r="C14" s="3">
        <f t="shared" si="2"/>
        <v>105</v>
      </c>
      <c r="D14" s="3">
        <f t="shared" si="0"/>
        <v>46.414285714285711</v>
      </c>
      <c r="E14" s="3">
        <f t="shared" si="3"/>
        <v>137</v>
      </c>
      <c r="F14" s="3">
        <f t="shared" si="1"/>
        <v>35.572992700729927</v>
      </c>
    </row>
    <row r="15" spans="1:6">
      <c r="A15" s="3">
        <v>24</v>
      </c>
      <c r="B15" s="3">
        <v>9592</v>
      </c>
      <c r="C15" s="3">
        <f t="shared" si="2"/>
        <v>105</v>
      </c>
      <c r="D15" s="3">
        <f t="shared" si="0"/>
        <v>45.676190476190477</v>
      </c>
      <c r="E15" s="3">
        <f t="shared" si="3"/>
        <v>137</v>
      </c>
      <c r="F15" s="3">
        <f t="shared" si="1"/>
        <v>35.007299270072991</v>
      </c>
    </row>
    <row r="16" spans="1:6">
      <c r="A16" s="3">
        <v>26</v>
      </c>
      <c r="B16" s="3">
        <v>9569</v>
      </c>
      <c r="C16" s="3">
        <f t="shared" si="2"/>
        <v>105</v>
      </c>
      <c r="D16" s="3">
        <f t="shared" si="0"/>
        <v>45.56666666666667</v>
      </c>
      <c r="E16" s="3">
        <f t="shared" si="3"/>
        <v>137</v>
      </c>
      <c r="F16" s="3">
        <f t="shared" si="1"/>
        <v>34.923357664233578</v>
      </c>
    </row>
    <row r="17" spans="1:6">
      <c r="A17" s="3">
        <v>28</v>
      </c>
      <c r="B17" s="3">
        <v>9689</v>
      </c>
      <c r="C17" s="3">
        <f t="shared" si="2"/>
        <v>105</v>
      </c>
      <c r="D17" s="3">
        <f t="shared" si="0"/>
        <v>46.138095238095239</v>
      </c>
      <c r="E17" s="3">
        <f t="shared" si="3"/>
        <v>137</v>
      </c>
      <c r="F17" s="3">
        <f t="shared" si="1"/>
        <v>35.361313868613138</v>
      </c>
    </row>
    <row r="18" spans="1:6">
      <c r="A18" s="3">
        <v>30</v>
      </c>
      <c r="B18" s="3">
        <v>10350</v>
      </c>
      <c r="C18" s="3">
        <f>C17</f>
        <v>105</v>
      </c>
      <c r="D18" s="3">
        <f>(B18/2)/C18</f>
        <v>49.285714285714285</v>
      </c>
      <c r="E18" s="3">
        <f>E17</f>
        <v>137</v>
      </c>
      <c r="F18" s="3">
        <f>(B18/2)/E18</f>
        <v>37.773722627737229</v>
      </c>
    </row>
    <row r="19" spans="1:6">
      <c r="A19" s="1" t="s">
        <v>12</v>
      </c>
      <c r="B19" s="1">
        <f>SUM(B4:B18)/15</f>
        <v>10001.066666666668</v>
      </c>
      <c r="C19" s="1">
        <f>SUM(C4:C18)/15</f>
        <v>105.86666666666666</v>
      </c>
      <c r="D19" s="1">
        <f>SUM(D4:D18)/15</f>
        <v>47.250445342960354</v>
      </c>
      <c r="E19" s="1">
        <f>SUM(E4:E18)/15</f>
        <v>137.06666666666666</v>
      </c>
      <c r="F19" s="1">
        <f>SUM(F4:F18)/15</f>
        <v>36.481510278923793</v>
      </c>
    </row>
    <row r="20" spans="1:6">
      <c r="A20" s="2"/>
      <c r="B20" s="2"/>
      <c r="C20" s="2"/>
      <c r="D20" s="2"/>
      <c r="E20" s="2"/>
      <c r="F20" s="2"/>
    </row>
    <row r="21" spans="1:6">
      <c r="A21" s="1" t="s">
        <v>10</v>
      </c>
      <c r="D21" s="1" t="s">
        <v>0</v>
      </c>
    </row>
    <row r="22" spans="1:6">
      <c r="B22" s="1" t="s">
        <v>1</v>
      </c>
      <c r="C22" s="1" t="s">
        <v>2</v>
      </c>
      <c r="D22" s="1" t="s">
        <v>3</v>
      </c>
      <c r="E22" s="1" t="s">
        <v>4</v>
      </c>
      <c r="F22" s="1" t="s">
        <v>3</v>
      </c>
    </row>
    <row r="23" spans="1:6">
      <c r="A23" s="4" t="s">
        <v>5</v>
      </c>
      <c r="B23" s="3"/>
      <c r="C23" s="3"/>
      <c r="D23" s="3">
        <v>43.9</v>
      </c>
      <c r="E23" s="3"/>
      <c r="F23" s="3">
        <v>35.700000000000003</v>
      </c>
    </row>
    <row r="24" spans="1:6">
      <c r="A24" s="1">
        <v>1</v>
      </c>
      <c r="B24" s="3">
        <v>9751</v>
      </c>
      <c r="C24" s="3">
        <f>105+3</f>
        <v>108</v>
      </c>
      <c r="D24" s="3">
        <f t="shared" ref="D24:D38" si="4">(B24/2)/C24</f>
        <v>45.143518518518519</v>
      </c>
      <c r="E24" s="3">
        <v>137</v>
      </c>
      <c r="F24" s="3">
        <f t="shared" ref="F24:F38" si="5">(B24/2)/E24</f>
        <v>35.587591240875909</v>
      </c>
    </row>
    <row r="25" spans="1:6">
      <c r="A25" s="1">
        <v>3</v>
      </c>
      <c r="B25" s="3">
        <v>10451</v>
      </c>
      <c r="C25" s="5">
        <f>C24+1</f>
        <v>109</v>
      </c>
      <c r="D25" s="3">
        <f t="shared" si="4"/>
        <v>47.940366972477065</v>
      </c>
      <c r="E25" s="5">
        <f>109+30</f>
        <v>139</v>
      </c>
      <c r="F25" s="3">
        <f t="shared" si="5"/>
        <v>37.593525179856115</v>
      </c>
    </row>
    <row r="26" spans="1:6">
      <c r="A26" s="1">
        <v>5</v>
      </c>
      <c r="B26" s="3">
        <v>9830</v>
      </c>
      <c r="C26" s="3">
        <f>C25+(-7)+1</f>
        <v>103</v>
      </c>
      <c r="D26" s="3">
        <f t="shared" si="4"/>
        <v>47.71844660194175</v>
      </c>
      <c r="E26" s="3">
        <f t="shared" ref="E26:E38" si="6">E25</f>
        <v>139</v>
      </c>
      <c r="F26" s="3">
        <f t="shared" si="5"/>
        <v>35.359712230215827</v>
      </c>
    </row>
    <row r="27" spans="1:6">
      <c r="A27" s="3">
        <v>7</v>
      </c>
      <c r="B27" s="3">
        <v>9711</v>
      </c>
      <c r="C27" s="3">
        <f t="shared" ref="C27:C36" si="7">C26</f>
        <v>103</v>
      </c>
      <c r="D27" s="3">
        <f t="shared" si="4"/>
        <v>47.140776699029125</v>
      </c>
      <c r="E27" s="3">
        <f t="shared" si="6"/>
        <v>139</v>
      </c>
      <c r="F27" s="3">
        <f t="shared" si="5"/>
        <v>34.931654676258994</v>
      </c>
    </row>
    <row r="28" spans="1:6">
      <c r="A28" s="1">
        <v>9</v>
      </c>
      <c r="B28" s="3">
        <v>9821</v>
      </c>
      <c r="C28" s="3">
        <f t="shared" si="7"/>
        <v>103</v>
      </c>
      <c r="D28" s="3">
        <f t="shared" si="4"/>
        <v>47.674757281553397</v>
      </c>
      <c r="E28" s="3">
        <f t="shared" si="6"/>
        <v>139</v>
      </c>
      <c r="F28" s="3">
        <f t="shared" si="5"/>
        <v>35.327338129496404</v>
      </c>
    </row>
    <row r="29" spans="1:6">
      <c r="A29" s="1">
        <v>11</v>
      </c>
      <c r="B29" s="3">
        <v>9552</v>
      </c>
      <c r="C29" s="3">
        <f>C28+1</f>
        <v>104</v>
      </c>
      <c r="D29" s="3">
        <f t="shared" si="4"/>
        <v>45.92307692307692</v>
      </c>
      <c r="E29" s="3">
        <f>E28+1</f>
        <v>140</v>
      </c>
      <c r="F29" s="3">
        <f t="shared" si="5"/>
        <v>34.114285714285714</v>
      </c>
    </row>
    <row r="30" spans="1:6">
      <c r="A30" s="1">
        <v>13</v>
      </c>
      <c r="B30" s="3">
        <v>10174</v>
      </c>
      <c r="C30" s="3">
        <f t="shared" si="7"/>
        <v>104</v>
      </c>
      <c r="D30" s="3">
        <f t="shared" si="4"/>
        <v>48.91346153846154</v>
      </c>
      <c r="E30" s="3">
        <f t="shared" si="6"/>
        <v>140</v>
      </c>
      <c r="F30" s="3">
        <f t="shared" si="5"/>
        <v>36.335714285714289</v>
      </c>
    </row>
    <row r="31" spans="1:6">
      <c r="A31" s="1">
        <v>15</v>
      </c>
      <c r="B31" s="3">
        <v>9874</v>
      </c>
      <c r="C31" s="3">
        <f>C30+1</f>
        <v>105</v>
      </c>
      <c r="D31" s="3">
        <f t="shared" si="4"/>
        <v>47.019047619047619</v>
      </c>
      <c r="E31" s="3">
        <f t="shared" si="6"/>
        <v>140</v>
      </c>
      <c r="F31" s="3">
        <f t="shared" si="5"/>
        <v>35.264285714285712</v>
      </c>
    </row>
    <row r="32" spans="1:6">
      <c r="A32" s="1">
        <v>17</v>
      </c>
      <c r="B32" s="3">
        <v>9662</v>
      </c>
      <c r="C32" s="5">
        <f>C31+1+1+(-5)</f>
        <v>102</v>
      </c>
      <c r="D32" s="3">
        <f t="shared" si="4"/>
        <v>47.362745098039213</v>
      </c>
      <c r="E32" s="3">
        <f t="shared" si="6"/>
        <v>140</v>
      </c>
      <c r="F32" s="3">
        <f t="shared" si="5"/>
        <v>34.50714285714286</v>
      </c>
    </row>
    <row r="33" spans="1:6">
      <c r="A33" s="1">
        <v>19</v>
      </c>
      <c r="B33" s="3">
        <v>9698</v>
      </c>
      <c r="C33" s="3">
        <f>C32+1</f>
        <v>103</v>
      </c>
      <c r="D33" s="3">
        <f t="shared" si="4"/>
        <v>47.077669902912625</v>
      </c>
      <c r="E33" s="3">
        <f t="shared" si="6"/>
        <v>140</v>
      </c>
      <c r="F33" s="3">
        <f t="shared" si="5"/>
        <v>34.635714285714286</v>
      </c>
    </row>
    <row r="34" spans="1:6">
      <c r="A34" s="3">
        <v>21</v>
      </c>
      <c r="B34" s="3">
        <v>10006</v>
      </c>
      <c r="C34" s="3">
        <f t="shared" si="7"/>
        <v>103</v>
      </c>
      <c r="D34" s="3">
        <f t="shared" si="4"/>
        <v>48.572815533980581</v>
      </c>
      <c r="E34" s="3">
        <f t="shared" si="6"/>
        <v>140</v>
      </c>
      <c r="F34" s="3">
        <f t="shared" si="5"/>
        <v>35.735714285714288</v>
      </c>
    </row>
    <row r="35" spans="1:6">
      <c r="A35" s="1">
        <v>23</v>
      </c>
      <c r="B35" s="3">
        <v>9941</v>
      </c>
      <c r="C35" s="3">
        <f>C34+1+1+(-2)</f>
        <v>103</v>
      </c>
      <c r="D35" s="3">
        <f t="shared" si="4"/>
        <v>48.257281553398059</v>
      </c>
      <c r="E35" s="3">
        <f>E34+1+(-2)</f>
        <v>139</v>
      </c>
      <c r="F35" s="3">
        <f t="shared" si="5"/>
        <v>35.758992805755398</v>
      </c>
    </row>
    <row r="36" spans="1:6">
      <c r="A36" s="1">
        <v>25</v>
      </c>
      <c r="B36" s="3">
        <v>9707</v>
      </c>
      <c r="C36" s="3">
        <f t="shared" si="7"/>
        <v>103</v>
      </c>
      <c r="D36" s="3">
        <f t="shared" si="4"/>
        <v>47.121359223300971</v>
      </c>
      <c r="E36" s="3">
        <f t="shared" si="6"/>
        <v>139</v>
      </c>
      <c r="F36" s="3">
        <f t="shared" si="5"/>
        <v>34.917266187050359</v>
      </c>
    </row>
    <row r="37" spans="1:6">
      <c r="A37" s="1">
        <v>27</v>
      </c>
      <c r="B37" s="3">
        <v>10156</v>
      </c>
      <c r="C37" s="3">
        <f>C36+1</f>
        <v>104</v>
      </c>
      <c r="D37" s="3">
        <f t="shared" si="4"/>
        <v>48.82692307692308</v>
      </c>
      <c r="E37" s="3">
        <f>E36+1</f>
        <v>140</v>
      </c>
      <c r="F37" s="3">
        <f t="shared" si="5"/>
        <v>36.271428571428572</v>
      </c>
    </row>
    <row r="38" spans="1:6">
      <c r="A38" s="3">
        <v>29</v>
      </c>
      <c r="B38" s="3">
        <v>10033</v>
      </c>
      <c r="C38" s="3">
        <f>C37+2</f>
        <v>106</v>
      </c>
      <c r="D38" s="3">
        <f t="shared" si="4"/>
        <v>47.325471698113205</v>
      </c>
      <c r="E38" s="3">
        <f t="shared" si="6"/>
        <v>140</v>
      </c>
      <c r="F38" s="3">
        <f t="shared" si="5"/>
        <v>35.832142857142856</v>
      </c>
    </row>
    <row r="39" spans="1:6">
      <c r="A39" s="1" t="s">
        <v>12</v>
      </c>
      <c r="B39" s="1">
        <f>SUM(B24:B38)/15</f>
        <v>9891.1333333333332</v>
      </c>
      <c r="C39" s="1">
        <f>SUM(C24:C38)/15</f>
        <v>104.2</v>
      </c>
      <c r="D39" s="1">
        <f>SUM(D24:D38)/15</f>
        <v>47.467847882718253</v>
      </c>
      <c r="E39" s="1">
        <f>SUM(E24:E38)/15</f>
        <v>139.4</v>
      </c>
      <c r="F39" s="1">
        <f>SUM(F24:F38)/15</f>
        <v>35.478167268062514</v>
      </c>
    </row>
    <row r="41" spans="1:6">
      <c r="A41" s="1" t="s">
        <v>13</v>
      </c>
      <c r="D41" s="1" t="s">
        <v>0</v>
      </c>
    </row>
    <row r="42" spans="1:6">
      <c r="B42" s="1" t="s">
        <v>1</v>
      </c>
      <c r="C42" s="1" t="s">
        <v>2</v>
      </c>
      <c r="D42" s="1" t="s">
        <v>3</v>
      </c>
      <c r="E42" s="1" t="s">
        <v>4</v>
      </c>
      <c r="F42" s="1" t="s">
        <v>3</v>
      </c>
    </row>
    <row r="43" spans="1:6">
      <c r="A43" s="4" t="s">
        <v>5</v>
      </c>
      <c r="B43" s="3"/>
      <c r="C43" s="3"/>
      <c r="D43" s="3">
        <v>43.8</v>
      </c>
      <c r="E43" s="3"/>
      <c r="F43" s="3">
        <v>38.9</v>
      </c>
    </row>
    <row r="44" spans="1:6">
      <c r="A44" s="3">
        <v>2</v>
      </c>
      <c r="B44" s="3">
        <v>10481</v>
      </c>
      <c r="C44" s="3">
        <f>106+1</f>
        <v>107</v>
      </c>
      <c r="D44" s="3">
        <f t="shared" ref="D44:D58" si="8">(B44/2)/C44</f>
        <v>48.976635514018689</v>
      </c>
      <c r="E44" s="3">
        <v>140</v>
      </c>
      <c r="F44" s="3">
        <f t="shared" ref="F44:F58" si="9">(B44/2)/E44</f>
        <v>37.432142857142857</v>
      </c>
    </row>
    <row r="45" spans="1:6">
      <c r="A45" s="3">
        <v>4</v>
      </c>
      <c r="B45" s="3">
        <v>10459</v>
      </c>
      <c r="C45" s="3">
        <f>C44+2</f>
        <v>109</v>
      </c>
      <c r="D45" s="3">
        <f t="shared" si="8"/>
        <v>47.977064220183486</v>
      </c>
      <c r="E45" s="5">
        <f>109+32</f>
        <v>141</v>
      </c>
      <c r="F45" s="3">
        <f t="shared" si="9"/>
        <v>37.088652482269502</v>
      </c>
    </row>
    <row r="46" spans="1:6">
      <c r="A46" s="3">
        <v>6</v>
      </c>
      <c r="B46" s="3">
        <v>10560</v>
      </c>
      <c r="C46" s="3">
        <f t="shared" ref="C46:C56" si="10">C45</f>
        <v>109</v>
      </c>
      <c r="D46" s="3">
        <f t="shared" si="8"/>
        <v>48.440366972477065</v>
      </c>
      <c r="E46" s="3">
        <f t="shared" ref="E46:E56" si="11">E45</f>
        <v>141</v>
      </c>
      <c r="F46" s="3">
        <f t="shared" si="9"/>
        <v>37.446808510638299</v>
      </c>
    </row>
    <row r="47" spans="1:6">
      <c r="A47" s="3">
        <v>8</v>
      </c>
      <c r="B47" s="3">
        <v>10738</v>
      </c>
      <c r="C47" s="5">
        <f>C46</f>
        <v>109</v>
      </c>
      <c r="D47" s="3">
        <f t="shared" si="8"/>
        <v>49.256880733944953</v>
      </c>
      <c r="E47" s="3">
        <f>E46</f>
        <v>141</v>
      </c>
      <c r="F47" s="3">
        <f t="shared" si="9"/>
        <v>38.078014184397162</v>
      </c>
    </row>
    <row r="48" spans="1:6">
      <c r="A48" s="3">
        <v>10</v>
      </c>
      <c r="B48" s="3">
        <v>11098</v>
      </c>
      <c r="C48" s="3">
        <f>C47+2</f>
        <v>111</v>
      </c>
      <c r="D48" s="3">
        <f t="shared" si="8"/>
        <v>49.990990990990994</v>
      </c>
      <c r="E48" s="3">
        <f>E47+1</f>
        <v>142</v>
      </c>
      <c r="F48" s="3">
        <f t="shared" si="9"/>
        <v>39.077464788732392</v>
      </c>
    </row>
    <row r="49" spans="1:6">
      <c r="A49" s="3">
        <v>12</v>
      </c>
      <c r="B49" s="3">
        <v>10135</v>
      </c>
      <c r="C49" s="3">
        <f>C48+(-11)</f>
        <v>100</v>
      </c>
      <c r="D49" s="3">
        <f t="shared" si="8"/>
        <v>50.674999999999997</v>
      </c>
      <c r="E49" s="3">
        <f t="shared" si="11"/>
        <v>142</v>
      </c>
      <c r="F49" s="3">
        <f t="shared" si="9"/>
        <v>35.686619718309856</v>
      </c>
    </row>
    <row r="50" spans="1:6">
      <c r="A50" s="3">
        <v>14</v>
      </c>
      <c r="B50" s="3">
        <v>10103</v>
      </c>
      <c r="C50" s="3">
        <f>C49+2</f>
        <v>102</v>
      </c>
      <c r="D50" s="3">
        <f t="shared" si="8"/>
        <v>49.524509803921568</v>
      </c>
      <c r="E50" s="3">
        <f>E49+2</f>
        <v>144</v>
      </c>
      <c r="F50" s="3">
        <f t="shared" si="9"/>
        <v>35.079861111111114</v>
      </c>
    </row>
    <row r="51" spans="1:6">
      <c r="A51" s="3">
        <v>16</v>
      </c>
      <c r="B51" s="3">
        <v>10394</v>
      </c>
      <c r="C51" s="3">
        <f>C50+2+4</f>
        <v>108</v>
      </c>
      <c r="D51" s="3">
        <f t="shared" si="8"/>
        <v>48.120370370370374</v>
      </c>
      <c r="E51" s="3">
        <f>E50+1</f>
        <v>145</v>
      </c>
      <c r="F51" s="3">
        <f t="shared" si="9"/>
        <v>35.841379310344827</v>
      </c>
    </row>
    <row r="52" spans="1:6">
      <c r="A52" s="3">
        <v>18</v>
      </c>
      <c r="B52" s="3">
        <v>10161</v>
      </c>
      <c r="C52" s="3">
        <f>C51+1+(-1)</f>
        <v>108</v>
      </c>
      <c r="D52" s="3">
        <f t="shared" si="8"/>
        <v>47.041666666666664</v>
      </c>
      <c r="E52" s="3">
        <f>E51+(-1)</f>
        <v>144</v>
      </c>
      <c r="F52" s="3">
        <f t="shared" si="9"/>
        <v>35.28125</v>
      </c>
    </row>
    <row r="53" spans="1:6">
      <c r="A53" s="3">
        <v>20</v>
      </c>
      <c r="B53" s="3">
        <v>10315</v>
      </c>
      <c r="C53" s="3">
        <f t="shared" si="10"/>
        <v>108</v>
      </c>
      <c r="D53" s="3">
        <f t="shared" si="8"/>
        <v>47.754629629629626</v>
      </c>
      <c r="E53" s="3">
        <f t="shared" si="11"/>
        <v>144</v>
      </c>
      <c r="F53" s="3">
        <f t="shared" si="9"/>
        <v>35.815972222222221</v>
      </c>
    </row>
    <row r="54" spans="1:6">
      <c r="A54" s="3">
        <v>22</v>
      </c>
      <c r="B54" s="3">
        <v>9571</v>
      </c>
      <c r="C54" s="3">
        <f>C53+(-6)+1</f>
        <v>103</v>
      </c>
      <c r="D54" s="3">
        <f t="shared" si="8"/>
        <v>46.461165048543691</v>
      </c>
      <c r="E54" s="3">
        <f>E53+(-6)+1</f>
        <v>139</v>
      </c>
      <c r="F54" s="3">
        <f t="shared" si="9"/>
        <v>34.428057553956833</v>
      </c>
    </row>
    <row r="55" spans="1:6">
      <c r="A55" s="3">
        <v>24</v>
      </c>
      <c r="B55" s="3">
        <v>8819</v>
      </c>
      <c r="C55" s="3">
        <f>C54+1</f>
        <v>104</v>
      </c>
      <c r="D55" s="3">
        <f t="shared" si="8"/>
        <v>42.39903846153846</v>
      </c>
      <c r="E55" s="3">
        <f t="shared" si="11"/>
        <v>139</v>
      </c>
      <c r="F55" s="3">
        <f t="shared" si="9"/>
        <v>31.723021582733814</v>
      </c>
    </row>
    <row r="56" spans="1:6">
      <c r="A56" s="3">
        <v>26</v>
      </c>
      <c r="B56" s="3">
        <v>9201</v>
      </c>
      <c r="C56" s="3">
        <f t="shared" si="10"/>
        <v>104</v>
      </c>
      <c r="D56" s="3">
        <f t="shared" si="8"/>
        <v>44.23557692307692</v>
      </c>
      <c r="E56" s="3">
        <f t="shared" si="11"/>
        <v>139</v>
      </c>
      <c r="F56" s="3">
        <f t="shared" si="9"/>
        <v>33.097122302158276</v>
      </c>
    </row>
    <row r="57" spans="1:6">
      <c r="A57" s="3">
        <v>28</v>
      </c>
      <c r="B57" s="3">
        <v>9325</v>
      </c>
      <c r="C57" s="3">
        <f>C56+4</f>
        <v>108</v>
      </c>
      <c r="D57" s="3">
        <f t="shared" si="8"/>
        <v>43.171296296296298</v>
      </c>
      <c r="E57" s="3">
        <f>E56+3</f>
        <v>142</v>
      </c>
      <c r="F57" s="3">
        <f t="shared" si="9"/>
        <v>32.83450704225352</v>
      </c>
    </row>
    <row r="58" spans="1:6">
      <c r="A58" s="3">
        <v>30</v>
      </c>
      <c r="B58" s="3">
        <v>9654</v>
      </c>
      <c r="C58" s="3">
        <f>C57+4</f>
        <v>112</v>
      </c>
      <c r="D58" s="3">
        <f t="shared" si="8"/>
        <v>43.098214285714285</v>
      </c>
      <c r="E58" s="3">
        <f>E57+3</f>
        <v>145</v>
      </c>
      <c r="F58" s="3">
        <f t="shared" si="9"/>
        <v>33.289655172413795</v>
      </c>
    </row>
    <row r="59" spans="1:6">
      <c r="A59" s="1" t="s">
        <v>12</v>
      </c>
      <c r="B59" s="1">
        <f>SUM(B44:B58)/15</f>
        <v>10067.6</v>
      </c>
      <c r="C59" s="1">
        <f>SUM(C44:C58)/15</f>
        <v>106.8</v>
      </c>
      <c r="D59" s="1">
        <f>SUM(D44:D58)/15</f>
        <v>47.141560394491542</v>
      </c>
      <c r="E59" s="1">
        <f>SUM(E44:E58)/15</f>
        <v>141.86666666666667</v>
      </c>
      <c r="F59" s="1">
        <f>SUM(F44:F58)/15</f>
        <v>35.480035255912291</v>
      </c>
    </row>
    <row r="61" spans="1:6">
      <c r="A61" s="1" t="s">
        <v>14</v>
      </c>
      <c r="D61" s="1" t="s">
        <v>0</v>
      </c>
    </row>
    <row r="62" spans="1:6">
      <c r="B62" s="1" t="s">
        <v>1</v>
      </c>
      <c r="C62" s="1" t="s">
        <v>2</v>
      </c>
      <c r="D62" s="1" t="s">
        <v>3</v>
      </c>
      <c r="E62" s="1" t="s">
        <v>4</v>
      </c>
      <c r="F62" s="1" t="s">
        <v>3</v>
      </c>
    </row>
    <row r="63" spans="1:6">
      <c r="A63" s="4" t="s">
        <v>5</v>
      </c>
      <c r="B63" s="3"/>
      <c r="C63" s="3"/>
      <c r="D63" s="3">
        <v>43.8</v>
      </c>
      <c r="E63" s="3"/>
      <c r="F63" s="3">
        <v>38.299999999999997</v>
      </c>
    </row>
    <row r="64" spans="1:6">
      <c r="A64" s="1">
        <v>1</v>
      </c>
      <c r="B64" s="3">
        <v>9486</v>
      </c>
      <c r="C64" s="3">
        <f>112-1</f>
        <v>111</v>
      </c>
      <c r="D64" s="3">
        <f t="shared" ref="D64:D78" si="12">(B64/2)/C64</f>
        <v>42.729729729729726</v>
      </c>
      <c r="E64" s="3">
        <v>138</v>
      </c>
      <c r="F64" s="3">
        <f t="shared" ref="F64:F78" si="13">(B64/2)/E64</f>
        <v>34.369565217391305</v>
      </c>
    </row>
    <row r="65" spans="1:7">
      <c r="A65" s="1">
        <v>3</v>
      </c>
      <c r="B65" s="3">
        <v>9619</v>
      </c>
      <c r="C65" s="3">
        <f t="shared" ref="C65" si="14">C64</f>
        <v>111</v>
      </c>
      <c r="D65" s="3">
        <f t="shared" si="12"/>
        <v>43.328828828828826</v>
      </c>
      <c r="E65" s="3">
        <f>E64+(-1)</f>
        <v>137</v>
      </c>
      <c r="F65" s="3">
        <f t="shared" si="13"/>
        <v>35.105839416058394</v>
      </c>
    </row>
    <row r="66" spans="1:7">
      <c r="A66" s="1">
        <v>5</v>
      </c>
      <c r="B66" s="3">
        <v>8810</v>
      </c>
      <c r="C66" s="3">
        <f>C65+1+(-1)</f>
        <v>111</v>
      </c>
      <c r="D66" s="3">
        <f t="shared" si="12"/>
        <v>39.684684684684683</v>
      </c>
      <c r="E66" s="3">
        <f>E65+1</f>
        <v>138</v>
      </c>
      <c r="F66" s="3">
        <f t="shared" si="13"/>
        <v>31.920289855072465</v>
      </c>
    </row>
    <row r="67" spans="1:7">
      <c r="A67" s="1">
        <v>7</v>
      </c>
      <c r="B67" s="3">
        <v>9139</v>
      </c>
      <c r="C67" s="3">
        <f>C66</f>
        <v>111</v>
      </c>
      <c r="D67" s="3">
        <f t="shared" si="12"/>
        <v>41.166666666666664</v>
      </c>
      <c r="E67" s="3">
        <f t="shared" ref="E67:E77" si="15">E66</f>
        <v>138</v>
      </c>
      <c r="F67" s="3">
        <f t="shared" si="13"/>
        <v>33.112318840579711</v>
      </c>
    </row>
    <row r="68" spans="1:7">
      <c r="A68" s="1">
        <v>9</v>
      </c>
      <c r="B68" s="3">
        <v>8917</v>
      </c>
      <c r="C68" s="3">
        <f>C67+1</f>
        <v>112</v>
      </c>
      <c r="D68" s="3">
        <f t="shared" si="12"/>
        <v>39.808035714285715</v>
      </c>
      <c r="E68" s="3">
        <f t="shared" si="15"/>
        <v>138</v>
      </c>
      <c r="F68" s="3">
        <f t="shared" si="13"/>
        <v>32.30797101449275</v>
      </c>
      <c r="G68" s="1" t="s">
        <v>19</v>
      </c>
    </row>
    <row r="69" spans="1:7">
      <c r="A69" s="1">
        <v>11</v>
      </c>
      <c r="B69" s="3">
        <v>8327</v>
      </c>
      <c r="C69" s="3">
        <f>C68+1+1</f>
        <v>114</v>
      </c>
      <c r="D69" s="3">
        <f t="shared" si="12"/>
        <v>36.521929824561404</v>
      </c>
      <c r="E69" s="3">
        <f>E68+1+1</f>
        <v>140</v>
      </c>
      <c r="F69" s="3">
        <f t="shared" si="13"/>
        <v>29.739285714285714</v>
      </c>
    </row>
    <row r="70" spans="1:7">
      <c r="A70" s="1">
        <v>13</v>
      </c>
      <c r="B70" s="3">
        <v>9909</v>
      </c>
      <c r="C70" s="3">
        <f>C69+1+1+(-1)</f>
        <v>115</v>
      </c>
      <c r="D70" s="3">
        <f t="shared" si="12"/>
        <v>43.082608695652176</v>
      </c>
      <c r="E70" s="3">
        <f>E69+1+(-1)</f>
        <v>140</v>
      </c>
      <c r="F70" s="3">
        <f t="shared" si="13"/>
        <v>35.389285714285712</v>
      </c>
    </row>
    <row r="71" spans="1:7">
      <c r="A71" s="1">
        <v>15</v>
      </c>
      <c r="B71" s="3">
        <v>11236</v>
      </c>
      <c r="C71" s="5">
        <f>C70+1+2+5</f>
        <v>123</v>
      </c>
      <c r="D71" s="3">
        <f t="shared" si="12"/>
        <v>45.674796747967477</v>
      </c>
      <c r="E71" s="5">
        <f>123+1+27</f>
        <v>151</v>
      </c>
      <c r="F71" s="3">
        <f t="shared" si="13"/>
        <v>37.205298013245034</v>
      </c>
    </row>
    <row r="72" spans="1:7">
      <c r="A72" s="1">
        <v>17</v>
      </c>
      <c r="B72" s="3">
        <v>12006</v>
      </c>
      <c r="C72" s="3">
        <f>C71+2</f>
        <v>125</v>
      </c>
      <c r="D72" s="3">
        <f t="shared" si="12"/>
        <v>48.024000000000001</v>
      </c>
      <c r="E72" s="3">
        <f>E71+2</f>
        <v>153</v>
      </c>
      <c r="F72" s="3">
        <f t="shared" si="13"/>
        <v>39.235294117647058</v>
      </c>
    </row>
    <row r="73" spans="1:7">
      <c r="A73" s="1">
        <v>19</v>
      </c>
      <c r="B73" s="3">
        <v>11364</v>
      </c>
      <c r="C73" s="3">
        <f>C72+2+1+(-13)+2</f>
        <v>117</v>
      </c>
      <c r="D73" s="3">
        <f t="shared" si="12"/>
        <v>48.564102564102562</v>
      </c>
      <c r="E73" s="3">
        <f>E72+1</f>
        <v>154</v>
      </c>
      <c r="F73" s="3">
        <f t="shared" si="13"/>
        <v>36.896103896103895</v>
      </c>
    </row>
    <row r="74" spans="1:7">
      <c r="A74" s="1">
        <v>21</v>
      </c>
      <c r="B74" s="3">
        <v>12213</v>
      </c>
      <c r="C74" s="3">
        <f>C73+2+1</f>
        <v>120</v>
      </c>
      <c r="D74" s="3">
        <f t="shared" si="12"/>
        <v>50.887500000000003</v>
      </c>
      <c r="E74" s="3">
        <f t="shared" si="15"/>
        <v>154</v>
      </c>
      <c r="F74" s="3">
        <f t="shared" si="13"/>
        <v>39.652597402597401</v>
      </c>
    </row>
    <row r="75" spans="1:7">
      <c r="A75" s="1">
        <v>23</v>
      </c>
      <c r="B75" s="3">
        <v>12778</v>
      </c>
      <c r="C75" s="3">
        <f>C74+1</f>
        <v>121</v>
      </c>
      <c r="D75" s="3">
        <f t="shared" si="12"/>
        <v>52.801652892561982</v>
      </c>
      <c r="E75" s="3">
        <f t="shared" si="15"/>
        <v>154</v>
      </c>
      <c r="F75" s="3">
        <f t="shared" si="13"/>
        <v>41.487012987012989</v>
      </c>
    </row>
    <row r="76" spans="1:7">
      <c r="A76" s="1">
        <v>25</v>
      </c>
      <c r="B76" s="3">
        <v>12853</v>
      </c>
      <c r="C76" s="3">
        <f>C75+1</f>
        <v>122</v>
      </c>
      <c r="D76" s="3">
        <f t="shared" si="12"/>
        <v>52.67622950819672</v>
      </c>
      <c r="E76" s="3">
        <f>E75+1</f>
        <v>155</v>
      </c>
      <c r="F76" s="3">
        <f t="shared" si="13"/>
        <v>41.461290322580645</v>
      </c>
    </row>
    <row r="77" spans="1:7">
      <c r="A77" s="3">
        <v>27</v>
      </c>
      <c r="B77" s="3">
        <v>12853</v>
      </c>
      <c r="C77" s="3">
        <f>C76+1+(-1)</f>
        <v>122</v>
      </c>
      <c r="D77" s="3">
        <f t="shared" si="12"/>
        <v>52.67622950819672</v>
      </c>
      <c r="E77" s="3">
        <f t="shared" si="15"/>
        <v>155</v>
      </c>
      <c r="F77" s="3">
        <f t="shared" si="13"/>
        <v>41.461290322580645</v>
      </c>
    </row>
    <row r="78" spans="1:7">
      <c r="A78" s="3">
        <v>29</v>
      </c>
      <c r="B78" s="3">
        <v>12816</v>
      </c>
      <c r="C78" s="3">
        <f>C77+(-2)</f>
        <v>120</v>
      </c>
      <c r="D78" s="3">
        <f t="shared" si="12"/>
        <v>53.4</v>
      </c>
      <c r="E78" s="3">
        <f>E77+(-2)</f>
        <v>153</v>
      </c>
      <c r="F78" s="3">
        <f t="shared" si="13"/>
        <v>41.882352941176471</v>
      </c>
    </row>
    <row r="79" spans="1:7">
      <c r="A79" s="1" t="s">
        <v>12</v>
      </c>
      <c r="B79" s="1">
        <f>SUM(B64:B78)/15</f>
        <v>10821.733333333334</v>
      </c>
      <c r="C79" s="1">
        <f>SUM(C64:C78)/15</f>
        <v>117</v>
      </c>
      <c r="D79" s="1">
        <f>SUM(D64:D78)/15</f>
        <v>46.068466357695641</v>
      </c>
      <c r="E79" s="1">
        <f>SUM(E64:E78)/15</f>
        <v>146.53333333333333</v>
      </c>
      <c r="F79" s="1">
        <f>SUM(F64:F78)/15</f>
        <v>36.74838638500735</v>
      </c>
    </row>
    <row r="80" spans="1:7">
      <c r="D80" s="2"/>
    </row>
    <row r="81" spans="1:7">
      <c r="A81" s="1" t="s">
        <v>15</v>
      </c>
      <c r="D81" s="2"/>
    </row>
    <row r="82" spans="1:7">
      <c r="B82" s="1" t="s">
        <v>1</v>
      </c>
      <c r="C82" s="1" t="s">
        <v>2</v>
      </c>
      <c r="D82" s="1" t="s">
        <v>3</v>
      </c>
      <c r="E82" s="1" t="s">
        <v>4</v>
      </c>
      <c r="F82" s="1" t="s">
        <v>3</v>
      </c>
    </row>
    <row r="83" spans="1:7">
      <c r="A83" s="1" t="s">
        <v>5</v>
      </c>
      <c r="D83" s="3">
        <v>42.9</v>
      </c>
      <c r="F83" s="1">
        <v>42.5</v>
      </c>
    </row>
    <row r="84" spans="1:7">
      <c r="A84" s="1">
        <v>1</v>
      </c>
      <c r="B84" s="3">
        <v>13308</v>
      </c>
      <c r="C84" s="3">
        <f>120+1+1+1</f>
        <v>123</v>
      </c>
      <c r="D84" s="3">
        <f>(B84/2)/C84</f>
        <v>54.097560975609753</v>
      </c>
      <c r="E84" s="3">
        <f>153+1</f>
        <v>154</v>
      </c>
      <c r="F84" s="3">
        <f t="shared" ref="F84:F97" si="16">(B84/2)/E84</f>
        <v>43.20779220779221</v>
      </c>
    </row>
    <row r="85" spans="1:7">
      <c r="A85" s="1">
        <v>3</v>
      </c>
      <c r="B85" s="3">
        <f>(9503/3)*4</f>
        <v>12670.666666666666</v>
      </c>
      <c r="C85" s="3">
        <f>C84+(-1)</f>
        <v>122</v>
      </c>
      <c r="D85" s="3">
        <f t="shared" ref="D85:D97" si="17">(B85/2)/C85</f>
        <v>51.928961748633874</v>
      </c>
      <c r="E85" s="3">
        <f>E84+(-1)</f>
        <v>153</v>
      </c>
      <c r="F85" s="3">
        <f t="shared" si="16"/>
        <v>41.407407407407405</v>
      </c>
      <c r="G85" s="1" t="s">
        <v>22</v>
      </c>
    </row>
    <row r="86" spans="1:7">
      <c r="A86" s="1">
        <v>5</v>
      </c>
      <c r="B86" s="3">
        <v>13484</v>
      </c>
      <c r="C86" s="3">
        <f>C85+(-1)+1</f>
        <v>122</v>
      </c>
      <c r="D86" s="3">
        <f>(B86/2)/C86</f>
        <v>55.26229508196721</v>
      </c>
      <c r="E86" s="3">
        <f>E85+1</f>
        <v>154</v>
      </c>
      <c r="F86" s="3">
        <f t="shared" si="16"/>
        <v>43.779220779220779</v>
      </c>
    </row>
    <row r="87" spans="1:7" s="1" customFormat="1">
      <c r="A87" s="1">
        <v>7</v>
      </c>
      <c r="B87" s="3">
        <f>6889+6427</f>
        <v>13316</v>
      </c>
      <c r="C87" s="5">
        <v>124</v>
      </c>
      <c r="D87" s="3">
        <f t="shared" si="17"/>
        <v>53.693548387096776</v>
      </c>
      <c r="E87" s="5">
        <f>124+27+1</f>
        <v>152</v>
      </c>
      <c r="F87" s="3">
        <f t="shared" si="16"/>
        <v>43.80263157894737</v>
      </c>
    </row>
    <row r="88" spans="1:7">
      <c r="A88" s="1">
        <v>9</v>
      </c>
      <c r="B88" s="3">
        <f>6445+6898</f>
        <v>13343</v>
      </c>
      <c r="C88" s="3">
        <f t="shared" ref="C88:C98" si="18">C87</f>
        <v>124</v>
      </c>
      <c r="D88" s="3">
        <f t="shared" si="17"/>
        <v>53.802419354838712</v>
      </c>
      <c r="E88" s="3">
        <f t="shared" ref="E88:E99" si="19">E87</f>
        <v>152</v>
      </c>
      <c r="F88" s="3">
        <f t="shared" si="16"/>
        <v>43.891447368421055</v>
      </c>
    </row>
    <row r="89" spans="1:7">
      <c r="A89" s="1">
        <v>11</v>
      </c>
      <c r="B89" s="3">
        <v>12889</v>
      </c>
      <c r="C89" s="3">
        <f>C88+(-13)+(-1)</f>
        <v>110</v>
      </c>
      <c r="D89" s="3">
        <f t="shared" si="17"/>
        <v>58.586363636363636</v>
      </c>
      <c r="E89" s="3">
        <f>E88+(-1)</f>
        <v>151</v>
      </c>
      <c r="F89" s="3">
        <f t="shared" si="16"/>
        <v>42.67880794701987</v>
      </c>
    </row>
    <row r="90" spans="1:7">
      <c r="A90" s="1">
        <v>13</v>
      </c>
      <c r="B90" s="3">
        <v>13076</v>
      </c>
      <c r="C90" s="3">
        <f>C89</f>
        <v>110</v>
      </c>
      <c r="D90" s="3">
        <f t="shared" si="17"/>
        <v>59.436363636363637</v>
      </c>
      <c r="E90" s="3">
        <f>E89</f>
        <v>151</v>
      </c>
      <c r="F90" s="3">
        <f t="shared" si="16"/>
        <v>43.298013245033111</v>
      </c>
    </row>
    <row r="91" spans="1:7">
      <c r="A91" s="1">
        <v>15</v>
      </c>
      <c r="B91" s="3">
        <v>12925</v>
      </c>
      <c r="C91" s="3">
        <f>C90+1+2</f>
        <v>113</v>
      </c>
      <c r="D91" s="3">
        <f>(B91/2)/C91</f>
        <v>57.190265486725664</v>
      </c>
      <c r="E91" s="3">
        <f>E90+2</f>
        <v>153</v>
      </c>
      <c r="F91" s="3">
        <f t="shared" si="16"/>
        <v>42.238562091503269</v>
      </c>
    </row>
    <row r="92" spans="1:7">
      <c r="A92" s="1">
        <v>17</v>
      </c>
      <c r="B92" s="3">
        <v>12700</v>
      </c>
      <c r="C92" s="3">
        <f>C91+2</f>
        <v>115</v>
      </c>
      <c r="D92" s="3">
        <f>(B92/2)/C92</f>
        <v>55.217391304347828</v>
      </c>
      <c r="E92" s="3">
        <f>E91+2</f>
        <v>155</v>
      </c>
      <c r="F92" s="3">
        <f t="shared" si="16"/>
        <v>40.967741935483872</v>
      </c>
    </row>
    <row r="93" spans="1:7">
      <c r="A93" s="1">
        <v>19</v>
      </c>
      <c r="B93" s="3">
        <v>13165</v>
      </c>
      <c r="C93" s="3">
        <f>C92+(-1)+1</f>
        <v>115</v>
      </c>
      <c r="D93" s="3">
        <f>(B93/2)/C93</f>
        <v>57.239130434782609</v>
      </c>
      <c r="E93" s="3">
        <f>E92+(-2)+1</f>
        <v>154</v>
      </c>
      <c r="F93" s="3">
        <f t="shared" si="16"/>
        <v>42.743506493506494</v>
      </c>
    </row>
    <row r="94" spans="1:7">
      <c r="A94" s="1">
        <v>21</v>
      </c>
      <c r="B94" s="3">
        <f>6925+6654</f>
        <v>13579</v>
      </c>
      <c r="C94" s="5">
        <f>C93+1</f>
        <v>116</v>
      </c>
      <c r="D94" s="3">
        <f t="shared" si="17"/>
        <v>58.530172413793103</v>
      </c>
      <c r="E94" s="3">
        <f t="shared" si="19"/>
        <v>154</v>
      </c>
      <c r="F94" s="3">
        <f t="shared" si="16"/>
        <v>44.087662337662337</v>
      </c>
    </row>
    <row r="95" spans="1:7">
      <c r="A95" s="1">
        <v>23</v>
      </c>
      <c r="B95" s="3">
        <f>6745+6120</f>
        <v>12865</v>
      </c>
      <c r="C95" s="3">
        <f>C94+2</f>
        <v>118</v>
      </c>
      <c r="D95" s="3">
        <f t="shared" si="17"/>
        <v>54.512711864406782</v>
      </c>
      <c r="E95" s="3">
        <f>E94+1</f>
        <v>155</v>
      </c>
      <c r="F95" s="3">
        <f t="shared" si="16"/>
        <v>41.5</v>
      </c>
    </row>
    <row r="96" spans="1:7">
      <c r="A96" s="1">
        <v>25</v>
      </c>
      <c r="B96" s="3">
        <f>6355+6493</f>
        <v>12848</v>
      </c>
      <c r="C96" s="3">
        <f>C95+1+1+1+(-1)</f>
        <v>120</v>
      </c>
      <c r="D96" s="3">
        <f t="shared" si="17"/>
        <v>53.533333333333331</v>
      </c>
      <c r="E96" s="5">
        <f>118+39+2+1+1+(-1)</f>
        <v>160</v>
      </c>
      <c r="F96" s="3">
        <f t="shared" si="16"/>
        <v>40.15</v>
      </c>
    </row>
    <row r="97" spans="1:7">
      <c r="A97" s="1">
        <v>27</v>
      </c>
      <c r="B97" s="3">
        <f>6799+6511</f>
        <v>13310</v>
      </c>
      <c r="C97" s="3">
        <f t="shared" si="18"/>
        <v>120</v>
      </c>
      <c r="D97" s="3">
        <f t="shared" si="17"/>
        <v>55.458333333333336</v>
      </c>
      <c r="E97" s="3">
        <f t="shared" si="19"/>
        <v>160</v>
      </c>
      <c r="F97" s="3">
        <f t="shared" si="16"/>
        <v>41.59375</v>
      </c>
    </row>
    <row r="98" spans="1:7">
      <c r="A98" s="3">
        <v>29</v>
      </c>
      <c r="B98" s="3">
        <f>6925+6735</f>
        <v>13660</v>
      </c>
      <c r="C98" s="3">
        <f t="shared" si="18"/>
        <v>120</v>
      </c>
      <c r="D98" s="3">
        <f>(B98/2)/C98</f>
        <v>56.916666666666664</v>
      </c>
      <c r="E98" s="3">
        <f t="shared" si="19"/>
        <v>160</v>
      </c>
      <c r="F98" s="3">
        <f>(B98/2)/E98</f>
        <v>42.6875</v>
      </c>
    </row>
    <row r="99" spans="1:7">
      <c r="A99" s="3">
        <v>31</v>
      </c>
      <c r="B99" s="3">
        <f>6445+6493</f>
        <v>12938</v>
      </c>
      <c r="C99" s="3">
        <f>C98+2+(-1)</f>
        <v>121</v>
      </c>
      <c r="D99" s="3">
        <f>(B99/2)/C99</f>
        <v>53.462809917355372</v>
      </c>
      <c r="E99" s="3">
        <f t="shared" si="19"/>
        <v>160</v>
      </c>
      <c r="F99" s="3">
        <f>(B99/2)/E99</f>
        <v>40.431249999999999</v>
      </c>
    </row>
    <row r="100" spans="1:7">
      <c r="A100" s="1" t="s">
        <v>12</v>
      </c>
      <c r="B100" s="1">
        <f>SUM(B84:B99)/16</f>
        <v>13129.791666666666</v>
      </c>
      <c r="C100" s="1">
        <f>SUM(C84:C99)/16</f>
        <v>118.3125</v>
      </c>
      <c r="D100" s="1">
        <f>SUM(D84:D99)/16</f>
        <v>55.554270473476137</v>
      </c>
      <c r="E100" s="1">
        <f>SUM(E84:E99)/16</f>
        <v>154.875</v>
      </c>
      <c r="F100" s="1">
        <f>SUM(F84:F99)/16</f>
        <v>42.40408083699986</v>
      </c>
    </row>
    <row r="101" spans="1:7">
      <c r="A101" s="2"/>
      <c r="B101" s="2"/>
      <c r="C101" s="2"/>
      <c r="D101" s="2"/>
      <c r="E101" s="2"/>
      <c r="F101" s="2"/>
    </row>
    <row r="102" spans="1:7">
      <c r="A102" s="1" t="s">
        <v>16</v>
      </c>
      <c r="D102" s="1" t="s">
        <v>0</v>
      </c>
    </row>
    <row r="103" spans="1:7"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3</v>
      </c>
    </row>
    <row r="104" spans="1:7">
      <c r="A104" s="4" t="s">
        <v>5</v>
      </c>
      <c r="B104" s="3"/>
      <c r="C104" s="3"/>
      <c r="D104" s="3">
        <v>47.3</v>
      </c>
      <c r="E104" s="3"/>
      <c r="F104" s="3">
        <v>40.5</v>
      </c>
    </row>
    <row r="105" spans="1:7">
      <c r="A105" s="3">
        <v>2</v>
      </c>
      <c r="B105" s="3">
        <f>6753+6763</f>
        <v>13516</v>
      </c>
      <c r="C105" s="3">
        <f>121+1+1</f>
        <v>123</v>
      </c>
      <c r="D105" s="3">
        <f t="shared" ref="D105:D118" si="20">(B105/2)/C105</f>
        <v>54.943089430894311</v>
      </c>
      <c r="E105" s="5">
        <f>123+34+2</f>
        <v>159</v>
      </c>
      <c r="F105" s="3">
        <f t="shared" ref="F105:F118" si="21">(B105/2)/E105</f>
        <v>42.503144654088054</v>
      </c>
    </row>
    <row r="106" spans="1:7">
      <c r="A106" s="3">
        <v>4</v>
      </c>
      <c r="B106" s="2">
        <v>13372</v>
      </c>
      <c r="C106" s="2">
        <f>C105+1+(-1)</f>
        <v>123</v>
      </c>
      <c r="D106" s="3">
        <f t="shared" si="20"/>
        <v>54.357723577235774</v>
      </c>
      <c r="E106" s="3">
        <f t="shared" ref="E106:E119" si="22">E105</f>
        <v>159</v>
      </c>
      <c r="F106" s="3">
        <f t="shared" si="21"/>
        <v>42.050314465408803</v>
      </c>
      <c r="G106" s="1" t="s">
        <v>25</v>
      </c>
    </row>
    <row r="107" spans="1:7">
      <c r="A107" s="3">
        <v>6</v>
      </c>
      <c r="B107" s="3">
        <f>6482+6817</f>
        <v>13299</v>
      </c>
      <c r="C107" s="3">
        <f>C106+2</f>
        <v>125</v>
      </c>
      <c r="D107" s="3">
        <f t="shared" si="20"/>
        <v>53.195999999999998</v>
      </c>
      <c r="E107" s="3">
        <f t="shared" si="22"/>
        <v>159</v>
      </c>
      <c r="F107" s="3">
        <f t="shared" si="21"/>
        <v>41.820754716981135</v>
      </c>
    </row>
    <row r="108" spans="1:7">
      <c r="A108" s="3">
        <v>8</v>
      </c>
      <c r="B108" s="3">
        <f>6826+6170</f>
        <v>12996</v>
      </c>
      <c r="C108" s="3">
        <f>C107+2</f>
        <v>127</v>
      </c>
      <c r="D108" s="3">
        <f t="shared" si="20"/>
        <v>51.165354330708659</v>
      </c>
      <c r="E108" s="3">
        <f t="shared" si="22"/>
        <v>159</v>
      </c>
      <c r="F108" s="3">
        <f t="shared" si="21"/>
        <v>40.867924528301884</v>
      </c>
    </row>
    <row r="109" spans="1:7">
      <c r="A109" s="3">
        <v>10</v>
      </c>
      <c r="B109" s="3">
        <f>6889+6925</f>
        <v>13814</v>
      </c>
      <c r="C109" s="3">
        <f>C108+2</f>
        <v>129</v>
      </c>
      <c r="D109" s="3">
        <f t="shared" si="20"/>
        <v>53.542635658914726</v>
      </c>
      <c r="E109" s="3">
        <f t="shared" si="22"/>
        <v>159</v>
      </c>
      <c r="F109" s="3">
        <f t="shared" si="21"/>
        <v>43.440251572327043</v>
      </c>
    </row>
    <row r="110" spans="1:7">
      <c r="A110" s="3">
        <v>12</v>
      </c>
      <c r="B110" s="3">
        <f>6853+7161</f>
        <v>14014</v>
      </c>
      <c r="C110" s="5">
        <f>C109+1</f>
        <v>130</v>
      </c>
      <c r="D110" s="3">
        <f t="shared" si="20"/>
        <v>53.9</v>
      </c>
      <c r="E110" s="5">
        <f>130+27+2</f>
        <v>159</v>
      </c>
      <c r="F110" s="3">
        <f t="shared" si="21"/>
        <v>44.069182389937104</v>
      </c>
    </row>
    <row r="111" spans="1:7">
      <c r="A111" s="3">
        <v>14</v>
      </c>
      <c r="B111" s="3">
        <f>6391+6205</f>
        <v>12596</v>
      </c>
      <c r="C111" s="3">
        <f>C110+(-8)</f>
        <v>122</v>
      </c>
      <c r="D111" s="3">
        <f t="shared" si="20"/>
        <v>51.622950819672134</v>
      </c>
      <c r="E111" s="3">
        <f t="shared" si="22"/>
        <v>159</v>
      </c>
      <c r="F111" s="3">
        <f t="shared" si="21"/>
        <v>39.610062893081761</v>
      </c>
    </row>
    <row r="112" spans="1:7">
      <c r="A112" s="3">
        <v>16</v>
      </c>
      <c r="B112" s="3">
        <f>6241+6345</f>
        <v>12586</v>
      </c>
      <c r="C112" s="3">
        <f>C111+1</f>
        <v>123</v>
      </c>
      <c r="D112" s="3">
        <f t="shared" si="20"/>
        <v>51.162601626016261</v>
      </c>
      <c r="E112" s="3">
        <f t="shared" si="22"/>
        <v>159</v>
      </c>
      <c r="F112" s="3">
        <f t="shared" si="21"/>
        <v>39.578616352201259</v>
      </c>
    </row>
    <row r="113" spans="1:6">
      <c r="A113" s="3">
        <v>18</v>
      </c>
      <c r="B113" s="3">
        <f>6349+6473</f>
        <v>12822</v>
      </c>
      <c r="C113" s="3">
        <f>C112+2</f>
        <v>125</v>
      </c>
      <c r="D113" s="3">
        <f t="shared" si="20"/>
        <v>51.287999999999997</v>
      </c>
      <c r="E113" s="3">
        <f t="shared" si="22"/>
        <v>159</v>
      </c>
      <c r="F113" s="3">
        <f t="shared" si="21"/>
        <v>40.320754716981135</v>
      </c>
    </row>
    <row r="114" spans="1:6">
      <c r="A114" s="3">
        <v>20</v>
      </c>
      <c r="B114" s="3">
        <f>6700+6853</f>
        <v>13553</v>
      </c>
      <c r="C114" s="3">
        <f t="shared" ref="C114:C115" si="23">C113</f>
        <v>125</v>
      </c>
      <c r="D114" s="3">
        <f t="shared" si="20"/>
        <v>54.212000000000003</v>
      </c>
      <c r="E114" s="3">
        <f t="shared" si="22"/>
        <v>159</v>
      </c>
      <c r="F114" s="3">
        <f t="shared" si="21"/>
        <v>42.619496855345915</v>
      </c>
    </row>
    <row r="115" spans="1:6">
      <c r="A115" s="3">
        <v>22</v>
      </c>
      <c r="B115" s="3">
        <f>7115+6889</f>
        <v>14004</v>
      </c>
      <c r="C115" s="3">
        <f t="shared" si="23"/>
        <v>125</v>
      </c>
      <c r="D115" s="3">
        <f t="shared" si="20"/>
        <v>56.015999999999998</v>
      </c>
      <c r="E115" s="3">
        <f>E114</f>
        <v>159</v>
      </c>
      <c r="F115" s="3">
        <f t="shared" si="21"/>
        <v>44.037735849056602</v>
      </c>
    </row>
    <row r="116" spans="1:6">
      <c r="A116" s="3">
        <v>24</v>
      </c>
      <c r="B116" s="3">
        <f>6925+6554</f>
        <v>13479</v>
      </c>
      <c r="C116" s="3">
        <f>C115-8</f>
        <v>117</v>
      </c>
      <c r="D116" s="3">
        <f t="shared" si="20"/>
        <v>57.602564102564102</v>
      </c>
      <c r="E116" s="3">
        <f>E115-8</f>
        <v>151</v>
      </c>
      <c r="F116" s="3">
        <f t="shared" si="21"/>
        <v>44.632450331125831</v>
      </c>
    </row>
    <row r="117" spans="1:6">
      <c r="A117" s="3">
        <v>26</v>
      </c>
      <c r="B117" s="3">
        <f>6464+6466</f>
        <v>12930</v>
      </c>
      <c r="C117" s="3">
        <f>C116+1</f>
        <v>118</v>
      </c>
      <c r="D117" s="3">
        <f t="shared" si="20"/>
        <v>54.788135593220339</v>
      </c>
      <c r="E117" s="3">
        <f t="shared" si="22"/>
        <v>151</v>
      </c>
      <c r="F117" s="3">
        <f t="shared" si="21"/>
        <v>42.814569536423839</v>
      </c>
    </row>
    <row r="118" spans="1:6">
      <c r="A118" s="3">
        <v>28</v>
      </c>
      <c r="B118" s="3">
        <f>6511+6717</f>
        <v>13228</v>
      </c>
      <c r="C118" s="3">
        <f>C117+1</f>
        <v>119</v>
      </c>
      <c r="D118" s="3">
        <f t="shared" si="20"/>
        <v>55.579831932773111</v>
      </c>
      <c r="E118" s="3">
        <f t="shared" si="22"/>
        <v>151</v>
      </c>
      <c r="F118" s="3">
        <f t="shared" si="21"/>
        <v>43.801324503311257</v>
      </c>
    </row>
    <row r="119" spans="1:6">
      <c r="A119" s="3">
        <v>30</v>
      </c>
      <c r="B119" s="3">
        <f>6328+6511</f>
        <v>12839</v>
      </c>
      <c r="C119" s="3">
        <f>C118+2</f>
        <v>121</v>
      </c>
      <c r="D119" s="3">
        <f>(B119/2)/C119</f>
        <v>53.053719008264466</v>
      </c>
      <c r="E119" s="3">
        <f t="shared" si="22"/>
        <v>151</v>
      </c>
      <c r="F119" s="3">
        <f>(B119/2)/E119</f>
        <v>42.513245033112582</v>
      </c>
    </row>
    <row r="120" spans="1:6">
      <c r="A120" s="1" t="s">
        <v>12</v>
      </c>
      <c r="B120" s="1">
        <f>SUM(B105:B119)/15</f>
        <v>13269.866666666667</v>
      </c>
      <c r="C120" s="1">
        <f>SUM(C105:C119)/15</f>
        <v>123.46666666666667</v>
      </c>
      <c r="D120" s="1">
        <f>SUM(D105:D119)/15</f>
        <v>53.762040405350923</v>
      </c>
      <c r="E120" s="1">
        <f>SUM(E105:E119)/15</f>
        <v>156.86666666666667</v>
      </c>
      <c r="F120" s="1">
        <f>SUM(F105:F119)/15</f>
        <v>42.311988559845609</v>
      </c>
    </row>
    <row r="122" spans="1:6">
      <c r="A122" s="1" t="s">
        <v>17</v>
      </c>
      <c r="D122" s="1" t="s">
        <v>0</v>
      </c>
    </row>
    <row r="123" spans="1:6"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3</v>
      </c>
    </row>
    <row r="124" spans="1:6">
      <c r="A124" s="4" t="s">
        <v>5</v>
      </c>
      <c r="B124" s="3"/>
      <c r="C124" s="3"/>
      <c r="D124" s="3">
        <v>48.9</v>
      </c>
      <c r="E124" s="3"/>
      <c r="F124" s="3">
        <v>44.1</v>
      </c>
    </row>
    <row r="125" spans="1:6">
      <c r="A125" s="3">
        <v>2</v>
      </c>
      <c r="B125" s="3">
        <v>13484</v>
      </c>
      <c r="C125" s="3">
        <v>121</v>
      </c>
      <c r="D125" s="3">
        <f t="shared" ref="D125:D138" si="24">(B125/2)/C125</f>
        <v>55.719008264462808</v>
      </c>
      <c r="E125" s="3">
        <f>121+28+2</f>
        <v>151</v>
      </c>
      <c r="F125" s="3">
        <f t="shared" ref="F125:F138" si="25">(B125/2)/E125</f>
        <v>44.649006622516559</v>
      </c>
    </row>
    <row r="126" spans="1:6">
      <c r="A126" s="3">
        <v>4</v>
      </c>
      <c r="B126" s="3">
        <f>6448+7179</f>
        <v>13627</v>
      </c>
      <c r="C126" s="3">
        <f>C125+2</f>
        <v>123</v>
      </c>
      <c r="D126" s="3">
        <f t="shared" si="24"/>
        <v>55.394308943089428</v>
      </c>
      <c r="E126" s="3">
        <f t="shared" ref="E126:E139" si="26">E125</f>
        <v>151</v>
      </c>
      <c r="F126" s="3">
        <f t="shared" si="25"/>
        <v>45.122516556291387</v>
      </c>
    </row>
    <row r="127" spans="1:6">
      <c r="A127" s="3">
        <v>6</v>
      </c>
      <c r="B127" s="3">
        <f>6682+6753</f>
        <v>13435</v>
      </c>
      <c r="C127" s="3">
        <f>C126+1</f>
        <v>124</v>
      </c>
      <c r="D127" s="3">
        <f t="shared" si="24"/>
        <v>54.173387096774192</v>
      </c>
      <c r="E127" s="3">
        <f t="shared" si="26"/>
        <v>151</v>
      </c>
      <c r="F127" s="3">
        <f t="shared" si="25"/>
        <v>44.486754966887418</v>
      </c>
    </row>
    <row r="128" spans="1:6">
      <c r="A128" s="3">
        <v>8</v>
      </c>
      <c r="B128" s="3">
        <f>6547+7224</f>
        <v>13771</v>
      </c>
      <c r="C128" s="3">
        <f t="shared" ref="C128:C139" si="27">C127</f>
        <v>124</v>
      </c>
      <c r="D128" s="3">
        <f t="shared" si="24"/>
        <v>55.528225806451616</v>
      </c>
      <c r="E128" s="3">
        <f t="shared" si="26"/>
        <v>151</v>
      </c>
      <c r="F128" s="3">
        <f t="shared" si="25"/>
        <v>45.599337748344368</v>
      </c>
    </row>
    <row r="129" spans="1:7">
      <c r="A129" s="3">
        <v>10</v>
      </c>
      <c r="B129" s="3">
        <f>6835+6971</f>
        <v>13806</v>
      </c>
      <c r="C129" s="3">
        <f t="shared" si="27"/>
        <v>124</v>
      </c>
      <c r="D129" s="3">
        <f t="shared" si="24"/>
        <v>55.66935483870968</v>
      </c>
      <c r="E129" s="3">
        <f t="shared" si="26"/>
        <v>151</v>
      </c>
      <c r="F129" s="3">
        <f t="shared" si="25"/>
        <v>45.715231788079471</v>
      </c>
    </row>
    <row r="130" spans="1:7">
      <c r="A130" s="3">
        <v>12</v>
      </c>
      <c r="B130" s="3">
        <f>6817+6862</f>
        <v>13679</v>
      </c>
      <c r="C130" s="3">
        <f>C129-7</f>
        <v>117</v>
      </c>
      <c r="D130" s="3">
        <f t="shared" si="24"/>
        <v>58.457264957264954</v>
      </c>
      <c r="E130" s="3">
        <f t="shared" si="26"/>
        <v>151</v>
      </c>
      <c r="F130" s="3">
        <f t="shared" si="25"/>
        <v>45.294701986754966</v>
      </c>
    </row>
    <row r="131" spans="1:7">
      <c r="A131" s="3">
        <v>14</v>
      </c>
      <c r="B131" s="3">
        <f>6563+6574</f>
        <v>13137</v>
      </c>
      <c r="C131" s="3">
        <f>C130</f>
        <v>117</v>
      </c>
      <c r="D131" s="3">
        <f t="shared" si="24"/>
        <v>56.141025641025642</v>
      </c>
      <c r="E131" s="3">
        <f t="shared" si="26"/>
        <v>151</v>
      </c>
      <c r="F131" s="3">
        <f t="shared" si="25"/>
        <v>43.5</v>
      </c>
    </row>
    <row r="132" spans="1:7">
      <c r="A132" s="3">
        <v>16</v>
      </c>
      <c r="B132" s="3">
        <f>6789+7060</f>
        <v>13849</v>
      </c>
      <c r="C132" s="3">
        <f>C131+2+(-1)</f>
        <v>118</v>
      </c>
      <c r="D132" s="3">
        <f t="shared" si="24"/>
        <v>58.682203389830505</v>
      </c>
      <c r="E132" s="3">
        <f>E131+(-3)</f>
        <v>148</v>
      </c>
      <c r="F132" s="3">
        <f t="shared" si="25"/>
        <v>46.787162162162161</v>
      </c>
    </row>
    <row r="133" spans="1:7">
      <c r="A133" s="3">
        <v>18</v>
      </c>
      <c r="B133" s="3">
        <f>6907+6862</f>
        <v>13769</v>
      </c>
      <c r="C133" s="3">
        <f t="shared" si="27"/>
        <v>118</v>
      </c>
      <c r="D133" s="3">
        <f t="shared" si="24"/>
        <v>58.343220338983052</v>
      </c>
      <c r="E133" s="3">
        <f t="shared" si="26"/>
        <v>148</v>
      </c>
      <c r="F133" s="3">
        <f t="shared" si="25"/>
        <v>46.516891891891895</v>
      </c>
    </row>
    <row r="134" spans="1:7">
      <c r="A134" s="3">
        <v>20</v>
      </c>
      <c r="B134" s="3">
        <f>6753+6637</f>
        <v>13390</v>
      </c>
      <c r="C134" s="3">
        <f t="shared" si="27"/>
        <v>118</v>
      </c>
      <c r="D134" s="3">
        <f t="shared" si="24"/>
        <v>56.737288135593218</v>
      </c>
      <c r="E134" s="3">
        <f t="shared" si="26"/>
        <v>148</v>
      </c>
      <c r="F134" s="3">
        <f t="shared" si="25"/>
        <v>45.236486486486484</v>
      </c>
    </row>
    <row r="135" spans="1:7">
      <c r="A135" s="3">
        <v>22</v>
      </c>
      <c r="B135" s="3">
        <f>6907+6601</f>
        <v>13508</v>
      </c>
      <c r="C135" s="3">
        <f>C134+2+(-1)</f>
        <v>119</v>
      </c>
      <c r="D135" s="3">
        <f t="shared" si="24"/>
        <v>56.756302521008401</v>
      </c>
      <c r="E135" s="3">
        <f t="shared" si="26"/>
        <v>148</v>
      </c>
      <c r="F135" s="3">
        <f t="shared" si="25"/>
        <v>45.635135135135137</v>
      </c>
    </row>
    <row r="136" spans="1:7">
      <c r="A136" s="3">
        <v>24</v>
      </c>
      <c r="B136" s="3">
        <f>6862+6563</f>
        <v>13425</v>
      </c>
      <c r="C136" s="3">
        <f t="shared" si="27"/>
        <v>119</v>
      </c>
      <c r="D136" s="3">
        <f t="shared" si="24"/>
        <v>56.407563025210081</v>
      </c>
      <c r="E136" s="3">
        <f t="shared" si="26"/>
        <v>148</v>
      </c>
      <c r="F136" s="3">
        <f t="shared" si="25"/>
        <v>45.354729729729726</v>
      </c>
    </row>
    <row r="137" spans="1:7">
      <c r="A137" s="3">
        <v>26</v>
      </c>
      <c r="B137" s="3">
        <f>6482+6835</f>
        <v>13317</v>
      </c>
      <c r="C137" s="3">
        <f>C136+1+1</f>
        <v>121</v>
      </c>
      <c r="D137" s="3">
        <f t="shared" si="24"/>
        <v>55.028925619834709</v>
      </c>
      <c r="E137" s="3">
        <f t="shared" si="26"/>
        <v>148</v>
      </c>
      <c r="F137" s="3">
        <f t="shared" si="25"/>
        <v>44.989864864864863</v>
      </c>
    </row>
    <row r="138" spans="1:7">
      <c r="A138" s="3">
        <v>28</v>
      </c>
      <c r="B138" s="2">
        <f>6637+6789</f>
        <v>13426</v>
      </c>
      <c r="C138" s="3">
        <f>C137+5</f>
        <v>126</v>
      </c>
      <c r="D138" s="3">
        <f t="shared" si="24"/>
        <v>53.277777777777779</v>
      </c>
      <c r="E138" s="3">
        <f t="shared" si="26"/>
        <v>148</v>
      </c>
      <c r="F138" s="3">
        <f t="shared" si="25"/>
        <v>45.358108108108105</v>
      </c>
      <c r="G138" s="1" t="s">
        <v>32</v>
      </c>
    </row>
    <row r="139" spans="1:7">
      <c r="A139" s="3">
        <v>30</v>
      </c>
      <c r="B139" s="2">
        <f>5918+5848+(7007-6789)</f>
        <v>11984</v>
      </c>
      <c r="C139" s="3">
        <f t="shared" si="27"/>
        <v>126</v>
      </c>
      <c r="D139" s="3">
        <f>(B139/2)/C139</f>
        <v>47.555555555555557</v>
      </c>
      <c r="E139" s="3">
        <f t="shared" si="26"/>
        <v>148</v>
      </c>
      <c r="F139" s="3">
        <f>(B139/2)/E139</f>
        <v>40.486486486486484</v>
      </c>
    </row>
    <row r="140" spans="1:7">
      <c r="A140" s="1" t="s">
        <v>12</v>
      </c>
      <c r="B140" s="1">
        <f>SUM(B125:B139)/15</f>
        <v>13440.466666666667</v>
      </c>
      <c r="C140" s="1">
        <f>SUM(C125:C139)/15</f>
        <v>121</v>
      </c>
      <c r="D140" s="1">
        <f>SUM(D125:D139)/15</f>
        <v>55.591427460771435</v>
      </c>
      <c r="E140" s="1">
        <f>SUM(E125:E139)/15</f>
        <v>149.4</v>
      </c>
      <c r="F140" s="1">
        <f>SUM(F125:F139)/15</f>
        <v>44.982160968915942</v>
      </c>
    </row>
    <row r="142" spans="1:7">
      <c r="A142" s="1" t="s">
        <v>18</v>
      </c>
      <c r="D142" s="1" t="s">
        <v>0</v>
      </c>
    </row>
    <row r="143" spans="1:7"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3</v>
      </c>
    </row>
    <row r="144" spans="1:7">
      <c r="A144" s="4" t="s">
        <v>5</v>
      </c>
      <c r="B144" s="3"/>
      <c r="C144" s="3"/>
      <c r="D144" s="3">
        <v>44.3</v>
      </c>
      <c r="E144" s="3"/>
      <c r="F144" s="3">
        <v>40</v>
      </c>
    </row>
    <row r="145" spans="1:6">
      <c r="A145" s="1">
        <v>1</v>
      </c>
      <c r="B145" s="3">
        <f>6373+6529</f>
        <v>12902</v>
      </c>
      <c r="C145" s="3">
        <f>126+1+1</f>
        <v>128</v>
      </c>
      <c r="D145" s="3">
        <f t="shared" ref="D145:D158" si="28">(B145/2)/C145</f>
        <v>50.3984375</v>
      </c>
      <c r="E145" s="3">
        <f>127+21+1</f>
        <v>149</v>
      </c>
      <c r="F145" s="3">
        <f t="shared" ref="F145:F158" si="29">(B145/2)/E145</f>
        <v>43.29530201342282</v>
      </c>
    </row>
    <row r="146" spans="1:6">
      <c r="A146" s="1">
        <v>3</v>
      </c>
      <c r="B146" s="3">
        <f>6430+6355</f>
        <v>12785</v>
      </c>
      <c r="C146" s="3">
        <f>C145+1</f>
        <v>129</v>
      </c>
      <c r="D146" s="3">
        <f t="shared" si="28"/>
        <v>49.554263565891475</v>
      </c>
      <c r="E146" s="3">
        <f t="shared" ref="E146:E160" si="30">E145</f>
        <v>149</v>
      </c>
      <c r="F146" s="3">
        <f t="shared" si="29"/>
        <v>42.902684563758392</v>
      </c>
    </row>
    <row r="147" spans="1:6">
      <c r="A147" s="1">
        <v>5</v>
      </c>
      <c r="B147" s="3">
        <f>6011+6394</f>
        <v>12405</v>
      </c>
      <c r="C147" s="3">
        <f>C146+1</f>
        <v>130</v>
      </c>
      <c r="D147" s="3">
        <f t="shared" si="28"/>
        <v>47.71153846153846</v>
      </c>
      <c r="E147" s="3">
        <f>E146+1+(-1)</f>
        <v>149</v>
      </c>
      <c r="F147" s="3">
        <f t="shared" si="29"/>
        <v>41.627516778523493</v>
      </c>
    </row>
    <row r="148" spans="1:6">
      <c r="A148" s="1">
        <v>7</v>
      </c>
      <c r="B148" s="3">
        <v>12287</v>
      </c>
      <c r="C148" s="5">
        <f>C147+1</f>
        <v>131</v>
      </c>
      <c r="D148" s="3">
        <f t="shared" si="28"/>
        <v>46.896946564885496</v>
      </c>
      <c r="E148" s="5">
        <f>131+19</f>
        <v>150</v>
      </c>
      <c r="F148" s="3">
        <f t="shared" si="29"/>
        <v>40.956666666666663</v>
      </c>
    </row>
    <row r="149" spans="1:6">
      <c r="A149" s="1">
        <v>9</v>
      </c>
      <c r="B149" s="3">
        <v>11830</v>
      </c>
      <c r="C149" s="3">
        <f>C148+4</f>
        <v>135</v>
      </c>
      <c r="D149" s="3">
        <f t="shared" si="28"/>
        <v>43.814814814814817</v>
      </c>
      <c r="E149" s="3">
        <f>E148+1</f>
        <v>151</v>
      </c>
      <c r="F149" s="3">
        <f t="shared" si="29"/>
        <v>39.172185430463578</v>
      </c>
    </row>
    <row r="150" spans="1:6">
      <c r="A150" s="1">
        <v>11</v>
      </c>
      <c r="B150" s="3">
        <v>11636</v>
      </c>
      <c r="C150" s="3">
        <f>C149+1+(-5)+1+1</f>
        <v>133</v>
      </c>
      <c r="D150" s="3">
        <f t="shared" si="28"/>
        <v>43.744360902255636</v>
      </c>
      <c r="E150" s="5">
        <f>133+16</f>
        <v>149</v>
      </c>
      <c r="F150" s="3">
        <f t="shared" si="29"/>
        <v>39.04697986577181</v>
      </c>
    </row>
    <row r="151" spans="1:6">
      <c r="A151" s="1">
        <v>13</v>
      </c>
      <c r="B151" s="3">
        <v>11253</v>
      </c>
      <c r="C151" s="3">
        <f t="shared" ref="C151:C156" si="31">C150</f>
        <v>133</v>
      </c>
      <c r="D151" s="3">
        <f t="shared" si="28"/>
        <v>42.304511278195491</v>
      </c>
      <c r="E151" s="3">
        <f t="shared" si="30"/>
        <v>149</v>
      </c>
      <c r="F151" s="3">
        <f t="shared" si="29"/>
        <v>37.761744966442954</v>
      </c>
    </row>
    <row r="152" spans="1:6">
      <c r="A152" s="1">
        <v>15</v>
      </c>
      <c r="B152" s="3">
        <v>11167</v>
      </c>
      <c r="C152" s="3">
        <f>C151+1+(-2)</f>
        <v>132</v>
      </c>
      <c r="D152" s="3">
        <f t="shared" si="28"/>
        <v>42.299242424242422</v>
      </c>
      <c r="E152" s="3">
        <f t="shared" si="30"/>
        <v>149</v>
      </c>
      <c r="F152" s="3">
        <f t="shared" si="29"/>
        <v>37.473154362416111</v>
      </c>
    </row>
    <row r="153" spans="1:6">
      <c r="A153" s="1">
        <v>17</v>
      </c>
      <c r="B153" s="3">
        <v>10873</v>
      </c>
      <c r="C153" s="3">
        <f>C152+(-2)+1</f>
        <v>131</v>
      </c>
      <c r="D153" s="3">
        <f t="shared" si="28"/>
        <v>41.5</v>
      </c>
      <c r="E153" s="3">
        <f t="shared" si="30"/>
        <v>149</v>
      </c>
      <c r="F153" s="3">
        <f t="shared" si="29"/>
        <v>36.486577181208055</v>
      </c>
    </row>
    <row r="154" spans="1:6">
      <c r="A154" s="1">
        <v>19</v>
      </c>
      <c r="B154" s="3">
        <v>10542</v>
      </c>
      <c r="C154" s="3">
        <f>C153+1+1+1</f>
        <v>134</v>
      </c>
      <c r="D154" s="3">
        <f t="shared" si="28"/>
        <v>39.335820895522389</v>
      </c>
      <c r="E154" s="3">
        <f>E153+1+1</f>
        <v>151</v>
      </c>
      <c r="F154" s="3">
        <f t="shared" si="29"/>
        <v>34.907284768211923</v>
      </c>
    </row>
    <row r="155" spans="1:6">
      <c r="A155" s="1">
        <v>21</v>
      </c>
      <c r="B155" s="3">
        <v>10742</v>
      </c>
      <c r="C155" s="3">
        <f t="shared" si="31"/>
        <v>134</v>
      </c>
      <c r="D155" s="3">
        <f t="shared" si="28"/>
        <v>40.082089552238806</v>
      </c>
      <c r="E155" s="3">
        <f t="shared" si="30"/>
        <v>151</v>
      </c>
      <c r="F155" s="3">
        <f t="shared" si="29"/>
        <v>35.569536423841058</v>
      </c>
    </row>
    <row r="156" spans="1:6">
      <c r="A156" s="1">
        <v>23</v>
      </c>
      <c r="B156" s="3">
        <v>10803</v>
      </c>
      <c r="C156" s="3">
        <f t="shared" si="31"/>
        <v>134</v>
      </c>
      <c r="D156" s="3">
        <f t="shared" si="28"/>
        <v>40.309701492537314</v>
      </c>
      <c r="E156" s="3">
        <f t="shared" si="30"/>
        <v>151</v>
      </c>
      <c r="F156" s="3">
        <f t="shared" si="29"/>
        <v>35.771523178807946</v>
      </c>
    </row>
    <row r="157" spans="1:6">
      <c r="A157" s="1">
        <v>25</v>
      </c>
      <c r="B157" s="3">
        <v>9751</v>
      </c>
      <c r="C157" s="3">
        <f>C156-5</f>
        <v>129</v>
      </c>
      <c r="D157" s="3">
        <f t="shared" si="28"/>
        <v>37.79457364341085</v>
      </c>
      <c r="E157" s="3">
        <f>E156-5</f>
        <v>146</v>
      </c>
      <c r="F157" s="3">
        <f t="shared" si="29"/>
        <v>33.393835616438359</v>
      </c>
    </row>
    <row r="158" spans="1:6">
      <c r="A158" s="1">
        <v>27</v>
      </c>
      <c r="B158" s="3">
        <v>9444</v>
      </c>
      <c r="C158" s="5">
        <f>C157+1</f>
        <v>130</v>
      </c>
      <c r="D158" s="3">
        <f t="shared" si="28"/>
        <v>36.323076923076925</v>
      </c>
      <c r="E158" s="3">
        <f t="shared" si="30"/>
        <v>146</v>
      </c>
      <c r="F158" s="3">
        <f t="shared" si="29"/>
        <v>32.342465753424655</v>
      </c>
    </row>
    <row r="159" spans="1:6">
      <c r="A159" s="3">
        <v>29</v>
      </c>
      <c r="B159" s="3">
        <v>10121</v>
      </c>
      <c r="C159" s="3">
        <f>C158+1</f>
        <v>131</v>
      </c>
      <c r="D159" s="3">
        <f>(B159/2)/C159</f>
        <v>38.62977099236641</v>
      </c>
      <c r="E159" s="3">
        <f t="shared" si="30"/>
        <v>146</v>
      </c>
      <c r="F159" s="3">
        <f>(B159/2)/E159</f>
        <v>34.660958904109592</v>
      </c>
    </row>
    <row r="160" spans="1:6">
      <c r="A160" s="3">
        <v>31</v>
      </c>
      <c r="B160" s="3">
        <v>10942</v>
      </c>
      <c r="C160" s="3">
        <f>C159+1</f>
        <v>132</v>
      </c>
      <c r="D160" s="3">
        <f>(B160/2)/C160</f>
        <v>41.446969696969695</v>
      </c>
      <c r="E160" s="3">
        <f t="shared" si="30"/>
        <v>146</v>
      </c>
      <c r="F160" s="3">
        <f>(B160/2)/E160</f>
        <v>37.472602739726028</v>
      </c>
    </row>
    <row r="161" spans="1:6">
      <c r="A161" s="1" t="s">
        <v>12</v>
      </c>
      <c r="B161" s="1">
        <f>SUM(B145:B160)/16</f>
        <v>11217.6875</v>
      </c>
      <c r="C161" s="1">
        <f>SUM(C145:C160)/16</f>
        <v>131.625</v>
      </c>
      <c r="D161" s="1">
        <f>SUM(D145:D160)/16</f>
        <v>42.63413241924664</v>
      </c>
      <c r="E161" s="1">
        <f>SUM(E145:E160)/16</f>
        <v>148.8125</v>
      </c>
      <c r="F161" s="1">
        <f>SUM(F145:F160)/16</f>
        <v>37.677563700827093</v>
      </c>
    </row>
    <row r="163" spans="1:6">
      <c r="A163" s="6" t="s">
        <v>21</v>
      </c>
      <c r="D163" s="1" t="s">
        <v>0</v>
      </c>
    </row>
    <row r="164" spans="1:6">
      <c r="B164" s="1" t="s">
        <v>1</v>
      </c>
      <c r="C164" s="1" t="s">
        <v>2</v>
      </c>
      <c r="D164" s="1" t="s">
        <v>3</v>
      </c>
      <c r="E164" s="1" t="s">
        <v>4</v>
      </c>
      <c r="F164" s="1" t="s">
        <v>3</v>
      </c>
    </row>
    <row r="165" spans="1:6">
      <c r="A165" s="4" t="s">
        <v>26</v>
      </c>
      <c r="B165" s="5">
        <v>11041</v>
      </c>
      <c r="C165" s="5">
        <v>130.06</v>
      </c>
      <c r="D165" s="5">
        <v>42.45</v>
      </c>
      <c r="E165" s="5">
        <v>154</v>
      </c>
      <c r="F165" s="5">
        <v>35.869999999999997</v>
      </c>
    </row>
    <row r="166" spans="1:6">
      <c r="A166" s="3">
        <v>2</v>
      </c>
      <c r="B166" s="3">
        <v>10768</v>
      </c>
      <c r="C166" s="3">
        <f>132+3</f>
        <v>135</v>
      </c>
      <c r="D166" s="3">
        <f t="shared" ref="D166:D179" si="32">(B166/2)/C166</f>
        <v>39.88148148148148</v>
      </c>
      <c r="E166" s="3">
        <f>132+14</f>
        <v>146</v>
      </c>
      <c r="F166" s="3">
        <f t="shared" ref="F166:F179" si="33">(B166/2)/E166</f>
        <v>36.876712328767127</v>
      </c>
    </row>
    <row r="167" spans="1:6">
      <c r="A167" s="3">
        <v>4</v>
      </c>
      <c r="B167" s="3">
        <v>10385</v>
      </c>
      <c r="C167" s="3">
        <f t="shared" ref="C167:C180" si="34">C166</f>
        <v>135</v>
      </c>
      <c r="D167" s="3">
        <f t="shared" si="32"/>
        <v>38.462962962962962</v>
      </c>
      <c r="E167" s="3">
        <f t="shared" ref="E167:E180" si="35">E166</f>
        <v>146</v>
      </c>
      <c r="F167" s="3">
        <f t="shared" si="33"/>
        <v>35.565068493150683</v>
      </c>
    </row>
    <row r="168" spans="1:6">
      <c r="A168" s="3">
        <v>6</v>
      </c>
      <c r="B168" s="3">
        <v>10559</v>
      </c>
      <c r="C168" s="3">
        <f t="shared" si="34"/>
        <v>135</v>
      </c>
      <c r="D168" s="3">
        <f t="shared" si="32"/>
        <v>39.107407407407408</v>
      </c>
      <c r="E168" s="3">
        <f t="shared" si="35"/>
        <v>146</v>
      </c>
      <c r="F168" s="3">
        <f t="shared" si="33"/>
        <v>36.160958904109592</v>
      </c>
    </row>
    <row r="169" spans="1:6">
      <c r="A169" s="3">
        <v>8</v>
      </c>
      <c r="B169" s="3">
        <v>9954</v>
      </c>
      <c r="C169" s="3">
        <f>C168-10</f>
        <v>125</v>
      </c>
      <c r="D169" s="3">
        <f t="shared" si="32"/>
        <v>39.816000000000003</v>
      </c>
      <c r="E169" s="3">
        <f t="shared" si="35"/>
        <v>146</v>
      </c>
      <c r="F169" s="3">
        <f t="shared" si="33"/>
        <v>34.089041095890408</v>
      </c>
    </row>
    <row r="170" spans="1:6">
      <c r="A170" s="3">
        <v>10</v>
      </c>
      <c r="B170" s="3">
        <v>9645</v>
      </c>
      <c r="C170" s="3">
        <f>C169+2+(-1)</f>
        <v>126</v>
      </c>
      <c r="D170" s="3">
        <f t="shared" si="32"/>
        <v>38.273809523809526</v>
      </c>
      <c r="E170" s="3">
        <f>E169+2+(-1)</f>
        <v>147</v>
      </c>
      <c r="F170" s="3">
        <f t="shared" si="33"/>
        <v>32.806122448979593</v>
      </c>
    </row>
    <row r="171" spans="1:6">
      <c r="A171" s="3">
        <v>12</v>
      </c>
      <c r="B171" s="3">
        <v>9557</v>
      </c>
      <c r="C171" s="3">
        <f t="shared" si="34"/>
        <v>126</v>
      </c>
      <c r="D171" s="3">
        <f t="shared" si="32"/>
        <v>37.924603174603178</v>
      </c>
      <c r="E171" s="3">
        <f t="shared" si="35"/>
        <v>147</v>
      </c>
      <c r="F171" s="3">
        <f t="shared" si="33"/>
        <v>32.506802721088434</v>
      </c>
    </row>
    <row r="172" spans="1:6">
      <c r="A172" s="3">
        <v>14</v>
      </c>
      <c r="B172" s="3">
        <v>9715</v>
      </c>
      <c r="C172" s="3">
        <f t="shared" si="34"/>
        <v>126</v>
      </c>
      <c r="D172" s="3">
        <f t="shared" si="32"/>
        <v>38.551587301587304</v>
      </c>
      <c r="E172" s="3">
        <f t="shared" si="35"/>
        <v>147</v>
      </c>
      <c r="F172" s="3">
        <f t="shared" si="33"/>
        <v>33.044217687074827</v>
      </c>
    </row>
    <row r="173" spans="1:6">
      <c r="A173" s="3">
        <v>16</v>
      </c>
      <c r="B173" s="3">
        <v>9326</v>
      </c>
      <c r="C173" s="3">
        <f>C172-1</f>
        <v>125</v>
      </c>
      <c r="D173" s="3">
        <f t="shared" si="32"/>
        <v>37.304000000000002</v>
      </c>
      <c r="E173" s="3">
        <f>E172-1</f>
        <v>146</v>
      </c>
      <c r="F173" s="3">
        <f t="shared" si="33"/>
        <v>31.938356164383563</v>
      </c>
    </row>
    <row r="174" spans="1:6">
      <c r="A174" s="3">
        <v>18</v>
      </c>
      <c r="B174" s="3">
        <v>8881</v>
      </c>
      <c r="C174" s="3">
        <f t="shared" si="34"/>
        <v>125</v>
      </c>
      <c r="D174" s="3">
        <f t="shared" si="32"/>
        <v>35.524000000000001</v>
      </c>
      <c r="E174" s="3">
        <f t="shared" si="35"/>
        <v>146</v>
      </c>
      <c r="F174" s="3">
        <f t="shared" si="33"/>
        <v>30.414383561643834</v>
      </c>
    </row>
    <row r="175" spans="1:6">
      <c r="A175" s="3">
        <v>20</v>
      </c>
      <c r="B175" s="3">
        <v>9077</v>
      </c>
      <c r="C175" s="3">
        <f t="shared" si="34"/>
        <v>125</v>
      </c>
      <c r="D175" s="3">
        <f t="shared" si="32"/>
        <v>36.308</v>
      </c>
      <c r="E175" s="3">
        <f t="shared" si="35"/>
        <v>146</v>
      </c>
      <c r="F175" s="3">
        <f t="shared" si="33"/>
        <v>31.085616438356166</v>
      </c>
    </row>
    <row r="176" spans="1:6">
      <c r="A176" s="3">
        <v>22</v>
      </c>
      <c r="B176" s="3">
        <v>9477</v>
      </c>
      <c r="C176" s="3">
        <f t="shared" si="34"/>
        <v>125</v>
      </c>
      <c r="D176" s="3">
        <f t="shared" si="32"/>
        <v>37.908000000000001</v>
      </c>
      <c r="E176" s="3">
        <f t="shared" si="35"/>
        <v>146</v>
      </c>
      <c r="F176" s="3">
        <f t="shared" si="33"/>
        <v>32.455479452054796</v>
      </c>
    </row>
    <row r="177" spans="1:7">
      <c r="A177" s="3">
        <v>24</v>
      </c>
      <c r="B177" s="3">
        <v>9272</v>
      </c>
      <c r="C177" s="3">
        <f>C176-1</f>
        <v>124</v>
      </c>
      <c r="D177" s="3">
        <f t="shared" si="32"/>
        <v>37.387096774193552</v>
      </c>
      <c r="E177" s="3">
        <f>E176-1</f>
        <v>145</v>
      </c>
      <c r="F177" s="3">
        <f t="shared" si="33"/>
        <v>31.972413793103449</v>
      </c>
    </row>
    <row r="178" spans="1:7">
      <c r="A178" s="3">
        <v>26</v>
      </c>
      <c r="B178" s="3">
        <v>9290</v>
      </c>
      <c r="C178" s="5">
        <f>C177+1</f>
        <v>125</v>
      </c>
      <c r="D178" s="3">
        <f t="shared" si="32"/>
        <v>37.159999999999997</v>
      </c>
      <c r="E178" s="5">
        <f>C178+20+2</f>
        <v>147</v>
      </c>
      <c r="F178" s="3">
        <f t="shared" si="33"/>
        <v>31.598639455782312</v>
      </c>
    </row>
    <row r="179" spans="1:7">
      <c r="A179" s="3">
        <v>28</v>
      </c>
      <c r="B179" s="3">
        <v>8864</v>
      </c>
      <c r="C179" s="3">
        <f t="shared" si="34"/>
        <v>125</v>
      </c>
      <c r="D179" s="3">
        <f t="shared" si="32"/>
        <v>35.456000000000003</v>
      </c>
      <c r="E179" s="3">
        <f t="shared" si="35"/>
        <v>147</v>
      </c>
      <c r="F179" s="3">
        <f t="shared" si="33"/>
        <v>30.14965986394558</v>
      </c>
      <c r="G179" s="1" t="s">
        <v>34</v>
      </c>
    </row>
    <row r="180" spans="1:7">
      <c r="A180" s="3">
        <v>30</v>
      </c>
      <c r="B180" s="3">
        <v>9255</v>
      </c>
      <c r="C180" s="3">
        <f t="shared" si="34"/>
        <v>125</v>
      </c>
      <c r="D180" s="3">
        <f>(B180/2)/C180</f>
        <v>37.020000000000003</v>
      </c>
      <c r="E180" s="3">
        <f t="shared" si="35"/>
        <v>147</v>
      </c>
      <c r="F180" s="3">
        <f>(B180/2)/E180</f>
        <v>31.479591836734695</v>
      </c>
    </row>
    <row r="181" spans="1:7">
      <c r="A181" s="1" t="s">
        <v>12</v>
      </c>
      <c r="B181" s="1">
        <f>SUM(B166:B180)/15</f>
        <v>9601.6666666666661</v>
      </c>
      <c r="C181" s="1">
        <f>SUM(C166:C180)/15</f>
        <v>127.13333333333334</v>
      </c>
      <c r="D181" s="1">
        <f>SUM(D166:D180)/15</f>
        <v>37.738996575069692</v>
      </c>
      <c r="E181" s="1">
        <f>SUM(E166:E180)/15</f>
        <v>146.33333333333334</v>
      </c>
      <c r="F181" s="1">
        <f>SUM(F166:F180)/15</f>
        <v>32.809537616337671</v>
      </c>
    </row>
    <row r="182" spans="1:7">
      <c r="A182" s="1" t="s">
        <v>23</v>
      </c>
      <c r="D182" s="1" t="s">
        <v>0</v>
      </c>
    </row>
    <row r="183" spans="1:7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3</v>
      </c>
    </row>
    <row r="184" spans="1:7">
      <c r="A184" s="4" t="s">
        <v>26</v>
      </c>
      <c r="B184" s="5">
        <v>11365</v>
      </c>
      <c r="C184" s="5">
        <v>124.93</v>
      </c>
      <c r="D184" s="5">
        <v>45.49</v>
      </c>
      <c r="E184" s="5">
        <v>148.27000000000001</v>
      </c>
      <c r="F184" s="5">
        <v>38.32</v>
      </c>
    </row>
    <row r="185" spans="1:7">
      <c r="A185" s="3">
        <v>2</v>
      </c>
      <c r="B185" s="3">
        <v>9423</v>
      </c>
      <c r="C185" s="5">
        <f>125-1</f>
        <v>124</v>
      </c>
      <c r="D185" s="3">
        <f t="shared" ref="D185:D198" si="36">(B185/2)/C185</f>
        <v>37.99596774193548</v>
      </c>
      <c r="E185" s="5">
        <f>C185+2+20</f>
        <v>146</v>
      </c>
      <c r="F185" s="3">
        <f t="shared" ref="F185:F198" si="37">(B185/2)/E185</f>
        <v>32.270547945205479</v>
      </c>
    </row>
    <row r="186" spans="1:7">
      <c r="A186" s="3">
        <v>4</v>
      </c>
      <c r="B186" s="3">
        <f>9998+2859</f>
        <v>12857</v>
      </c>
      <c r="C186" s="3">
        <f t="shared" ref="C186:C193" si="38">C185</f>
        <v>124</v>
      </c>
      <c r="D186" s="3">
        <f>(B186/5)/(C186/2)</f>
        <v>41.474193548387099</v>
      </c>
      <c r="E186" s="3">
        <f t="shared" ref="E186:E199" si="39">E185</f>
        <v>146</v>
      </c>
      <c r="F186" s="3">
        <f>(B186/5)/(E186/2)</f>
        <v>35.224657534246575</v>
      </c>
      <c r="G186" s="1" t="s">
        <v>36</v>
      </c>
    </row>
    <row r="187" spans="1:7">
      <c r="A187" s="3">
        <v>6</v>
      </c>
      <c r="B187" s="3">
        <v>10315</v>
      </c>
      <c r="C187" s="3">
        <f>C186+2</f>
        <v>126</v>
      </c>
      <c r="D187" s="3">
        <f t="shared" si="36"/>
        <v>40.932539682539684</v>
      </c>
      <c r="E187" s="3">
        <f t="shared" si="39"/>
        <v>146</v>
      </c>
      <c r="F187" s="3">
        <f t="shared" si="37"/>
        <v>35.325342465753423</v>
      </c>
    </row>
    <row r="188" spans="1:7">
      <c r="A188" s="3">
        <v>8</v>
      </c>
      <c r="B188" s="3">
        <v>10533</v>
      </c>
      <c r="C188" s="3">
        <f t="shared" si="38"/>
        <v>126</v>
      </c>
      <c r="D188" s="3">
        <f t="shared" si="36"/>
        <v>41.797619047619051</v>
      </c>
      <c r="E188" s="3">
        <f t="shared" si="39"/>
        <v>146</v>
      </c>
      <c r="F188" s="3">
        <f t="shared" si="37"/>
        <v>36.071917808219176</v>
      </c>
    </row>
    <row r="189" spans="1:7">
      <c r="A189" s="3">
        <v>10</v>
      </c>
      <c r="B189" s="3">
        <v>10646</v>
      </c>
      <c r="C189" s="3">
        <f>C188+3</f>
        <v>129</v>
      </c>
      <c r="D189" s="3">
        <f t="shared" si="36"/>
        <v>41.263565891472865</v>
      </c>
      <c r="E189" s="3">
        <f t="shared" si="39"/>
        <v>146</v>
      </c>
      <c r="F189" s="3">
        <f t="shared" si="37"/>
        <v>36.458904109589042</v>
      </c>
    </row>
    <row r="190" spans="1:7">
      <c r="A190" s="3">
        <v>12</v>
      </c>
      <c r="B190" s="3">
        <v>10271</v>
      </c>
      <c r="C190" s="3">
        <f>C189-9</f>
        <v>120</v>
      </c>
      <c r="D190" s="3">
        <f t="shared" si="36"/>
        <v>42.795833333333334</v>
      </c>
      <c r="E190" s="3">
        <f t="shared" si="39"/>
        <v>146</v>
      </c>
      <c r="F190" s="3">
        <f t="shared" si="37"/>
        <v>35.174657534246577</v>
      </c>
    </row>
    <row r="191" spans="1:7">
      <c r="A191" s="3">
        <v>14</v>
      </c>
      <c r="B191" s="3">
        <v>10524</v>
      </c>
      <c r="C191" s="3">
        <f>C190+1</f>
        <v>121</v>
      </c>
      <c r="D191" s="3">
        <f t="shared" si="36"/>
        <v>43.487603305785122</v>
      </c>
      <c r="E191" s="3">
        <f>E190+1</f>
        <v>147</v>
      </c>
      <c r="F191" s="3">
        <f t="shared" si="37"/>
        <v>35.795918367346935</v>
      </c>
    </row>
    <row r="192" spans="1:7">
      <c r="A192" s="3">
        <v>16</v>
      </c>
      <c r="B192" s="3">
        <v>10951</v>
      </c>
      <c r="C192" s="3">
        <f t="shared" si="38"/>
        <v>121</v>
      </c>
      <c r="D192" s="3">
        <f t="shared" si="36"/>
        <v>45.252066115702476</v>
      </c>
      <c r="E192" s="3">
        <f t="shared" si="39"/>
        <v>147</v>
      </c>
      <c r="F192" s="3">
        <f t="shared" si="37"/>
        <v>37.248299319727892</v>
      </c>
    </row>
    <row r="193" spans="1:7">
      <c r="A193" s="3">
        <v>18</v>
      </c>
      <c r="B193" s="3">
        <v>10873</v>
      </c>
      <c r="C193" s="3">
        <f t="shared" si="38"/>
        <v>121</v>
      </c>
      <c r="D193" s="3">
        <f t="shared" si="36"/>
        <v>44.929752066115704</v>
      </c>
      <c r="E193" s="3">
        <f t="shared" si="39"/>
        <v>147</v>
      </c>
      <c r="F193" s="3">
        <f t="shared" si="37"/>
        <v>36.982993197278908</v>
      </c>
    </row>
    <row r="194" spans="1:7">
      <c r="A194" s="3">
        <v>20</v>
      </c>
      <c r="B194" s="3">
        <v>10524</v>
      </c>
      <c r="C194" s="3">
        <f>C193</f>
        <v>121</v>
      </c>
      <c r="D194" s="3">
        <f t="shared" si="36"/>
        <v>43.487603305785122</v>
      </c>
      <c r="E194" s="3">
        <f>E193-2</f>
        <v>145</v>
      </c>
      <c r="F194" s="3">
        <f t="shared" si="37"/>
        <v>36.289655172413795</v>
      </c>
    </row>
    <row r="195" spans="1:7">
      <c r="A195" s="3">
        <v>22</v>
      </c>
      <c r="B195" s="3">
        <v>10498</v>
      </c>
      <c r="C195" s="3">
        <f>C194+1</f>
        <v>122</v>
      </c>
      <c r="D195" s="3">
        <f t="shared" si="36"/>
        <v>43.024590163934427</v>
      </c>
      <c r="E195" s="3">
        <f t="shared" si="39"/>
        <v>145</v>
      </c>
      <c r="F195" s="3">
        <f t="shared" si="37"/>
        <v>36.200000000000003</v>
      </c>
    </row>
    <row r="196" spans="1:7">
      <c r="A196" s="3">
        <v>24</v>
      </c>
      <c r="B196" s="3">
        <v>9742</v>
      </c>
      <c r="C196" s="3">
        <f>C195+1</f>
        <v>123</v>
      </c>
      <c r="D196" s="3">
        <f t="shared" si="36"/>
        <v>39.601626016260163</v>
      </c>
      <c r="E196" s="3">
        <f t="shared" si="39"/>
        <v>145</v>
      </c>
      <c r="F196" s="3">
        <f t="shared" si="37"/>
        <v>33.593103448275862</v>
      </c>
    </row>
    <row r="197" spans="1:7">
      <c r="A197" s="3">
        <v>26</v>
      </c>
      <c r="B197" s="3">
        <v>9724</v>
      </c>
      <c r="C197" s="3">
        <f>C196+1</f>
        <v>124</v>
      </c>
      <c r="D197" s="3">
        <f t="shared" si="36"/>
        <v>39.20967741935484</v>
      </c>
      <c r="E197" s="3">
        <f t="shared" si="39"/>
        <v>145</v>
      </c>
      <c r="F197" s="3">
        <f t="shared" si="37"/>
        <v>33.531034482758621</v>
      </c>
    </row>
    <row r="198" spans="1:7">
      <c r="A198" s="3">
        <v>28</v>
      </c>
      <c r="B198" s="2">
        <f>5022+4861</f>
        <v>9883</v>
      </c>
      <c r="C198" s="3">
        <f>C197+(-1)+1</f>
        <v>124</v>
      </c>
      <c r="D198" s="3">
        <f t="shared" si="36"/>
        <v>39.850806451612904</v>
      </c>
      <c r="E198" s="3">
        <f>E197-1</f>
        <v>144</v>
      </c>
      <c r="F198" s="3">
        <f t="shared" si="37"/>
        <v>34.315972222222221</v>
      </c>
      <c r="G198" s="1" t="s">
        <v>37</v>
      </c>
    </row>
    <row r="199" spans="1:7">
      <c r="A199" s="3">
        <v>30</v>
      </c>
      <c r="B199" s="3">
        <v>9909</v>
      </c>
      <c r="C199" s="3">
        <f>C198+(-6)</f>
        <v>118</v>
      </c>
      <c r="D199" s="3">
        <f>(B199/2)/C199</f>
        <v>41.987288135593218</v>
      </c>
      <c r="E199" s="3">
        <f t="shared" si="39"/>
        <v>144</v>
      </c>
      <c r="F199" s="3">
        <f>(B199/2)/E199</f>
        <v>34.40625</v>
      </c>
    </row>
    <row r="200" spans="1:7">
      <c r="A200" s="1" t="s">
        <v>12</v>
      </c>
      <c r="B200" s="1">
        <f>SUM(B185:B199)/15</f>
        <v>10444.866666666667</v>
      </c>
      <c r="C200" s="1">
        <f>SUM(C185:C199)/15</f>
        <v>122.93333333333334</v>
      </c>
      <c r="D200" s="1">
        <f>SUM(D185:D199)/15</f>
        <v>41.806048815028767</v>
      </c>
      <c r="E200" s="1">
        <f>SUM(E185:E199)/15</f>
        <v>145.66666666666666</v>
      </c>
      <c r="F200" s="1">
        <f>SUM(F185:F199)/15</f>
        <v>35.259283573818969</v>
      </c>
    </row>
    <row r="201" spans="1:7">
      <c r="A201" s="1" t="s">
        <v>24</v>
      </c>
      <c r="D201" s="1" t="s">
        <v>0</v>
      </c>
    </row>
    <row r="202" spans="1:7">
      <c r="B202" s="1" t="s">
        <v>1</v>
      </c>
      <c r="C202" s="1" t="s">
        <v>2</v>
      </c>
      <c r="D202" s="1" t="s">
        <v>3</v>
      </c>
      <c r="E202" s="1" t="s">
        <v>4</v>
      </c>
      <c r="F202" s="1" t="s">
        <v>3</v>
      </c>
    </row>
    <row r="203" spans="1:7">
      <c r="A203" s="4" t="s">
        <v>26</v>
      </c>
      <c r="B203" s="5">
        <v>10721</v>
      </c>
      <c r="C203" s="5">
        <v>119.86</v>
      </c>
      <c r="D203" s="5">
        <v>44.76</v>
      </c>
      <c r="E203" s="5">
        <v>140.87</v>
      </c>
      <c r="F203" s="5">
        <v>38.049999999999997</v>
      </c>
    </row>
    <row r="204" spans="1:7">
      <c r="A204" s="1">
        <v>1</v>
      </c>
      <c r="B204" s="3">
        <v>9689</v>
      </c>
      <c r="C204" s="5">
        <f>118+(-7)+1</f>
        <v>112</v>
      </c>
      <c r="D204" s="3">
        <f t="shared" ref="D204:D217" si="40">(B204/2)/C204</f>
        <v>43.254464285714285</v>
      </c>
      <c r="E204" s="5">
        <f>144+1</f>
        <v>145</v>
      </c>
      <c r="F204" s="3">
        <f t="shared" ref="F204:F217" si="41">(B204/2)/E204</f>
        <v>33.410344827586208</v>
      </c>
      <c r="G204" s="1" t="s">
        <v>38</v>
      </c>
    </row>
    <row r="205" spans="1:7">
      <c r="A205" s="1">
        <v>3</v>
      </c>
      <c r="B205" s="3">
        <v>9379</v>
      </c>
      <c r="C205" s="3">
        <f>C204-2</f>
        <v>110</v>
      </c>
      <c r="D205" s="3">
        <f t="shared" si="40"/>
        <v>42.631818181818183</v>
      </c>
      <c r="E205" s="3">
        <f>E204-2</f>
        <v>143</v>
      </c>
      <c r="F205" s="3">
        <f t="shared" si="41"/>
        <v>32.793706293706293</v>
      </c>
    </row>
    <row r="206" spans="1:7">
      <c r="A206" s="1">
        <v>5</v>
      </c>
      <c r="B206" s="3">
        <v>10253</v>
      </c>
      <c r="C206" s="3">
        <f t="shared" ref="C206:C216" si="42">C205</f>
        <v>110</v>
      </c>
      <c r="D206" s="3">
        <f t="shared" si="40"/>
        <v>46.604545454545452</v>
      </c>
      <c r="E206" s="3">
        <f t="shared" ref="E206:E216" si="43">E205</f>
        <v>143</v>
      </c>
      <c r="F206" s="3">
        <f t="shared" si="41"/>
        <v>35.849650349650346</v>
      </c>
      <c r="G206" s="1" t="s">
        <v>39</v>
      </c>
    </row>
    <row r="207" spans="1:7">
      <c r="A207" s="1">
        <v>7</v>
      </c>
      <c r="B207" s="3">
        <v>9821</v>
      </c>
      <c r="C207" s="3">
        <f t="shared" si="42"/>
        <v>110</v>
      </c>
      <c r="D207" s="3">
        <f t="shared" si="40"/>
        <v>44.640909090909091</v>
      </c>
      <c r="E207" s="3">
        <f t="shared" si="43"/>
        <v>143</v>
      </c>
      <c r="F207" s="3">
        <f t="shared" si="41"/>
        <v>34.33916083916084</v>
      </c>
    </row>
    <row r="208" spans="1:7">
      <c r="A208" s="1">
        <v>9</v>
      </c>
      <c r="B208" s="3">
        <v>9680</v>
      </c>
      <c r="C208" s="3">
        <f>C207+1</f>
        <v>111</v>
      </c>
      <c r="D208" s="3">
        <f t="shared" si="40"/>
        <v>43.603603603603602</v>
      </c>
      <c r="E208" s="3">
        <f t="shared" si="43"/>
        <v>143</v>
      </c>
      <c r="F208" s="3">
        <f t="shared" si="41"/>
        <v>33.846153846153847</v>
      </c>
    </row>
    <row r="209" spans="1:15">
      <c r="A209" s="1">
        <v>11</v>
      </c>
      <c r="B209" s="3">
        <v>9724</v>
      </c>
      <c r="C209" s="3">
        <f>C208-1</f>
        <v>110</v>
      </c>
      <c r="D209" s="3">
        <f t="shared" si="40"/>
        <v>44.2</v>
      </c>
      <c r="E209" s="3">
        <f t="shared" si="43"/>
        <v>143</v>
      </c>
      <c r="F209" s="3">
        <f t="shared" si="41"/>
        <v>34</v>
      </c>
    </row>
    <row r="210" spans="1:15">
      <c r="A210" s="1">
        <v>13</v>
      </c>
      <c r="B210" s="3">
        <v>10289</v>
      </c>
      <c r="C210" s="3">
        <f t="shared" si="42"/>
        <v>110</v>
      </c>
      <c r="D210" s="3">
        <f t="shared" si="40"/>
        <v>46.768181818181816</v>
      </c>
      <c r="E210" s="3">
        <f>E209</f>
        <v>143</v>
      </c>
      <c r="F210" s="3">
        <f t="shared" si="41"/>
        <v>35.975524475524473</v>
      </c>
    </row>
    <row r="211" spans="1:15">
      <c r="A211" s="1">
        <v>15</v>
      </c>
      <c r="B211" s="3">
        <v>9874</v>
      </c>
      <c r="C211" s="3">
        <f>C210+1</f>
        <v>111</v>
      </c>
      <c r="D211" s="3">
        <f t="shared" si="40"/>
        <v>44.477477477477478</v>
      </c>
      <c r="E211" s="3">
        <f>E210+1</f>
        <v>144</v>
      </c>
      <c r="F211" s="3">
        <f t="shared" si="41"/>
        <v>34.284722222222221</v>
      </c>
    </row>
    <row r="212" spans="1:15">
      <c r="A212" s="1">
        <v>17</v>
      </c>
      <c r="B212" s="3">
        <v>9786</v>
      </c>
      <c r="C212" s="3">
        <f>C211+(-1)+1</f>
        <v>111</v>
      </c>
      <c r="D212" s="3">
        <f t="shared" si="40"/>
        <v>44.081081081081081</v>
      </c>
      <c r="E212" s="3">
        <f>E211+(-2)+1</f>
        <v>143</v>
      </c>
      <c r="F212" s="3">
        <f t="shared" si="41"/>
        <v>34.21678321678322</v>
      </c>
    </row>
    <row r="213" spans="1:15">
      <c r="A213" s="1">
        <v>19</v>
      </c>
      <c r="B213" s="3">
        <v>10121</v>
      </c>
      <c r="C213" s="3">
        <f t="shared" si="42"/>
        <v>111</v>
      </c>
      <c r="D213" s="3">
        <f t="shared" si="40"/>
        <v>45.590090090090094</v>
      </c>
      <c r="E213" s="3">
        <f>E212</f>
        <v>143</v>
      </c>
      <c r="F213" s="3">
        <f t="shared" si="41"/>
        <v>35.388111888111887</v>
      </c>
    </row>
    <row r="214" spans="1:15">
      <c r="A214" s="1">
        <v>21</v>
      </c>
      <c r="B214" s="3">
        <v>9918</v>
      </c>
      <c r="C214" s="3">
        <f>C213+1</f>
        <v>112</v>
      </c>
      <c r="D214" s="3">
        <f t="shared" si="40"/>
        <v>44.276785714285715</v>
      </c>
      <c r="E214" s="3">
        <f>E213+1</f>
        <v>144</v>
      </c>
      <c r="F214" s="3">
        <f t="shared" si="41"/>
        <v>34.4375</v>
      </c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1">
        <v>23</v>
      </c>
      <c r="B215" s="3">
        <v>9698</v>
      </c>
      <c r="C215" s="3">
        <f t="shared" si="42"/>
        <v>112</v>
      </c>
      <c r="D215" s="3">
        <f t="shared" si="40"/>
        <v>43.294642857142854</v>
      </c>
      <c r="E215" s="3">
        <f t="shared" si="43"/>
        <v>144</v>
      </c>
      <c r="F215" s="3">
        <f t="shared" si="41"/>
        <v>33.673611111111114</v>
      </c>
    </row>
    <row r="216" spans="1:15">
      <c r="A216" s="1">
        <v>25</v>
      </c>
      <c r="B216" s="3">
        <v>9512</v>
      </c>
      <c r="C216" s="3">
        <f t="shared" si="42"/>
        <v>112</v>
      </c>
      <c r="D216" s="3">
        <f t="shared" si="40"/>
        <v>42.464285714285715</v>
      </c>
      <c r="E216" s="3">
        <f t="shared" si="43"/>
        <v>144</v>
      </c>
      <c r="F216" s="3">
        <f t="shared" si="41"/>
        <v>33.027777777777779</v>
      </c>
    </row>
    <row r="217" spans="1:15">
      <c r="A217" s="1">
        <v>27</v>
      </c>
      <c r="B217" s="3">
        <v>10165</v>
      </c>
      <c r="C217" s="3">
        <f>C216+1+(-1)</f>
        <v>112</v>
      </c>
      <c r="D217" s="3">
        <f t="shared" si="40"/>
        <v>45.379464285714285</v>
      </c>
      <c r="E217" s="3">
        <f>E216+1+(-1)</f>
        <v>144</v>
      </c>
      <c r="F217" s="3">
        <f t="shared" si="41"/>
        <v>35.295138888888886</v>
      </c>
    </row>
    <row r="218" spans="1:15">
      <c r="A218" s="3">
        <v>29</v>
      </c>
      <c r="B218" s="3">
        <v>10103</v>
      </c>
      <c r="C218" s="3">
        <f>C217+1+1</f>
        <v>114</v>
      </c>
      <c r="D218" s="3">
        <f>(B218/2)/C218</f>
        <v>44.311403508771932</v>
      </c>
      <c r="E218" s="3">
        <f>E217+1</f>
        <v>145</v>
      </c>
      <c r="F218" s="3">
        <f>(B218/2)/E218</f>
        <v>34.837931034482757</v>
      </c>
    </row>
    <row r="219" spans="1:15">
      <c r="A219" s="1" t="s">
        <v>12</v>
      </c>
      <c r="B219" s="1">
        <f>SUM(B204:B218)/15</f>
        <v>9867.4666666666672</v>
      </c>
      <c r="C219" s="1">
        <f>SUM(C204:C218)/15</f>
        <v>111.2</v>
      </c>
      <c r="D219" s="1">
        <f>SUM(D204:D218)/15</f>
        <v>44.371916877574776</v>
      </c>
      <c r="E219" s="1">
        <f>SUM(E204:E218)/15</f>
        <v>143.6</v>
      </c>
      <c r="F219" s="1">
        <f>SUM(F204:F218)/15</f>
        <v>34.358407784743989</v>
      </c>
    </row>
    <row r="220" spans="1:15">
      <c r="A220" s="1" t="s">
        <v>44</v>
      </c>
      <c r="D220" s="1" t="s">
        <v>0</v>
      </c>
    </row>
    <row r="221" spans="1:15">
      <c r="B221" s="1" t="s">
        <v>1</v>
      </c>
      <c r="C221" s="1" t="s">
        <v>2</v>
      </c>
      <c r="D221" s="1" t="s">
        <v>3</v>
      </c>
      <c r="E221" s="1" t="s">
        <v>4</v>
      </c>
      <c r="F221" s="1" t="s">
        <v>3</v>
      </c>
    </row>
    <row r="222" spans="1:15">
      <c r="A222" s="4" t="s">
        <v>26</v>
      </c>
      <c r="B222" s="1">
        <v>10767</v>
      </c>
      <c r="C222" s="1">
        <v>116.25</v>
      </c>
      <c r="D222" s="5">
        <v>46.36</v>
      </c>
      <c r="E222" s="5">
        <v>139.25</v>
      </c>
      <c r="F222" s="5">
        <v>38.659999999999997</v>
      </c>
    </row>
    <row r="223" spans="1:15">
      <c r="A223" s="1">
        <v>1</v>
      </c>
      <c r="B223" s="3">
        <v>9592</v>
      </c>
      <c r="C223" s="5">
        <f>114+3</f>
        <v>117</v>
      </c>
      <c r="D223" s="3">
        <f t="shared" ref="D223:D236" si="44">(B223/2)/C223</f>
        <v>40.991452991452988</v>
      </c>
      <c r="E223" s="5">
        <f>27+117</f>
        <v>144</v>
      </c>
      <c r="F223" s="3">
        <f t="shared" ref="F223:F236" si="45">(B223/2)/E223</f>
        <v>33.305555555555557</v>
      </c>
    </row>
    <row r="224" spans="1:15">
      <c r="A224" s="1">
        <v>3</v>
      </c>
      <c r="B224" s="3">
        <v>9892</v>
      </c>
      <c r="C224" s="3">
        <f>C223+2</f>
        <v>119</v>
      </c>
      <c r="D224" s="3">
        <f t="shared" si="44"/>
        <v>41.563025210084035</v>
      </c>
      <c r="E224" s="3">
        <f t="shared" ref="E224:E238" si="46">E223</f>
        <v>144</v>
      </c>
      <c r="F224" s="3">
        <f t="shared" si="45"/>
        <v>34.347222222222221</v>
      </c>
    </row>
    <row r="225" spans="1:7">
      <c r="A225" s="1">
        <v>5</v>
      </c>
      <c r="B225" s="3">
        <v>9804</v>
      </c>
      <c r="C225" s="3">
        <f>C224+1</f>
        <v>120</v>
      </c>
      <c r="D225" s="3">
        <f t="shared" si="44"/>
        <v>40.85</v>
      </c>
      <c r="E225" s="3">
        <f t="shared" si="46"/>
        <v>144</v>
      </c>
      <c r="F225" s="3">
        <f t="shared" si="45"/>
        <v>34.041666666666664</v>
      </c>
    </row>
    <row r="226" spans="1:7">
      <c r="A226" s="1">
        <v>7</v>
      </c>
      <c r="B226" s="3">
        <v>9777</v>
      </c>
      <c r="C226" s="3">
        <f t="shared" ref="C226:C235" si="47">C225</f>
        <v>120</v>
      </c>
      <c r="D226" s="3">
        <f t="shared" si="44"/>
        <v>40.737499999999997</v>
      </c>
      <c r="E226" s="3">
        <f t="shared" si="46"/>
        <v>144</v>
      </c>
      <c r="F226" s="3">
        <f t="shared" si="45"/>
        <v>33.947916666666664</v>
      </c>
    </row>
    <row r="227" spans="1:7">
      <c r="A227" s="1">
        <v>9</v>
      </c>
      <c r="B227" s="3">
        <v>9610</v>
      </c>
      <c r="C227" s="3">
        <f>C226-2</f>
        <v>118</v>
      </c>
      <c r="D227" s="3">
        <f t="shared" si="44"/>
        <v>40.720338983050844</v>
      </c>
      <c r="E227" s="3">
        <f>E226-2</f>
        <v>142</v>
      </c>
      <c r="F227" s="3">
        <f t="shared" si="45"/>
        <v>33.838028169014088</v>
      </c>
    </row>
    <row r="228" spans="1:7">
      <c r="A228" s="1">
        <v>11</v>
      </c>
      <c r="B228" s="3">
        <v>10438</v>
      </c>
      <c r="C228" s="3">
        <f t="shared" si="47"/>
        <v>118</v>
      </c>
      <c r="D228" s="3">
        <f t="shared" si="44"/>
        <v>44.228813559322035</v>
      </c>
      <c r="E228" s="3">
        <f t="shared" si="46"/>
        <v>142</v>
      </c>
      <c r="F228" s="3">
        <f t="shared" si="45"/>
        <v>36.75352112676056</v>
      </c>
    </row>
    <row r="229" spans="1:7">
      <c r="A229" s="1">
        <v>13</v>
      </c>
      <c r="B229" s="3">
        <v>9962</v>
      </c>
      <c r="C229" s="3">
        <f>C228-3</f>
        <v>115</v>
      </c>
      <c r="D229" s="3">
        <f t="shared" si="44"/>
        <v>43.313043478260873</v>
      </c>
      <c r="E229" s="3">
        <f t="shared" si="46"/>
        <v>142</v>
      </c>
      <c r="F229" s="3">
        <f t="shared" si="45"/>
        <v>35.077464788732392</v>
      </c>
      <c r="G229" s="1" t="s">
        <v>43</v>
      </c>
    </row>
    <row r="230" spans="1:7">
      <c r="A230" s="1">
        <v>15</v>
      </c>
      <c r="B230" s="3">
        <v>9450</v>
      </c>
      <c r="C230" s="3">
        <f>C229-5</f>
        <v>110</v>
      </c>
      <c r="D230" s="3">
        <f t="shared" si="44"/>
        <v>42.954545454545453</v>
      </c>
      <c r="E230" s="3">
        <f t="shared" si="46"/>
        <v>142</v>
      </c>
      <c r="F230" s="3">
        <f t="shared" si="45"/>
        <v>33.274647887323944</v>
      </c>
    </row>
    <row r="231" spans="1:7">
      <c r="A231" s="1">
        <v>17</v>
      </c>
      <c r="B231" s="3">
        <v>10086</v>
      </c>
      <c r="C231" s="3">
        <f>C230+1</f>
        <v>111</v>
      </c>
      <c r="D231" s="3">
        <f t="shared" si="44"/>
        <v>45.432432432432435</v>
      </c>
      <c r="E231" s="3">
        <f t="shared" si="46"/>
        <v>142</v>
      </c>
      <c r="F231" s="3">
        <f t="shared" si="45"/>
        <v>35.514084507042256</v>
      </c>
    </row>
    <row r="232" spans="1:7">
      <c r="A232" s="1">
        <v>19</v>
      </c>
      <c r="B232" s="3">
        <v>9871</v>
      </c>
      <c r="C232" s="3">
        <f>C231+2</f>
        <v>113</v>
      </c>
      <c r="D232" s="3">
        <f t="shared" si="44"/>
        <v>43.676991150442475</v>
      </c>
      <c r="E232" s="3">
        <f t="shared" si="46"/>
        <v>142</v>
      </c>
      <c r="F232" s="3">
        <f t="shared" si="45"/>
        <v>34.757042253521128</v>
      </c>
    </row>
    <row r="233" spans="1:7">
      <c r="A233" s="1">
        <v>21</v>
      </c>
      <c r="B233" s="3">
        <v>9715</v>
      </c>
      <c r="C233" s="3">
        <f>C232+1</f>
        <v>114</v>
      </c>
      <c r="D233" s="3">
        <f t="shared" si="44"/>
        <v>42.609649122807021</v>
      </c>
      <c r="E233" s="3">
        <f t="shared" si="46"/>
        <v>142</v>
      </c>
      <c r="F233" s="3">
        <f t="shared" si="45"/>
        <v>34.20774647887324</v>
      </c>
    </row>
    <row r="234" spans="1:7">
      <c r="A234" s="1">
        <v>23</v>
      </c>
      <c r="B234" s="3">
        <v>9148</v>
      </c>
      <c r="C234" s="3">
        <f t="shared" si="47"/>
        <v>114</v>
      </c>
      <c r="D234" s="3">
        <f t="shared" si="44"/>
        <v>40.122807017543863</v>
      </c>
      <c r="E234" s="3">
        <f t="shared" si="46"/>
        <v>142</v>
      </c>
      <c r="F234" s="3">
        <f t="shared" si="45"/>
        <v>32.2112676056338</v>
      </c>
    </row>
    <row r="235" spans="1:7">
      <c r="A235" s="1">
        <v>25</v>
      </c>
      <c r="B235" s="3">
        <v>9450</v>
      </c>
      <c r="C235" s="3">
        <f t="shared" si="47"/>
        <v>114</v>
      </c>
      <c r="D235" s="3">
        <f t="shared" si="44"/>
        <v>41.44736842105263</v>
      </c>
      <c r="E235" s="3">
        <f t="shared" si="46"/>
        <v>142</v>
      </c>
      <c r="F235" s="3">
        <f t="shared" si="45"/>
        <v>33.274647887323944</v>
      </c>
    </row>
    <row r="236" spans="1:7">
      <c r="A236" s="1">
        <v>27</v>
      </c>
      <c r="B236" s="3">
        <v>9113</v>
      </c>
      <c r="C236" s="3">
        <f>C235+1</f>
        <v>115</v>
      </c>
      <c r="D236" s="3">
        <f t="shared" si="44"/>
        <v>39.621739130434783</v>
      </c>
      <c r="E236" s="3">
        <f t="shared" si="46"/>
        <v>142</v>
      </c>
      <c r="F236" s="3">
        <f t="shared" si="45"/>
        <v>32.088028169014088</v>
      </c>
    </row>
    <row r="237" spans="1:7">
      <c r="A237" s="1">
        <v>29</v>
      </c>
      <c r="B237" s="3">
        <v>9077</v>
      </c>
      <c r="C237" s="3">
        <f>C236+1</f>
        <v>116</v>
      </c>
      <c r="D237" s="3">
        <f t="shared" ref="D237:D238" si="48">(B237/2)/C237</f>
        <v>39.125</v>
      </c>
      <c r="E237" s="3">
        <f>E236+1</f>
        <v>143</v>
      </c>
      <c r="F237" s="3">
        <f t="shared" ref="F237:F238" si="49">(B237/2)/E237</f>
        <v>31.737762237762237</v>
      </c>
    </row>
    <row r="238" spans="1:7">
      <c r="A238" s="1">
        <v>31</v>
      </c>
      <c r="B238" s="3">
        <v>10420</v>
      </c>
      <c r="C238" s="3">
        <f>C237+1</f>
        <v>117</v>
      </c>
      <c r="D238" s="3">
        <f t="shared" si="48"/>
        <v>44.529914529914528</v>
      </c>
      <c r="E238" s="3">
        <f t="shared" si="46"/>
        <v>143</v>
      </c>
      <c r="F238" s="3">
        <f t="shared" si="49"/>
        <v>36.433566433566433</v>
      </c>
    </row>
    <row r="239" spans="1:7">
      <c r="A239" s="1" t="s">
        <v>12</v>
      </c>
      <c r="B239" s="1">
        <f>SUM(B223:B238)/16</f>
        <v>9712.8125</v>
      </c>
      <c r="C239" s="1">
        <f>SUM(C223:C238)/16</f>
        <v>115.6875</v>
      </c>
      <c r="D239" s="1">
        <f>SUM(D223:D238)/16</f>
        <v>41.995288842583996</v>
      </c>
      <c r="E239" s="1">
        <f>SUM(E223:E238)/16</f>
        <v>142.625</v>
      </c>
      <c r="F239" s="1">
        <f>SUM(F223:F238)/16</f>
        <v>34.050635540979947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9"/>
  <sheetViews>
    <sheetView tabSelected="1" topLeftCell="A221" workbookViewId="0">
      <selection activeCell="B237" sqref="B237"/>
    </sheetView>
  </sheetViews>
  <sheetFormatPr defaultRowHeight="18.75"/>
  <cols>
    <col min="1" max="1" width="6.7109375" style="1" customWidth="1"/>
    <col min="2" max="2" width="10.5703125" style="1" customWidth="1"/>
    <col min="3" max="4" width="11.42578125" style="1" customWidth="1"/>
    <col min="5" max="5" width="10.85546875" style="1" customWidth="1"/>
    <col min="6" max="6" width="10.42578125" style="1" customWidth="1"/>
    <col min="7" max="15" width="9.140625" style="1"/>
  </cols>
  <sheetData>
    <row r="1" spans="1:9">
      <c r="A1" s="1" t="s">
        <v>20</v>
      </c>
      <c r="D1" s="1" t="s">
        <v>0</v>
      </c>
    </row>
    <row r="2" spans="1:9"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H2" s="1" t="s">
        <v>45</v>
      </c>
    </row>
    <row r="3" spans="1:9">
      <c r="A3" s="1" t="s">
        <v>26</v>
      </c>
      <c r="B3" s="5">
        <v>10001</v>
      </c>
      <c r="C3" s="5">
        <v>105.86</v>
      </c>
      <c r="D3" s="5">
        <v>47.25</v>
      </c>
      <c r="E3" s="5">
        <v>137.07</v>
      </c>
      <c r="F3" s="5">
        <v>36.479999999999997</v>
      </c>
      <c r="H3" s="5">
        <v>14.5</v>
      </c>
      <c r="I3" s="1" t="s">
        <v>46</v>
      </c>
    </row>
    <row r="4" spans="1:9">
      <c r="A4" s="3">
        <v>2</v>
      </c>
      <c r="B4" s="3">
        <v>10051</v>
      </c>
      <c r="C4" s="3">
        <f>117+2</f>
        <v>119</v>
      </c>
      <c r="D4" s="3">
        <f t="shared" ref="D4:D17" si="0">(B4/2)/C4</f>
        <v>42.231092436974791</v>
      </c>
      <c r="E4" s="3">
        <v>143</v>
      </c>
      <c r="F4" s="3">
        <f t="shared" ref="F4:F17" si="1">(B4/2)/E4</f>
        <v>35.143356643356647</v>
      </c>
      <c r="H4" s="1">
        <v>10</v>
      </c>
      <c r="I4" s="1" t="s">
        <v>47</v>
      </c>
    </row>
    <row r="5" spans="1:9">
      <c r="A5" s="3">
        <v>4</v>
      </c>
      <c r="B5" s="3">
        <v>9927</v>
      </c>
      <c r="C5" s="3">
        <f t="shared" ref="C5:C17" si="2">C4</f>
        <v>119</v>
      </c>
      <c r="D5" s="3">
        <f t="shared" si="0"/>
        <v>41.710084033613448</v>
      </c>
      <c r="E5" s="3">
        <f t="shared" ref="E5:E18" si="3">E4</f>
        <v>143</v>
      </c>
      <c r="F5" s="3">
        <f t="shared" si="1"/>
        <v>34.709790209790206</v>
      </c>
    </row>
    <row r="6" spans="1:9">
      <c r="A6" s="3">
        <v>6</v>
      </c>
      <c r="B6" s="3">
        <v>9909</v>
      </c>
      <c r="C6" s="3">
        <f>C5+1</f>
        <v>120</v>
      </c>
      <c r="D6" s="3">
        <f t="shared" si="0"/>
        <v>41.287500000000001</v>
      </c>
      <c r="E6" s="3">
        <f t="shared" si="3"/>
        <v>143</v>
      </c>
      <c r="F6" s="3">
        <f t="shared" si="1"/>
        <v>34.646853146853147</v>
      </c>
    </row>
    <row r="7" spans="1:9">
      <c r="A7" s="3">
        <v>8</v>
      </c>
      <c r="B7" s="3">
        <v>10121</v>
      </c>
      <c r="C7" s="3">
        <f t="shared" si="2"/>
        <v>120</v>
      </c>
      <c r="D7" s="3">
        <f t="shared" si="0"/>
        <v>42.170833333333334</v>
      </c>
      <c r="E7" s="3">
        <f t="shared" si="3"/>
        <v>143</v>
      </c>
      <c r="F7" s="3">
        <f t="shared" si="1"/>
        <v>35.388111888111887</v>
      </c>
    </row>
    <row r="8" spans="1:9">
      <c r="A8" s="3">
        <v>10</v>
      </c>
      <c r="B8" s="3">
        <v>10341</v>
      </c>
      <c r="C8" s="3">
        <f t="shared" si="2"/>
        <v>120</v>
      </c>
      <c r="D8" s="3">
        <f t="shared" si="0"/>
        <v>43.087499999999999</v>
      </c>
      <c r="E8" s="3">
        <f t="shared" si="3"/>
        <v>143</v>
      </c>
      <c r="F8" s="3">
        <f t="shared" si="1"/>
        <v>36.15734265734266</v>
      </c>
    </row>
    <row r="9" spans="1:9">
      <c r="A9" s="3">
        <v>12</v>
      </c>
      <c r="B9" s="3">
        <v>9971</v>
      </c>
      <c r="C9" s="3">
        <f>C8+1+(-3)</f>
        <v>118</v>
      </c>
      <c r="D9" s="3">
        <f t="shared" si="0"/>
        <v>42.25</v>
      </c>
      <c r="E9" s="3">
        <f>E8+(-3)</f>
        <v>140</v>
      </c>
      <c r="F9" s="3">
        <f t="shared" si="1"/>
        <v>35.610714285714288</v>
      </c>
    </row>
    <row r="10" spans="1:9">
      <c r="A10" s="3">
        <v>14</v>
      </c>
      <c r="B10" s="3">
        <v>10411</v>
      </c>
      <c r="C10" s="3">
        <f t="shared" si="2"/>
        <v>118</v>
      </c>
      <c r="D10" s="3">
        <f t="shared" si="0"/>
        <v>44.114406779661017</v>
      </c>
      <c r="E10" s="3">
        <f t="shared" si="3"/>
        <v>140</v>
      </c>
      <c r="F10" s="3">
        <f t="shared" si="1"/>
        <v>37.182142857142857</v>
      </c>
    </row>
    <row r="11" spans="1:9">
      <c r="A11" s="3">
        <v>16</v>
      </c>
      <c r="B11" s="3">
        <v>9821</v>
      </c>
      <c r="C11" s="3">
        <f>C10+(-10)+3</f>
        <v>111</v>
      </c>
      <c r="D11" s="3">
        <f t="shared" si="0"/>
        <v>44.238738738738739</v>
      </c>
      <c r="E11" s="3">
        <f>E10+1</f>
        <v>141</v>
      </c>
      <c r="F11" s="3">
        <f t="shared" si="1"/>
        <v>34.826241134751776</v>
      </c>
    </row>
    <row r="12" spans="1:9">
      <c r="A12" s="3">
        <v>18</v>
      </c>
      <c r="B12" s="3">
        <v>10103</v>
      </c>
      <c r="C12" s="3">
        <f>C11+(-2)</f>
        <v>109</v>
      </c>
      <c r="D12" s="3">
        <f t="shared" si="0"/>
        <v>46.344036697247709</v>
      </c>
      <c r="E12" s="3">
        <f t="shared" si="3"/>
        <v>141</v>
      </c>
      <c r="F12" s="3">
        <f t="shared" si="1"/>
        <v>35.826241134751776</v>
      </c>
    </row>
    <row r="13" spans="1:9">
      <c r="A13" s="3">
        <v>20</v>
      </c>
      <c r="B13" s="3">
        <v>10015</v>
      </c>
      <c r="C13" s="3">
        <f t="shared" si="2"/>
        <v>109</v>
      </c>
      <c r="D13" s="3">
        <f t="shared" si="0"/>
        <v>45.940366972477065</v>
      </c>
      <c r="E13" s="3">
        <f t="shared" si="3"/>
        <v>141</v>
      </c>
      <c r="F13" s="3">
        <f t="shared" si="1"/>
        <v>35.51418439716312</v>
      </c>
    </row>
    <row r="14" spans="1:9">
      <c r="A14" s="3">
        <v>22</v>
      </c>
      <c r="B14" s="3">
        <v>10203</v>
      </c>
      <c r="C14" s="3">
        <f>C13+1</f>
        <v>110</v>
      </c>
      <c r="D14" s="3">
        <f t="shared" si="0"/>
        <v>46.377272727272725</v>
      </c>
      <c r="E14" s="3">
        <f t="shared" si="3"/>
        <v>141</v>
      </c>
      <c r="F14" s="3">
        <f t="shared" si="1"/>
        <v>36.180851063829785</v>
      </c>
    </row>
    <row r="15" spans="1:9">
      <c r="A15" s="3">
        <v>24</v>
      </c>
      <c r="B15" s="3">
        <v>9954</v>
      </c>
      <c r="C15" s="3">
        <f t="shared" si="2"/>
        <v>110</v>
      </c>
      <c r="D15" s="3">
        <f t="shared" si="0"/>
        <v>45.245454545454542</v>
      </c>
      <c r="E15" s="3">
        <f t="shared" si="3"/>
        <v>141</v>
      </c>
      <c r="F15" s="3">
        <f t="shared" si="1"/>
        <v>35.297872340425535</v>
      </c>
    </row>
    <row r="16" spans="1:9">
      <c r="A16" s="3">
        <v>26</v>
      </c>
      <c r="B16" s="3">
        <v>9980</v>
      </c>
      <c r="C16" s="3">
        <f t="shared" si="2"/>
        <v>110</v>
      </c>
      <c r="D16" s="3">
        <f t="shared" si="0"/>
        <v>45.363636363636367</v>
      </c>
      <c r="E16" s="3">
        <f t="shared" si="3"/>
        <v>141</v>
      </c>
      <c r="F16" s="3">
        <f t="shared" si="1"/>
        <v>35.390070921985817</v>
      </c>
    </row>
    <row r="17" spans="1:9">
      <c r="A17" s="3">
        <v>28</v>
      </c>
      <c r="B17" s="3">
        <v>10298</v>
      </c>
      <c r="C17" s="3">
        <f t="shared" si="2"/>
        <v>110</v>
      </c>
      <c r="D17" s="3">
        <f t="shared" si="0"/>
        <v>46.809090909090912</v>
      </c>
      <c r="E17" s="3">
        <f t="shared" si="3"/>
        <v>141</v>
      </c>
      <c r="F17" s="3">
        <f t="shared" si="1"/>
        <v>36.5177304964539</v>
      </c>
    </row>
    <row r="18" spans="1:9">
      <c r="A18" s="3">
        <v>30</v>
      </c>
      <c r="B18" s="3">
        <v>10139</v>
      </c>
      <c r="C18" s="3">
        <f>C17+2</f>
        <v>112</v>
      </c>
      <c r="D18" s="3">
        <f>(B18/2)/C18</f>
        <v>45.263392857142854</v>
      </c>
      <c r="E18" s="3">
        <f t="shared" si="3"/>
        <v>141</v>
      </c>
      <c r="F18" s="3">
        <f>(B18/2)/E18</f>
        <v>35.953900709219859</v>
      </c>
    </row>
    <row r="19" spans="1:9">
      <c r="A19" s="1" t="s">
        <v>12</v>
      </c>
      <c r="B19" s="1">
        <f>SUM(B4:B18)/15</f>
        <v>10082.933333333332</v>
      </c>
      <c r="C19" s="1">
        <f>SUM(C4:C18)/15</f>
        <v>114.33333333333333</v>
      </c>
      <c r="D19" s="1">
        <f>SUM(D4:D18)/15</f>
        <v>44.162227092976231</v>
      </c>
      <c r="E19" s="1">
        <f>SUM(E4:E18)/15</f>
        <v>141.53333333333333</v>
      </c>
      <c r="F19" s="1">
        <f>SUM(F4:F18)/15</f>
        <v>35.623026925792892</v>
      </c>
    </row>
    <row r="20" spans="1:9">
      <c r="A20" s="2"/>
      <c r="B20" s="2"/>
      <c r="C20" s="2"/>
      <c r="D20" s="2"/>
      <c r="E20" s="2"/>
      <c r="F20" s="2"/>
    </row>
    <row r="21" spans="1:9">
      <c r="A21" s="1" t="s">
        <v>27</v>
      </c>
      <c r="D21" s="1" t="s">
        <v>0</v>
      </c>
    </row>
    <row r="22" spans="1:9">
      <c r="B22" s="1" t="s">
        <v>1</v>
      </c>
      <c r="C22" s="1" t="s">
        <v>2</v>
      </c>
      <c r="D22" s="1" t="s">
        <v>3</v>
      </c>
      <c r="E22" s="1" t="s">
        <v>4</v>
      </c>
      <c r="F22" s="1" t="s">
        <v>3</v>
      </c>
      <c r="H22" s="1" t="s">
        <v>45</v>
      </c>
    </row>
    <row r="23" spans="1:9">
      <c r="A23" s="1" t="s">
        <v>26</v>
      </c>
      <c r="B23" s="3">
        <v>9891</v>
      </c>
      <c r="C23" s="3">
        <v>104.2</v>
      </c>
      <c r="D23" s="5">
        <v>47.47</v>
      </c>
      <c r="E23" s="5">
        <v>139.4</v>
      </c>
      <c r="F23" s="5">
        <v>35.479999999999997</v>
      </c>
      <c r="H23" s="5">
        <v>13</v>
      </c>
      <c r="I23" s="1" t="s">
        <v>46</v>
      </c>
    </row>
    <row r="24" spans="1:9">
      <c r="A24" s="1">
        <v>1</v>
      </c>
      <c r="B24" s="3">
        <v>10271</v>
      </c>
      <c r="C24" s="3">
        <f>112+3+(-2)+(-2)</f>
        <v>111</v>
      </c>
      <c r="D24" s="3">
        <f t="shared" ref="D24:D37" si="4">(B24/2)/C24</f>
        <v>46.265765765765764</v>
      </c>
      <c r="E24" s="3">
        <f>141+(-2)+(-2)</f>
        <v>137</v>
      </c>
      <c r="F24" s="3">
        <f t="shared" ref="F24:F37" si="5">(B24/2)/E24</f>
        <v>37.485401459854018</v>
      </c>
      <c r="H24" s="1">
        <v>12.5</v>
      </c>
      <c r="I24" s="1" t="s">
        <v>47</v>
      </c>
    </row>
    <row r="25" spans="1:9">
      <c r="A25" s="1">
        <v>3</v>
      </c>
      <c r="B25" s="3">
        <v>10289</v>
      </c>
      <c r="C25" s="3">
        <f t="shared" ref="C25:C32" si="6">C24</f>
        <v>111</v>
      </c>
      <c r="D25" s="3">
        <f t="shared" si="4"/>
        <v>46.346846846846844</v>
      </c>
      <c r="E25" s="3">
        <f t="shared" ref="E25:E36" si="7">E24</f>
        <v>137</v>
      </c>
      <c r="F25" s="3">
        <f t="shared" si="5"/>
        <v>37.551094890510946</v>
      </c>
    </row>
    <row r="26" spans="1:9">
      <c r="A26" s="1">
        <v>5</v>
      </c>
      <c r="B26" s="3">
        <v>10803</v>
      </c>
      <c r="C26" s="3">
        <f>C25+2+(-4)</f>
        <v>109</v>
      </c>
      <c r="D26" s="3">
        <f t="shared" si="4"/>
        <v>49.555045871559635</v>
      </c>
      <c r="E26" s="3">
        <f>E25+2</f>
        <v>139</v>
      </c>
      <c r="F26" s="3">
        <f t="shared" si="5"/>
        <v>38.859712230215827</v>
      </c>
    </row>
    <row r="27" spans="1:9">
      <c r="A27" s="1">
        <v>7</v>
      </c>
      <c r="B27" s="3">
        <v>10280</v>
      </c>
      <c r="C27" s="3">
        <f>C26+2+(-3)+(-1)</f>
        <v>107</v>
      </c>
      <c r="D27" s="3">
        <f t="shared" si="4"/>
        <v>48.037383177570092</v>
      </c>
      <c r="E27" s="3">
        <f>E26+1</f>
        <v>140</v>
      </c>
      <c r="F27" s="3">
        <f t="shared" si="5"/>
        <v>36.714285714285715</v>
      </c>
    </row>
    <row r="28" spans="1:9">
      <c r="A28" s="1">
        <v>9</v>
      </c>
      <c r="B28" s="3">
        <v>9636</v>
      </c>
      <c r="C28" s="3">
        <f>C27+2</f>
        <v>109</v>
      </c>
      <c r="D28" s="3">
        <f t="shared" si="4"/>
        <v>44.201834862385319</v>
      </c>
      <c r="E28" s="3">
        <f>E27+1</f>
        <v>141</v>
      </c>
      <c r="F28" s="3">
        <f t="shared" si="5"/>
        <v>34.170212765957444</v>
      </c>
    </row>
    <row r="29" spans="1:9">
      <c r="A29" s="1">
        <v>11</v>
      </c>
      <c r="B29" s="3">
        <v>9768</v>
      </c>
      <c r="C29" s="3">
        <f>C28+1</f>
        <v>110</v>
      </c>
      <c r="D29" s="3">
        <f t="shared" si="4"/>
        <v>44.4</v>
      </c>
      <c r="E29" s="3">
        <f>E28+1</f>
        <v>142</v>
      </c>
      <c r="F29" s="3">
        <f t="shared" si="5"/>
        <v>34.394366197183096</v>
      </c>
    </row>
    <row r="30" spans="1:9">
      <c r="A30" s="1">
        <v>13</v>
      </c>
      <c r="B30" s="3">
        <v>9989</v>
      </c>
      <c r="C30" s="2">
        <f>C29+1+4+(3)</f>
        <v>118</v>
      </c>
      <c r="D30" s="3">
        <f t="shared" si="4"/>
        <v>42.326271186440678</v>
      </c>
      <c r="E30" s="3">
        <f>C30+28</f>
        <v>146</v>
      </c>
      <c r="F30" s="3">
        <f t="shared" si="5"/>
        <v>34.208904109589042</v>
      </c>
    </row>
    <row r="31" spans="1:9">
      <c r="A31" s="1">
        <v>15</v>
      </c>
      <c r="B31" s="3">
        <v>10156</v>
      </c>
      <c r="C31" s="3">
        <f>C30+1</f>
        <v>119</v>
      </c>
      <c r="D31" s="3">
        <f t="shared" si="4"/>
        <v>42.672268907563023</v>
      </c>
      <c r="E31" s="3">
        <f>E30+1</f>
        <v>147</v>
      </c>
      <c r="F31" s="3">
        <f t="shared" si="5"/>
        <v>34.544217687074827</v>
      </c>
    </row>
    <row r="32" spans="1:9">
      <c r="A32" s="1">
        <v>17</v>
      </c>
      <c r="B32" s="3">
        <v>9671</v>
      </c>
      <c r="C32" s="5">
        <f t="shared" si="6"/>
        <v>119</v>
      </c>
      <c r="D32" s="3">
        <f t="shared" si="4"/>
        <v>40.634453781512605</v>
      </c>
      <c r="E32" s="5">
        <f>C32+28</f>
        <v>147</v>
      </c>
      <c r="F32" s="3">
        <f t="shared" si="5"/>
        <v>32.894557823129254</v>
      </c>
    </row>
    <row r="33" spans="1:9">
      <c r="A33" s="3">
        <v>19</v>
      </c>
      <c r="B33" s="3">
        <v>9095</v>
      </c>
      <c r="C33" s="3">
        <f>C32+(-12)+1</f>
        <v>108</v>
      </c>
      <c r="D33" s="3">
        <f t="shared" si="4"/>
        <v>42.106481481481481</v>
      </c>
      <c r="E33" s="3">
        <f>E32+1</f>
        <v>148</v>
      </c>
      <c r="F33" s="3">
        <f t="shared" si="5"/>
        <v>30.726351351351351</v>
      </c>
    </row>
    <row r="34" spans="1:9">
      <c r="A34" s="1">
        <v>21</v>
      </c>
      <c r="B34" s="3">
        <v>9432</v>
      </c>
      <c r="C34" s="3">
        <f>C33+1</f>
        <v>109</v>
      </c>
      <c r="D34" s="3">
        <f t="shared" si="4"/>
        <v>43.26605504587156</v>
      </c>
      <c r="E34" s="3">
        <f>E33+1</f>
        <v>149</v>
      </c>
      <c r="F34" s="3">
        <f t="shared" si="5"/>
        <v>31.651006711409394</v>
      </c>
    </row>
    <row r="35" spans="1:9">
      <c r="A35" s="1">
        <v>23</v>
      </c>
      <c r="B35" s="3">
        <v>9299</v>
      </c>
      <c r="C35" s="3">
        <f>C34+1</f>
        <v>110</v>
      </c>
      <c r="D35" s="3">
        <f t="shared" si="4"/>
        <v>42.268181818181816</v>
      </c>
      <c r="E35" s="3">
        <f>E34+1</f>
        <v>150</v>
      </c>
      <c r="F35" s="3">
        <f t="shared" si="5"/>
        <v>30.996666666666666</v>
      </c>
    </row>
    <row r="36" spans="1:9">
      <c r="A36" s="1">
        <v>25</v>
      </c>
      <c r="B36" s="3">
        <v>8846</v>
      </c>
      <c r="C36" s="3">
        <f>C35+(-2)</f>
        <v>108</v>
      </c>
      <c r="D36" s="3">
        <f t="shared" si="4"/>
        <v>40.953703703703702</v>
      </c>
      <c r="E36" s="3">
        <f t="shared" si="7"/>
        <v>150</v>
      </c>
      <c r="F36" s="3">
        <f t="shared" si="5"/>
        <v>29.486666666666668</v>
      </c>
      <c r="G36" s="1" t="s">
        <v>48</v>
      </c>
    </row>
    <row r="37" spans="1:9">
      <c r="A37" s="1">
        <v>27</v>
      </c>
      <c r="B37" s="3">
        <v>9255</v>
      </c>
      <c r="C37" s="3">
        <f>C36+4+1+1+(-1)</f>
        <v>113</v>
      </c>
      <c r="D37" s="3">
        <f t="shared" si="4"/>
        <v>40.951327433628322</v>
      </c>
      <c r="E37" s="3">
        <f>E36+2+1</f>
        <v>153</v>
      </c>
      <c r="F37" s="3">
        <f t="shared" si="5"/>
        <v>30.245098039215687</v>
      </c>
    </row>
    <row r="38" spans="1:9">
      <c r="A38" s="1" t="s">
        <v>12</v>
      </c>
      <c r="B38" s="1">
        <f>SUM(B24:B37)/14</f>
        <v>9770.7142857142862</v>
      </c>
      <c r="C38" s="1">
        <f>SUM(C24:C37)/14</f>
        <v>111.5</v>
      </c>
      <c r="D38" s="1">
        <f>SUM(D24:D37)/14</f>
        <v>43.856115705893629</v>
      </c>
      <c r="E38" s="1">
        <f>SUM(E24:E37)/14</f>
        <v>144.71428571428572</v>
      </c>
      <c r="F38" s="1">
        <f>SUM(F24:F37)/14</f>
        <v>33.852038736650719</v>
      </c>
    </row>
    <row r="40" spans="1:9">
      <c r="A40" s="1" t="s">
        <v>28</v>
      </c>
      <c r="D40" s="1" t="s">
        <v>0</v>
      </c>
    </row>
    <row r="41" spans="1:9">
      <c r="B41" s="1" t="s">
        <v>1</v>
      </c>
      <c r="C41" s="1" t="s">
        <v>2</v>
      </c>
      <c r="D41" s="1" t="s">
        <v>3</v>
      </c>
      <c r="E41" s="1" t="s">
        <v>4</v>
      </c>
      <c r="F41" s="1" t="s">
        <v>3</v>
      </c>
      <c r="H41" s="1" t="s">
        <v>45</v>
      </c>
    </row>
    <row r="42" spans="1:9">
      <c r="A42" s="1" t="s">
        <v>26</v>
      </c>
      <c r="B42" s="5">
        <v>10068</v>
      </c>
      <c r="C42" s="5">
        <v>106.8</v>
      </c>
      <c r="D42" s="5">
        <v>47.14</v>
      </c>
      <c r="E42" s="5">
        <v>141.87</v>
      </c>
      <c r="F42" s="5">
        <v>35.479999999999997</v>
      </c>
      <c r="H42" s="5">
        <v>12</v>
      </c>
      <c r="I42" s="1" t="s">
        <v>46</v>
      </c>
    </row>
    <row r="43" spans="1:9">
      <c r="A43" s="1">
        <v>1</v>
      </c>
      <c r="B43" s="3">
        <v>9157</v>
      </c>
      <c r="C43" s="3">
        <f>113+1+3+(-4)</f>
        <v>113</v>
      </c>
      <c r="D43" s="10">
        <f t="shared" ref="D43:D56" si="8">(B43/2)/C43</f>
        <v>40.517699115044245</v>
      </c>
      <c r="E43" s="3">
        <f>153+2</f>
        <v>155</v>
      </c>
      <c r="F43" s="3">
        <f t="shared" ref="F43:F56" si="9">(B43/2)/E43</f>
        <v>29.538709677419355</v>
      </c>
      <c r="H43" s="1">
        <v>14</v>
      </c>
      <c r="I43" s="1" t="s">
        <v>47</v>
      </c>
    </row>
    <row r="44" spans="1:9">
      <c r="A44" s="1">
        <v>3</v>
      </c>
      <c r="B44" s="3">
        <v>8953</v>
      </c>
      <c r="C44" s="3">
        <f>C43+1</f>
        <v>114</v>
      </c>
      <c r="D44" s="3">
        <f t="shared" si="8"/>
        <v>39.267543859649123</v>
      </c>
      <c r="E44" s="3">
        <f>E43+1</f>
        <v>156</v>
      </c>
      <c r="F44" s="3">
        <f t="shared" si="9"/>
        <v>28.695512820512821</v>
      </c>
    </row>
    <row r="45" spans="1:9">
      <c r="A45" s="1">
        <v>5</v>
      </c>
      <c r="B45" s="3">
        <v>9379</v>
      </c>
      <c r="C45" s="3">
        <f t="shared" ref="C45" si="10">C44</f>
        <v>114</v>
      </c>
      <c r="D45" s="3">
        <f t="shared" si="8"/>
        <v>41.135964912280699</v>
      </c>
      <c r="E45" s="3">
        <f t="shared" ref="E45" si="11">E44</f>
        <v>156</v>
      </c>
      <c r="F45" s="3">
        <f t="shared" si="9"/>
        <v>30.060897435897434</v>
      </c>
    </row>
    <row r="46" spans="1:9">
      <c r="A46" s="1">
        <v>7</v>
      </c>
      <c r="B46" s="3">
        <v>9662</v>
      </c>
      <c r="C46" s="3">
        <f t="shared" ref="C46" si="12">C45</f>
        <v>114</v>
      </c>
      <c r="D46" s="3">
        <f t="shared" si="8"/>
        <v>42.377192982456137</v>
      </c>
      <c r="E46" s="3">
        <f t="shared" ref="E46" si="13">E45</f>
        <v>156</v>
      </c>
      <c r="F46" s="3">
        <f t="shared" si="9"/>
        <v>30.967948717948719</v>
      </c>
    </row>
    <row r="47" spans="1:9">
      <c r="A47" s="1">
        <v>9</v>
      </c>
      <c r="B47" s="3">
        <v>9751</v>
      </c>
      <c r="C47" s="3">
        <f>C46+1</f>
        <v>115</v>
      </c>
      <c r="D47" s="3">
        <f t="shared" si="8"/>
        <v>42.395652173913042</v>
      </c>
      <c r="E47" s="3">
        <f t="shared" ref="E47" si="14">E46</f>
        <v>156</v>
      </c>
      <c r="F47" s="3">
        <f t="shared" si="9"/>
        <v>31.253205128205128</v>
      </c>
    </row>
    <row r="48" spans="1:9">
      <c r="A48" s="1">
        <v>11</v>
      </c>
      <c r="B48" s="3">
        <v>9786</v>
      </c>
      <c r="C48" s="5">
        <f>C47+1+2</f>
        <v>118</v>
      </c>
      <c r="D48" s="3">
        <f t="shared" si="8"/>
        <v>41.466101694915253</v>
      </c>
      <c r="E48" s="3">
        <f>E47+1+1</f>
        <v>158</v>
      </c>
      <c r="F48" s="3">
        <f t="shared" si="9"/>
        <v>30.968354430379748</v>
      </c>
    </row>
    <row r="49" spans="1:9">
      <c r="A49" s="1">
        <v>13</v>
      </c>
      <c r="B49" s="3">
        <v>10006</v>
      </c>
      <c r="C49" s="3">
        <f>C48+1+(-5)</f>
        <v>114</v>
      </c>
      <c r="D49" s="3">
        <f t="shared" si="8"/>
        <v>43.885964912280699</v>
      </c>
      <c r="E49" s="3">
        <f t="shared" ref="E49" si="15">E48</f>
        <v>158</v>
      </c>
      <c r="F49" s="3">
        <f t="shared" si="9"/>
        <v>31.664556962025316</v>
      </c>
    </row>
    <row r="50" spans="1:9">
      <c r="A50" s="1">
        <v>15</v>
      </c>
      <c r="B50" s="3">
        <v>9733</v>
      </c>
      <c r="C50" s="3">
        <f>C49+1+1</f>
        <v>116</v>
      </c>
      <c r="D50" s="3">
        <f t="shared" si="8"/>
        <v>41.952586206896555</v>
      </c>
      <c r="E50" s="3">
        <f>E49+1</f>
        <v>159</v>
      </c>
      <c r="F50" s="3">
        <f t="shared" si="9"/>
        <v>30.60691823899371</v>
      </c>
    </row>
    <row r="51" spans="1:9">
      <c r="A51" s="1">
        <v>17</v>
      </c>
      <c r="B51" s="3">
        <v>10077</v>
      </c>
      <c r="C51" s="3">
        <f>C50+1</f>
        <v>117</v>
      </c>
      <c r="D51" s="3">
        <f t="shared" si="8"/>
        <v>43.064102564102562</v>
      </c>
      <c r="E51" s="3">
        <f>E50+1</f>
        <v>160</v>
      </c>
      <c r="F51" s="3">
        <f t="shared" si="9"/>
        <v>31.490625000000001</v>
      </c>
    </row>
    <row r="52" spans="1:9">
      <c r="A52" s="1">
        <v>19</v>
      </c>
      <c r="B52" s="3">
        <f>7948+2400</f>
        <v>10348</v>
      </c>
      <c r="C52" s="3">
        <f>C51+1</f>
        <v>118</v>
      </c>
      <c r="D52" s="3">
        <f t="shared" si="8"/>
        <v>43.847457627118644</v>
      </c>
      <c r="E52" s="3">
        <f t="shared" ref="E52" si="16">E51</f>
        <v>160</v>
      </c>
      <c r="F52" s="3">
        <f t="shared" si="9"/>
        <v>32.337499999999999</v>
      </c>
      <c r="G52" s="1" t="s">
        <v>51</v>
      </c>
    </row>
    <row r="53" spans="1:9">
      <c r="A53" s="1">
        <v>21</v>
      </c>
      <c r="B53" s="3">
        <v>10147</v>
      </c>
      <c r="C53" s="3">
        <f>C52+1</f>
        <v>119</v>
      </c>
      <c r="D53" s="3">
        <f t="shared" si="8"/>
        <v>42.634453781512605</v>
      </c>
      <c r="E53" s="3">
        <f t="shared" ref="E53" si="17">E52</f>
        <v>160</v>
      </c>
      <c r="F53" s="3">
        <f t="shared" si="9"/>
        <v>31.709375000000001</v>
      </c>
    </row>
    <row r="54" spans="1:9">
      <c r="A54" s="1">
        <v>23</v>
      </c>
      <c r="B54" s="3">
        <v>9941</v>
      </c>
      <c r="C54" s="3">
        <f>C53+(-1)</f>
        <v>118</v>
      </c>
      <c r="D54" s="3">
        <f t="shared" si="8"/>
        <v>42.122881355932201</v>
      </c>
      <c r="E54" s="3">
        <f>E53+(-1)</f>
        <v>159</v>
      </c>
      <c r="F54" s="3">
        <f t="shared" si="9"/>
        <v>31.261006289308177</v>
      </c>
    </row>
    <row r="55" spans="1:9">
      <c r="A55" s="1">
        <v>25</v>
      </c>
      <c r="B55" s="3">
        <v>10329</v>
      </c>
      <c r="C55" s="5">
        <f>120+2+1</f>
        <v>123</v>
      </c>
      <c r="D55" s="3">
        <f t="shared" si="8"/>
        <v>41.987804878048777</v>
      </c>
      <c r="E55" s="5">
        <f>120+1+38+1</f>
        <v>160</v>
      </c>
      <c r="F55" s="3">
        <f t="shared" si="9"/>
        <v>32.278125000000003</v>
      </c>
    </row>
    <row r="56" spans="1:9">
      <c r="A56" s="1">
        <v>27</v>
      </c>
      <c r="B56" s="3">
        <v>10538</v>
      </c>
      <c r="C56" s="3">
        <f>C55+1</f>
        <v>124</v>
      </c>
      <c r="D56" s="3">
        <f t="shared" si="8"/>
        <v>42.491935483870968</v>
      </c>
      <c r="E56" s="3">
        <f>E55+1</f>
        <v>161</v>
      </c>
      <c r="F56" s="3">
        <f t="shared" si="9"/>
        <v>32.726708074534159</v>
      </c>
    </row>
    <row r="57" spans="1:9">
      <c r="A57" s="1">
        <v>29</v>
      </c>
      <c r="B57" s="3">
        <v>11197</v>
      </c>
      <c r="C57" s="3">
        <f>C56+1</f>
        <v>125</v>
      </c>
      <c r="D57" s="3">
        <f t="shared" ref="D57:D58" si="18">(B57/2)/C57</f>
        <v>44.787999999999997</v>
      </c>
      <c r="E57" s="3">
        <f>E56+0</f>
        <v>161</v>
      </c>
      <c r="F57" s="3">
        <f t="shared" ref="F57:F58" si="19">(B57/2)/E57</f>
        <v>34.773291925465841</v>
      </c>
    </row>
    <row r="58" spans="1:9">
      <c r="A58" s="1">
        <v>31</v>
      </c>
      <c r="B58" s="3">
        <v>11249</v>
      </c>
      <c r="C58" s="3">
        <f>C57+2+1</f>
        <v>128</v>
      </c>
      <c r="D58" s="3">
        <f t="shared" si="18"/>
        <v>43.94140625</v>
      </c>
      <c r="E58" s="3">
        <f>E57+1</f>
        <v>162</v>
      </c>
      <c r="F58" s="3">
        <f t="shared" si="19"/>
        <v>34.719135802469133</v>
      </c>
    </row>
    <row r="59" spans="1:9">
      <c r="A59" s="1" t="s">
        <v>12</v>
      </c>
      <c r="B59" s="1">
        <f>SUM(B43:B58)/16</f>
        <v>10015.8125</v>
      </c>
      <c r="C59" s="1">
        <f>SUM(C43:C58)/16</f>
        <v>118.125</v>
      </c>
      <c r="D59" s="1">
        <f>SUM(D43:D58)/16</f>
        <v>42.36729673737635</v>
      </c>
      <c r="E59" s="1">
        <f>SUM(E43:E58)/16</f>
        <v>158.5625</v>
      </c>
      <c r="F59" s="1">
        <f>SUM(F43:F58)/16</f>
        <v>31.565741906447467</v>
      </c>
    </row>
    <row r="61" spans="1:9">
      <c r="A61" s="1" t="s">
        <v>29</v>
      </c>
      <c r="D61" s="1" t="s">
        <v>0</v>
      </c>
    </row>
    <row r="62" spans="1:9">
      <c r="B62" s="1" t="s">
        <v>1</v>
      </c>
      <c r="C62" s="1" t="s">
        <v>2</v>
      </c>
      <c r="D62" s="1" t="s">
        <v>3</v>
      </c>
      <c r="E62" s="1" t="s">
        <v>4</v>
      </c>
      <c r="F62" s="1" t="s">
        <v>3</v>
      </c>
      <c r="H62" s="1" t="s">
        <v>45</v>
      </c>
    </row>
    <row r="63" spans="1:9">
      <c r="A63" s="1" t="s">
        <v>26</v>
      </c>
      <c r="B63" s="5">
        <v>10822</v>
      </c>
      <c r="C63" s="5">
        <v>117</v>
      </c>
      <c r="D63" s="5">
        <v>46.07</v>
      </c>
      <c r="E63" s="5">
        <v>146.53</v>
      </c>
      <c r="F63" s="5">
        <v>36.75</v>
      </c>
      <c r="H63" s="5">
        <v>12.5</v>
      </c>
      <c r="I63" s="1" t="s">
        <v>46</v>
      </c>
    </row>
    <row r="64" spans="1:9">
      <c r="A64" s="3">
        <v>2</v>
      </c>
      <c r="B64" s="3">
        <v>11927</v>
      </c>
      <c r="C64" s="3">
        <f>128+4</f>
        <v>132</v>
      </c>
      <c r="D64" s="3">
        <f t="shared" ref="D64:D78" si="20">(B64/2)/C64</f>
        <v>45.178030303030305</v>
      </c>
      <c r="E64" s="3">
        <v>164</v>
      </c>
      <c r="F64" s="3">
        <f t="shared" ref="F64:F78" si="21">(B64/2)/E64</f>
        <v>36.362804878048777</v>
      </c>
      <c r="H64" s="1">
        <v>12</v>
      </c>
      <c r="I64" s="1" t="s">
        <v>47</v>
      </c>
    </row>
    <row r="65" spans="1:7">
      <c r="A65" s="3">
        <v>4</v>
      </c>
      <c r="B65" s="3">
        <v>12588</v>
      </c>
      <c r="C65" s="3">
        <f>C64+1+1</f>
        <v>134</v>
      </c>
      <c r="D65" s="3">
        <f t="shared" si="20"/>
        <v>46.970149253731343</v>
      </c>
      <c r="E65" s="3">
        <f>E64+1</f>
        <v>165</v>
      </c>
      <c r="F65" s="3">
        <f t="shared" si="21"/>
        <v>38.145454545454548</v>
      </c>
    </row>
    <row r="66" spans="1:7">
      <c r="A66" s="3">
        <v>6</v>
      </c>
      <c r="B66" s="3">
        <f>13009+565</f>
        <v>13574</v>
      </c>
      <c r="C66" s="5">
        <f>C65+1+1</f>
        <v>136</v>
      </c>
      <c r="D66" s="3">
        <f t="shared" si="20"/>
        <v>49.904411764705884</v>
      </c>
      <c r="E66" s="5">
        <f>136+30</f>
        <v>166</v>
      </c>
      <c r="F66" s="3">
        <f t="shared" si="21"/>
        <v>40.885542168674696</v>
      </c>
    </row>
    <row r="67" spans="1:7">
      <c r="A67" s="3">
        <v>8</v>
      </c>
      <c r="B67" s="3">
        <v>13091</v>
      </c>
      <c r="C67" s="3">
        <f t="shared" ref="C67" si="22">C66</f>
        <v>136</v>
      </c>
      <c r="D67" s="3">
        <f t="shared" si="20"/>
        <v>48.128676470588232</v>
      </c>
      <c r="E67" s="3">
        <f t="shared" ref="E67" si="23">E66</f>
        <v>166</v>
      </c>
      <c r="F67" s="3">
        <f t="shared" si="21"/>
        <v>39.430722891566262</v>
      </c>
    </row>
    <row r="68" spans="1:7">
      <c r="A68" s="3">
        <v>10</v>
      </c>
      <c r="B68" s="3">
        <v>13226</v>
      </c>
      <c r="C68" s="3">
        <f>C67+1+1</f>
        <v>138</v>
      </c>
      <c r="D68" s="3">
        <f t="shared" si="20"/>
        <v>47.920289855072461</v>
      </c>
      <c r="E68" s="3">
        <f>E67+1</f>
        <v>167</v>
      </c>
      <c r="F68" s="3">
        <f t="shared" si="21"/>
        <v>39.598802395209582</v>
      </c>
    </row>
    <row r="69" spans="1:7">
      <c r="A69" s="3">
        <v>12</v>
      </c>
      <c r="B69" s="3">
        <v>13732</v>
      </c>
      <c r="C69" s="3">
        <f t="shared" ref="C69" si="24">C68</f>
        <v>138</v>
      </c>
      <c r="D69" s="3">
        <f t="shared" si="20"/>
        <v>49.753623188405797</v>
      </c>
      <c r="E69" s="3">
        <f t="shared" ref="E69" si="25">E68</f>
        <v>167</v>
      </c>
      <c r="F69" s="3">
        <f t="shared" si="21"/>
        <v>41.113772455089823</v>
      </c>
    </row>
    <row r="70" spans="1:7">
      <c r="A70" s="3">
        <v>14</v>
      </c>
      <c r="B70" s="3">
        <v>13957</v>
      </c>
      <c r="C70" s="3">
        <f t="shared" ref="C70" si="26">C69</f>
        <v>138</v>
      </c>
      <c r="D70" s="3">
        <f t="shared" si="20"/>
        <v>50.568840579710148</v>
      </c>
      <c r="E70" s="3">
        <f t="shared" ref="E70" si="27">E69</f>
        <v>167</v>
      </c>
      <c r="F70" s="3">
        <f t="shared" si="21"/>
        <v>41.787425149700596</v>
      </c>
    </row>
    <row r="71" spans="1:7">
      <c r="A71" s="3">
        <v>16</v>
      </c>
      <c r="B71" s="3">
        <v>14401</v>
      </c>
      <c r="C71" s="2">
        <f>C70+1</f>
        <v>139</v>
      </c>
      <c r="D71" s="3">
        <f t="shared" si="20"/>
        <v>51.802158273381295</v>
      </c>
      <c r="E71" s="3">
        <f>E70+1</f>
        <v>168</v>
      </c>
      <c r="F71" s="3">
        <f t="shared" si="21"/>
        <v>42.860119047619051</v>
      </c>
    </row>
    <row r="72" spans="1:7">
      <c r="A72" s="3">
        <v>18</v>
      </c>
      <c r="B72" s="3">
        <v>14602</v>
      </c>
      <c r="C72" s="2">
        <f>C71+2</f>
        <v>141</v>
      </c>
      <c r="D72" s="3">
        <f t="shared" si="20"/>
        <v>51.780141843971634</v>
      </c>
      <c r="E72" s="3">
        <f>E71+2</f>
        <v>170</v>
      </c>
      <c r="F72" s="3">
        <f t="shared" si="21"/>
        <v>42.94705882352941</v>
      </c>
    </row>
    <row r="73" spans="1:7">
      <c r="A73" s="3">
        <v>20</v>
      </c>
      <c r="B73" s="3">
        <v>14411</v>
      </c>
      <c r="C73" s="2">
        <f>C72+1</f>
        <v>142</v>
      </c>
      <c r="D73" s="3">
        <f t="shared" si="20"/>
        <v>50.742957746478872</v>
      </c>
      <c r="E73" s="3">
        <f t="shared" ref="E73" si="28">E72</f>
        <v>170</v>
      </c>
      <c r="F73" s="3">
        <f t="shared" si="21"/>
        <v>42.385294117647057</v>
      </c>
    </row>
    <row r="74" spans="1:7">
      <c r="A74" s="3">
        <v>22</v>
      </c>
      <c r="B74" s="3">
        <v>14843</v>
      </c>
      <c r="C74" s="2">
        <f>C73+1</f>
        <v>143</v>
      </c>
      <c r="D74" s="3">
        <f t="shared" si="20"/>
        <v>51.8986013986014</v>
      </c>
      <c r="E74" s="3">
        <f t="shared" ref="E74" si="29">E73</f>
        <v>170</v>
      </c>
      <c r="F74" s="3">
        <f t="shared" si="21"/>
        <v>43.655882352941177</v>
      </c>
    </row>
    <row r="75" spans="1:7">
      <c r="A75" s="3">
        <v>24</v>
      </c>
      <c r="B75" s="3">
        <v>13976</v>
      </c>
      <c r="C75" s="2">
        <f>C74+1+(-2)</f>
        <v>142</v>
      </c>
      <c r="D75" s="3">
        <f t="shared" si="20"/>
        <v>49.2112676056338</v>
      </c>
      <c r="E75" s="3">
        <f>E74+1</f>
        <v>171</v>
      </c>
      <c r="F75" s="3">
        <f t="shared" si="21"/>
        <v>40.865497076023395</v>
      </c>
    </row>
    <row r="76" spans="1:7">
      <c r="A76" s="3">
        <v>26</v>
      </c>
      <c r="B76" s="3">
        <v>14647</v>
      </c>
      <c r="C76" s="2">
        <f>C75+(-1)+2+1</f>
        <v>144</v>
      </c>
      <c r="D76" s="3">
        <f t="shared" si="20"/>
        <v>50.857638888888886</v>
      </c>
      <c r="E76" s="3">
        <f>E75+(1-1)</f>
        <v>171</v>
      </c>
      <c r="F76" s="3">
        <f t="shared" si="21"/>
        <v>42.827485380116961</v>
      </c>
    </row>
    <row r="77" spans="1:7">
      <c r="A77" s="3">
        <v>28</v>
      </c>
      <c r="B77" s="2">
        <f>3344+11454</f>
        <v>14798</v>
      </c>
      <c r="C77" s="2">
        <f>C76+(-1)</f>
        <v>143</v>
      </c>
      <c r="D77" s="2">
        <f t="shared" si="20"/>
        <v>51.74125874125874</v>
      </c>
      <c r="E77" s="2">
        <f>E76+(-2)</f>
        <v>169</v>
      </c>
      <c r="F77" s="2">
        <f t="shared" si="21"/>
        <v>43.781065088757394</v>
      </c>
      <c r="G77" s="1" t="s">
        <v>50</v>
      </c>
    </row>
    <row r="78" spans="1:7">
      <c r="A78" s="3">
        <v>30</v>
      </c>
      <c r="B78" s="3">
        <f>10912+3370</f>
        <v>14282</v>
      </c>
      <c r="C78" s="3">
        <f>C77+(1-1)</f>
        <v>143</v>
      </c>
      <c r="D78" s="3">
        <f t="shared" si="20"/>
        <v>49.93706293706294</v>
      </c>
      <c r="E78" s="3">
        <f>E77+(1-1)</f>
        <v>169</v>
      </c>
      <c r="F78" s="3">
        <f t="shared" si="21"/>
        <v>42.254437869822482</v>
      </c>
    </row>
    <row r="79" spans="1:7">
      <c r="A79" s="1" t="s">
        <v>12</v>
      </c>
      <c r="B79" s="1">
        <f>SUM(B64:B78)/15</f>
        <v>13870.333333333334</v>
      </c>
      <c r="C79" s="1">
        <f>SUM(C64:C78)/15</f>
        <v>139.26666666666668</v>
      </c>
      <c r="D79" s="1">
        <f>SUM(D64:D78)/15</f>
        <v>49.759673923368119</v>
      </c>
      <c r="E79" s="1">
        <f>SUM(E64:E78)/15</f>
        <v>168</v>
      </c>
      <c r="F79" s="1">
        <f>SUM(F64:F78)/15</f>
        <v>41.260090949346747</v>
      </c>
    </row>
    <row r="81" spans="1:9">
      <c r="A81" s="1" t="s">
        <v>30</v>
      </c>
      <c r="D81" s="1" t="s">
        <v>0</v>
      </c>
    </row>
    <row r="82" spans="1:9">
      <c r="B82" s="1" t="s">
        <v>1</v>
      </c>
      <c r="C82" s="1" t="s">
        <v>2</v>
      </c>
      <c r="D82" s="1" t="s">
        <v>3</v>
      </c>
      <c r="E82" s="1" t="s">
        <v>4</v>
      </c>
      <c r="F82" s="1" t="s">
        <v>3</v>
      </c>
      <c r="H82" s="1" t="s">
        <v>45</v>
      </c>
    </row>
    <row r="83" spans="1:9">
      <c r="A83" s="1" t="s">
        <v>26</v>
      </c>
      <c r="B83" s="5">
        <v>13130</v>
      </c>
      <c r="C83" s="5">
        <v>118.31</v>
      </c>
      <c r="D83" s="5">
        <v>55.55</v>
      </c>
      <c r="E83" s="5">
        <v>154.88</v>
      </c>
      <c r="F83" s="5">
        <v>42.4</v>
      </c>
      <c r="H83" s="5">
        <v>11.25</v>
      </c>
      <c r="I83" s="1" t="s">
        <v>46</v>
      </c>
    </row>
    <row r="84" spans="1:9">
      <c r="A84" s="3">
        <v>2</v>
      </c>
      <c r="B84" s="3">
        <f>10677+3983</f>
        <v>14660</v>
      </c>
      <c r="C84" s="3">
        <f>143+2</f>
        <v>145</v>
      </c>
      <c r="D84" s="3">
        <f t="shared" ref="D84:D97" si="30">(B84/2)/C84</f>
        <v>50.551724137931032</v>
      </c>
      <c r="E84" s="3">
        <f>168+2</f>
        <v>170</v>
      </c>
      <c r="F84" s="3">
        <f t="shared" ref="F84:F97" si="31">(B84/2)/E84</f>
        <v>43.117647058823529</v>
      </c>
      <c r="H84" s="1">
        <v>12.13</v>
      </c>
      <c r="I84" s="1" t="s">
        <v>47</v>
      </c>
    </row>
    <row r="85" spans="1:9">
      <c r="A85" s="3">
        <v>4</v>
      </c>
      <c r="B85" s="3">
        <f>11068+4141</f>
        <v>15209</v>
      </c>
      <c r="C85" s="5">
        <v>138</v>
      </c>
      <c r="D85" s="3">
        <f t="shared" si="30"/>
        <v>55.105072463768117</v>
      </c>
      <c r="E85" s="3">
        <f t="shared" ref="E85:E98" si="32">E84</f>
        <v>170</v>
      </c>
      <c r="F85" s="3">
        <f t="shared" si="31"/>
        <v>44.732352941176472</v>
      </c>
    </row>
    <row r="86" spans="1:9">
      <c r="A86" s="3">
        <v>6</v>
      </c>
      <c r="B86" s="3">
        <f>10999+4310</f>
        <v>15309</v>
      </c>
      <c r="C86" s="5">
        <f>138+4</f>
        <v>142</v>
      </c>
      <c r="D86" s="3">
        <f t="shared" si="30"/>
        <v>53.904929577464792</v>
      </c>
      <c r="E86" s="5">
        <f>31+142</f>
        <v>173</v>
      </c>
      <c r="F86" s="3">
        <f t="shared" si="31"/>
        <v>44.24566473988439</v>
      </c>
      <c r="G86" s="1" t="s">
        <v>53</v>
      </c>
    </row>
    <row r="87" spans="1:9" s="1" customFormat="1">
      <c r="A87" s="3">
        <v>8</v>
      </c>
      <c r="B87" s="3">
        <f>3869+10011</f>
        <v>13880</v>
      </c>
      <c r="C87" s="3">
        <f>C86+1+(-12)</f>
        <v>131</v>
      </c>
      <c r="D87" s="3">
        <f t="shared" si="30"/>
        <v>52.977099236641223</v>
      </c>
      <c r="E87" s="3">
        <f>E86+1</f>
        <v>174</v>
      </c>
      <c r="F87" s="3">
        <f t="shared" si="31"/>
        <v>39.885057471264368</v>
      </c>
    </row>
    <row r="88" spans="1:9">
      <c r="A88" s="3">
        <v>10</v>
      </c>
      <c r="B88" s="3">
        <f>7285+6826</f>
        <v>14111</v>
      </c>
      <c r="C88" s="3">
        <f>C87+(3-2)</f>
        <v>132</v>
      </c>
      <c r="D88" s="3">
        <f t="shared" si="30"/>
        <v>53.450757575757578</v>
      </c>
      <c r="E88" s="3">
        <f>E87+(2-2)</f>
        <v>174</v>
      </c>
      <c r="F88" s="3">
        <f t="shared" si="31"/>
        <v>40.548850574712645</v>
      </c>
    </row>
    <row r="89" spans="1:9">
      <c r="A89" s="3">
        <v>12</v>
      </c>
      <c r="B89" s="3">
        <f>7043+7231</f>
        <v>14274</v>
      </c>
      <c r="C89" s="3">
        <f>C88+(-2)</f>
        <v>130</v>
      </c>
      <c r="D89" s="3">
        <f t="shared" si="30"/>
        <v>54.9</v>
      </c>
      <c r="E89" s="3">
        <f>E88+(-2)</f>
        <v>172</v>
      </c>
      <c r="F89" s="3">
        <f t="shared" si="31"/>
        <v>41.494186046511629</v>
      </c>
    </row>
    <row r="90" spans="1:9">
      <c r="A90" s="3">
        <v>14</v>
      </c>
      <c r="B90" s="3">
        <v>14311</v>
      </c>
      <c r="C90" s="3">
        <f>C89</f>
        <v>130</v>
      </c>
      <c r="D90" s="3">
        <f t="shared" si="30"/>
        <v>55.042307692307695</v>
      </c>
      <c r="E90" s="3">
        <f>E89</f>
        <v>172</v>
      </c>
      <c r="F90" s="3">
        <f t="shared" si="31"/>
        <v>41.60174418604651</v>
      </c>
    </row>
    <row r="91" spans="1:9">
      <c r="A91" s="3">
        <v>16</v>
      </c>
      <c r="B91" s="3">
        <f>7514+7168</f>
        <v>14682</v>
      </c>
      <c r="C91" s="3">
        <f>C90+1+1</f>
        <v>132</v>
      </c>
      <c r="D91" s="3">
        <f t="shared" si="30"/>
        <v>55.613636363636367</v>
      </c>
      <c r="E91" s="3">
        <f>E90+1</f>
        <v>173</v>
      </c>
      <c r="F91" s="3">
        <f t="shared" si="31"/>
        <v>42.433526011560694</v>
      </c>
    </row>
    <row r="92" spans="1:9">
      <c r="A92" s="3">
        <v>18</v>
      </c>
      <c r="B92" s="3">
        <f>7007+7402</f>
        <v>14409</v>
      </c>
      <c r="C92" s="3">
        <f>C91+1</f>
        <v>133</v>
      </c>
      <c r="D92" s="3">
        <f t="shared" si="30"/>
        <v>54.169172932330824</v>
      </c>
      <c r="E92" s="3">
        <f t="shared" si="32"/>
        <v>173</v>
      </c>
      <c r="F92" s="3">
        <f t="shared" si="31"/>
        <v>41.644508670520231</v>
      </c>
    </row>
    <row r="93" spans="1:9">
      <c r="A93" s="3">
        <v>20</v>
      </c>
      <c r="B93" s="3">
        <f>7242+7510</f>
        <v>14752</v>
      </c>
      <c r="C93" s="3">
        <f>C92+2</f>
        <v>135</v>
      </c>
      <c r="D93" s="3">
        <f t="shared" si="30"/>
        <v>54.63703703703704</v>
      </c>
      <c r="E93" s="3">
        <f>E92</f>
        <v>173</v>
      </c>
      <c r="F93" s="3">
        <f t="shared" si="31"/>
        <v>42.635838150289018</v>
      </c>
    </row>
    <row r="94" spans="1:9">
      <c r="A94" s="3">
        <v>22</v>
      </c>
      <c r="B94" s="3">
        <f>7096+7106</f>
        <v>14202</v>
      </c>
      <c r="C94" s="2">
        <f>C93+3</f>
        <v>138</v>
      </c>
      <c r="D94" s="3">
        <f t="shared" si="30"/>
        <v>51.456521739130437</v>
      </c>
      <c r="E94" s="3">
        <f t="shared" si="32"/>
        <v>173</v>
      </c>
      <c r="F94" s="3">
        <f t="shared" si="31"/>
        <v>41.046242774566473</v>
      </c>
    </row>
    <row r="95" spans="1:9">
      <c r="A95" s="3">
        <v>24</v>
      </c>
      <c r="B95" s="3">
        <f>6617+6313</f>
        <v>12930</v>
      </c>
      <c r="C95" s="3">
        <f t="shared" ref="C95:C96" si="33">C94</f>
        <v>138</v>
      </c>
      <c r="D95" s="3">
        <f t="shared" si="30"/>
        <v>46.847826086956523</v>
      </c>
      <c r="E95" s="3">
        <f t="shared" si="32"/>
        <v>173</v>
      </c>
      <c r="F95" s="3">
        <f t="shared" si="31"/>
        <v>37.369942196531795</v>
      </c>
      <c r="G95" s="1" t="s">
        <v>54</v>
      </c>
    </row>
    <row r="96" spans="1:9">
      <c r="A96" s="3">
        <v>26</v>
      </c>
      <c r="B96" s="3">
        <f>5812+6871</f>
        <v>12683</v>
      </c>
      <c r="C96" s="3">
        <f t="shared" si="33"/>
        <v>138</v>
      </c>
      <c r="D96" s="3">
        <f t="shared" si="30"/>
        <v>45.95289855072464</v>
      </c>
      <c r="E96" s="3">
        <f t="shared" si="32"/>
        <v>173</v>
      </c>
      <c r="F96" s="3">
        <f t="shared" si="31"/>
        <v>36.656069364161851</v>
      </c>
    </row>
    <row r="97" spans="1:9">
      <c r="A97" s="3">
        <v>28</v>
      </c>
      <c r="B97" s="3">
        <f>6663+6547</f>
        <v>13210</v>
      </c>
      <c r="C97" s="3">
        <f>C96+1</f>
        <v>139</v>
      </c>
      <c r="D97" s="3">
        <f t="shared" si="30"/>
        <v>47.517985611510788</v>
      </c>
      <c r="E97" s="3">
        <f t="shared" si="32"/>
        <v>173</v>
      </c>
      <c r="F97" s="3">
        <f t="shared" si="31"/>
        <v>38.179190751445084</v>
      </c>
    </row>
    <row r="98" spans="1:9">
      <c r="A98" s="3">
        <v>30</v>
      </c>
      <c r="B98" s="3">
        <f>6500+6655</f>
        <v>13155</v>
      </c>
      <c r="C98" s="3">
        <f>C97+1+1</f>
        <v>141</v>
      </c>
      <c r="D98" s="3">
        <f>(B98/2)/C98</f>
        <v>46.648936170212764</v>
      </c>
      <c r="E98" s="3">
        <f t="shared" si="32"/>
        <v>173</v>
      </c>
      <c r="F98" s="3">
        <f>(B98/2)/E98</f>
        <v>38.020231213872833</v>
      </c>
    </row>
    <row r="99" spans="1:9">
      <c r="A99" s="1" t="s">
        <v>12</v>
      </c>
      <c r="B99" s="1">
        <f>SUM(B84:B98)/15</f>
        <v>14118.466666666667</v>
      </c>
      <c r="C99" s="1">
        <f>SUM(C84:C98)/15</f>
        <v>136.13333333333333</v>
      </c>
      <c r="D99" s="1">
        <f>SUM(D84:D98)/15</f>
        <v>51.918393678360644</v>
      </c>
      <c r="E99" s="1">
        <f>SUM(E84:E98)/15</f>
        <v>172.6</v>
      </c>
      <c r="F99" s="1">
        <f>SUM(F84:F98)/15</f>
        <v>40.907403476757828</v>
      </c>
    </row>
    <row r="100" spans="1:9">
      <c r="A100" s="2"/>
      <c r="B100" s="2"/>
      <c r="C100" s="2"/>
      <c r="D100" s="2"/>
      <c r="E100" s="2"/>
      <c r="F100" s="2"/>
    </row>
    <row r="101" spans="1:9">
      <c r="A101" s="1" t="s">
        <v>31</v>
      </c>
      <c r="D101" s="1" t="s">
        <v>0</v>
      </c>
    </row>
    <row r="102" spans="1:9"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3</v>
      </c>
      <c r="H102" s="1" t="s">
        <v>45</v>
      </c>
    </row>
    <row r="103" spans="1:9">
      <c r="A103" s="1" t="s">
        <v>26</v>
      </c>
      <c r="B103" s="5">
        <v>13270</v>
      </c>
      <c r="C103" s="5">
        <v>123.47</v>
      </c>
      <c r="D103" s="5">
        <v>53.76</v>
      </c>
      <c r="E103" s="5">
        <v>156.87</v>
      </c>
      <c r="F103" s="5">
        <v>42.31</v>
      </c>
      <c r="H103" s="5">
        <v>14.5</v>
      </c>
      <c r="I103" s="1" t="s">
        <v>46</v>
      </c>
    </row>
    <row r="104" spans="1:9">
      <c r="A104" s="1">
        <v>1</v>
      </c>
      <c r="B104" s="3">
        <f>7043+6871</f>
        <v>13914</v>
      </c>
      <c r="C104" s="3">
        <f>141+1</f>
        <v>142</v>
      </c>
      <c r="D104" s="3">
        <f t="shared" ref="D104:D117" si="34">(B104/2)/C104</f>
        <v>48.992957746478872</v>
      </c>
      <c r="E104" s="3">
        <v>173</v>
      </c>
      <c r="F104" s="3">
        <f t="shared" ref="F104:F117" si="35">(B104/2)/E104</f>
        <v>40.213872832369944</v>
      </c>
      <c r="H104" s="1">
        <v>10</v>
      </c>
      <c r="I104" s="1" t="s">
        <v>47</v>
      </c>
    </row>
    <row r="105" spans="1:9">
      <c r="A105" s="1">
        <v>3</v>
      </c>
      <c r="B105" s="3">
        <f>6572+6799</f>
        <v>13371</v>
      </c>
      <c r="C105" s="3">
        <f>C104+1</f>
        <v>143</v>
      </c>
      <c r="D105" s="3">
        <f t="shared" si="34"/>
        <v>46.751748251748253</v>
      </c>
      <c r="E105" s="3">
        <f t="shared" ref="E105:E118" si="36">E104</f>
        <v>173</v>
      </c>
      <c r="F105" s="3">
        <f t="shared" si="35"/>
        <v>38.644508670520231</v>
      </c>
    </row>
    <row r="106" spans="1:9">
      <c r="A106" s="1">
        <v>5</v>
      </c>
      <c r="B106" s="3">
        <f>6331+6491</f>
        <v>12822</v>
      </c>
      <c r="C106" s="3">
        <f>C105+1+(-6)</f>
        <v>138</v>
      </c>
      <c r="D106" s="3">
        <f t="shared" si="34"/>
        <v>46.456521739130437</v>
      </c>
      <c r="E106" s="3">
        <f t="shared" si="36"/>
        <v>173</v>
      </c>
      <c r="F106" s="3">
        <f t="shared" si="35"/>
        <v>37.057803468208093</v>
      </c>
      <c r="G106" s="3"/>
    </row>
    <row r="107" spans="1:9">
      <c r="A107" s="1">
        <v>7</v>
      </c>
      <c r="B107" s="3">
        <f>6572+6493</f>
        <v>13065</v>
      </c>
      <c r="C107" s="3">
        <f t="shared" ref="C107:C118" si="37">C106</f>
        <v>138</v>
      </c>
      <c r="D107" s="3">
        <f t="shared" si="34"/>
        <v>47.336956521739133</v>
      </c>
      <c r="E107" s="3">
        <f t="shared" si="36"/>
        <v>173</v>
      </c>
      <c r="F107" s="3">
        <f t="shared" si="35"/>
        <v>37.760115606936417</v>
      </c>
    </row>
    <row r="108" spans="1:9">
      <c r="A108" s="1">
        <v>9</v>
      </c>
      <c r="B108" s="3">
        <f>6500+6772</f>
        <v>13272</v>
      </c>
      <c r="C108" s="3">
        <f t="shared" si="37"/>
        <v>138</v>
      </c>
      <c r="D108" s="3">
        <f t="shared" si="34"/>
        <v>48.086956521739133</v>
      </c>
      <c r="E108" s="3">
        <f t="shared" si="36"/>
        <v>173</v>
      </c>
      <c r="F108" s="3">
        <f t="shared" si="35"/>
        <v>38.358381502890175</v>
      </c>
    </row>
    <row r="109" spans="1:9">
      <c r="A109" s="1">
        <v>11</v>
      </c>
      <c r="B109" s="3">
        <f>7061+7114</f>
        <v>14175</v>
      </c>
      <c r="C109" s="3">
        <f>C108+3</f>
        <v>141</v>
      </c>
      <c r="D109" s="3">
        <f t="shared" si="34"/>
        <v>50.265957446808514</v>
      </c>
      <c r="E109" s="3">
        <f t="shared" si="36"/>
        <v>173</v>
      </c>
      <c r="F109" s="3">
        <f t="shared" si="35"/>
        <v>40.968208092485547</v>
      </c>
    </row>
    <row r="110" spans="1:9">
      <c r="A110" s="1">
        <v>13</v>
      </c>
      <c r="B110" s="3">
        <f>6989+6961</f>
        <v>13950</v>
      </c>
      <c r="C110" s="3">
        <f>C109+1</f>
        <v>142</v>
      </c>
      <c r="D110" s="3">
        <f t="shared" si="34"/>
        <v>49.119718309859152</v>
      </c>
      <c r="E110" s="3">
        <f>E109+1</f>
        <v>174</v>
      </c>
      <c r="F110" s="3">
        <f t="shared" si="35"/>
        <v>40.086206896551722</v>
      </c>
    </row>
    <row r="111" spans="1:9">
      <c r="A111" s="1">
        <v>15</v>
      </c>
      <c r="B111" s="3">
        <f>7042+6349</f>
        <v>13391</v>
      </c>
      <c r="C111" s="3">
        <f>C110+1</f>
        <v>143</v>
      </c>
      <c r="D111" s="3">
        <f t="shared" si="34"/>
        <v>46.82167832167832</v>
      </c>
      <c r="E111" s="3">
        <f t="shared" si="36"/>
        <v>174</v>
      </c>
      <c r="F111" s="3">
        <f t="shared" si="35"/>
        <v>38.479885057471265</v>
      </c>
    </row>
    <row r="112" spans="1:9">
      <c r="A112" s="1">
        <v>17</v>
      </c>
      <c r="B112" s="3">
        <f>6916+7195</f>
        <v>14111</v>
      </c>
      <c r="C112" s="3">
        <f>C111+1</f>
        <v>144</v>
      </c>
      <c r="D112" s="3">
        <f t="shared" si="34"/>
        <v>48.996527777777779</v>
      </c>
      <c r="E112" s="3">
        <f t="shared" si="36"/>
        <v>174</v>
      </c>
      <c r="F112" s="3">
        <f t="shared" si="35"/>
        <v>40.548850574712645</v>
      </c>
    </row>
    <row r="113" spans="1:9">
      <c r="A113" s="1">
        <v>19</v>
      </c>
      <c r="B113" s="3">
        <f>7097+7069</f>
        <v>14166</v>
      </c>
      <c r="C113" s="3">
        <f t="shared" si="37"/>
        <v>144</v>
      </c>
      <c r="D113" s="3">
        <f t="shared" si="34"/>
        <v>49.1875</v>
      </c>
      <c r="E113" s="3">
        <f t="shared" si="36"/>
        <v>174</v>
      </c>
      <c r="F113" s="3">
        <f t="shared" si="35"/>
        <v>40.706896551724135</v>
      </c>
    </row>
    <row r="114" spans="1:9">
      <c r="A114" s="1">
        <v>21</v>
      </c>
      <c r="B114" s="3">
        <f>6790+6699</f>
        <v>13489</v>
      </c>
      <c r="C114" s="2">
        <f>C113+(-1)</f>
        <v>143</v>
      </c>
      <c r="D114" s="3">
        <f t="shared" si="34"/>
        <v>47.164335664335667</v>
      </c>
      <c r="E114" s="3">
        <f>E113+(-1)</f>
        <v>173</v>
      </c>
      <c r="F114" s="3">
        <f t="shared" si="35"/>
        <v>38.98554913294798</v>
      </c>
    </row>
    <row r="115" spans="1:9">
      <c r="A115" s="1">
        <v>23</v>
      </c>
      <c r="B115" s="3">
        <f>6500+6601</f>
        <v>13101</v>
      </c>
      <c r="C115" s="3">
        <f>C114+2</f>
        <v>145</v>
      </c>
      <c r="D115" s="3">
        <f t="shared" si="34"/>
        <v>45.175862068965515</v>
      </c>
      <c r="E115" s="3">
        <f t="shared" si="36"/>
        <v>173</v>
      </c>
      <c r="F115" s="3">
        <f t="shared" si="35"/>
        <v>37.864161849710982</v>
      </c>
    </row>
    <row r="116" spans="1:9">
      <c r="A116" s="1">
        <v>25</v>
      </c>
      <c r="B116" s="3">
        <f>6547+6880</f>
        <v>13427</v>
      </c>
      <c r="C116" s="3">
        <f t="shared" si="37"/>
        <v>145</v>
      </c>
      <c r="D116" s="3">
        <f t="shared" si="34"/>
        <v>46.3</v>
      </c>
      <c r="E116" s="3">
        <f t="shared" si="36"/>
        <v>173</v>
      </c>
      <c r="F116" s="3">
        <f t="shared" si="35"/>
        <v>38.806358381502889</v>
      </c>
    </row>
    <row r="117" spans="1:9">
      <c r="A117" s="1">
        <v>27</v>
      </c>
      <c r="B117" s="3">
        <f>6699+6718</f>
        <v>13417</v>
      </c>
      <c r="C117" s="3">
        <f>C116+1</f>
        <v>146</v>
      </c>
      <c r="D117" s="3">
        <f t="shared" si="34"/>
        <v>45.948630136986303</v>
      </c>
      <c r="E117" s="3">
        <f t="shared" si="36"/>
        <v>173</v>
      </c>
      <c r="F117" s="3">
        <f t="shared" si="35"/>
        <v>38.777456647398843</v>
      </c>
    </row>
    <row r="118" spans="1:9">
      <c r="A118" s="1">
        <v>29</v>
      </c>
      <c r="B118" s="3">
        <f>6391+6241</f>
        <v>12632</v>
      </c>
      <c r="C118" s="3">
        <f t="shared" si="37"/>
        <v>146</v>
      </c>
      <c r="D118" s="3">
        <f>(B118/2)/C118</f>
        <v>43.260273972602739</v>
      </c>
      <c r="E118" s="3">
        <f t="shared" si="36"/>
        <v>173</v>
      </c>
      <c r="F118" s="3">
        <f>(B118/2)/E118</f>
        <v>36.508670520231213</v>
      </c>
    </row>
    <row r="119" spans="1:9">
      <c r="A119" s="1" t="s">
        <v>12</v>
      </c>
      <c r="B119" s="1">
        <f>SUM(B104:B118)/15</f>
        <v>13486.866666666667</v>
      </c>
      <c r="C119" s="1">
        <f>SUM(C104:C118)/15</f>
        <v>142.53333333333333</v>
      </c>
      <c r="D119" s="1">
        <f>SUM(D104:D118)/15</f>
        <v>47.324374965323308</v>
      </c>
      <c r="E119" s="1">
        <f>SUM(E104:E118)/15</f>
        <v>173.26666666666668</v>
      </c>
      <c r="F119" s="1">
        <f>SUM(F104:F118)/15</f>
        <v>38.917795052377478</v>
      </c>
    </row>
    <row r="121" spans="1:9">
      <c r="A121" s="1" t="s">
        <v>59</v>
      </c>
      <c r="D121" s="1" t="s">
        <v>0</v>
      </c>
      <c r="H121" s="1" t="s">
        <v>45</v>
      </c>
    </row>
    <row r="122" spans="1:9"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3</v>
      </c>
      <c r="H122" s="5">
        <v>15</v>
      </c>
      <c r="I122" s="1" t="s">
        <v>46</v>
      </c>
    </row>
    <row r="123" spans="1:9">
      <c r="A123" s="1" t="s">
        <v>26</v>
      </c>
      <c r="B123" s="5">
        <v>13440</v>
      </c>
      <c r="C123" s="5">
        <v>121</v>
      </c>
      <c r="D123" s="5">
        <v>55.59</v>
      </c>
      <c r="E123" s="5">
        <v>149.4</v>
      </c>
      <c r="F123" s="5">
        <v>44.98</v>
      </c>
      <c r="H123" s="1">
        <v>9</v>
      </c>
      <c r="I123" s="1" t="s">
        <v>47</v>
      </c>
    </row>
    <row r="124" spans="1:9">
      <c r="A124" s="1">
        <v>1</v>
      </c>
      <c r="B124" s="2">
        <f>6799+5576</f>
        <v>12375</v>
      </c>
      <c r="C124" s="2">
        <f>146+2+(-4)</f>
        <v>144</v>
      </c>
      <c r="D124" s="2">
        <f t="shared" ref="D124:D137" si="38">(B124/2)/C124</f>
        <v>42.96875</v>
      </c>
      <c r="E124" s="2">
        <f>C124+2+22+(-5)</f>
        <v>163</v>
      </c>
      <c r="F124" s="2">
        <f t="shared" ref="F124:F137" si="39">(B124/2)/E124</f>
        <v>37.960122699386503</v>
      </c>
      <c r="G124" s="2" t="s">
        <v>57</v>
      </c>
    </row>
    <row r="125" spans="1:9">
      <c r="A125" s="1">
        <v>3</v>
      </c>
      <c r="B125" s="2">
        <v>10179</v>
      </c>
      <c r="C125" s="2">
        <f>C124-9</f>
        <v>135</v>
      </c>
      <c r="D125" s="2">
        <f t="shared" si="38"/>
        <v>37.700000000000003</v>
      </c>
      <c r="E125" s="2">
        <f t="shared" ref="E125:E139" si="40">E124</f>
        <v>163</v>
      </c>
      <c r="F125" s="2">
        <f t="shared" si="39"/>
        <v>31.223926380368098</v>
      </c>
      <c r="G125" s="2" t="s">
        <v>56</v>
      </c>
    </row>
    <row r="126" spans="1:9">
      <c r="A126" s="1">
        <v>5</v>
      </c>
      <c r="B126" s="3">
        <v>11801</v>
      </c>
      <c r="C126" s="3">
        <f t="shared" ref="C126:C135" si="41">C125</f>
        <v>135</v>
      </c>
      <c r="D126" s="3">
        <f t="shared" si="38"/>
        <v>43.707407407407409</v>
      </c>
      <c r="E126" s="3">
        <f t="shared" si="40"/>
        <v>163</v>
      </c>
      <c r="F126" s="3">
        <f t="shared" si="39"/>
        <v>36.199386503067487</v>
      </c>
    </row>
    <row r="127" spans="1:9">
      <c r="A127" s="1">
        <v>7</v>
      </c>
      <c r="B127" s="3">
        <v>11683</v>
      </c>
      <c r="C127" s="5">
        <v>142</v>
      </c>
      <c r="D127" s="3">
        <f t="shared" si="38"/>
        <v>41.137323943661968</v>
      </c>
      <c r="E127" s="5">
        <f>142+22+1</f>
        <v>165</v>
      </c>
      <c r="F127" s="3">
        <f t="shared" si="39"/>
        <v>35.403030303030306</v>
      </c>
    </row>
    <row r="128" spans="1:9">
      <c r="A128" s="1">
        <v>9</v>
      </c>
      <c r="B128" s="3">
        <v>12110</v>
      </c>
      <c r="C128" s="3">
        <f t="shared" si="41"/>
        <v>142</v>
      </c>
      <c r="D128" s="3">
        <f t="shared" si="38"/>
        <v>42.640845070422536</v>
      </c>
      <c r="E128" s="3">
        <f>E127-2</f>
        <v>163</v>
      </c>
      <c r="F128" s="3">
        <f t="shared" si="39"/>
        <v>37.147239263803684</v>
      </c>
    </row>
    <row r="129" spans="1:9">
      <c r="A129" s="1">
        <v>11</v>
      </c>
      <c r="B129" s="3">
        <v>12507</v>
      </c>
      <c r="C129" s="3">
        <f>C128+2</f>
        <v>144</v>
      </c>
      <c r="D129" s="3">
        <f t="shared" si="38"/>
        <v>43.427083333333336</v>
      </c>
      <c r="E129" s="3">
        <f t="shared" si="40"/>
        <v>163</v>
      </c>
      <c r="F129" s="3">
        <f t="shared" si="39"/>
        <v>38.365030674846629</v>
      </c>
    </row>
    <row r="130" spans="1:9">
      <c r="A130" s="1">
        <v>13</v>
      </c>
      <c r="B130" s="3">
        <v>12425</v>
      </c>
      <c r="C130" s="3">
        <f>C129-3</f>
        <v>141</v>
      </c>
      <c r="D130" s="3">
        <f t="shared" si="38"/>
        <v>44.060283687943262</v>
      </c>
      <c r="E130" s="3">
        <f t="shared" si="40"/>
        <v>163</v>
      </c>
      <c r="F130" s="3">
        <f t="shared" si="39"/>
        <v>38.113496932515339</v>
      </c>
    </row>
    <row r="131" spans="1:9">
      <c r="A131" s="1">
        <v>15</v>
      </c>
      <c r="B131" s="3">
        <v>13241</v>
      </c>
      <c r="C131" s="3">
        <f t="shared" si="41"/>
        <v>141</v>
      </c>
      <c r="D131" s="3">
        <f t="shared" si="38"/>
        <v>46.953900709219859</v>
      </c>
      <c r="E131" s="3">
        <f t="shared" si="40"/>
        <v>163</v>
      </c>
      <c r="F131" s="3">
        <f t="shared" si="39"/>
        <v>40.616564417177912</v>
      </c>
    </row>
    <row r="132" spans="1:9">
      <c r="A132" s="1">
        <v>17</v>
      </c>
      <c r="B132" s="3">
        <f>11335+1865</f>
        <v>13200</v>
      </c>
      <c r="C132" s="3">
        <f>C131+2+1</f>
        <v>144</v>
      </c>
      <c r="D132" s="3">
        <f t="shared" si="38"/>
        <v>45.833333333333336</v>
      </c>
      <c r="E132" s="3">
        <f>E131+1</f>
        <v>164</v>
      </c>
      <c r="F132" s="3">
        <f t="shared" si="39"/>
        <v>40.243902439024389</v>
      </c>
    </row>
    <row r="133" spans="1:9">
      <c r="A133" s="1">
        <v>19</v>
      </c>
      <c r="B133" s="3">
        <f>6599+6583</f>
        <v>13182</v>
      </c>
      <c r="C133" s="3">
        <f>C132+(2-2)</f>
        <v>144</v>
      </c>
      <c r="D133" s="3">
        <f t="shared" si="38"/>
        <v>45.770833333333336</v>
      </c>
      <c r="E133" s="3">
        <f>E132-1</f>
        <v>163</v>
      </c>
      <c r="F133" s="3">
        <f t="shared" si="39"/>
        <v>40.435582822085891</v>
      </c>
    </row>
    <row r="134" spans="1:9">
      <c r="A134" s="1">
        <v>21</v>
      </c>
      <c r="B134" s="3">
        <f>6500+6655</f>
        <v>13155</v>
      </c>
      <c r="C134" s="3">
        <f>C133+1+1</f>
        <v>146</v>
      </c>
      <c r="D134" s="3">
        <f t="shared" si="38"/>
        <v>45.051369863013697</v>
      </c>
      <c r="E134" s="3">
        <f>E133+1</f>
        <v>164</v>
      </c>
      <c r="F134" s="3">
        <f t="shared" si="39"/>
        <v>40.106707317073173</v>
      </c>
    </row>
    <row r="135" spans="1:9">
      <c r="A135" s="1">
        <v>23</v>
      </c>
      <c r="B135" s="3">
        <f>6292+6295</f>
        <v>12587</v>
      </c>
      <c r="C135" s="3">
        <f t="shared" si="41"/>
        <v>146</v>
      </c>
      <c r="D135" s="3">
        <f t="shared" si="38"/>
        <v>43.106164383561641</v>
      </c>
      <c r="E135" s="3">
        <f t="shared" si="40"/>
        <v>164</v>
      </c>
      <c r="F135" s="3">
        <f t="shared" si="39"/>
        <v>38.375</v>
      </c>
    </row>
    <row r="136" spans="1:9">
      <c r="A136" s="1">
        <v>25</v>
      </c>
      <c r="B136" s="3">
        <v>12425</v>
      </c>
      <c r="C136" s="3">
        <f>C135-1</f>
        <v>145</v>
      </c>
      <c r="D136" s="3">
        <f t="shared" si="38"/>
        <v>42.844827586206897</v>
      </c>
      <c r="E136" s="3">
        <f>E135-1</f>
        <v>163</v>
      </c>
      <c r="F136" s="3">
        <f t="shared" si="39"/>
        <v>38.113496932515339</v>
      </c>
    </row>
    <row r="137" spans="1:9">
      <c r="A137" s="1">
        <v>27</v>
      </c>
      <c r="B137" s="3">
        <v>12218</v>
      </c>
      <c r="C137" s="2">
        <f>C136+2</f>
        <v>147</v>
      </c>
      <c r="D137" s="3">
        <f t="shared" si="38"/>
        <v>41.557823129251702</v>
      </c>
      <c r="E137" s="3">
        <f t="shared" si="40"/>
        <v>163</v>
      </c>
      <c r="F137" s="3">
        <f t="shared" si="39"/>
        <v>37.478527607361961</v>
      </c>
    </row>
    <row r="138" spans="1:9">
      <c r="A138" s="1">
        <v>29</v>
      </c>
      <c r="B138" s="3">
        <v>11564</v>
      </c>
      <c r="C138" s="3">
        <f t="shared" ref="C138" si="42">C137</f>
        <v>147</v>
      </c>
      <c r="D138" s="3">
        <f t="shared" ref="D138:D139" si="43">(B138/2)/C138</f>
        <v>39.333333333333336</v>
      </c>
      <c r="E138" s="3">
        <f t="shared" si="40"/>
        <v>163</v>
      </c>
      <c r="F138" s="3">
        <f t="shared" ref="F138:F139" si="44">(B138/2)/E138</f>
        <v>35.472392638036808</v>
      </c>
    </row>
    <row r="139" spans="1:9">
      <c r="A139" s="1">
        <v>31</v>
      </c>
      <c r="B139" s="3">
        <v>11692</v>
      </c>
      <c r="C139" s="2">
        <f>C138+2+(-2)</f>
        <v>147</v>
      </c>
      <c r="D139" s="3">
        <f t="shared" si="43"/>
        <v>39.7687074829932</v>
      </c>
      <c r="E139" s="3">
        <f t="shared" si="40"/>
        <v>163</v>
      </c>
      <c r="F139" s="3">
        <f t="shared" si="44"/>
        <v>35.865030674846629</v>
      </c>
    </row>
    <row r="140" spans="1:9">
      <c r="A140" s="1" t="s">
        <v>12</v>
      </c>
      <c r="B140" s="1">
        <f>SUM(B124:B139)/16</f>
        <v>12271.5</v>
      </c>
      <c r="C140" s="1">
        <f>SUM(C124:C139)/16</f>
        <v>143.125</v>
      </c>
      <c r="D140" s="1">
        <f>SUM(D124:D139)/16</f>
        <v>42.86637416231347</v>
      </c>
      <c r="E140" s="1">
        <f>SUM(E124:E139)/16</f>
        <v>163.3125</v>
      </c>
      <c r="F140" s="1">
        <f>SUM(F124:F139)/16</f>
        <v>37.569964850321256</v>
      </c>
    </row>
    <row r="142" spans="1:9">
      <c r="A142" s="1" t="s">
        <v>33</v>
      </c>
      <c r="D142" s="1" t="s">
        <v>0</v>
      </c>
      <c r="H142" s="1" t="s">
        <v>45</v>
      </c>
    </row>
    <row r="143" spans="1:9"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3</v>
      </c>
      <c r="H143" s="5">
        <v>14</v>
      </c>
      <c r="I143" s="1" t="s">
        <v>46</v>
      </c>
    </row>
    <row r="144" spans="1:9">
      <c r="A144" s="1" t="s">
        <v>26</v>
      </c>
      <c r="B144" s="5">
        <v>11218</v>
      </c>
      <c r="C144" s="5">
        <v>131.63</v>
      </c>
      <c r="D144" s="5">
        <v>42.63</v>
      </c>
      <c r="E144" s="5">
        <v>148.81</v>
      </c>
      <c r="F144" s="5">
        <v>37.68</v>
      </c>
      <c r="H144" s="1">
        <v>7</v>
      </c>
      <c r="I144" s="1" t="s">
        <v>47</v>
      </c>
    </row>
    <row r="145" spans="1:7">
      <c r="A145" s="3">
        <v>2</v>
      </c>
      <c r="B145" s="3">
        <v>10825</v>
      </c>
      <c r="C145" s="5">
        <v>147</v>
      </c>
      <c r="D145" s="3">
        <f t="shared" ref="D145:D159" si="45">(B145/2)/C145</f>
        <v>36.819727891156461</v>
      </c>
      <c r="E145" s="5">
        <f>147+1+13</f>
        <v>161</v>
      </c>
      <c r="F145" s="3">
        <f t="shared" ref="F145:F159" si="46">(B145/2)/E145</f>
        <v>33.618012422360252</v>
      </c>
      <c r="G145" s="2" t="s">
        <v>61</v>
      </c>
    </row>
    <row r="146" spans="1:7">
      <c r="A146" s="3">
        <v>4</v>
      </c>
      <c r="B146" s="3">
        <v>10047</v>
      </c>
      <c r="C146" s="3">
        <f t="shared" ref="C146:C159" si="47">C145</f>
        <v>147</v>
      </c>
      <c r="D146" s="3">
        <f t="shared" si="45"/>
        <v>34.173469387755105</v>
      </c>
      <c r="E146" s="3">
        <f t="shared" ref="E146:E159" si="48">E145</f>
        <v>161</v>
      </c>
      <c r="F146" s="3">
        <f t="shared" si="46"/>
        <v>31.201863354037268</v>
      </c>
    </row>
    <row r="147" spans="1:7">
      <c r="A147" s="3">
        <v>6</v>
      </c>
      <c r="B147" s="3">
        <v>9764</v>
      </c>
      <c r="C147" s="3">
        <f>C146+1+(-7)</f>
        <v>141</v>
      </c>
      <c r="D147" s="3">
        <f t="shared" si="45"/>
        <v>34.624113475177303</v>
      </c>
      <c r="E147" s="3">
        <f t="shared" si="48"/>
        <v>161</v>
      </c>
      <c r="F147" s="3">
        <f t="shared" si="46"/>
        <v>30.322981366459626</v>
      </c>
    </row>
    <row r="148" spans="1:7">
      <c r="A148" s="3">
        <v>8</v>
      </c>
      <c r="B148" s="3">
        <v>9033</v>
      </c>
      <c r="C148" s="3">
        <f>C147+1+1</f>
        <v>143</v>
      </c>
      <c r="D148" s="3">
        <f t="shared" si="45"/>
        <v>31.583916083916083</v>
      </c>
      <c r="E148" s="3">
        <f>E147+1</f>
        <v>162</v>
      </c>
      <c r="F148" s="3">
        <f t="shared" si="46"/>
        <v>27.87962962962963</v>
      </c>
    </row>
    <row r="149" spans="1:7">
      <c r="A149" s="3">
        <v>10</v>
      </c>
      <c r="B149" s="3">
        <v>8826</v>
      </c>
      <c r="C149" s="3">
        <f t="shared" si="47"/>
        <v>143</v>
      </c>
      <c r="D149" s="3">
        <f t="shared" si="45"/>
        <v>30.86013986013986</v>
      </c>
      <c r="E149" s="3">
        <f t="shared" si="48"/>
        <v>162</v>
      </c>
      <c r="F149" s="3">
        <f t="shared" si="46"/>
        <v>27.24074074074074</v>
      </c>
    </row>
    <row r="150" spans="1:7">
      <c r="A150" s="3">
        <v>12</v>
      </c>
      <c r="B150" s="3">
        <v>9418</v>
      </c>
      <c r="C150" s="3">
        <f t="shared" si="47"/>
        <v>143</v>
      </c>
      <c r="D150" s="3">
        <f t="shared" si="45"/>
        <v>32.930069930069934</v>
      </c>
      <c r="E150" s="3">
        <f t="shared" si="48"/>
        <v>162</v>
      </c>
      <c r="F150" s="3">
        <f t="shared" si="46"/>
        <v>29.067901234567902</v>
      </c>
    </row>
    <row r="151" spans="1:7">
      <c r="A151" s="3">
        <v>14</v>
      </c>
      <c r="B151" s="3">
        <v>8473</v>
      </c>
      <c r="C151" s="2">
        <f>C150-1</f>
        <v>142</v>
      </c>
      <c r="D151" s="3">
        <f t="shared" si="45"/>
        <v>29.83450704225352</v>
      </c>
      <c r="E151" s="3">
        <f t="shared" si="48"/>
        <v>162</v>
      </c>
      <c r="F151" s="3">
        <f t="shared" si="46"/>
        <v>26.151234567901234</v>
      </c>
      <c r="G151" s="1" t="s">
        <v>62</v>
      </c>
    </row>
    <row r="152" spans="1:7">
      <c r="A152" s="3">
        <v>16</v>
      </c>
      <c r="B152" s="3">
        <v>9266</v>
      </c>
      <c r="C152" s="3">
        <f t="shared" si="47"/>
        <v>142</v>
      </c>
      <c r="D152" s="3">
        <f t="shared" si="45"/>
        <v>32.62676056338028</v>
      </c>
      <c r="E152" s="3">
        <f t="shared" si="48"/>
        <v>162</v>
      </c>
      <c r="F152" s="3">
        <f t="shared" si="46"/>
        <v>28.598765432098766</v>
      </c>
    </row>
    <row r="153" spans="1:7">
      <c r="A153" s="3">
        <v>18</v>
      </c>
      <c r="B153" s="3">
        <v>9703</v>
      </c>
      <c r="C153" s="3">
        <f t="shared" si="47"/>
        <v>142</v>
      </c>
      <c r="D153" s="3">
        <f t="shared" si="45"/>
        <v>34.16549295774648</v>
      </c>
      <c r="E153" s="3">
        <f t="shared" si="48"/>
        <v>162</v>
      </c>
      <c r="F153" s="3">
        <f t="shared" si="46"/>
        <v>29.947530864197532</v>
      </c>
    </row>
    <row r="154" spans="1:7">
      <c r="A154" s="3">
        <v>20</v>
      </c>
      <c r="B154" s="3">
        <v>10214</v>
      </c>
      <c r="C154" s="3">
        <f t="shared" si="47"/>
        <v>142</v>
      </c>
      <c r="D154" s="3">
        <f t="shared" si="45"/>
        <v>35.964788732394368</v>
      </c>
      <c r="E154" s="3">
        <f t="shared" si="48"/>
        <v>162</v>
      </c>
      <c r="F154" s="3">
        <f t="shared" si="46"/>
        <v>31.52469135802469</v>
      </c>
    </row>
    <row r="155" spans="1:7">
      <c r="A155" s="3">
        <v>22</v>
      </c>
      <c r="B155" s="3">
        <v>9976</v>
      </c>
      <c r="C155" s="3">
        <f>C154+2</f>
        <v>144</v>
      </c>
      <c r="D155" s="3">
        <f t="shared" si="45"/>
        <v>34.638888888888886</v>
      </c>
      <c r="E155" s="3">
        <f t="shared" si="48"/>
        <v>162</v>
      </c>
      <c r="F155" s="3">
        <f t="shared" si="46"/>
        <v>30.790123456790123</v>
      </c>
    </row>
    <row r="156" spans="1:7">
      <c r="A156" s="3">
        <v>23</v>
      </c>
      <c r="B156" s="3">
        <v>4950</v>
      </c>
      <c r="C156" s="3">
        <f>C155</f>
        <v>144</v>
      </c>
      <c r="D156" s="3">
        <f>(B156)/C156</f>
        <v>34.375</v>
      </c>
      <c r="E156" s="3">
        <f t="shared" si="48"/>
        <v>162</v>
      </c>
      <c r="F156" s="3">
        <f>(B156)/E156</f>
        <v>30.555555555555557</v>
      </c>
    </row>
    <row r="157" spans="1:7">
      <c r="A157" s="3">
        <v>25</v>
      </c>
      <c r="B157" s="3">
        <v>9764</v>
      </c>
      <c r="C157" s="3">
        <f>C156</f>
        <v>144</v>
      </c>
      <c r="D157" s="3">
        <f t="shared" si="45"/>
        <v>33.902777777777779</v>
      </c>
      <c r="E157" s="3">
        <f>E155</f>
        <v>162</v>
      </c>
      <c r="F157" s="3">
        <f t="shared" si="46"/>
        <v>30.135802469135804</v>
      </c>
    </row>
    <row r="158" spans="1:7">
      <c r="A158" s="3">
        <v>27</v>
      </c>
      <c r="B158" s="3">
        <v>9971</v>
      </c>
      <c r="C158" s="3">
        <f t="shared" si="47"/>
        <v>144</v>
      </c>
      <c r="D158" s="3">
        <f t="shared" si="45"/>
        <v>34.621527777777779</v>
      </c>
      <c r="E158" s="3">
        <f t="shared" si="48"/>
        <v>162</v>
      </c>
      <c r="F158" s="3">
        <f t="shared" si="46"/>
        <v>30.77469135802469</v>
      </c>
    </row>
    <row r="159" spans="1:7">
      <c r="A159" s="3">
        <v>29</v>
      </c>
      <c r="B159" s="3">
        <v>10542</v>
      </c>
      <c r="C159" s="3">
        <f t="shared" si="47"/>
        <v>144</v>
      </c>
      <c r="D159" s="3">
        <f t="shared" si="45"/>
        <v>36.604166666666664</v>
      </c>
      <c r="E159" s="3">
        <f t="shared" si="48"/>
        <v>162</v>
      </c>
      <c r="F159" s="3">
        <f t="shared" si="46"/>
        <v>32.537037037037038</v>
      </c>
    </row>
    <row r="160" spans="1:7">
      <c r="A160" s="3">
        <v>31</v>
      </c>
      <c r="B160" s="3">
        <v>10095</v>
      </c>
      <c r="C160" s="3">
        <f>C159+1</f>
        <v>145</v>
      </c>
      <c r="D160" s="3">
        <f>(B160/2)/C160</f>
        <v>34.810344827586206</v>
      </c>
      <c r="E160" s="3">
        <f>E159+1</f>
        <v>163</v>
      </c>
      <c r="F160" s="3">
        <f>(B160/2)/E160</f>
        <v>30.966257668711656</v>
      </c>
    </row>
    <row r="161" spans="1:9">
      <c r="A161" s="1" t="s">
        <v>12</v>
      </c>
      <c r="B161" s="1">
        <f>SUM(B145:B160)/15</f>
        <v>10057.799999999999</v>
      </c>
      <c r="C161" s="1">
        <f>SUM(C145:C160)/16</f>
        <v>143.5625</v>
      </c>
      <c r="D161" s="1">
        <f>SUM(D145:D160)/15</f>
        <v>36.169046124179111</v>
      </c>
      <c r="E161" s="1">
        <f>SUM(E145:E160)/16</f>
        <v>161.875</v>
      </c>
      <c r="F161" s="1">
        <f>SUM(F145:F160)/15</f>
        <v>32.087521234351506</v>
      </c>
    </row>
    <row r="163" spans="1:9">
      <c r="A163" s="6" t="s">
        <v>35</v>
      </c>
      <c r="D163" s="1" t="s">
        <v>0</v>
      </c>
    </row>
    <row r="164" spans="1:9">
      <c r="B164" s="1" t="s">
        <v>1</v>
      </c>
      <c r="C164" s="1" t="s">
        <v>2</v>
      </c>
      <c r="D164" s="1" t="s">
        <v>3</v>
      </c>
      <c r="E164" s="1" t="s">
        <v>4</v>
      </c>
      <c r="F164" s="1" t="s">
        <v>3</v>
      </c>
      <c r="H164" s="1" t="s">
        <v>45</v>
      </c>
    </row>
    <row r="165" spans="1:9">
      <c r="A165" s="1" t="s">
        <v>26</v>
      </c>
      <c r="B165" s="5">
        <v>9601.7000000000007</v>
      </c>
      <c r="C165" s="5">
        <v>127.13</v>
      </c>
      <c r="D165" s="5">
        <v>37.74</v>
      </c>
      <c r="E165" s="5">
        <v>146.33000000000001</v>
      </c>
      <c r="F165" s="5">
        <v>32.81</v>
      </c>
      <c r="H165" s="5">
        <v>14</v>
      </c>
      <c r="I165" s="1" t="s">
        <v>46</v>
      </c>
    </row>
    <row r="166" spans="1:9">
      <c r="A166" s="3">
        <v>2</v>
      </c>
      <c r="B166" s="3">
        <v>10253</v>
      </c>
      <c r="C166" s="3">
        <v>145</v>
      </c>
      <c r="D166" s="3">
        <f t="shared" ref="D166" si="49">(B166/2)/C166</f>
        <v>35.355172413793106</v>
      </c>
      <c r="E166" s="3">
        <f>146+16+1</f>
        <v>163</v>
      </c>
      <c r="F166" s="3">
        <f t="shared" ref="F166" si="50">(B166/2)/E166</f>
        <v>31.450920245398773</v>
      </c>
      <c r="H166" s="1">
        <v>5</v>
      </c>
      <c r="I166" s="1" t="s">
        <v>47</v>
      </c>
    </row>
    <row r="167" spans="1:9">
      <c r="A167" s="3">
        <v>4</v>
      </c>
      <c r="B167" s="3">
        <v>9751</v>
      </c>
      <c r="C167" s="3">
        <f>C166+(-8)+(-1)</f>
        <v>136</v>
      </c>
      <c r="D167" s="3">
        <f t="shared" ref="D167" si="51">(B167/2)/C167</f>
        <v>35.849264705882355</v>
      </c>
      <c r="E167" s="3">
        <f>E166</f>
        <v>163</v>
      </c>
      <c r="F167" s="3">
        <f t="shared" ref="F167" si="52">(B167/2)/E167</f>
        <v>29.911042944785276</v>
      </c>
      <c r="G167" s="2" t="s">
        <v>63</v>
      </c>
    </row>
    <row r="168" spans="1:9">
      <c r="A168" s="3">
        <v>6</v>
      </c>
      <c r="B168" s="3">
        <v>9459</v>
      </c>
      <c r="C168" s="3">
        <f>C167+(-2)+(-8)</f>
        <v>126</v>
      </c>
      <c r="D168" s="3">
        <f t="shared" ref="D168:D180" si="53">(B168/2)/C168</f>
        <v>37.535714285714285</v>
      </c>
      <c r="E168" s="3">
        <f>E167+(-2)</f>
        <v>161</v>
      </c>
      <c r="F168" s="3">
        <f t="shared" ref="F168:F180" si="54">(B168/2)/E168</f>
        <v>29.375776397515526</v>
      </c>
    </row>
    <row r="169" spans="1:9">
      <c r="A169" s="3">
        <v>8</v>
      </c>
      <c r="B169" s="3">
        <v>9662</v>
      </c>
      <c r="C169" s="3">
        <f>C168+(-3)</f>
        <v>123</v>
      </c>
      <c r="D169" s="3">
        <f t="shared" si="53"/>
        <v>39.27642276422764</v>
      </c>
      <c r="E169" s="3">
        <f>E168+(-3)</f>
        <v>158</v>
      </c>
      <c r="F169" s="3">
        <f t="shared" si="54"/>
        <v>30.575949367088608</v>
      </c>
    </row>
    <row r="170" spans="1:9">
      <c r="A170" s="3">
        <v>10</v>
      </c>
      <c r="B170" s="3">
        <v>10280</v>
      </c>
      <c r="C170" s="3">
        <f t="shared" ref="C170" si="55">C169</f>
        <v>123</v>
      </c>
      <c r="D170" s="3">
        <f t="shared" si="53"/>
        <v>41.788617886178862</v>
      </c>
      <c r="E170" s="3">
        <f t="shared" ref="E170" si="56">E169</f>
        <v>158</v>
      </c>
      <c r="F170" s="3">
        <f t="shared" si="54"/>
        <v>32.531645569620252</v>
      </c>
    </row>
    <row r="171" spans="1:9">
      <c r="A171" s="3">
        <v>12</v>
      </c>
      <c r="B171" s="3">
        <v>10489</v>
      </c>
      <c r="C171" s="3">
        <f t="shared" ref="C171" si="57">C170</f>
        <v>123</v>
      </c>
      <c r="D171" s="3">
        <f t="shared" si="53"/>
        <v>42.638211382113823</v>
      </c>
      <c r="E171" s="3">
        <f t="shared" ref="E171" si="58">E170</f>
        <v>158</v>
      </c>
      <c r="F171" s="3">
        <f t="shared" si="54"/>
        <v>33.193037974683541</v>
      </c>
    </row>
    <row r="172" spans="1:9">
      <c r="A172" s="3">
        <v>14</v>
      </c>
      <c r="B172" s="3">
        <v>10110</v>
      </c>
      <c r="C172" s="3">
        <f>C171+1</f>
        <v>124</v>
      </c>
      <c r="D172" s="3">
        <f t="shared" si="53"/>
        <v>40.766129032258064</v>
      </c>
      <c r="E172" s="3">
        <f t="shared" ref="E172" si="59">E171</f>
        <v>158</v>
      </c>
      <c r="F172" s="3">
        <f t="shared" si="54"/>
        <v>31.99367088607595</v>
      </c>
    </row>
    <row r="173" spans="1:9">
      <c r="A173" s="3">
        <v>16</v>
      </c>
      <c r="B173" s="3">
        <v>10995</v>
      </c>
      <c r="C173" s="3">
        <f t="shared" ref="C173" si="60">C172</f>
        <v>124</v>
      </c>
      <c r="D173" s="3">
        <f t="shared" si="53"/>
        <v>44.33467741935484</v>
      </c>
      <c r="E173" s="3">
        <f t="shared" ref="E173" si="61">E172</f>
        <v>158</v>
      </c>
      <c r="F173" s="3">
        <f t="shared" si="54"/>
        <v>34.794303797468352</v>
      </c>
    </row>
    <row r="174" spans="1:9">
      <c r="A174" s="3">
        <v>18</v>
      </c>
      <c r="B174" s="3">
        <f>10353</f>
        <v>10353</v>
      </c>
      <c r="C174" s="3">
        <f t="shared" ref="C174" si="62">C173</f>
        <v>124</v>
      </c>
      <c r="D174" s="3">
        <f t="shared" si="53"/>
        <v>41.74596774193548</v>
      </c>
      <c r="E174" s="3">
        <f t="shared" ref="E174" si="63">E173</f>
        <v>158</v>
      </c>
      <c r="F174" s="3">
        <f t="shared" si="54"/>
        <v>32.7626582278481</v>
      </c>
    </row>
    <row r="175" spans="1:9">
      <c r="A175" s="3">
        <v>20</v>
      </c>
      <c r="B175" s="3">
        <v>10646</v>
      </c>
      <c r="C175" s="3">
        <f>C174+2</f>
        <v>126</v>
      </c>
      <c r="D175" s="3">
        <f t="shared" si="53"/>
        <v>42.246031746031747</v>
      </c>
      <c r="E175" s="3">
        <f t="shared" ref="E175" si="64">E174</f>
        <v>158</v>
      </c>
      <c r="F175" s="3">
        <f t="shared" si="54"/>
        <v>33.689873417721522</v>
      </c>
    </row>
    <row r="176" spans="1:9">
      <c r="A176" s="3">
        <v>22</v>
      </c>
      <c r="B176" s="3">
        <v>10533</v>
      </c>
      <c r="C176" s="3">
        <f t="shared" ref="C176" si="65">C175</f>
        <v>126</v>
      </c>
      <c r="D176" s="3">
        <f t="shared" si="53"/>
        <v>41.797619047619051</v>
      </c>
      <c r="E176" s="3">
        <f t="shared" ref="E176" si="66">E175</f>
        <v>158</v>
      </c>
      <c r="F176" s="3">
        <f t="shared" si="54"/>
        <v>33.332278481012658</v>
      </c>
    </row>
    <row r="177" spans="1:9">
      <c r="A177" s="3">
        <v>24</v>
      </c>
      <c r="B177" s="3">
        <v>10681</v>
      </c>
      <c r="C177" s="3">
        <f>C176+1</f>
        <v>127</v>
      </c>
      <c r="D177" s="3">
        <f t="shared" si="53"/>
        <v>42.051181102362207</v>
      </c>
      <c r="E177" s="3">
        <f>E176+1</f>
        <v>159</v>
      </c>
      <c r="F177" s="3">
        <f t="shared" si="54"/>
        <v>33.588050314465406</v>
      </c>
    </row>
    <row r="178" spans="1:9">
      <c r="A178" s="3">
        <v>26</v>
      </c>
      <c r="B178" s="3">
        <v>9804</v>
      </c>
      <c r="C178" s="3">
        <f t="shared" ref="C178" si="67">C177</f>
        <v>127</v>
      </c>
      <c r="D178" s="3">
        <f t="shared" si="53"/>
        <v>38.598425196850393</v>
      </c>
      <c r="E178" s="3">
        <f t="shared" ref="E178" si="68">E177</f>
        <v>159</v>
      </c>
      <c r="F178" s="3">
        <f t="shared" si="54"/>
        <v>30.830188679245282</v>
      </c>
      <c r="G178" s="1" t="s">
        <v>68</v>
      </c>
    </row>
    <row r="179" spans="1:9">
      <c r="A179" s="3">
        <v>28</v>
      </c>
      <c r="B179" s="3">
        <v>9777</v>
      </c>
      <c r="C179" s="3">
        <f t="shared" ref="C179" si="69">C178</f>
        <v>127</v>
      </c>
      <c r="D179" s="3">
        <f t="shared" si="53"/>
        <v>38.49212598425197</v>
      </c>
      <c r="E179" s="3">
        <f t="shared" ref="E179" si="70">E178</f>
        <v>159</v>
      </c>
      <c r="F179" s="3">
        <f t="shared" si="54"/>
        <v>30.745283018867923</v>
      </c>
      <c r="G179" s="1" t="s">
        <v>66</v>
      </c>
    </row>
    <row r="180" spans="1:9">
      <c r="A180" s="3">
        <v>30</v>
      </c>
      <c r="B180" s="3">
        <v>8667</v>
      </c>
      <c r="C180" s="3">
        <f t="shared" ref="C180" si="71">C179</f>
        <v>127</v>
      </c>
      <c r="D180" s="3">
        <f t="shared" si="53"/>
        <v>34.122047244094489</v>
      </c>
      <c r="E180" s="3">
        <f t="shared" ref="E180" si="72">E179</f>
        <v>159</v>
      </c>
      <c r="F180" s="3">
        <f t="shared" si="54"/>
        <v>27.254716981132077</v>
      </c>
      <c r="G180" s="1" t="s">
        <v>67</v>
      </c>
    </row>
    <row r="181" spans="1:9">
      <c r="A181" s="1" t="s">
        <v>12</v>
      </c>
      <c r="B181" s="3">
        <f>SUM(B166:B180)/15</f>
        <v>10097.333333333334</v>
      </c>
      <c r="C181" s="3">
        <f>SUM(C166:C180)/15</f>
        <v>127.2</v>
      </c>
      <c r="D181" s="3">
        <f>SUM(D166:D180)/15</f>
        <v>39.773173863511218</v>
      </c>
      <c r="E181" s="3">
        <f>SUM(E166:E180)/15</f>
        <v>159.13333333333333</v>
      </c>
      <c r="F181" s="3">
        <f>SUM(F166:F180)/15</f>
        <v>31.735293086861951</v>
      </c>
    </row>
    <row r="182" spans="1:9">
      <c r="A182" s="1" t="s">
        <v>40</v>
      </c>
      <c r="D182" s="1" t="s">
        <v>0</v>
      </c>
    </row>
    <row r="183" spans="1:9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3</v>
      </c>
      <c r="H183" s="1" t="s">
        <v>45</v>
      </c>
    </row>
    <row r="184" spans="1:9">
      <c r="A184" s="1" t="s">
        <v>26</v>
      </c>
      <c r="B184" s="5">
        <v>10445</v>
      </c>
      <c r="C184" s="5">
        <v>122.93</v>
      </c>
      <c r="D184" s="5">
        <v>41.81</v>
      </c>
      <c r="E184" s="5">
        <v>145.66999999999999</v>
      </c>
      <c r="F184" s="5">
        <v>35.26</v>
      </c>
      <c r="H184" s="5">
        <v>9</v>
      </c>
      <c r="I184" s="1" t="s">
        <v>46</v>
      </c>
    </row>
    <row r="185" spans="1:9">
      <c r="A185" s="3">
        <v>2</v>
      </c>
      <c r="B185" s="3">
        <f>4163+4695</f>
        <v>8858</v>
      </c>
      <c r="C185" s="3">
        <v>127</v>
      </c>
      <c r="D185" s="3">
        <f>(B185/2)/C185</f>
        <v>34.874015748031496</v>
      </c>
      <c r="E185" s="3">
        <f>130+26+1</f>
        <v>157</v>
      </c>
      <c r="F185" s="3">
        <f>(B185/2)/E185</f>
        <v>28.210191082802549</v>
      </c>
      <c r="H185" s="1">
        <v>7</v>
      </c>
      <c r="I185" s="1" t="s">
        <v>47</v>
      </c>
    </row>
    <row r="186" spans="1:9">
      <c r="A186" s="3">
        <v>4</v>
      </c>
      <c r="B186" s="3">
        <v>8685</v>
      </c>
      <c r="C186" s="3">
        <f t="shared" ref="C186" si="73">C185</f>
        <v>127</v>
      </c>
      <c r="D186" s="3">
        <f t="shared" ref="D186:D198" si="74">(B186/2)/C186</f>
        <v>34.19291338582677</v>
      </c>
      <c r="E186" s="3">
        <f t="shared" ref="E186" si="75">E185</f>
        <v>157</v>
      </c>
      <c r="F186" s="3">
        <f t="shared" ref="F186:F198" si="76">(B186/2)/E186</f>
        <v>27.659235668789808</v>
      </c>
    </row>
    <row r="187" spans="1:9">
      <c r="A187" s="3">
        <v>6</v>
      </c>
      <c r="B187" s="3">
        <v>8658</v>
      </c>
      <c r="C187" s="5">
        <v>131</v>
      </c>
      <c r="D187" s="3">
        <f t="shared" si="74"/>
        <v>33.045801526717554</v>
      </c>
      <c r="E187" s="3">
        <f t="shared" ref="E187" si="77">E186</f>
        <v>157</v>
      </c>
      <c r="F187" s="3">
        <f t="shared" si="76"/>
        <v>27.573248407643312</v>
      </c>
      <c r="G187" s="1" t="s">
        <v>69</v>
      </c>
    </row>
    <row r="188" spans="1:9">
      <c r="A188" s="3">
        <v>8</v>
      </c>
      <c r="B188" s="3">
        <v>8899</v>
      </c>
      <c r="C188" s="3">
        <f>C187+(-1)+(-1)+(-6)</f>
        <v>123</v>
      </c>
      <c r="D188" s="3">
        <f t="shared" si="74"/>
        <v>36.174796747967477</v>
      </c>
      <c r="E188" s="3">
        <f t="shared" ref="E188" si="78">E187</f>
        <v>157</v>
      </c>
      <c r="F188" s="3">
        <f t="shared" si="76"/>
        <v>28.340764331210192</v>
      </c>
    </row>
    <row r="189" spans="1:9">
      <c r="A189" s="3">
        <v>10</v>
      </c>
      <c r="B189" s="3">
        <v>8166</v>
      </c>
      <c r="C189" s="3">
        <f>+C188+(-3)+(-3)</f>
        <v>117</v>
      </c>
      <c r="D189" s="3">
        <f t="shared" si="74"/>
        <v>34.897435897435898</v>
      </c>
      <c r="E189" s="3">
        <f>+E188+(-3)+(-3)</f>
        <v>151</v>
      </c>
      <c r="F189" s="3">
        <f t="shared" si="76"/>
        <v>27.039735099337747</v>
      </c>
    </row>
    <row r="190" spans="1:9">
      <c r="A190" s="3">
        <v>12</v>
      </c>
      <c r="B190" s="3">
        <v>8345</v>
      </c>
      <c r="C190" s="3">
        <f>+C189</f>
        <v>117</v>
      </c>
      <c r="D190" s="3">
        <f t="shared" si="74"/>
        <v>35.662393162393165</v>
      </c>
      <c r="E190" s="3">
        <f>+E189</f>
        <v>151</v>
      </c>
      <c r="F190" s="3">
        <f t="shared" si="76"/>
        <v>27.632450331125828</v>
      </c>
    </row>
    <row r="191" spans="1:9">
      <c r="A191" s="3">
        <v>14</v>
      </c>
      <c r="B191" s="3">
        <v>8497</v>
      </c>
      <c r="C191" s="3">
        <f t="shared" ref="C191" si="79">C190</f>
        <v>117</v>
      </c>
      <c r="D191" s="3">
        <f t="shared" si="74"/>
        <v>36.311965811965813</v>
      </c>
      <c r="E191" s="3">
        <f t="shared" ref="E191" si="80">E190</f>
        <v>151</v>
      </c>
      <c r="F191" s="3">
        <f t="shared" si="76"/>
        <v>28.135761589403973</v>
      </c>
    </row>
    <row r="192" spans="1:9">
      <c r="A192" s="3">
        <v>16</v>
      </c>
      <c r="B192" s="3">
        <v>8202</v>
      </c>
      <c r="C192" s="3">
        <f>C191-1</f>
        <v>116</v>
      </c>
      <c r="D192" s="3">
        <f t="shared" si="74"/>
        <v>35.353448275862071</v>
      </c>
      <c r="E192" s="3">
        <f t="shared" ref="E192" si="81">E191</f>
        <v>151</v>
      </c>
      <c r="F192" s="3">
        <f t="shared" si="76"/>
        <v>27.158940397350992</v>
      </c>
    </row>
    <row r="193" spans="1:9">
      <c r="A193" s="3">
        <v>18</v>
      </c>
      <c r="B193" s="3">
        <v>8524</v>
      </c>
      <c r="C193" s="3">
        <f t="shared" ref="C193" si="82">C192</f>
        <v>116</v>
      </c>
      <c r="D193" s="3">
        <f t="shared" si="74"/>
        <v>36.741379310344826</v>
      </c>
      <c r="E193" s="3">
        <f t="shared" ref="E193" si="83">E192</f>
        <v>151</v>
      </c>
      <c r="F193" s="3">
        <f t="shared" si="76"/>
        <v>28.225165562913908</v>
      </c>
    </row>
    <row r="194" spans="1:9">
      <c r="A194" s="3">
        <v>20</v>
      </c>
      <c r="B194" s="3">
        <v>8274</v>
      </c>
      <c r="C194" s="3">
        <f t="shared" ref="C194" si="84">C193</f>
        <v>116</v>
      </c>
      <c r="D194" s="3">
        <f t="shared" si="74"/>
        <v>35.663793103448278</v>
      </c>
      <c r="E194" s="3">
        <f t="shared" ref="E194" si="85">E193</f>
        <v>151</v>
      </c>
      <c r="F194" s="3">
        <f t="shared" si="76"/>
        <v>27.397350993377483</v>
      </c>
    </row>
    <row r="195" spans="1:9">
      <c r="A195" s="3">
        <v>22</v>
      </c>
      <c r="B195" s="3">
        <v>8372</v>
      </c>
      <c r="C195" s="3">
        <f t="shared" ref="C195" si="86">C194</f>
        <v>116</v>
      </c>
      <c r="D195" s="3">
        <f t="shared" si="74"/>
        <v>36.086206896551722</v>
      </c>
      <c r="E195" s="3">
        <f t="shared" ref="E195" si="87">E194</f>
        <v>151</v>
      </c>
      <c r="F195" s="3">
        <f t="shared" si="76"/>
        <v>27.721854304635762</v>
      </c>
    </row>
    <row r="196" spans="1:9">
      <c r="A196" s="3">
        <v>24</v>
      </c>
      <c r="B196" s="3">
        <v>7824</v>
      </c>
      <c r="C196" s="3">
        <f t="shared" ref="C196" si="88">C195</f>
        <v>116</v>
      </c>
      <c r="D196" s="3">
        <f t="shared" si="74"/>
        <v>33.724137931034484</v>
      </c>
      <c r="E196" s="3">
        <f t="shared" ref="E196" si="89">E195</f>
        <v>151</v>
      </c>
      <c r="F196" s="3">
        <f t="shared" si="76"/>
        <v>25.90728476821192</v>
      </c>
    </row>
    <row r="197" spans="1:9">
      <c r="A197" s="3">
        <v>26</v>
      </c>
      <c r="B197" s="3">
        <v>7465</v>
      </c>
      <c r="C197" s="3">
        <f t="shared" ref="C197" si="90">C196</f>
        <v>116</v>
      </c>
      <c r="D197" s="3">
        <f t="shared" si="74"/>
        <v>32.176724137931032</v>
      </c>
      <c r="E197" s="3">
        <f t="shared" ref="E197:E199" si="91">E196</f>
        <v>151</v>
      </c>
      <c r="F197" s="3">
        <f t="shared" si="76"/>
        <v>24.718543046357617</v>
      </c>
    </row>
    <row r="198" spans="1:9">
      <c r="A198" s="3">
        <v>28</v>
      </c>
      <c r="B198" s="3">
        <v>8220</v>
      </c>
      <c r="C198" s="3">
        <f>C197+1</f>
        <v>117</v>
      </c>
      <c r="D198" s="3">
        <f t="shared" si="74"/>
        <v>35.128205128205131</v>
      </c>
      <c r="E198" s="3">
        <f t="shared" ref="E198" si="92">E197</f>
        <v>151</v>
      </c>
      <c r="F198" s="3">
        <f t="shared" si="76"/>
        <v>27.218543046357617</v>
      </c>
    </row>
    <row r="199" spans="1:9">
      <c r="A199" s="3">
        <v>30</v>
      </c>
      <c r="B199" s="3">
        <v>8649</v>
      </c>
      <c r="C199" s="3">
        <f>C198+1</f>
        <v>118</v>
      </c>
      <c r="D199" s="3">
        <f t="shared" ref="D199" si="93">(B199/2)/C199</f>
        <v>36.648305084745765</v>
      </c>
      <c r="E199" s="3">
        <f t="shared" si="91"/>
        <v>151</v>
      </c>
      <c r="F199" s="3">
        <f t="shared" ref="F199" si="94">(B199/2)/E199</f>
        <v>28.639072847682119</v>
      </c>
    </row>
    <row r="200" spans="1:9">
      <c r="A200" s="1" t="s">
        <v>12</v>
      </c>
      <c r="B200" s="1">
        <f>SUM(B185:B199)/15</f>
        <v>8375.8666666666668</v>
      </c>
      <c r="C200" s="1">
        <f>SUM(C185:C199)/15</f>
        <v>119.33333333333333</v>
      </c>
      <c r="D200" s="1">
        <f>SUM(D185:D199)/15</f>
        <v>35.112101476564099</v>
      </c>
      <c r="E200" s="1">
        <f>SUM(E185:E199)/15</f>
        <v>152.6</v>
      </c>
      <c r="F200" s="1">
        <f>SUM(F185:F199)/15</f>
        <v>27.438542765146728</v>
      </c>
    </row>
    <row r="201" spans="1:9">
      <c r="A201" s="1" t="s">
        <v>41</v>
      </c>
      <c r="D201" s="1" t="s">
        <v>0</v>
      </c>
    </row>
    <row r="202" spans="1:9">
      <c r="A202" s="1" t="s">
        <v>71</v>
      </c>
      <c r="B202" s="1" t="s">
        <v>1</v>
      </c>
      <c r="C202" s="1" t="s">
        <v>2</v>
      </c>
      <c r="D202" s="1" t="s">
        <v>3</v>
      </c>
      <c r="E202" s="1" t="s">
        <v>4</v>
      </c>
      <c r="F202" s="1" t="s">
        <v>3</v>
      </c>
      <c r="H202" s="1" t="s">
        <v>45</v>
      </c>
    </row>
    <row r="203" spans="1:9">
      <c r="A203" s="1" t="s">
        <v>26</v>
      </c>
      <c r="B203" s="5">
        <v>9867.5</v>
      </c>
      <c r="C203" s="5">
        <v>111.2</v>
      </c>
      <c r="D203" s="5">
        <v>44.37</v>
      </c>
      <c r="E203" s="5">
        <v>143.6</v>
      </c>
      <c r="F203" s="5">
        <v>34.36</v>
      </c>
      <c r="H203" s="5">
        <v>10</v>
      </c>
      <c r="I203" s="1" t="s">
        <v>46</v>
      </c>
    </row>
    <row r="204" spans="1:9">
      <c r="A204" s="1">
        <v>1</v>
      </c>
      <c r="B204" s="3">
        <v>9985</v>
      </c>
      <c r="C204" s="3">
        <f>118+1+1</f>
        <v>120</v>
      </c>
      <c r="D204" s="3">
        <f t="shared" ref="D204:D218" si="95">(B204/2)/C204</f>
        <v>41.604166666666664</v>
      </c>
      <c r="E204" s="3">
        <f>120+27</f>
        <v>147</v>
      </c>
      <c r="F204" s="3">
        <f t="shared" ref="F204:F217" si="96">(B204/2)/E204</f>
        <v>33.962585034013607</v>
      </c>
      <c r="H204" s="1">
        <v>11</v>
      </c>
      <c r="I204" s="1" t="s">
        <v>47</v>
      </c>
    </row>
    <row r="205" spans="1:9">
      <c r="A205" s="1">
        <v>3</v>
      </c>
      <c r="B205" s="3">
        <v>10082</v>
      </c>
      <c r="C205" s="3">
        <f>C204+1</f>
        <v>121</v>
      </c>
      <c r="D205" s="3">
        <f t="shared" si="95"/>
        <v>41.66115702479339</v>
      </c>
      <c r="E205" s="3">
        <f t="shared" ref="E205:E218" si="97">E204</f>
        <v>147</v>
      </c>
      <c r="F205" s="3">
        <f t="shared" si="96"/>
        <v>34.292517006802719</v>
      </c>
    </row>
    <row r="206" spans="1:9">
      <c r="A206" s="1">
        <v>5</v>
      </c>
      <c r="B206" s="3">
        <v>9808</v>
      </c>
      <c r="C206" s="3">
        <f>C205+1+1</f>
        <v>123</v>
      </c>
      <c r="D206" s="3">
        <f t="shared" si="95"/>
        <v>39.869918699186989</v>
      </c>
      <c r="E206" s="3">
        <f t="shared" si="97"/>
        <v>147</v>
      </c>
      <c r="F206" s="3">
        <f t="shared" si="96"/>
        <v>33.360544217687078</v>
      </c>
    </row>
    <row r="207" spans="1:9">
      <c r="A207" s="1">
        <v>7</v>
      </c>
      <c r="B207" s="3">
        <v>8528</v>
      </c>
      <c r="C207" s="3">
        <f>C206+2+(-7)</f>
        <v>118</v>
      </c>
      <c r="D207" s="3">
        <f t="shared" si="95"/>
        <v>36.135593220338983</v>
      </c>
      <c r="E207" s="3">
        <f t="shared" si="97"/>
        <v>147</v>
      </c>
      <c r="F207" s="3">
        <f t="shared" si="96"/>
        <v>29.006802721088434</v>
      </c>
    </row>
    <row r="208" spans="1:9">
      <c r="A208" s="1">
        <v>9</v>
      </c>
      <c r="B208" s="3">
        <v>8345</v>
      </c>
      <c r="C208" s="3">
        <f>C207+(-7)</f>
        <v>111</v>
      </c>
      <c r="D208" s="3">
        <f t="shared" si="95"/>
        <v>37.590090090090094</v>
      </c>
      <c r="E208" s="3">
        <f t="shared" si="97"/>
        <v>147</v>
      </c>
      <c r="F208" s="3">
        <f t="shared" si="96"/>
        <v>28.3843537414966</v>
      </c>
    </row>
    <row r="209" spans="1:15">
      <c r="A209" s="1">
        <v>11</v>
      </c>
      <c r="B209" s="3">
        <v>8745</v>
      </c>
      <c r="C209" s="3">
        <f t="shared" ref="C209:C216" si="98">C208</f>
        <v>111</v>
      </c>
      <c r="D209" s="3">
        <f t="shared" si="95"/>
        <v>39.391891891891895</v>
      </c>
      <c r="E209" s="3">
        <f t="shared" si="97"/>
        <v>147</v>
      </c>
      <c r="F209" s="3">
        <f t="shared" si="96"/>
        <v>29.744897959183675</v>
      </c>
    </row>
    <row r="210" spans="1:15">
      <c r="A210" s="1">
        <v>13</v>
      </c>
      <c r="B210" s="3">
        <v>8528</v>
      </c>
      <c r="C210" s="3">
        <f>C209+1</f>
        <v>112</v>
      </c>
      <c r="D210" s="3">
        <f t="shared" si="95"/>
        <v>38.071428571428569</v>
      </c>
      <c r="E210" s="3">
        <f t="shared" si="97"/>
        <v>147</v>
      </c>
      <c r="F210" s="3">
        <f t="shared" si="96"/>
        <v>29.006802721088434</v>
      </c>
    </row>
    <row r="211" spans="1:15">
      <c r="A211" s="1">
        <v>15</v>
      </c>
      <c r="B211" s="3">
        <v>8473</v>
      </c>
      <c r="C211" s="3">
        <f t="shared" si="98"/>
        <v>112</v>
      </c>
      <c r="D211" s="3">
        <f t="shared" si="95"/>
        <v>37.825892857142854</v>
      </c>
      <c r="E211" s="3">
        <f>E210-1</f>
        <v>146</v>
      </c>
      <c r="F211" s="3">
        <f t="shared" si="96"/>
        <v>29.017123287671232</v>
      </c>
    </row>
    <row r="212" spans="1:15">
      <c r="A212" s="1">
        <v>17</v>
      </c>
      <c r="B212" s="3">
        <v>8582</v>
      </c>
      <c r="C212" s="3">
        <f>C211+1</f>
        <v>113</v>
      </c>
      <c r="D212" s="3">
        <f t="shared" si="95"/>
        <v>37.973451327433629</v>
      </c>
      <c r="E212" s="3">
        <f>E211+1</f>
        <v>147</v>
      </c>
      <c r="F212" s="3">
        <f t="shared" si="96"/>
        <v>29.19047619047619</v>
      </c>
    </row>
    <row r="213" spans="1:15">
      <c r="A213" s="1">
        <v>19</v>
      </c>
      <c r="B213" s="3">
        <v>8685</v>
      </c>
      <c r="C213" s="3">
        <f t="shared" si="98"/>
        <v>113</v>
      </c>
      <c r="D213" s="3">
        <f t="shared" si="95"/>
        <v>38.429203539823007</v>
      </c>
      <c r="E213" s="3">
        <f t="shared" si="97"/>
        <v>147</v>
      </c>
      <c r="F213" s="3">
        <f t="shared" si="96"/>
        <v>29.540816326530614</v>
      </c>
    </row>
    <row r="214" spans="1:15">
      <c r="A214" s="1">
        <v>21</v>
      </c>
      <c r="B214" s="3">
        <v>8345</v>
      </c>
      <c r="C214" s="3">
        <f t="shared" si="98"/>
        <v>113</v>
      </c>
      <c r="D214" s="3">
        <f t="shared" si="95"/>
        <v>36.924778761061944</v>
      </c>
      <c r="E214" s="3">
        <f t="shared" si="97"/>
        <v>147</v>
      </c>
      <c r="F214" s="3">
        <f t="shared" si="96"/>
        <v>28.3843537414966</v>
      </c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1">
        <v>23</v>
      </c>
      <c r="B215" s="3">
        <v>8220</v>
      </c>
      <c r="C215" s="3">
        <f>C214+1</f>
        <v>114</v>
      </c>
      <c r="D215" s="3">
        <f t="shared" si="95"/>
        <v>36.05263157894737</v>
      </c>
      <c r="E215" s="3">
        <f t="shared" si="97"/>
        <v>147</v>
      </c>
      <c r="F215" s="3">
        <f t="shared" si="96"/>
        <v>27.959183673469386</v>
      </c>
    </row>
    <row r="216" spans="1:15">
      <c r="A216" s="1">
        <v>25</v>
      </c>
      <c r="B216" s="3">
        <v>8365</v>
      </c>
      <c r="C216" s="3">
        <f t="shared" si="98"/>
        <v>114</v>
      </c>
      <c r="D216" s="3">
        <f t="shared" si="95"/>
        <v>36.688596491228068</v>
      </c>
      <c r="E216" s="3">
        <f t="shared" si="97"/>
        <v>147</v>
      </c>
      <c r="F216" s="3">
        <f t="shared" si="96"/>
        <v>28.452380952380953</v>
      </c>
    </row>
    <row r="217" spans="1:15">
      <c r="A217" s="1">
        <v>27</v>
      </c>
      <c r="B217" s="3">
        <v>8347</v>
      </c>
      <c r="C217" s="3">
        <f>C216+1</f>
        <v>115</v>
      </c>
      <c r="D217" s="3">
        <f t="shared" si="95"/>
        <v>36.291304347826085</v>
      </c>
      <c r="E217" s="3">
        <f t="shared" si="97"/>
        <v>147</v>
      </c>
      <c r="F217" s="3">
        <f t="shared" si="96"/>
        <v>28.391156462585034</v>
      </c>
    </row>
    <row r="218" spans="1:15">
      <c r="A218" s="1">
        <v>29</v>
      </c>
      <c r="B218" s="3">
        <v>8864</v>
      </c>
      <c r="C218" s="3">
        <f>C217</f>
        <v>115</v>
      </c>
      <c r="D218" s="3">
        <f t="shared" si="95"/>
        <v>38.539130434782606</v>
      </c>
      <c r="E218" s="3">
        <f t="shared" si="97"/>
        <v>147</v>
      </c>
      <c r="F218" s="3">
        <f>(B218/2)/E218</f>
        <v>30.14965986394558</v>
      </c>
      <c r="G218" s="3"/>
    </row>
    <row r="219" spans="1:15">
      <c r="A219" s="1" t="s">
        <v>12</v>
      </c>
      <c r="B219" s="3">
        <f>SUM(B204:B218)/15</f>
        <v>8793.4666666666672</v>
      </c>
      <c r="C219" s="3">
        <f>SUM(C204:C218)/15</f>
        <v>115</v>
      </c>
      <c r="D219" s="3">
        <f>SUM(D204:D218)/15</f>
        <v>38.203282366842807</v>
      </c>
      <c r="E219" s="3">
        <f>SUM(E204:E218)/15</f>
        <v>146.93333333333334</v>
      </c>
      <c r="F219" s="3">
        <f>SUM(F204:F218)/15</f>
        <v>29.922910259994413</v>
      </c>
      <c r="G219" s="3"/>
    </row>
    <row r="220" spans="1:15">
      <c r="A220" s="1" t="s">
        <v>42</v>
      </c>
      <c r="D220" s="1" t="s">
        <v>0</v>
      </c>
    </row>
    <row r="221" spans="1:15">
      <c r="B221" s="1" t="s">
        <v>1</v>
      </c>
      <c r="C221" s="1" t="s">
        <v>2</v>
      </c>
      <c r="D221" s="1" t="s">
        <v>3</v>
      </c>
      <c r="E221" s="1" t="s">
        <v>4</v>
      </c>
      <c r="F221" s="1" t="s">
        <v>3</v>
      </c>
      <c r="H221" s="1" t="s">
        <v>45</v>
      </c>
    </row>
    <row r="222" spans="1:15">
      <c r="A222" s="1" t="s">
        <v>26</v>
      </c>
      <c r="B222" s="5">
        <v>9712.7999999999993</v>
      </c>
      <c r="C222" s="5">
        <v>115.688</v>
      </c>
      <c r="D222" s="5">
        <v>41.9953</v>
      </c>
      <c r="E222" s="5">
        <v>142.63</v>
      </c>
      <c r="F222" s="5">
        <v>34.051000000000002</v>
      </c>
      <c r="H222" s="5">
        <v>10</v>
      </c>
      <c r="I222" s="1" t="s">
        <v>46</v>
      </c>
    </row>
    <row r="223" spans="1:15">
      <c r="A223" s="1">
        <v>1</v>
      </c>
      <c r="B223" s="3">
        <v>9104</v>
      </c>
      <c r="C223" s="3">
        <v>115</v>
      </c>
      <c r="D223" s="3">
        <f t="shared" ref="D223:D237" si="99">(B223/2)/C223</f>
        <v>39.582608695652176</v>
      </c>
      <c r="E223" s="3">
        <f>115+34</f>
        <v>149</v>
      </c>
      <c r="F223" s="3">
        <f t="shared" ref="F223:F237" si="100">(B223/2)/E223</f>
        <v>30.550335570469798</v>
      </c>
      <c r="H223" s="1">
        <v>9</v>
      </c>
      <c r="I223" s="1" t="s">
        <v>47</v>
      </c>
    </row>
    <row r="224" spans="1:15">
      <c r="A224" s="1">
        <v>3</v>
      </c>
      <c r="B224" s="3">
        <v>9401</v>
      </c>
      <c r="C224" s="3">
        <f>C223+1</f>
        <v>116</v>
      </c>
      <c r="D224" s="3">
        <f t="shared" si="99"/>
        <v>40.521551724137929</v>
      </c>
      <c r="E224" s="3">
        <f t="shared" ref="E224:E238" si="101">E223</f>
        <v>149</v>
      </c>
      <c r="F224" s="3">
        <f t="shared" si="100"/>
        <v>31.546979865771814</v>
      </c>
    </row>
    <row r="225" spans="1:7">
      <c r="A225" s="1">
        <v>5</v>
      </c>
      <c r="B225" s="3">
        <v>9176</v>
      </c>
      <c r="C225" s="3">
        <f>C224+1</f>
        <v>117</v>
      </c>
      <c r="D225" s="3">
        <f t="shared" si="99"/>
        <v>39.213675213675216</v>
      </c>
      <c r="E225" s="3">
        <f t="shared" si="101"/>
        <v>149</v>
      </c>
      <c r="F225" s="3">
        <f t="shared" si="100"/>
        <v>30.791946308724832</v>
      </c>
    </row>
    <row r="226" spans="1:7">
      <c r="A226" s="1">
        <v>7</v>
      </c>
      <c r="B226" s="3">
        <v>9029</v>
      </c>
      <c r="C226" s="3">
        <f>C225+(-2)+1</f>
        <v>116</v>
      </c>
      <c r="D226" s="3">
        <f t="shared" si="99"/>
        <v>38.918103448275865</v>
      </c>
      <c r="E226" s="3">
        <f>E225+(-2)</f>
        <v>147</v>
      </c>
      <c r="F226" s="3">
        <f t="shared" si="100"/>
        <v>30.710884353741495</v>
      </c>
      <c r="G226" s="1" t="s">
        <v>72</v>
      </c>
    </row>
    <row r="227" spans="1:7">
      <c r="A227" s="1">
        <v>9</v>
      </c>
      <c r="B227" s="3">
        <v>8703</v>
      </c>
      <c r="C227" s="3">
        <f t="shared" ref="B225:C238" si="102">C226</f>
        <v>116</v>
      </c>
      <c r="D227" s="3">
        <f t="shared" si="99"/>
        <v>37.512931034482762</v>
      </c>
      <c r="E227" s="3">
        <f t="shared" si="101"/>
        <v>147</v>
      </c>
      <c r="F227" s="3">
        <f t="shared" si="100"/>
        <v>29.602040816326532</v>
      </c>
    </row>
    <row r="228" spans="1:7">
      <c r="A228" s="1">
        <v>11</v>
      </c>
      <c r="B228" s="3">
        <v>8631</v>
      </c>
      <c r="C228" s="3">
        <f>C227+1+(-8)</f>
        <v>109</v>
      </c>
      <c r="D228" s="3">
        <f t="shared" si="99"/>
        <v>39.591743119266056</v>
      </c>
      <c r="E228" s="3">
        <f t="shared" si="101"/>
        <v>147</v>
      </c>
      <c r="F228" s="3">
        <f t="shared" si="100"/>
        <v>29.357142857142858</v>
      </c>
    </row>
    <row r="229" spans="1:7">
      <c r="A229" s="1">
        <v>13</v>
      </c>
      <c r="B229" s="3">
        <f>2366+6409</f>
        <v>8775</v>
      </c>
      <c r="C229" s="3">
        <f>C228+1</f>
        <v>110</v>
      </c>
      <c r="D229" s="3">
        <f t="shared" si="99"/>
        <v>39.886363636363633</v>
      </c>
      <c r="E229" s="3">
        <f t="shared" si="101"/>
        <v>147</v>
      </c>
      <c r="F229" s="3">
        <f t="shared" si="100"/>
        <v>29.846938775510203</v>
      </c>
    </row>
    <row r="230" spans="1:7">
      <c r="A230" s="1">
        <v>15</v>
      </c>
      <c r="B230" s="3">
        <v>9077</v>
      </c>
      <c r="C230" s="3">
        <f t="shared" si="102"/>
        <v>110</v>
      </c>
      <c r="D230" s="3">
        <f t="shared" si="99"/>
        <v>41.259090909090908</v>
      </c>
      <c r="E230" s="3">
        <f t="shared" si="101"/>
        <v>147</v>
      </c>
      <c r="F230" s="3">
        <f t="shared" si="100"/>
        <v>30.874149659863946</v>
      </c>
    </row>
    <row r="231" spans="1:7">
      <c r="A231" s="1">
        <v>17</v>
      </c>
      <c r="B231" s="3">
        <v>9132</v>
      </c>
      <c r="C231" s="3">
        <f>C230+1+1+1</f>
        <v>113</v>
      </c>
      <c r="D231" s="3">
        <f t="shared" si="99"/>
        <v>40.407079646017699</v>
      </c>
      <c r="E231" s="3">
        <f t="shared" si="101"/>
        <v>147</v>
      </c>
      <c r="F231" s="3">
        <f t="shared" si="100"/>
        <v>31.061224489795919</v>
      </c>
    </row>
    <row r="232" spans="1:7">
      <c r="A232" s="1">
        <v>19</v>
      </c>
      <c r="B232" s="3">
        <v>8700</v>
      </c>
      <c r="C232" s="3">
        <f>C231+1</f>
        <v>114</v>
      </c>
      <c r="D232" s="3">
        <f t="shared" si="99"/>
        <v>38.157894736842103</v>
      </c>
      <c r="E232" s="3">
        <f t="shared" si="101"/>
        <v>147</v>
      </c>
      <c r="F232" s="3">
        <f t="shared" si="100"/>
        <v>29.591836734693878</v>
      </c>
    </row>
    <row r="233" spans="1:7">
      <c r="A233" s="1">
        <v>21</v>
      </c>
      <c r="B233" s="3">
        <v>8435</v>
      </c>
      <c r="C233" s="3">
        <f>C232+1+1</f>
        <v>116</v>
      </c>
      <c r="D233" s="3">
        <f t="shared" si="99"/>
        <v>36.357758620689658</v>
      </c>
      <c r="E233" s="3">
        <f t="shared" si="101"/>
        <v>147</v>
      </c>
      <c r="F233" s="3">
        <f t="shared" si="100"/>
        <v>28.69047619047619</v>
      </c>
    </row>
    <row r="234" spans="1:7">
      <c r="A234" s="1">
        <v>23</v>
      </c>
      <c r="B234" s="3">
        <v>9184</v>
      </c>
      <c r="C234" s="3">
        <f>C233+1</f>
        <v>117</v>
      </c>
      <c r="D234" s="3">
        <f t="shared" si="99"/>
        <v>39.247863247863251</v>
      </c>
      <c r="E234" s="3">
        <f t="shared" si="101"/>
        <v>147</v>
      </c>
      <c r="F234" s="3">
        <f t="shared" si="100"/>
        <v>31.238095238095237</v>
      </c>
    </row>
    <row r="235" spans="1:7">
      <c r="A235" s="1">
        <v>25</v>
      </c>
      <c r="B235" s="3">
        <v>9662</v>
      </c>
      <c r="C235" s="3">
        <f t="shared" si="102"/>
        <v>117</v>
      </c>
      <c r="D235" s="3">
        <f t="shared" si="99"/>
        <v>41.29059829059829</v>
      </c>
      <c r="E235" s="3">
        <f t="shared" si="101"/>
        <v>147</v>
      </c>
      <c r="F235" s="3">
        <f t="shared" si="100"/>
        <v>32.863945578231295</v>
      </c>
    </row>
    <row r="236" spans="1:7">
      <c r="A236" s="1">
        <v>27</v>
      </c>
      <c r="B236" s="3">
        <v>9614</v>
      </c>
      <c r="C236" s="3">
        <f t="shared" si="102"/>
        <v>117</v>
      </c>
      <c r="D236" s="3">
        <f t="shared" si="99"/>
        <v>41.085470085470085</v>
      </c>
      <c r="E236" s="3">
        <f t="shared" si="101"/>
        <v>147</v>
      </c>
      <c r="F236" s="3">
        <f t="shared" si="100"/>
        <v>32.700680272108841</v>
      </c>
    </row>
    <row r="237" spans="1:7">
      <c r="A237" s="1">
        <v>29</v>
      </c>
      <c r="B237" s="2">
        <f t="shared" si="102"/>
        <v>9614</v>
      </c>
      <c r="C237" s="2">
        <f>C236+1</f>
        <v>118</v>
      </c>
      <c r="D237" s="2">
        <f t="shared" si="99"/>
        <v>40.737288135593218</v>
      </c>
      <c r="E237" s="2">
        <f t="shared" si="101"/>
        <v>147</v>
      </c>
      <c r="F237" s="3">
        <f t="shared" si="100"/>
        <v>32.700680272108841</v>
      </c>
    </row>
    <row r="238" spans="1:7">
      <c r="A238" s="1">
        <v>31</v>
      </c>
      <c r="B238" s="2">
        <f t="shared" si="102"/>
        <v>9614</v>
      </c>
      <c r="C238" s="2">
        <f t="shared" si="102"/>
        <v>118</v>
      </c>
      <c r="D238" s="2">
        <f t="shared" ref="D238" si="103">(B238/2)/C238</f>
        <v>40.737288135593218</v>
      </c>
      <c r="E238" s="2">
        <f t="shared" si="101"/>
        <v>147</v>
      </c>
      <c r="F238" s="3">
        <f t="shared" ref="F238" si="104">(B238/2)/E238</f>
        <v>32.700680272108841</v>
      </c>
    </row>
    <row r="239" spans="1:7">
      <c r="A239" s="1" t="s">
        <v>12</v>
      </c>
      <c r="B239" s="2">
        <f>SUM(B223:B237)/15</f>
        <v>9082.4666666666672</v>
      </c>
      <c r="C239" s="2">
        <f>SUM(C223:C237)/15</f>
        <v>114.73333333333333</v>
      </c>
      <c r="D239" s="2">
        <f>SUM(D223:D238)/16</f>
        <v>39.656706792475745</v>
      </c>
      <c r="E239" s="2">
        <f>SUM(E223:E237)/15</f>
        <v>147.4</v>
      </c>
      <c r="F239" s="2">
        <f>SUM(F223:F238)/16</f>
        <v>30.926752328448163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62"/>
  <sheetViews>
    <sheetView topLeftCell="A122" workbookViewId="0">
      <selection activeCell="H25" sqref="H25"/>
    </sheetView>
  </sheetViews>
  <sheetFormatPr defaultRowHeight="18.75"/>
  <cols>
    <col min="1" max="1" width="6.7109375" style="1" customWidth="1"/>
    <col min="2" max="2" width="10.5703125" style="1" customWidth="1"/>
    <col min="3" max="4" width="11.42578125" style="1" customWidth="1"/>
    <col min="5" max="5" width="10.85546875" style="1" customWidth="1"/>
    <col min="6" max="6" width="10.42578125" style="1" customWidth="1"/>
    <col min="7" max="14" width="9.140625" style="1"/>
  </cols>
  <sheetData>
    <row r="1" spans="1:15">
      <c r="A1" s="1" t="s">
        <v>73</v>
      </c>
      <c r="D1" s="1" t="s">
        <v>0</v>
      </c>
      <c r="O1" s="1"/>
    </row>
    <row r="2" spans="1:15"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H2" s="1" t="s">
        <v>45</v>
      </c>
      <c r="O2" s="1"/>
    </row>
    <row r="3" spans="1:15">
      <c r="A3" s="1" t="s">
        <v>26</v>
      </c>
      <c r="B3" s="5">
        <v>10083</v>
      </c>
      <c r="C3" s="5">
        <v>114.333</v>
      </c>
      <c r="D3" s="5">
        <v>44.162199999999999</v>
      </c>
      <c r="E3" s="5">
        <v>141.53</v>
      </c>
      <c r="F3" s="5">
        <v>35.622999999999998</v>
      </c>
      <c r="H3" s="5">
        <v>10</v>
      </c>
      <c r="I3" s="1" t="s">
        <v>46</v>
      </c>
      <c r="O3" s="1"/>
    </row>
    <row r="4" spans="1:15">
      <c r="A4" s="3">
        <v>2</v>
      </c>
      <c r="B4" s="2">
        <v>10083</v>
      </c>
      <c r="C4" s="2">
        <v>114</v>
      </c>
      <c r="D4" s="2">
        <f t="shared" ref="D4:D17" si="0">(B4/2)/C4</f>
        <v>44.223684210526315</v>
      </c>
      <c r="E4" s="2">
        <v>137</v>
      </c>
      <c r="F4" s="2">
        <f t="shared" ref="F4:F17" si="1">(B4/2)/E4</f>
        <v>36.799270072992698</v>
      </c>
      <c r="I4" s="1" t="s">
        <v>47</v>
      </c>
      <c r="O4" s="1"/>
    </row>
    <row r="5" spans="1:15">
      <c r="A5" s="3">
        <v>4</v>
      </c>
      <c r="B5" s="2">
        <f t="shared" ref="B5:C18" si="2">B4</f>
        <v>10083</v>
      </c>
      <c r="C5" s="2">
        <f t="shared" si="2"/>
        <v>114</v>
      </c>
      <c r="D5" s="2">
        <f t="shared" si="0"/>
        <v>44.223684210526315</v>
      </c>
      <c r="E5" s="2">
        <f t="shared" ref="E5:E18" si="3">E4</f>
        <v>137</v>
      </c>
      <c r="F5" s="2">
        <f t="shared" si="1"/>
        <v>36.799270072992698</v>
      </c>
      <c r="O5" s="1"/>
    </row>
    <row r="6" spans="1:15">
      <c r="A6" s="3">
        <v>6</v>
      </c>
      <c r="B6" s="2">
        <f t="shared" si="2"/>
        <v>10083</v>
      </c>
      <c r="C6" s="2">
        <f t="shared" si="2"/>
        <v>114</v>
      </c>
      <c r="D6" s="2">
        <f t="shared" si="0"/>
        <v>44.223684210526315</v>
      </c>
      <c r="E6" s="2">
        <f t="shared" si="3"/>
        <v>137</v>
      </c>
      <c r="F6" s="2">
        <f t="shared" si="1"/>
        <v>36.799270072992698</v>
      </c>
      <c r="O6" s="1"/>
    </row>
    <row r="7" spans="1:15">
      <c r="A7" s="3">
        <v>8</v>
      </c>
      <c r="B7" s="2">
        <f t="shared" si="2"/>
        <v>10083</v>
      </c>
      <c r="C7" s="2">
        <f t="shared" si="2"/>
        <v>114</v>
      </c>
      <c r="D7" s="2">
        <f t="shared" si="0"/>
        <v>44.223684210526315</v>
      </c>
      <c r="E7" s="2">
        <f t="shared" si="3"/>
        <v>137</v>
      </c>
      <c r="F7" s="2">
        <f t="shared" si="1"/>
        <v>36.799270072992698</v>
      </c>
      <c r="O7" s="1"/>
    </row>
    <row r="8" spans="1:15">
      <c r="A8" s="3">
        <v>10</v>
      </c>
      <c r="B8" s="2">
        <f t="shared" si="2"/>
        <v>10083</v>
      </c>
      <c r="C8" s="2">
        <f t="shared" si="2"/>
        <v>114</v>
      </c>
      <c r="D8" s="2">
        <f t="shared" si="0"/>
        <v>44.223684210526315</v>
      </c>
      <c r="E8" s="2">
        <f t="shared" si="3"/>
        <v>137</v>
      </c>
      <c r="F8" s="2">
        <f t="shared" si="1"/>
        <v>36.799270072992698</v>
      </c>
      <c r="O8" s="1"/>
    </row>
    <row r="9" spans="1:15">
      <c r="A9" s="3">
        <v>12</v>
      </c>
      <c r="B9" s="2">
        <f t="shared" si="2"/>
        <v>10083</v>
      </c>
      <c r="C9" s="2">
        <f t="shared" si="2"/>
        <v>114</v>
      </c>
      <c r="D9" s="2">
        <f t="shared" si="0"/>
        <v>44.223684210526315</v>
      </c>
      <c r="E9" s="2">
        <f t="shared" si="3"/>
        <v>137</v>
      </c>
      <c r="F9" s="2">
        <f t="shared" si="1"/>
        <v>36.799270072992698</v>
      </c>
      <c r="O9" s="1"/>
    </row>
    <row r="10" spans="1:15">
      <c r="A10" s="3">
        <v>14</v>
      </c>
      <c r="B10" s="2">
        <f t="shared" si="2"/>
        <v>10083</v>
      </c>
      <c r="C10" s="2">
        <f t="shared" si="2"/>
        <v>114</v>
      </c>
      <c r="D10" s="2">
        <f t="shared" si="0"/>
        <v>44.223684210526315</v>
      </c>
      <c r="E10" s="2">
        <f t="shared" si="3"/>
        <v>137</v>
      </c>
      <c r="F10" s="2">
        <f t="shared" si="1"/>
        <v>36.799270072992698</v>
      </c>
      <c r="O10" s="1"/>
    </row>
    <row r="11" spans="1:15">
      <c r="A11" s="3">
        <v>16</v>
      </c>
      <c r="B11" s="2">
        <f t="shared" si="2"/>
        <v>10083</v>
      </c>
      <c r="C11" s="2">
        <f t="shared" si="2"/>
        <v>114</v>
      </c>
      <c r="D11" s="2">
        <f t="shared" si="0"/>
        <v>44.223684210526315</v>
      </c>
      <c r="E11" s="2">
        <f t="shared" si="3"/>
        <v>137</v>
      </c>
      <c r="F11" s="2">
        <f t="shared" si="1"/>
        <v>36.799270072992698</v>
      </c>
      <c r="O11" s="1"/>
    </row>
    <row r="12" spans="1:15">
      <c r="A12" s="3">
        <v>18</v>
      </c>
      <c r="B12" s="2">
        <f t="shared" si="2"/>
        <v>10083</v>
      </c>
      <c r="C12" s="2">
        <f t="shared" si="2"/>
        <v>114</v>
      </c>
      <c r="D12" s="2">
        <f t="shared" si="0"/>
        <v>44.223684210526315</v>
      </c>
      <c r="E12" s="2">
        <f t="shared" si="3"/>
        <v>137</v>
      </c>
      <c r="F12" s="2">
        <f t="shared" si="1"/>
        <v>36.799270072992698</v>
      </c>
      <c r="O12" s="1"/>
    </row>
    <row r="13" spans="1:15">
      <c r="A13" s="3">
        <v>20</v>
      </c>
      <c r="B13" s="2">
        <f t="shared" si="2"/>
        <v>10083</v>
      </c>
      <c r="C13" s="2">
        <f t="shared" si="2"/>
        <v>114</v>
      </c>
      <c r="D13" s="2">
        <f t="shared" si="0"/>
        <v>44.223684210526315</v>
      </c>
      <c r="E13" s="2">
        <f t="shared" si="3"/>
        <v>137</v>
      </c>
      <c r="F13" s="2">
        <f t="shared" si="1"/>
        <v>36.799270072992698</v>
      </c>
      <c r="O13" s="1"/>
    </row>
    <row r="14" spans="1:15">
      <c r="A14" s="3">
        <v>22</v>
      </c>
      <c r="B14" s="2">
        <f t="shared" si="2"/>
        <v>10083</v>
      </c>
      <c r="C14" s="2">
        <f t="shared" si="2"/>
        <v>114</v>
      </c>
      <c r="D14" s="2">
        <f t="shared" si="0"/>
        <v>44.223684210526315</v>
      </c>
      <c r="E14" s="2">
        <f t="shared" si="3"/>
        <v>137</v>
      </c>
      <c r="F14" s="2">
        <f t="shared" si="1"/>
        <v>36.799270072992698</v>
      </c>
      <c r="O14" s="1"/>
    </row>
    <row r="15" spans="1:15">
      <c r="A15" s="3">
        <v>24</v>
      </c>
      <c r="B15" s="2">
        <f t="shared" si="2"/>
        <v>10083</v>
      </c>
      <c r="C15" s="2">
        <f t="shared" si="2"/>
        <v>114</v>
      </c>
      <c r="D15" s="2">
        <f t="shared" si="0"/>
        <v>44.223684210526315</v>
      </c>
      <c r="E15" s="2">
        <f t="shared" si="3"/>
        <v>137</v>
      </c>
      <c r="F15" s="2">
        <f t="shared" si="1"/>
        <v>36.799270072992698</v>
      </c>
      <c r="O15" s="1"/>
    </row>
    <row r="16" spans="1:15">
      <c r="A16" s="3">
        <v>26</v>
      </c>
      <c r="B16" s="2">
        <f t="shared" si="2"/>
        <v>10083</v>
      </c>
      <c r="C16" s="2">
        <f t="shared" si="2"/>
        <v>114</v>
      </c>
      <c r="D16" s="2">
        <f t="shared" si="0"/>
        <v>44.223684210526315</v>
      </c>
      <c r="E16" s="2">
        <f t="shared" si="3"/>
        <v>137</v>
      </c>
      <c r="F16" s="2">
        <f t="shared" si="1"/>
        <v>36.799270072992698</v>
      </c>
      <c r="O16" s="1"/>
    </row>
    <row r="17" spans="1:15">
      <c r="A17" s="3">
        <v>28</v>
      </c>
      <c r="B17" s="2">
        <f t="shared" si="2"/>
        <v>10083</v>
      </c>
      <c r="C17" s="2">
        <f t="shared" si="2"/>
        <v>114</v>
      </c>
      <c r="D17" s="2">
        <f t="shared" si="0"/>
        <v>44.223684210526315</v>
      </c>
      <c r="E17" s="2">
        <f t="shared" si="3"/>
        <v>137</v>
      </c>
      <c r="F17" s="2">
        <f t="shared" si="1"/>
        <v>36.799270072992698</v>
      </c>
      <c r="O17" s="1"/>
    </row>
    <row r="18" spans="1:15">
      <c r="A18" s="3">
        <v>30</v>
      </c>
      <c r="B18" s="2">
        <f t="shared" si="2"/>
        <v>10083</v>
      </c>
      <c r="C18" s="2">
        <f t="shared" si="2"/>
        <v>114</v>
      </c>
      <c r="D18" s="2">
        <f>(B18/2)/C18</f>
        <v>44.223684210526315</v>
      </c>
      <c r="E18" s="2">
        <f t="shared" si="3"/>
        <v>137</v>
      </c>
      <c r="F18" s="2">
        <f>(B18/2)/E18</f>
        <v>36.799270072992698</v>
      </c>
      <c r="O18" s="1"/>
    </row>
    <row r="19" spans="1:15">
      <c r="A19" s="1" t="s">
        <v>12</v>
      </c>
      <c r="B19" s="1">
        <f>SUM(B4:B18)/15</f>
        <v>10083</v>
      </c>
      <c r="C19" s="1">
        <f>SUM(C4:C18)/15</f>
        <v>114</v>
      </c>
      <c r="D19" s="1">
        <f>SUM(D4:D18)/15</f>
        <v>44.223684210526322</v>
      </c>
      <c r="E19" s="1">
        <f>SUM(E4:E18)/15</f>
        <v>137</v>
      </c>
      <c r="F19" s="1">
        <f>SUM(F4:F18)/15</f>
        <v>36.799270072992712</v>
      </c>
      <c r="O19" s="1"/>
    </row>
    <row r="20" spans="1:15">
      <c r="A20" s="2"/>
      <c r="B20" s="2"/>
      <c r="C20" s="2"/>
      <c r="D20" s="2"/>
      <c r="E20" s="2"/>
      <c r="F20" s="2"/>
      <c r="O20" s="1"/>
    </row>
    <row r="21" spans="1:15">
      <c r="A21" s="1" t="s">
        <v>49</v>
      </c>
      <c r="D21" s="1" t="s">
        <v>0</v>
      </c>
      <c r="O21" s="1"/>
    </row>
    <row r="22" spans="1:15">
      <c r="B22" s="1" t="s">
        <v>1</v>
      </c>
      <c r="C22" s="1" t="s">
        <v>2</v>
      </c>
      <c r="D22" s="1" t="s">
        <v>3</v>
      </c>
      <c r="E22" s="1" t="s">
        <v>4</v>
      </c>
      <c r="F22" s="1" t="s">
        <v>3</v>
      </c>
      <c r="H22" s="1" t="s">
        <v>45</v>
      </c>
      <c r="O22" s="1"/>
    </row>
    <row r="23" spans="1:15">
      <c r="A23" s="1" t="s">
        <v>26</v>
      </c>
      <c r="B23" s="5">
        <v>9770.7000000000007</v>
      </c>
      <c r="C23" s="5">
        <v>111.5</v>
      </c>
      <c r="D23" s="5">
        <v>43.86</v>
      </c>
      <c r="E23" s="5">
        <v>144.71</v>
      </c>
      <c r="F23" s="5">
        <v>33.85</v>
      </c>
      <c r="H23" s="5">
        <v>12.5</v>
      </c>
      <c r="I23" s="1" t="s">
        <v>46</v>
      </c>
      <c r="O23" s="1"/>
    </row>
    <row r="24" spans="1:15">
      <c r="A24" s="1">
        <v>1</v>
      </c>
      <c r="B24" s="2">
        <v>9771</v>
      </c>
      <c r="C24" s="2">
        <v>112</v>
      </c>
      <c r="D24" s="2">
        <f t="shared" ref="D24:D37" si="4">(B24/2)/C24</f>
        <v>43.620535714285715</v>
      </c>
      <c r="E24" s="2">
        <v>145</v>
      </c>
      <c r="F24" s="2">
        <f t="shared" ref="F24:F37" si="5">(B24/2)/E24</f>
        <v>33.693103448275863</v>
      </c>
      <c r="I24" s="1" t="s">
        <v>47</v>
      </c>
      <c r="O24" s="1"/>
    </row>
    <row r="25" spans="1:15">
      <c r="A25" s="1">
        <v>3</v>
      </c>
      <c r="B25" s="2">
        <f t="shared" ref="B25:C37" si="6">B24</f>
        <v>9771</v>
      </c>
      <c r="C25" s="2">
        <f t="shared" si="6"/>
        <v>112</v>
      </c>
      <c r="D25" s="2">
        <f t="shared" si="4"/>
        <v>43.620535714285715</v>
      </c>
      <c r="E25" s="2">
        <f t="shared" ref="E25:E37" si="7">E24</f>
        <v>145</v>
      </c>
      <c r="F25" s="2">
        <f t="shared" si="5"/>
        <v>33.693103448275863</v>
      </c>
      <c r="O25" s="1"/>
    </row>
    <row r="26" spans="1:15">
      <c r="A26" s="1">
        <v>5</v>
      </c>
      <c r="B26" s="2">
        <f t="shared" si="6"/>
        <v>9771</v>
      </c>
      <c r="C26" s="2">
        <f t="shared" si="6"/>
        <v>112</v>
      </c>
      <c r="D26" s="2">
        <f t="shared" si="4"/>
        <v>43.620535714285715</v>
      </c>
      <c r="E26" s="2">
        <f t="shared" si="7"/>
        <v>145</v>
      </c>
      <c r="F26" s="2">
        <f t="shared" si="5"/>
        <v>33.693103448275863</v>
      </c>
      <c r="O26" s="1"/>
    </row>
    <row r="27" spans="1:15">
      <c r="A27" s="1">
        <v>7</v>
      </c>
      <c r="B27" s="2">
        <f t="shared" si="6"/>
        <v>9771</v>
      </c>
      <c r="C27" s="2">
        <f t="shared" si="6"/>
        <v>112</v>
      </c>
      <c r="D27" s="2">
        <f t="shared" si="4"/>
        <v>43.620535714285715</v>
      </c>
      <c r="E27" s="2">
        <f t="shared" si="7"/>
        <v>145</v>
      </c>
      <c r="F27" s="2">
        <f t="shared" si="5"/>
        <v>33.693103448275863</v>
      </c>
      <c r="O27" s="1"/>
    </row>
    <row r="28" spans="1:15">
      <c r="A28" s="1">
        <v>9</v>
      </c>
      <c r="B28" s="2">
        <f t="shared" si="6"/>
        <v>9771</v>
      </c>
      <c r="C28" s="2">
        <f t="shared" si="6"/>
        <v>112</v>
      </c>
      <c r="D28" s="2">
        <f t="shared" si="4"/>
        <v>43.620535714285715</v>
      </c>
      <c r="E28" s="2">
        <f t="shared" si="7"/>
        <v>145</v>
      </c>
      <c r="F28" s="2">
        <f t="shared" si="5"/>
        <v>33.693103448275863</v>
      </c>
      <c r="O28" s="1"/>
    </row>
    <row r="29" spans="1:15">
      <c r="A29" s="1">
        <v>11</v>
      </c>
      <c r="B29" s="2">
        <f t="shared" si="6"/>
        <v>9771</v>
      </c>
      <c r="C29" s="2">
        <f t="shared" si="6"/>
        <v>112</v>
      </c>
      <c r="D29" s="2">
        <f t="shared" si="4"/>
        <v>43.620535714285715</v>
      </c>
      <c r="E29" s="2">
        <f t="shared" si="7"/>
        <v>145</v>
      </c>
      <c r="F29" s="2">
        <f t="shared" si="5"/>
        <v>33.693103448275863</v>
      </c>
      <c r="O29" s="1"/>
    </row>
    <row r="30" spans="1:15">
      <c r="A30" s="1">
        <v>13</v>
      </c>
      <c r="B30" s="2">
        <f t="shared" si="6"/>
        <v>9771</v>
      </c>
      <c r="C30" s="2">
        <f t="shared" si="6"/>
        <v>112</v>
      </c>
      <c r="D30" s="2">
        <f t="shared" si="4"/>
        <v>43.620535714285715</v>
      </c>
      <c r="E30" s="2">
        <f t="shared" si="7"/>
        <v>145</v>
      </c>
      <c r="F30" s="2">
        <f t="shared" si="5"/>
        <v>33.693103448275863</v>
      </c>
      <c r="O30" s="1"/>
    </row>
    <row r="31" spans="1:15">
      <c r="A31" s="1">
        <v>15</v>
      </c>
      <c r="B31" s="2">
        <f t="shared" si="6"/>
        <v>9771</v>
      </c>
      <c r="C31" s="2">
        <f t="shared" si="6"/>
        <v>112</v>
      </c>
      <c r="D31" s="2">
        <f t="shared" si="4"/>
        <v>43.620535714285715</v>
      </c>
      <c r="E31" s="2">
        <f t="shared" si="7"/>
        <v>145</v>
      </c>
      <c r="F31" s="2">
        <f t="shared" si="5"/>
        <v>33.693103448275863</v>
      </c>
      <c r="O31" s="1"/>
    </row>
    <row r="32" spans="1:15">
      <c r="A32" s="1">
        <v>17</v>
      </c>
      <c r="B32" s="2">
        <f t="shared" si="6"/>
        <v>9771</v>
      </c>
      <c r="C32" s="2">
        <f t="shared" si="6"/>
        <v>112</v>
      </c>
      <c r="D32" s="2">
        <f t="shared" si="4"/>
        <v>43.620535714285715</v>
      </c>
      <c r="E32" s="2">
        <f t="shared" si="7"/>
        <v>145</v>
      </c>
      <c r="F32" s="2">
        <f t="shared" si="5"/>
        <v>33.693103448275863</v>
      </c>
      <c r="O32" s="1"/>
    </row>
    <row r="33" spans="1:15">
      <c r="A33" s="1">
        <v>19</v>
      </c>
      <c r="B33" s="2">
        <f t="shared" si="6"/>
        <v>9771</v>
      </c>
      <c r="C33" s="2">
        <f t="shared" si="6"/>
        <v>112</v>
      </c>
      <c r="D33" s="2">
        <f t="shared" si="4"/>
        <v>43.620535714285715</v>
      </c>
      <c r="E33" s="2">
        <f t="shared" si="7"/>
        <v>145</v>
      </c>
      <c r="F33" s="2">
        <f t="shared" si="5"/>
        <v>33.693103448275863</v>
      </c>
      <c r="O33" s="1"/>
    </row>
    <row r="34" spans="1:15">
      <c r="A34" s="1">
        <v>21</v>
      </c>
      <c r="B34" s="2">
        <f t="shared" si="6"/>
        <v>9771</v>
      </c>
      <c r="C34" s="2">
        <f t="shared" si="6"/>
        <v>112</v>
      </c>
      <c r="D34" s="2">
        <f t="shared" si="4"/>
        <v>43.620535714285715</v>
      </c>
      <c r="E34" s="2">
        <f t="shared" si="7"/>
        <v>145</v>
      </c>
      <c r="F34" s="2">
        <f t="shared" si="5"/>
        <v>33.693103448275863</v>
      </c>
      <c r="O34" s="1"/>
    </row>
    <row r="35" spans="1:15">
      <c r="A35" s="1">
        <v>23</v>
      </c>
      <c r="B35" s="2">
        <f t="shared" si="6"/>
        <v>9771</v>
      </c>
      <c r="C35" s="2">
        <f t="shared" si="6"/>
        <v>112</v>
      </c>
      <c r="D35" s="2">
        <f t="shared" si="4"/>
        <v>43.620535714285715</v>
      </c>
      <c r="E35" s="2">
        <f t="shared" si="7"/>
        <v>145</v>
      </c>
      <c r="F35" s="2">
        <f t="shared" si="5"/>
        <v>33.693103448275863</v>
      </c>
      <c r="O35" s="1"/>
    </row>
    <row r="36" spans="1:15">
      <c r="A36" s="1">
        <v>25</v>
      </c>
      <c r="B36" s="2">
        <f t="shared" si="6"/>
        <v>9771</v>
      </c>
      <c r="C36" s="2">
        <f t="shared" si="6"/>
        <v>112</v>
      </c>
      <c r="D36" s="2">
        <f t="shared" si="4"/>
        <v>43.620535714285715</v>
      </c>
      <c r="E36" s="2">
        <f t="shared" si="7"/>
        <v>145</v>
      </c>
      <c r="F36" s="2">
        <f t="shared" si="5"/>
        <v>33.693103448275863</v>
      </c>
      <c r="O36" s="1"/>
    </row>
    <row r="37" spans="1:15">
      <c r="A37" s="1">
        <v>27</v>
      </c>
      <c r="B37" s="2">
        <f t="shared" si="6"/>
        <v>9771</v>
      </c>
      <c r="C37" s="2">
        <f t="shared" si="6"/>
        <v>112</v>
      </c>
      <c r="D37" s="2">
        <f t="shared" si="4"/>
        <v>43.620535714285715</v>
      </c>
      <c r="E37" s="2">
        <f t="shared" si="7"/>
        <v>145</v>
      </c>
      <c r="F37" s="2">
        <f t="shared" si="5"/>
        <v>33.693103448275863</v>
      </c>
      <c r="O37" s="1"/>
    </row>
    <row r="38" spans="1:15">
      <c r="A38" s="1" t="s">
        <v>12</v>
      </c>
      <c r="B38" s="1">
        <f>SUM(B24:B37)/14</f>
        <v>9771</v>
      </c>
      <c r="C38" s="1">
        <f>SUM(C24:C37)/14</f>
        <v>112</v>
      </c>
      <c r="D38" s="1">
        <f>SUM(D24:D37)/14</f>
        <v>43.620535714285708</v>
      </c>
      <c r="E38" s="1">
        <f>SUM(E24:E37)/14</f>
        <v>145</v>
      </c>
      <c r="F38" s="1">
        <f>SUM(F24:F37)/14</f>
        <v>33.693103448275856</v>
      </c>
      <c r="O38" s="1"/>
    </row>
    <row r="39" spans="1:15">
      <c r="O39" s="1"/>
    </row>
    <row r="40" spans="1:15">
      <c r="A40" s="1" t="s">
        <v>28</v>
      </c>
      <c r="D40" s="1" t="s">
        <v>0</v>
      </c>
      <c r="O40" s="1"/>
    </row>
    <row r="41" spans="1:15">
      <c r="B41" s="1" t="s">
        <v>1</v>
      </c>
      <c r="C41" s="1" t="s">
        <v>2</v>
      </c>
      <c r="D41" s="1" t="s">
        <v>3</v>
      </c>
      <c r="E41" s="1" t="s">
        <v>4</v>
      </c>
      <c r="F41" s="1" t="s">
        <v>3</v>
      </c>
      <c r="O41" s="1"/>
    </row>
    <row r="42" spans="1:15">
      <c r="A42" s="1" t="s">
        <v>26</v>
      </c>
      <c r="B42" s="5">
        <v>10016</v>
      </c>
      <c r="C42" s="5">
        <v>118.13</v>
      </c>
      <c r="D42" s="5">
        <v>42.38</v>
      </c>
      <c r="E42" s="5">
        <v>158.56</v>
      </c>
      <c r="F42" s="5">
        <v>31.57</v>
      </c>
      <c r="O42" s="1"/>
    </row>
    <row r="43" spans="1:15">
      <c r="A43" s="1">
        <v>1</v>
      </c>
      <c r="B43" s="2">
        <v>10016</v>
      </c>
      <c r="C43" s="2">
        <v>118</v>
      </c>
      <c r="D43" s="2">
        <f t="shared" ref="D43:D58" si="8">(B43/2)/C43</f>
        <v>42.440677966101696</v>
      </c>
      <c r="E43" s="2">
        <v>159</v>
      </c>
      <c r="F43" s="2">
        <f t="shared" ref="F43:F58" si="9">(B43/2)/E43</f>
        <v>31.49685534591195</v>
      </c>
      <c r="O43" s="1"/>
    </row>
    <row r="44" spans="1:15">
      <c r="A44" s="1">
        <v>3</v>
      </c>
      <c r="B44" s="2">
        <f t="shared" ref="B44:C58" si="10">B43</f>
        <v>10016</v>
      </c>
      <c r="C44" s="2">
        <f t="shared" si="10"/>
        <v>118</v>
      </c>
      <c r="D44" s="2">
        <f t="shared" si="8"/>
        <v>42.440677966101696</v>
      </c>
      <c r="E44" s="2">
        <f t="shared" ref="E44:E58" si="11">E43</f>
        <v>159</v>
      </c>
      <c r="F44" s="2">
        <f t="shared" si="9"/>
        <v>31.49685534591195</v>
      </c>
      <c r="O44" s="1"/>
    </row>
    <row r="45" spans="1:15">
      <c r="A45" s="1">
        <v>5</v>
      </c>
      <c r="B45" s="2">
        <f t="shared" si="10"/>
        <v>10016</v>
      </c>
      <c r="C45" s="2">
        <f t="shared" si="10"/>
        <v>118</v>
      </c>
      <c r="D45" s="2">
        <f t="shared" si="8"/>
        <v>42.440677966101696</v>
      </c>
      <c r="E45" s="2">
        <f t="shared" si="11"/>
        <v>159</v>
      </c>
      <c r="F45" s="2">
        <f t="shared" si="9"/>
        <v>31.49685534591195</v>
      </c>
      <c r="O45" s="1"/>
    </row>
    <row r="46" spans="1:15">
      <c r="A46" s="1">
        <v>7</v>
      </c>
      <c r="B46" s="2">
        <f t="shared" si="10"/>
        <v>10016</v>
      </c>
      <c r="C46" s="2">
        <f t="shared" si="10"/>
        <v>118</v>
      </c>
      <c r="D46" s="2">
        <f t="shared" si="8"/>
        <v>42.440677966101696</v>
      </c>
      <c r="E46" s="2">
        <f t="shared" si="11"/>
        <v>159</v>
      </c>
      <c r="F46" s="2">
        <f t="shared" si="9"/>
        <v>31.49685534591195</v>
      </c>
      <c r="O46" s="1"/>
    </row>
    <row r="47" spans="1:15">
      <c r="A47" s="1">
        <v>9</v>
      </c>
      <c r="B47" s="2">
        <f t="shared" si="10"/>
        <v>10016</v>
      </c>
      <c r="C47" s="2">
        <f t="shared" si="10"/>
        <v>118</v>
      </c>
      <c r="D47" s="2">
        <f t="shared" si="8"/>
        <v>42.440677966101696</v>
      </c>
      <c r="E47" s="2">
        <f t="shared" si="11"/>
        <v>159</v>
      </c>
      <c r="F47" s="2">
        <f t="shared" si="9"/>
        <v>31.49685534591195</v>
      </c>
      <c r="O47" s="1"/>
    </row>
    <row r="48" spans="1:15">
      <c r="A48" s="1">
        <v>11</v>
      </c>
      <c r="B48" s="2">
        <f t="shared" si="10"/>
        <v>10016</v>
      </c>
      <c r="C48" s="2">
        <f t="shared" si="10"/>
        <v>118</v>
      </c>
      <c r="D48" s="2">
        <f t="shared" si="8"/>
        <v>42.440677966101696</v>
      </c>
      <c r="E48" s="2">
        <f t="shared" si="11"/>
        <v>159</v>
      </c>
      <c r="F48" s="2">
        <f t="shared" si="9"/>
        <v>31.49685534591195</v>
      </c>
      <c r="O48" s="1"/>
    </row>
    <row r="49" spans="1:15">
      <c r="A49" s="1">
        <v>13</v>
      </c>
      <c r="B49" s="2">
        <f t="shared" si="10"/>
        <v>10016</v>
      </c>
      <c r="C49" s="2">
        <f t="shared" si="10"/>
        <v>118</v>
      </c>
      <c r="D49" s="2">
        <f t="shared" si="8"/>
        <v>42.440677966101696</v>
      </c>
      <c r="E49" s="2">
        <f t="shared" si="11"/>
        <v>159</v>
      </c>
      <c r="F49" s="2">
        <f t="shared" si="9"/>
        <v>31.49685534591195</v>
      </c>
      <c r="O49" s="1"/>
    </row>
    <row r="50" spans="1:15">
      <c r="A50" s="1">
        <v>15</v>
      </c>
      <c r="B50" s="2">
        <f t="shared" si="10"/>
        <v>10016</v>
      </c>
      <c r="C50" s="2">
        <f t="shared" si="10"/>
        <v>118</v>
      </c>
      <c r="D50" s="2">
        <f t="shared" si="8"/>
        <v>42.440677966101696</v>
      </c>
      <c r="E50" s="2">
        <f t="shared" si="11"/>
        <v>159</v>
      </c>
      <c r="F50" s="2">
        <f t="shared" si="9"/>
        <v>31.49685534591195</v>
      </c>
      <c r="O50" s="1"/>
    </row>
    <row r="51" spans="1:15">
      <c r="A51" s="1">
        <v>17</v>
      </c>
      <c r="B51" s="2">
        <f t="shared" si="10"/>
        <v>10016</v>
      </c>
      <c r="C51" s="2">
        <f t="shared" si="10"/>
        <v>118</v>
      </c>
      <c r="D51" s="2">
        <f t="shared" si="8"/>
        <v>42.440677966101696</v>
      </c>
      <c r="E51" s="2">
        <f t="shared" si="11"/>
        <v>159</v>
      </c>
      <c r="F51" s="2">
        <f t="shared" si="9"/>
        <v>31.49685534591195</v>
      </c>
      <c r="O51" s="1"/>
    </row>
    <row r="52" spans="1:15">
      <c r="A52" s="1">
        <v>19</v>
      </c>
      <c r="B52" s="2">
        <f t="shared" si="10"/>
        <v>10016</v>
      </c>
      <c r="C52" s="2">
        <f t="shared" si="10"/>
        <v>118</v>
      </c>
      <c r="D52" s="2">
        <f t="shared" si="8"/>
        <v>42.440677966101696</v>
      </c>
      <c r="E52" s="2">
        <f t="shared" si="11"/>
        <v>159</v>
      </c>
      <c r="F52" s="2">
        <f t="shared" si="9"/>
        <v>31.49685534591195</v>
      </c>
      <c r="O52" s="1"/>
    </row>
    <row r="53" spans="1:15">
      <c r="A53" s="1">
        <v>21</v>
      </c>
      <c r="B53" s="2">
        <f t="shared" si="10"/>
        <v>10016</v>
      </c>
      <c r="C53" s="2">
        <f t="shared" si="10"/>
        <v>118</v>
      </c>
      <c r="D53" s="2">
        <f t="shared" si="8"/>
        <v>42.440677966101696</v>
      </c>
      <c r="E53" s="2">
        <f t="shared" si="11"/>
        <v>159</v>
      </c>
      <c r="F53" s="2">
        <f t="shared" si="9"/>
        <v>31.49685534591195</v>
      </c>
      <c r="O53" s="1"/>
    </row>
    <row r="54" spans="1:15">
      <c r="A54" s="1">
        <v>23</v>
      </c>
      <c r="B54" s="2">
        <f t="shared" si="10"/>
        <v>10016</v>
      </c>
      <c r="C54" s="2">
        <f t="shared" si="10"/>
        <v>118</v>
      </c>
      <c r="D54" s="2">
        <f t="shared" si="8"/>
        <v>42.440677966101696</v>
      </c>
      <c r="E54" s="2">
        <f t="shared" si="11"/>
        <v>159</v>
      </c>
      <c r="F54" s="2">
        <f t="shared" si="9"/>
        <v>31.49685534591195</v>
      </c>
      <c r="O54" s="1"/>
    </row>
    <row r="55" spans="1:15">
      <c r="A55" s="1">
        <v>25</v>
      </c>
      <c r="B55" s="2">
        <f t="shared" si="10"/>
        <v>10016</v>
      </c>
      <c r="C55" s="2">
        <f t="shared" si="10"/>
        <v>118</v>
      </c>
      <c r="D55" s="2">
        <f t="shared" si="8"/>
        <v>42.440677966101696</v>
      </c>
      <c r="E55" s="2">
        <f t="shared" si="11"/>
        <v>159</v>
      </c>
      <c r="F55" s="2">
        <f t="shared" si="9"/>
        <v>31.49685534591195</v>
      </c>
      <c r="O55" s="1"/>
    </row>
    <row r="56" spans="1:15">
      <c r="A56" s="1">
        <v>27</v>
      </c>
      <c r="B56" s="2">
        <f t="shared" si="10"/>
        <v>10016</v>
      </c>
      <c r="C56" s="2">
        <f t="shared" si="10"/>
        <v>118</v>
      </c>
      <c r="D56" s="2">
        <f t="shared" si="8"/>
        <v>42.440677966101696</v>
      </c>
      <c r="E56" s="2">
        <f t="shared" si="11"/>
        <v>159</v>
      </c>
      <c r="F56" s="2">
        <f t="shared" si="9"/>
        <v>31.49685534591195</v>
      </c>
      <c r="O56" s="1"/>
    </row>
    <row r="57" spans="1:15">
      <c r="A57" s="1">
        <v>29</v>
      </c>
      <c r="B57" s="2">
        <f t="shared" si="10"/>
        <v>10016</v>
      </c>
      <c r="C57" s="2">
        <f t="shared" si="10"/>
        <v>118</v>
      </c>
      <c r="D57" s="2">
        <f t="shared" si="8"/>
        <v>42.440677966101696</v>
      </c>
      <c r="E57" s="2">
        <f t="shared" si="11"/>
        <v>159</v>
      </c>
      <c r="F57" s="2">
        <f t="shared" si="9"/>
        <v>31.49685534591195</v>
      </c>
      <c r="O57" s="1"/>
    </row>
    <row r="58" spans="1:15">
      <c r="A58" s="1">
        <v>31</v>
      </c>
      <c r="B58" s="2">
        <f t="shared" si="10"/>
        <v>10016</v>
      </c>
      <c r="C58" s="2">
        <f t="shared" si="10"/>
        <v>118</v>
      </c>
      <c r="D58" s="2">
        <f t="shared" si="8"/>
        <v>42.440677966101696</v>
      </c>
      <c r="E58" s="2">
        <f t="shared" si="11"/>
        <v>159</v>
      </c>
      <c r="F58" s="2">
        <f t="shared" si="9"/>
        <v>31.49685534591195</v>
      </c>
      <c r="O58" s="1"/>
    </row>
    <row r="59" spans="1:15">
      <c r="A59" s="1" t="s">
        <v>12</v>
      </c>
      <c r="B59" s="1">
        <f>SUM(B43:B58)/16</f>
        <v>10016</v>
      </c>
      <c r="C59" s="1">
        <f>SUM(C43:C58)/16</f>
        <v>118</v>
      </c>
      <c r="D59" s="1">
        <f>SUM(D43:D58)/16</f>
        <v>42.440677966101696</v>
      </c>
      <c r="E59" s="1">
        <f>SUM(E43:E58)/16</f>
        <v>159</v>
      </c>
      <c r="F59" s="1">
        <f>SUM(F43:F58)/16</f>
        <v>31.496855345911957</v>
      </c>
      <c r="O59" s="1"/>
    </row>
    <row r="60" spans="1:15">
      <c r="O60" s="1"/>
    </row>
    <row r="61" spans="1:15">
      <c r="A61" s="1" t="s">
        <v>52</v>
      </c>
      <c r="D61" s="1" t="s">
        <v>0</v>
      </c>
      <c r="O61" s="1"/>
    </row>
    <row r="62" spans="1:15">
      <c r="B62" s="1" t="s">
        <v>1</v>
      </c>
      <c r="C62" s="1" t="s">
        <v>2</v>
      </c>
      <c r="D62" s="1" t="s">
        <v>3</v>
      </c>
      <c r="E62" s="1" t="s">
        <v>4</v>
      </c>
      <c r="F62" s="1" t="s">
        <v>3</v>
      </c>
      <c r="O62" s="1"/>
    </row>
    <row r="63" spans="1:15">
      <c r="A63" s="1" t="s">
        <v>26</v>
      </c>
      <c r="B63" s="5">
        <v>13870</v>
      </c>
      <c r="C63" s="2">
        <v>139.27000000000001</v>
      </c>
      <c r="D63" s="5">
        <v>49.76</v>
      </c>
      <c r="E63" s="5">
        <v>168</v>
      </c>
      <c r="F63" s="5">
        <v>41.26</v>
      </c>
      <c r="O63" s="1"/>
    </row>
    <row r="64" spans="1:15">
      <c r="A64" s="3">
        <v>2</v>
      </c>
      <c r="B64" s="2">
        <v>13870</v>
      </c>
      <c r="C64" s="2">
        <v>139</v>
      </c>
      <c r="D64" s="2">
        <f t="shared" ref="D64:D78" si="12">(B64/2)/C64</f>
        <v>49.89208633093525</v>
      </c>
      <c r="E64" s="2">
        <v>168</v>
      </c>
      <c r="F64" s="2">
        <f t="shared" ref="F64:F78" si="13">(B64/2)/E64</f>
        <v>41.279761904761905</v>
      </c>
      <c r="O64" s="1"/>
    </row>
    <row r="65" spans="1:15">
      <c r="A65" s="3">
        <v>4</v>
      </c>
      <c r="B65" s="2">
        <f t="shared" ref="B65:C78" si="14">B64</f>
        <v>13870</v>
      </c>
      <c r="C65" s="2">
        <f t="shared" si="14"/>
        <v>139</v>
      </c>
      <c r="D65" s="2">
        <f t="shared" si="12"/>
        <v>49.89208633093525</v>
      </c>
      <c r="E65" s="2">
        <f t="shared" ref="E65:E78" si="15">E64</f>
        <v>168</v>
      </c>
      <c r="F65" s="2">
        <f t="shared" si="13"/>
        <v>41.279761904761905</v>
      </c>
      <c r="O65" s="1"/>
    </row>
    <row r="66" spans="1:15">
      <c r="A66" s="3">
        <v>6</v>
      </c>
      <c r="B66" s="2">
        <f t="shared" si="14"/>
        <v>13870</v>
      </c>
      <c r="C66" s="2">
        <f t="shared" si="14"/>
        <v>139</v>
      </c>
      <c r="D66" s="2">
        <f t="shared" si="12"/>
        <v>49.89208633093525</v>
      </c>
      <c r="E66" s="2">
        <f t="shared" si="15"/>
        <v>168</v>
      </c>
      <c r="F66" s="2">
        <f t="shared" si="13"/>
        <v>41.279761904761905</v>
      </c>
      <c r="O66" s="1"/>
    </row>
    <row r="67" spans="1:15">
      <c r="A67" s="3">
        <v>8</v>
      </c>
      <c r="B67" s="2">
        <f t="shared" si="14"/>
        <v>13870</v>
      </c>
      <c r="C67" s="2">
        <f t="shared" si="14"/>
        <v>139</v>
      </c>
      <c r="D67" s="2">
        <f t="shared" si="12"/>
        <v>49.89208633093525</v>
      </c>
      <c r="E67" s="2">
        <f t="shared" si="15"/>
        <v>168</v>
      </c>
      <c r="F67" s="2">
        <f t="shared" si="13"/>
        <v>41.279761904761905</v>
      </c>
      <c r="O67" s="1"/>
    </row>
    <row r="68" spans="1:15">
      <c r="A68" s="3">
        <v>10</v>
      </c>
      <c r="B68" s="2">
        <f t="shared" si="14"/>
        <v>13870</v>
      </c>
      <c r="C68" s="2">
        <f t="shared" si="14"/>
        <v>139</v>
      </c>
      <c r="D68" s="2">
        <f t="shared" si="12"/>
        <v>49.89208633093525</v>
      </c>
      <c r="E68" s="2">
        <f t="shared" si="15"/>
        <v>168</v>
      </c>
      <c r="F68" s="2">
        <f t="shared" si="13"/>
        <v>41.279761904761905</v>
      </c>
      <c r="O68" s="1"/>
    </row>
    <row r="69" spans="1:15">
      <c r="A69" s="3">
        <v>12</v>
      </c>
      <c r="B69" s="2">
        <f t="shared" si="14"/>
        <v>13870</v>
      </c>
      <c r="C69" s="2">
        <f t="shared" si="14"/>
        <v>139</v>
      </c>
      <c r="D69" s="2">
        <f t="shared" si="12"/>
        <v>49.89208633093525</v>
      </c>
      <c r="E69" s="2">
        <f t="shared" si="15"/>
        <v>168</v>
      </c>
      <c r="F69" s="2">
        <f t="shared" si="13"/>
        <v>41.279761904761905</v>
      </c>
      <c r="O69" s="1"/>
    </row>
    <row r="70" spans="1:15">
      <c r="A70" s="3">
        <v>14</v>
      </c>
      <c r="B70" s="2">
        <f t="shared" si="14"/>
        <v>13870</v>
      </c>
      <c r="C70" s="2">
        <f t="shared" si="14"/>
        <v>139</v>
      </c>
      <c r="D70" s="2">
        <f t="shared" si="12"/>
        <v>49.89208633093525</v>
      </c>
      <c r="E70" s="2">
        <f t="shared" si="15"/>
        <v>168</v>
      </c>
      <c r="F70" s="2">
        <f t="shared" si="13"/>
        <v>41.279761904761905</v>
      </c>
      <c r="O70" s="1"/>
    </row>
    <row r="71" spans="1:15">
      <c r="A71" s="3">
        <v>16</v>
      </c>
      <c r="B71" s="2">
        <f t="shared" si="14"/>
        <v>13870</v>
      </c>
      <c r="C71" s="2">
        <f t="shared" si="14"/>
        <v>139</v>
      </c>
      <c r="D71" s="2">
        <f t="shared" si="12"/>
        <v>49.89208633093525</v>
      </c>
      <c r="E71" s="2">
        <f t="shared" si="15"/>
        <v>168</v>
      </c>
      <c r="F71" s="2">
        <f t="shared" si="13"/>
        <v>41.279761904761905</v>
      </c>
      <c r="O71" s="1"/>
    </row>
    <row r="72" spans="1:15">
      <c r="A72" s="3">
        <v>18</v>
      </c>
      <c r="B72" s="2">
        <f t="shared" si="14"/>
        <v>13870</v>
      </c>
      <c r="C72" s="2">
        <f t="shared" si="14"/>
        <v>139</v>
      </c>
      <c r="D72" s="2">
        <f t="shared" si="12"/>
        <v>49.89208633093525</v>
      </c>
      <c r="E72" s="2">
        <f t="shared" si="15"/>
        <v>168</v>
      </c>
      <c r="F72" s="2">
        <f t="shared" si="13"/>
        <v>41.279761904761905</v>
      </c>
      <c r="O72" s="1"/>
    </row>
    <row r="73" spans="1:15">
      <c r="A73" s="3">
        <v>20</v>
      </c>
      <c r="B73" s="2">
        <f t="shared" si="14"/>
        <v>13870</v>
      </c>
      <c r="C73" s="2">
        <f t="shared" si="14"/>
        <v>139</v>
      </c>
      <c r="D73" s="2">
        <f t="shared" si="12"/>
        <v>49.89208633093525</v>
      </c>
      <c r="E73" s="2">
        <f t="shared" si="15"/>
        <v>168</v>
      </c>
      <c r="F73" s="2">
        <f t="shared" si="13"/>
        <v>41.279761904761905</v>
      </c>
      <c r="O73" s="1"/>
    </row>
    <row r="74" spans="1:15">
      <c r="A74" s="3">
        <v>22</v>
      </c>
      <c r="B74" s="2">
        <f t="shared" si="14"/>
        <v>13870</v>
      </c>
      <c r="C74" s="2">
        <f t="shared" si="14"/>
        <v>139</v>
      </c>
      <c r="D74" s="2">
        <f t="shared" si="12"/>
        <v>49.89208633093525</v>
      </c>
      <c r="E74" s="2">
        <f t="shared" si="15"/>
        <v>168</v>
      </c>
      <c r="F74" s="2">
        <f t="shared" si="13"/>
        <v>41.279761904761905</v>
      </c>
      <c r="O74" s="1"/>
    </row>
    <row r="75" spans="1:15">
      <c r="A75" s="3">
        <v>24</v>
      </c>
      <c r="B75" s="2">
        <f t="shared" si="14"/>
        <v>13870</v>
      </c>
      <c r="C75" s="2">
        <f t="shared" si="14"/>
        <v>139</v>
      </c>
      <c r="D75" s="2">
        <f t="shared" si="12"/>
        <v>49.89208633093525</v>
      </c>
      <c r="E75" s="2">
        <f t="shared" si="15"/>
        <v>168</v>
      </c>
      <c r="F75" s="2">
        <f t="shared" si="13"/>
        <v>41.279761904761905</v>
      </c>
      <c r="O75" s="1"/>
    </row>
    <row r="76" spans="1:15">
      <c r="A76" s="3">
        <v>26</v>
      </c>
      <c r="B76" s="2">
        <f t="shared" si="14"/>
        <v>13870</v>
      </c>
      <c r="C76" s="2">
        <f t="shared" si="14"/>
        <v>139</v>
      </c>
      <c r="D76" s="2">
        <f t="shared" si="12"/>
        <v>49.89208633093525</v>
      </c>
      <c r="E76" s="2">
        <f t="shared" si="15"/>
        <v>168</v>
      </c>
      <c r="F76" s="2">
        <f t="shared" si="13"/>
        <v>41.279761904761905</v>
      </c>
      <c r="O76" s="1"/>
    </row>
    <row r="77" spans="1:15">
      <c r="A77" s="3">
        <v>28</v>
      </c>
      <c r="B77" s="2">
        <f t="shared" si="14"/>
        <v>13870</v>
      </c>
      <c r="C77" s="2">
        <f t="shared" si="14"/>
        <v>139</v>
      </c>
      <c r="D77" s="2">
        <f t="shared" si="12"/>
        <v>49.89208633093525</v>
      </c>
      <c r="E77" s="2">
        <f t="shared" si="15"/>
        <v>168</v>
      </c>
      <c r="F77" s="2">
        <f t="shared" si="13"/>
        <v>41.279761904761905</v>
      </c>
      <c r="O77" s="1"/>
    </row>
    <row r="78" spans="1:15">
      <c r="A78" s="3">
        <v>30</v>
      </c>
      <c r="B78" s="2">
        <f t="shared" si="14"/>
        <v>13870</v>
      </c>
      <c r="C78" s="2">
        <f t="shared" si="14"/>
        <v>139</v>
      </c>
      <c r="D78" s="2">
        <f t="shared" si="12"/>
        <v>49.89208633093525</v>
      </c>
      <c r="E78" s="2">
        <f t="shared" si="15"/>
        <v>168</v>
      </c>
      <c r="F78" s="2">
        <f t="shared" si="13"/>
        <v>41.279761904761905</v>
      </c>
      <c r="O78" s="1"/>
    </row>
    <row r="79" spans="1:15">
      <c r="A79" s="1" t="s">
        <v>12</v>
      </c>
      <c r="B79" s="1">
        <f>SUM(B64:B78)/15</f>
        <v>13870</v>
      </c>
      <c r="C79" s="1">
        <f>SUM(C64:C78)/15</f>
        <v>139</v>
      </c>
      <c r="D79" s="1">
        <f>SUM(D64:D78)/15</f>
        <v>49.892086330935257</v>
      </c>
      <c r="E79" s="1">
        <f>SUM(E64:E78)/15</f>
        <v>168</v>
      </c>
      <c r="F79" s="1">
        <f>SUM(F64:F78)/15</f>
        <v>41.279761904761912</v>
      </c>
      <c r="O79" s="1"/>
    </row>
    <row r="80" spans="1:15">
      <c r="O80" s="1"/>
    </row>
    <row r="81" spans="1:25">
      <c r="A81" s="1" t="s">
        <v>55</v>
      </c>
      <c r="D81" s="1" t="s">
        <v>0</v>
      </c>
      <c r="O81" s="1"/>
    </row>
    <row r="82" spans="1:25">
      <c r="B82" s="1" t="s">
        <v>1</v>
      </c>
      <c r="C82" s="1" t="s">
        <v>2</v>
      </c>
      <c r="D82" s="1" t="s">
        <v>3</v>
      </c>
      <c r="E82" s="1" t="s">
        <v>4</v>
      </c>
      <c r="F82" s="1" t="s">
        <v>3</v>
      </c>
      <c r="O82" s="1"/>
    </row>
    <row r="83" spans="1:25">
      <c r="A83" s="1" t="s">
        <v>26</v>
      </c>
      <c r="B83" s="5">
        <v>14118</v>
      </c>
      <c r="C83" s="5">
        <v>136.13</v>
      </c>
      <c r="D83" s="5">
        <v>51.92</v>
      </c>
      <c r="E83" s="5">
        <v>172.6</v>
      </c>
      <c r="F83" s="5">
        <v>40.909999999999997</v>
      </c>
      <c r="O83" s="1"/>
    </row>
    <row r="84" spans="1:25">
      <c r="A84" s="3">
        <v>2</v>
      </c>
      <c r="B84" s="2">
        <v>14118</v>
      </c>
      <c r="C84" s="2">
        <v>136</v>
      </c>
      <c r="D84" s="2">
        <f t="shared" ref="D84:D97" si="16">(B84/2)/C84</f>
        <v>51.904411764705884</v>
      </c>
      <c r="E84" s="2">
        <v>172</v>
      </c>
      <c r="F84" s="2">
        <f t="shared" ref="F84:F97" si="17">(B84/2)/E84</f>
        <v>41.040697674418603</v>
      </c>
      <c r="O84" s="1"/>
    </row>
    <row r="85" spans="1:25">
      <c r="A85" s="3">
        <v>4</v>
      </c>
      <c r="B85" s="2">
        <f t="shared" ref="B85:C98" si="18">B84</f>
        <v>14118</v>
      </c>
      <c r="C85" s="2">
        <f t="shared" si="18"/>
        <v>136</v>
      </c>
      <c r="D85" s="2">
        <f t="shared" si="16"/>
        <v>51.904411764705884</v>
      </c>
      <c r="E85" s="2">
        <f t="shared" ref="E85:E98" si="19">E84</f>
        <v>172</v>
      </c>
      <c r="F85" s="2">
        <f t="shared" si="17"/>
        <v>41.040697674418603</v>
      </c>
      <c r="O85" s="1"/>
    </row>
    <row r="86" spans="1:25">
      <c r="A86" s="3">
        <v>6</v>
      </c>
      <c r="B86" s="2">
        <f t="shared" si="18"/>
        <v>14118</v>
      </c>
      <c r="C86" s="2">
        <f t="shared" si="18"/>
        <v>136</v>
      </c>
      <c r="D86" s="2">
        <f t="shared" si="16"/>
        <v>51.904411764705884</v>
      </c>
      <c r="E86" s="2">
        <f t="shared" si="19"/>
        <v>172</v>
      </c>
      <c r="F86" s="2">
        <f t="shared" si="17"/>
        <v>41.040697674418603</v>
      </c>
      <c r="O86" s="1"/>
    </row>
    <row r="87" spans="1:25">
      <c r="A87" s="3">
        <v>8</v>
      </c>
      <c r="B87" s="2">
        <f t="shared" si="18"/>
        <v>14118</v>
      </c>
      <c r="C87" s="2">
        <f t="shared" si="18"/>
        <v>136</v>
      </c>
      <c r="D87" s="2">
        <f t="shared" si="16"/>
        <v>51.904411764705884</v>
      </c>
      <c r="E87" s="2">
        <f t="shared" si="19"/>
        <v>172</v>
      </c>
      <c r="F87" s="2">
        <f t="shared" si="17"/>
        <v>41.040697674418603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3">
        <v>10</v>
      </c>
      <c r="B88" s="2">
        <f t="shared" si="18"/>
        <v>14118</v>
      </c>
      <c r="C88" s="2">
        <f t="shared" si="18"/>
        <v>136</v>
      </c>
      <c r="D88" s="2">
        <f t="shared" si="16"/>
        <v>51.904411764705884</v>
      </c>
      <c r="E88" s="2">
        <f t="shared" si="19"/>
        <v>172</v>
      </c>
      <c r="F88" s="2">
        <f t="shared" si="17"/>
        <v>41.040697674418603</v>
      </c>
      <c r="O88" s="1"/>
    </row>
    <row r="89" spans="1:25">
      <c r="A89" s="3">
        <v>12</v>
      </c>
      <c r="B89" s="2">
        <f t="shared" si="18"/>
        <v>14118</v>
      </c>
      <c r="C89" s="2">
        <f t="shared" si="18"/>
        <v>136</v>
      </c>
      <c r="D89" s="2">
        <f t="shared" si="16"/>
        <v>51.904411764705884</v>
      </c>
      <c r="E89" s="2">
        <f t="shared" si="19"/>
        <v>172</v>
      </c>
      <c r="F89" s="2">
        <f t="shared" si="17"/>
        <v>41.040697674418603</v>
      </c>
      <c r="O89" s="1"/>
    </row>
    <row r="90" spans="1:25">
      <c r="A90" s="3">
        <v>14</v>
      </c>
      <c r="B90" s="2">
        <f t="shared" si="18"/>
        <v>14118</v>
      </c>
      <c r="C90" s="2">
        <f t="shared" si="18"/>
        <v>136</v>
      </c>
      <c r="D90" s="2">
        <f t="shared" si="16"/>
        <v>51.904411764705884</v>
      </c>
      <c r="E90" s="2">
        <f t="shared" si="19"/>
        <v>172</v>
      </c>
      <c r="F90" s="2">
        <f t="shared" si="17"/>
        <v>41.040697674418603</v>
      </c>
      <c r="O90" s="1"/>
    </row>
    <row r="91" spans="1:25">
      <c r="A91" s="3">
        <v>16</v>
      </c>
      <c r="B91" s="2">
        <f t="shared" si="18"/>
        <v>14118</v>
      </c>
      <c r="C91" s="2">
        <f t="shared" si="18"/>
        <v>136</v>
      </c>
      <c r="D91" s="2">
        <f t="shared" si="16"/>
        <v>51.904411764705884</v>
      </c>
      <c r="E91" s="2">
        <f t="shared" si="19"/>
        <v>172</v>
      </c>
      <c r="F91" s="2">
        <f t="shared" si="17"/>
        <v>41.040697674418603</v>
      </c>
      <c r="O91" s="1"/>
    </row>
    <row r="92" spans="1:25">
      <c r="A92" s="3">
        <v>18</v>
      </c>
      <c r="B92" s="2">
        <f t="shared" si="18"/>
        <v>14118</v>
      </c>
      <c r="C92" s="2">
        <f t="shared" si="18"/>
        <v>136</v>
      </c>
      <c r="D92" s="2">
        <f t="shared" si="16"/>
        <v>51.904411764705884</v>
      </c>
      <c r="E92" s="2">
        <f t="shared" si="19"/>
        <v>172</v>
      </c>
      <c r="F92" s="2">
        <f t="shared" si="17"/>
        <v>41.040697674418603</v>
      </c>
      <c r="O92" s="1"/>
    </row>
    <row r="93" spans="1:25">
      <c r="A93" s="3">
        <v>20</v>
      </c>
      <c r="B93" s="2">
        <f t="shared" si="18"/>
        <v>14118</v>
      </c>
      <c r="C93" s="2">
        <f t="shared" si="18"/>
        <v>136</v>
      </c>
      <c r="D93" s="2">
        <f t="shared" si="16"/>
        <v>51.904411764705884</v>
      </c>
      <c r="E93" s="2">
        <f t="shared" si="19"/>
        <v>172</v>
      </c>
      <c r="F93" s="2">
        <f t="shared" si="17"/>
        <v>41.040697674418603</v>
      </c>
      <c r="O93" s="1"/>
    </row>
    <row r="94" spans="1:25">
      <c r="A94" s="3">
        <v>22</v>
      </c>
      <c r="B94" s="2">
        <f t="shared" si="18"/>
        <v>14118</v>
      </c>
      <c r="C94" s="2">
        <f t="shared" si="18"/>
        <v>136</v>
      </c>
      <c r="D94" s="2">
        <f t="shared" si="16"/>
        <v>51.904411764705884</v>
      </c>
      <c r="E94" s="2">
        <f t="shared" si="19"/>
        <v>172</v>
      </c>
      <c r="F94" s="2">
        <f t="shared" si="17"/>
        <v>41.040697674418603</v>
      </c>
      <c r="O94" s="1"/>
    </row>
    <row r="95" spans="1:25">
      <c r="A95" s="3">
        <v>24</v>
      </c>
      <c r="B95" s="2">
        <f t="shared" si="18"/>
        <v>14118</v>
      </c>
      <c r="C95" s="2">
        <f t="shared" si="18"/>
        <v>136</v>
      </c>
      <c r="D95" s="2">
        <f t="shared" si="16"/>
        <v>51.904411764705884</v>
      </c>
      <c r="E95" s="2">
        <f t="shared" si="19"/>
        <v>172</v>
      </c>
      <c r="F95" s="2">
        <f t="shared" si="17"/>
        <v>41.040697674418603</v>
      </c>
      <c r="O95" s="1"/>
    </row>
    <row r="96" spans="1:25">
      <c r="A96" s="3">
        <v>26</v>
      </c>
      <c r="B96" s="2">
        <f t="shared" si="18"/>
        <v>14118</v>
      </c>
      <c r="C96" s="2">
        <f t="shared" si="18"/>
        <v>136</v>
      </c>
      <c r="D96" s="2">
        <f t="shared" si="16"/>
        <v>51.904411764705884</v>
      </c>
      <c r="E96" s="2">
        <f t="shared" si="19"/>
        <v>172</v>
      </c>
      <c r="F96" s="2">
        <f t="shared" si="17"/>
        <v>41.040697674418603</v>
      </c>
      <c r="O96" s="1"/>
    </row>
    <row r="97" spans="1:15">
      <c r="A97" s="3">
        <v>28</v>
      </c>
      <c r="B97" s="2">
        <f t="shared" si="18"/>
        <v>14118</v>
      </c>
      <c r="C97" s="2">
        <f t="shared" si="18"/>
        <v>136</v>
      </c>
      <c r="D97" s="2">
        <f t="shared" si="16"/>
        <v>51.904411764705884</v>
      </c>
      <c r="E97" s="2">
        <f t="shared" si="19"/>
        <v>172</v>
      </c>
      <c r="F97" s="2">
        <f t="shared" si="17"/>
        <v>41.040697674418603</v>
      </c>
      <c r="O97" s="1"/>
    </row>
    <row r="98" spans="1:15">
      <c r="A98" s="3">
        <v>30</v>
      </c>
      <c r="B98" s="2">
        <f t="shared" si="18"/>
        <v>14118</v>
      </c>
      <c r="C98" s="2">
        <f t="shared" si="18"/>
        <v>136</v>
      </c>
      <c r="D98" s="2">
        <f>(B98/2)/C98</f>
        <v>51.904411764705884</v>
      </c>
      <c r="E98" s="2">
        <f t="shared" si="19"/>
        <v>172</v>
      </c>
      <c r="F98" s="2">
        <f>(B98/2)/E98</f>
        <v>41.040697674418603</v>
      </c>
      <c r="O98" s="1"/>
    </row>
    <row r="99" spans="1:15">
      <c r="A99" s="1" t="s">
        <v>12</v>
      </c>
      <c r="B99" s="1">
        <f>SUM(B84:B98)/15</f>
        <v>14118</v>
      </c>
      <c r="C99" s="1">
        <f>SUM(C84:C98)/15</f>
        <v>136</v>
      </c>
      <c r="D99" s="1">
        <f>SUM(D84:D98)/15</f>
        <v>51.904411764705863</v>
      </c>
      <c r="E99" s="1">
        <f>SUM(E84:E98)/15</f>
        <v>172</v>
      </c>
      <c r="F99" s="1">
        <f>SUM(F84:F98)/15</f>
        <v>41.04069767441861</v>
      </c>
      <c r="O99" s="1"/>
    </row>
    <row r="100" spans="1:15">
      <c r="A100" s="2"/>
      <c r="B100" s="2"/>
      <c r="C100" s="2"/>
      <c r="D100" s="2"/>
      <c r="E100" s="2"/>
      <c r="F100" s="2"/>
      <c r="O100" s="1"/>
    </row>
    <row r="101" spans="1:15">
      <c r="A101" s="1" t="s">
        <v>58</v>
      </c>
      <c r="D101" s="1" t="s">
        <v>0</v>
      </c>
      <c r="O101" s="1"/>
    </row>
    <row r="102" spans="1:15"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3</v>
      </c>
      <c r="O102" s="1"/>
    </row>
    <row r="103" spans="1:15">
      <c r="A103" s="1" t="s">
        <v>26</v>
      </c>
      <c r="B103" s="5">
        <v>13487</v>
      </c>
      <c r="C103" s="5">
        <v>142.53</v>
      </c>
      <c r="D103" s="5">
        <v>47.32</v>
      </c>
      <c r="E103" s="5">
        <v>173.27</v>
      </c>
      <c r="F103" s="5">
        <v>38.909999999999997</v>
      </c>
      <c r="O103" s="1"/>
    </row>
    <row r="104" spans="1:15">
      <c r="A104" s="1">
        <v>1</v>
      </c>
      <c r="B104" s="2">
        <v>13487</v>
      </c>
      <c r="C104" s="2">
        <v>143</v>
      </c>
      <c r="D104" s="2">
        <f t="shared" ref="D104:D117" si="20">(B104/2)/C104</f>
        <v>47.15734265734266</v>
      </c>
      <c r="E104" s="2">
        <v>173</v>
      </c>
      <c r="F104" s="2">
        <f t="shared" ref="F104:F117" si="21">(B104/2)/E104</f>
        <v>38.979768786127167</v>
      </c>
      <c r="O104" s="1"/>
    </row>
    <row r="105" spans="1:15">
      <c r="A105" s="1">
        <v>3</v>
      </c>
      <c r="B105" s="2">
        <f t="shared" ref="B105:C118" si="22">B104</f>
        <v>13487</v>
      </c>
      <c r="C105" s="2">
        <f t="shared" si="22"/>
        <v>143</v>
      </c>
      <c r="D105" s="2">
        <f t="shared" si="20"/>
        <v>47.15734265734266</v>
      </c>
      <c r="E105" s="2">
        <f t="shared" ref="E105:E118" si="23">E104</f>
        <v>173</v>
      </c>
      <c r="F105" s="2">
        <f t="shared" si="21"/>
        <v>38.979768786127167</v>
      </c>
      <c r="O105" s="1"/>
    </row>
    <row r="106" spans="1:15">
      <c r="A106" s="1">
        <v>5</v>
      </c>
      <c r="B106" s="2">
        <f t="shared" si="22"/>
        <v>13487</v>
      </c>
      <c r="C106" s="2">
        <f t="shared" si="22"/>
        <v>143</v>
      </c>
      <c r="D106" s="2">
        <f t="shared" si="20"/>
        <v>47.15734265734266</v>
      </c>
      <c r="E106" s="2">
        <f t="shared" si="23"/>
        <v>173</v>
      </c>
      <c r="F106" s="2">
        <f t="shared" si="21"/>
        <v>38.979768786127167</v>
      </c>
      <c r="O106" s="1"/>
    </row>
    <row r="107" spans="1:15">
      <c r="A107" s="1">
        <v>7</v>
      </c>
      <c r="B107" s="2">
        <f t="shared" si="22"/>
        <v>13487</v>
      </c>
      <c r="C107" s="2">
        <f t="shared" si="22"/>
        <v>143</v>
      </c>
      <c r="D107" s="2">
        <f t="shared" si="20"/>
        <v>47.15734265734266</v>
      </c>
      <c r="E107" s="2">
        <f t="shared" si="23"/>
        <v>173</v>
      </c>
      <c r="F107" s="2">
        <f t="shared" si="21"/>
        <v>38.979768786127167</v>
      </c>
      <c r="O107" s="1"/>
    </row>
    <row r="108" spans="1:15">
      <c r="A108" s="1">
        <v>9</v>
      </c>
      <c r="B108" s="2">
        <f t="shared" si="22"/>
        <v>13487</v>
      </c>
      <c r="C108" s="2">
        <f t="shared" si="22"/>
        <v>143</v>
      </c>
      <c r="D108" s="2">
        <f t="shared" si="20"/>
        <v>47.15734265734266</v>
      </c>
      <c r="E108" s="2">
        <f t="shared" si="23"/>
        <v>173</v>
      </c>
      <c r="F108" s="2">
        <f t="shared" si="21"/>
        <v>38.979768786127167</v>
      </c>
      <c r="O108" s="1"/>
    </row>
    <row r="109" spans="1:15">
      <c r="A109" s="1">
        <v>11</v>
      </c>
      <c r="B109" s="2">
        <f t="shared" si="22"/>
        <v>13487</v>
      </c>
      <c r="C109" s="2">
        <f t="shared" si="22"/>
        <v>143</v>
      </c>
      <c r="D109" s="2">
        <f t="shared" si="20"/>
        <v>47.15734265734266</v>
      </c>
      <c r="E109" s="2">
        <f t="shared" si="23"/>
        <v>173</v>
      </c>
      <c r="F109" s="2">
        <f t="shared" si="21"/>
        <v>38.979768786127167</v>
      </c>
      <c r="O109" s="1"/>
    </row>
    <row r="110" spans="1:15">
      <c r="A110" s="1">
        <v>13</v>
      </c>
      <c r="B110" s="2">
        <f t="shared" si="22"/>
        <v>13487</v>
      </c>
      <c r="C110" s="2">
        <f t="shared" si="22"/>
        <v>143</v>
      </c>
      <c r="D110" s="2">
        <f t="shared" si="20"/>
        <v>47.15734265734266</v>
      </c>
      <c r="E110" s="2">
        <f t="shared" si="23"/>
        <v>173</v>
      </c>
      <c r="F110" s="2">
        <f t="shared" si="21"/>
        <v>38.979768786127167</v>
      </c>
      <c r="O110" s="1"/>
    </row>
    <row r="111" spans="1:15">
      <c r="A111" s="1">
        <v>15</v>
      </c>
      <c r="B111" s="2">
        <f t="shared" si="22"/>
        <v>13487</v>
      </c>
      <c r="C111" s="2">
        <f t="shared" si="22"/>
        <v>143</v>
      </c>
      <c r="D111" s="2">
        <f t="shared" si="20"/>
        <v>47.15734265734266</v>
      </c>
      <c r="E111" s="2">
        <f t="shared" si="23"/>
        <v>173</v>
      </c>
      <c r="F111" s="2">
        <f t="shared" si="21"/>
        <v>38.979768786127167</v>
      </c>
      <c r="O111" s="1"/>
    </row>
    <row r="112" spans="1:15">
      <c r="A112" s="1">
        <v>17</v>
      </c>
      <c r="B112" s="2">
        <f t="shared" si="22"/>
        <v>13487</v>
      </c>
      <c r="C112" s="2">
        <f t="shared" si="22"/>
        <v>143</v>
      </c>
      <c r="D112" s="2">
        <f t="shared" si="20"/>
        <v>47.15734265734266</v>
      </c>
      <c r="E112" s="2">
        <f t="shared" si="23"/>
        <v>173</v>
      </c>
      <c r="F112" s="2">
        <f t="shared" si="21"/>
        <v>38.979768786127167</v>
      </c>
      <c r="O112" s="1"/>
    </row>
    <row r="113" spans="1:15">
      <c r="A113" s="1">
        <v>19</v>
      </c>
      <c r="B113" s="2">
        <f t="shared" si="22"/>
        <v>13487</v>
      </c>
      <c r="C113" s="2">
        <f t="shared" si="22"/>
        <v>143</v>
      </c>
      <c r="D113" s="2">
        <f t="shared" si="20"/>
        <v>47.15734265734266</v>
      </c>
      <c r="E113" s="2">
        <f t="shared" si="23"/>
        <v>173</v>
      </c>
      <c r="F113" s="2">
        <f t="shared" si="21"/>
        <v>38.979768786127167</v>
      </c>
      <c r="O113" s="1"/>
    </row>
    <row r="114" spans="1:15">
      <c r="A114" s="1">
        <v>21</v>
      </c>
      <c r="B114" s="2">
        <f t="shared" si="22"/>
        <v>13487</v>
      </c>
      <c r="C114" s="2">
        <f t="shared" si="22"/>
        <v>143</v>
      </c>
      <c r="D114" s="2">
        <f t="shared" si="20"/>
        <v>47.15734265734266</v>
      </c>
      <c r="E114" s="2">
        <f t="shared" si="23"/>
        <v>173</v>
      </c>
      <c r="F114" s="2">
        <f t="shared" si="21"/>
        <v>38.979768786127167</v>
      </c>
      <c r="O114" s="1"/>
    </row>
    <row r="115" spans="1:15">
      <c r="A115" s="1">
        <v>23</v>
      </c>
      <c r="B115" s="2">
        <f t="shared" si="22"/>
        <v>13487</v>
      </c>
      <c r="C115" s="2">
        <f t="shared" si="22"/>
        <v>143</v>
      </c>
      <c r="D115" s="2">
        <f t="shared" si="20"/>
        <v>47.15734265734266</v>
      </c>
      <c r="E115" s="2">
        <f t="shared" si="23"/>
        <v>173</v>
      </c>
      <c r="F115" s="2">
        <f t="shared" si="21"/>
        <v>38.979768786127167</v>
      </c>
      <c r="O115" s="1"/>
    </row>
    <row r="116" spans="1:15">
      <c r="A116" s="1">
        <v>25</v>
      </c>
      <c r="B116" s="2">
        <f t="shared" si="22"/>
        <v>13487</v>
      </c>
      <c r="C116" s="2">
        <f t="shared" si="22"/>
        <v>143</v>
      </c>
      <c r="D116" s="2">
        <f t="shared" si="20"/>
        <v>47.15734265734266</v>
      </c>
      <c r="E116" s="2">
        <f t="shared" si="23"/>
        <v>173</v>
      </c>
      <c r="F116" s="2">
        <f t="shared" si="21"/>
        <v>38.979768786127167</v>
      </c>
      <c r="O116" s="1"/>
    </row>
    <row r="117" spans="1:15">
      <c r="A117" s="1">
        <v>27</v>
      </c>
      <c r="B117" s="2">
        <f t="shared" si="22"/>
        <v>13487</v>
      </c>
      <c r="C117" s="2">
        <f t="shared" si="22"/>
        <v>143</v>
      </c>
      <c r="D117" s="2">
        <f t="shared" si="20"/>
        <v>47.15734265734266</v>
      </c>
      <c r="E117" s="2">
        <f t="shared" si="23"/>
        <v>173</v>
      </c>
      <c r="F117" s="2">
        <f t="shared" si="21"/>
        <v>38.979768786127167</v>
      </c>
      <c r="O117" s="1"/>
    </row>
    <row r="118" spans="1:15">
      <c r="A118" s="1">
        <v>29</v>
      </c>
      <c r="B118" s="2">
        <f t="shared" si="22"/>
        <v>13487</v>
      </c>
      <c r="C118" s="2">
        <f t="shared" si="22"/>
        <v>143</v>
      </c>
      <c r="D118" s="2">
        <f>(B118/2)/C118</f>
        <v>47.15734265734266</v>
      </c>
      <c r="E118" s="2">
        <f t="shared" si="23"/>
        <v>173</v>
      </c>
      <c r="F118" s="2">
        <f>(B118/2)/E118</f>
        <v>38.979768786127167</v>
      </c>
      <c r="O118" s="1"/>
    </row>
    <row r="119" spans="1:15">
      <c r="A119" s="1" t="s">
        <v>12</v>
      </c>
      <c r="B119" s="1">
        <f>SUM(B104:B118)/15</f>
        <v>13487</v>
      </c>
      <c r="C119" s="1">
        <f>SUM(C104:C118)/15</f>
        <v>143</v>
      </c>
      <c r="D119" s="1">
        <f>SUM(D104:D118)/15</f>
        <v>47.157342657342646</v>
      </c>
      <c r="E119" s="1">
        <f>SUM(E104:E118)/15</f>
        <v>173</v>
      </c>
      <c r="F119" s="1">
        <f>SUM(F104:F118)/15</f>
        <v>38.979768786127167</v>
      </c>
      <c r="O119" s="1"/>
    </row>
    <row r="120" spans="1:15">
      <c r="O120" s="1"/>
    </row>
    <row r="121" spans="1:15">
      <c r="A121" s="1" t="s">
        <v>60</v>
      </c>
      <c r="D121" s="1" t="s">
        <v>0</v>
      </c>
      <c r="O121" s="1"/>
    </row>
    <row r="122" spans="1:15"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3</v>
      </c>
      <c r="O122" s="1"/>
    </row>
    <row r="123" spans="1:15">
      <c r="A123" s="1" t="s">
        <v>26</v>
      </c>
      <c r="B123" s="5">
        <v>12272</v>
      </c>
      <c r="C123" s="5">
        <v>143.15</v>
      </c>
      <c r="D123" s="5">
        <v>42.63</v>
      </c>
      <c r="E123" s="5">
        <v>163.32</v>
      </c>
      <c r="F123" s="5">
        <v>37.68</v>
      </c>
      <c r="O123" s="1"/>
    </row>
    <row r="124" spans="1:15">
      <c r="A124" s="1">
        <v>1</v>
      </c>
      <c r="B124" s="2">
        <v>12272</v>
      </c>
      <c r="C124" s="2">
        <v>143</v>
      </c>
      <c r="D124" s="2">
        <f t="shared" ref="D124:D139" si="24">(B124/2)/C124</f>
        <v>42.909090909090907</v>
      </c>
      <c r="E124" s="2">
        <v>163</v>
      </c>
      <c r="F124" s="2">
        <f t="shared" ref="F124:F139" si="25">(B124/2)/E124</f>
        <v>37.644171779141104</v>
      </c>
      <c r="O124" s="1"/>
    </row>
    <row r="125" spans="1:15">
      <c r="A125" s="1">
        <v>3</v>
      </c>
      <c r="B125" s="2">
        <f t="shared" ref="B125:C139" si="26">B124</f>
        <v>12272</v>
      </c>
      <c r="C125" s="2">
        <f t="shared" si="26"/>
        <v>143</v>
      </c>
      <c r="D125" s="2">
        <f t="shared" si="24"/>
        <v>42.909090909090907</v>
      </c>
      <c r="E125" s="2">
        <f t="shared" ref="E125:E139" si="27">E124</f>
        <v>163</v>
      </c>
      <c r="F125" s="2">
        <f t="shared" si="25"/>
        <v>37.644171779141104</v>
      </c>
      <c r="O125" s="1"/>
    </row>
    <row r="126" spans="1:15">
      <c r="A126" s="1">
        <v>5</v>
      </c>
      <c r="B126" s="2">
        <f t="shared" si="26"/>
        <v>12272</v>
      </c>
      <c r="C126" s="2">
        <f t="shared" si="26"/>
        <v>143</v>
      </c>
      <c r="D126" s="2">
        <f t="shared" si="24"/>
        <v>42.909090909090907</v>
      </c>
      <c r="E126" s="2">
        <f t="shared" si="27"/>
        <v>163</v>
      </c>
      <c r="F126" s="2">
        <f t="shared" si="25"/>
        <v>37.644171779141104</v>
      </c>
      <c r="O126" s="1"/>
    </row>
    <row r="127" spans="1:15">
      <c r="A127" s="1">
        <v>7</v>
      </c>
      <c r="B127" s="2">
        <f t="shared" si="26"/>
        <v>12272</v>
      </c>
      <c r="C127" s="2">
        <f t="shared" si="26"/>
        <v>143</v>
      </c>
      <c r="D127" s="2">
        <f t="shared" si="24"/>
        <v>42.909090909090907</v>
      </c>
      <c r="E127" s="2">
        <f t="shared" si="27"/>
        <v>163</v>
      </c>
      <c r="F127" s="2">
        <f t="shared" si="25"/>
        <v>37.644171779141104</v>
      </c>
      <c r="O127" s="1"/>
    </row>
    <row r="128" spans="1:15">
      <c r="A128" s="1">
        <v>9</v>
      </c>
      <c r="B128" s="2">
        <f t="shared" si="26"/>
        <v>12272</v>
      </c>
      <c r="C128" s="2">
        <f t="shared" si="26"/>
        <v>143</v>
      </c>
      <c r="D128" s="2">
        <f t="shared" si="24"/>
        <v>42.909090909090907</v>
      </c>
      <c r="E128" s="2">
        <f t="shared" si="27"/>
        <v>163</v>
      </c>
      <c r="F128" s="2">
        <f t="shared" si="25"/>
        <v>37.644171779141104</v>
      </c>
      <c r="O128" s="1"/>
    </row>
    <row r="129" spans="1:15">
      <c r="A129" s="1">
        <v>11</v>
      </c>
      <c r="B129" s="2">
        <f t="shared" si="26"/>
        <v>12272</v>
      </c>
      <c r="C129" s="2">
        <f t="shared" si="26"/>
        <v>143</v>
      </c>
      <c r="D129" s="2">
        <f t="shared" si="24"/>
        <v>42.909090909090907</v>
      </c>
      <c r="E129" s="2">
        <f t="shared" si="27"/>
        <v>163</v>
      </c>
      <c r="F129" s="2">
        <f t="shared" si="25"/>
        <v>37.644171779141104</v>
      </c>
      <c r="O129" s="1"/>
    </row>
    <row r="130" spans="1:15">
      <c r="A130" s="1">
        <v>13</v>
      </c>
      <c r="B130" s="2">
        <f t="shared" si="26"/>
        <v>12272</v>
      </c>
      <c r="C130" s="2">
        <f t="shared" si="26"/>
        <v>143</v>
      </c>
      <c r="D130" s="2">
        <f t="shared" si="24"/>
        <v>42.909090909090907</v>
      </c>
      <c r="E130" s="2">
        <f t="shared" si="27"/>
        <v>163</v>
      </c>
      <c r="F130" s="2">
        <f t="shared" si="25"/>
        <v>37.644171779141104</v>
      </c>
      <c r="O130" s="1"/>
    </row>
    <row r="131" spans="1:15">
      <c r="A131" s="1">
        <v>15</v>
      </c>
      <c r="B131" s="2">
        <f t="shared" si="26"/>
        <v>12272</v>
      </c>
      <c r="C131" s="2">
        <f t="shared" si="26"/>
        <v>143</v>
      </c>
      <c r="D131" s="2">
        <f t="shared" si="24"/>
        <v>42.909090909090907</v>
      </c>
      <c r="E131" s="2">
        <f t="shared" si="27"/>
        <v>163</v>
      </c>
      <c r="F131" s="2">
        <f t="shared" si="25"/>
        <v>37.644171779141104</v>
      </c>
      <c r="O131" s="1"/>
    </row>
    <row r="132" spans="1:15">
      <c r="A132" s="1">
        <v>17</v>
      </c>
      <c r="B132" s="2">
        <f t="shared" si="26"/>
        <v>12272</v>
      </c>
      <c r="C132" s="2">
        <f t="shared" si="26"/>
        <v>143</v>
      </c>
      <c r="D132" s="2">
        <f t="shared" si="24"/>
        <v>42.909090909090907</v>
      </c>
      <c r="E132" s="2">
        <f t="shared" si="27"/>
        <v>163</v>
      </c>
      <c r="F132" s="2">
        <f t="shared" si="25"/>
        <v>37.644171779141104</v>
      </c>
      <c r="O132" s="1"/>
    </row>
    <row r="133" spans="1:15">
      <c r="A133" s="1">
        <v>19</v>
      </c>
      <c r="B133" s="2">
        <f t="shared" si="26"/>
        <v>12272</v>
      </c>
      <c r="C133" s="2">
        <f t="shared" si="26"/>
        <v>143</v>
      </c>
      <c r="D133" s="2">
        <f t="shared" si="24"/>
        <v>42.909090909090907</v>
      </c>
      <c r="E133" s="2">
        <f t="shared" si="27"/>
        <v>163</v>
      </c>
      <c r="F133" s="2">
        <f t="shared" si="25"/>
        <v>37.644171779141104</v>
      </c>
      <c r="O133" s="1"/>
    </row>
    <row r="134" spans="1:15">
      <c r="A134" s="1">
        <v>21</v>
      </c>
      <c r="B134" s="2">
        <f t="shared" si="26"/>
        <v>12272</v>
      </c>
      <c r="C134" s="2">
        <f t="shared" si="26"/>
        <v>143</v>
      </c>
      <c r="D134" s="2">
        <f t="shared" si="24"/>
        <v>42.909090909090907</v>
      </c>
      <c r="E134" s="2">
        <f t="shared" si="27"/>
        <v>163</v>
      </c>
      <c r="F134" s="2">
        <f t="shared" si="25"/>
        <v>37.644171779141104</v>
      </c>
      <c r="O134" s="1"/>
    </row>
    <row r="135" spans="1:15">
      <c r="A135" s="1">
        <v>23</v>
      </c>
      <c r="B135" s="2">
        <f t="shared" si="26"/>
        <v>12272</v>
      </c>
      <c r="C135" s="2">
        <f t="shared" si="26"/>
        <v>143</v>
      </c>
      <c r="D135" s="2">
        <f t="shared" si="24"/>
        <v>42.909090909090907</v>
      </c>
      <c r="E135" s="2">
        <f t="shared" si="27"/>
        <v>163</v>
      </c>
      <c r="F135" s="2">
        <f t="shared" si="25"/>
        <v>37.644171779141104</v>
      </c>
      <c r="O135" s="1"/>
    </row>
    <row r="136" spans="1:15">
      <c r="A136" s="1">
        <v>25</v>
      </c>
      <c r="B136" s="2">
        <f t="shared" si="26"/>
        <v>12272</v>
      </c>
      <c r="C136" s="2">
        <f t="shared" si="26"/>
        <v>143</v>
      </c>
      <c r="D136" s="2">
        <f t="shared" si="24"/>
        <v>42.909090909090907</v>
      </c>
      <c r="E136" s="2">
        <f t="shared" si="27"/>
        <v>163</v>
      </c>
      <c r="F136" s="2">
        <f t="shared" si="25"/>
        <v>37.644171779141104</v>
      </c>
      <c r="O136" s="1"/>
    </row>
    <row r="137" spans="1:15">
      <c r="A137" s="1">
        <v>27</v>
      </c>
      <c r="B137" s="2">
        <f t="shared" si="26"/>
        <v>12272</v>
      </c>
      <c r="C137" s="2">
        <f t="shared" si="26"/>
        <v>143</v>
      </c>
      <c r="D137" s="2">
        <f t="shared" si="24"/>
        <v>42.909090909090907</v>
      </c>
      <c r="E137" s="2">
        <f t="shared" si="27"/>
        <v>163</v>
      </c>
      <c r="F137" s="2">
        <f t="shared" si="25"/>
        <v>37.644171779141104</v>
      </c>
      <c r="O137" s="1"/>
    </row>
    <row r="138" spans="1:15">
      <c r="A138" s="1">
        <v>29</v>
      </c>
      <c r="B138" s="2">
        <f t="shared" si="26"/>
        <v>12272</v>
      </c>
      <c r="C138" s="2">
        <f t="shared" si="26"/>
        <v>143</v>
      </c>
      <c r="D138" s="2">
        <f t="shared" si="24"/>
        <v>42.909090909090907</v>
      </c>
      <c r="E138" s="2">
        <f t="shared" si="27"/>
        <v>163</v>
      </c>
      <c r="F138" s="2">
        <f t="shared" si="25"/>
        <v>37.644171779141104</v>
      </c>
      <c r="O138" s="1"/>
    </row>
    <row r="139" spans="1:15">
      <c r="A139" s="1">
        <v>31</v>
      </c>
      <c r="B139" s="2">
        <f t="shared" si="26"/>
        <v>12272</v>
      </c>
      <c r="C139" s="2">
        <f t="shared" si="26"/>
        <v>143</v>
      </c>
      <c r="D139" s="2">
        <f t="shared" si="24"/>
        <v>42.909090909090907</v>
      </c>
      <c r="E139" s="2">
        <f t="shared" si="27"/>
        <v>163</v>
      </c>
      <c r="F139" s="2">
        <f t="shared" si="25"/>
        <v>37.644171779141104</v>
      </c>
      <c r="O139" s="1"/>
    </row>
    <row r="140" spans="1:15">
      <c r="A140" s="1" t="s">
        <v>12</v>
      </c>
      <c r="B140" s="1">
        <f>SUM(B124:B139)/16</f>
        <v>12272</v>
      </c>
      <c r="C140" s="1">
        <f>SUM(C124:C139)/16</f>
        <v>143</v>
      </c>
      <c r="D140" s="1">
        <f>SUM(D124:D139)/16</f>
        <v>42.909090909090892</v>
      </c>
      <c r="E140" s="1">
        <f>SUM(E124:E139)/16</f>
        <v>163</v>
      </c>
      <c r="F140" s="1">
        <f>SUM(F124:F139)/16</f>
        <v>37.644171779141104</v>
      </c>
      <c r="O140" s="1"/>
    </row>
    <row r="141" spans="1:15">
      <c r="O141" s="1"/>
    </row>
    <row r="142" spans="1:15">
      <c r="A142" s="1" t="s">
        <v>64</v>
      </c>
      <c r="D142" s="1" t="s">
        <v>0</v>
      </c>
      <c r="O142" s="1"/>
    </row>
    <row r="143" spans="1:15"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3</v>
      </c>
      <c r="O143" s="1"/>
    </row>
    <row r="144" spans="1:15">
      <c r="A144" s="1" t="s">
        <v>26</v>
      </c>
      <c r="B144" s="5">
        <v>10058</v>
      </c>
      <c r="C144" s="5">
        <v>143.56</v>
      </c>
      <c r="D144" s="5">
        <v>36.17</v>
      </c>
      <c r="E144" s="5">
        <v>161.88</v>
      </c>
      <c r="F144" s="5">
        <v>32.81</v>
      </c>
      <c r="O144" s="1"/>
    </row>
    <row r="145" spans="1:15">
      <c r="A145" s="3">
        <v>2</v>
      </c>
      <c r="B145" s="2">
        <v>10058</v>
      </c>
      <c r="C145" s="2">
        <v>144</v>
      </c>
      <c r="D145" s="2">
        <f t="shared" ref="D145:D158" si="28">(B145/2)/C145</f>
        <v>34.923611111111114</v>
      </c>
      <c r="E145" s="2">
        <v>162</v>
      </c>
      <c r="F145" s="2">
        <f t="shared" ref="F145:F158" si="29">(B145/2)/E145</f>
        <v>31.043209876543209</v>
      </c>
      <c r="O145" s="1"/>
    </row>
    <row r="146" spans="1:15">
      <c r="A146" s="3">
        <v>4</v>
      </c>
      <c r="B146" s="2">
        <f t="shared" ref="B146:C159" si="30">B145</f>
        <v>10058</v>
      </c>
      <c r="C146" s="2">
        <f t="shared" si="30"/>
        <v>144</v>
      </c>
      <c r="D146" s="2">
        <f t="shared" si="28"/>
        <v>34.923611111111114</v>
      </c>
      <c r="E146" s="2">
        <f t="shared" ref="E146:E159" si="31">E145</f>
        <v>162</v>
      </c>
      <c r="F146" s="2">
        <f t="shared" si="29"/>
        <v>31.043209876543209</v>
      </c>
      <c r="O146" s="1"/>
    </row>
    <row r="147" spans="1:15">
      <c r="A147" s="3">
        <v>6</v>
      </c>
      <c r="B147" s="2">
        <f t="shared" si="30"/>
        <v>10058</v>
      </c>
      <c r="C147" s="2">
        <f t="shared" si="30"/>
        <v>144</v>
      </c>
      <c r="D147" s="2">
        <f t="shared" si="28"/>
        <v>34.923611111111114</v>
      </c>
      <c r="E147" s="2">
        <f t="shared" si="31"/>
        <v>162</v>
      </c>
      <c r="F147" s="2">
        <f t="shared" si="29"/>
        <v>31.043209876543209</v>
      </c>
      <c r="O147" s="1"/>
    </row>
    <row r="148" spans="1:15">
      <c r="A148" s="3">
        <v>8</v>
      </c>
      <c r="B148" s="2">
        <f t="shared" si="30"/>
        <v>10058</v>
      </c>
      <c r="C148" s="2">
        <f t="shared" si="30"/>
        <v>144</v>
      </c>
      <c r="D148" s="2">
        <f t="shared" si="28"/>
        <v>34.923611111111114</v>
      </c>
      <c r="E148" s="2">
        <f t="shared" si="31"/>
        <v>162</v>
      </c>
      <c r="F148" s="2">
        <f t="shared" si="29"/>
        <v>31.043209876543209</v>
      </c>
      <c r="O148" s="1"/>
    </row>
    <row r="149" spans="1:15">
      <c r="A149" s="3">
        <v>10</v>
      </c>
      <c r="B149" s="2">
        <f t="shared" si="30"/>
        <v>10058</v>
      </c>
      <c r="C149" s="2">
        <f t="shared" si="30"/>
        <v>144</v>
      </c>
      <c r="D149" s="2">
        <f t="shared" si="28"/>
        <v>34.923611111111114</v>
      </c>
      <c r="E149" s="2">
        <f t="shared" si="31"/>
        <v>162</v>
      </c>
      <c r="F149" s="2">
        <f t="shared" si="29"/>
        <v>31.043209876543209</v>
      </c>
      <c r="O149" s="1"/>
    </row>
    <row r="150" spans="1:15">
      <c r="A150" s="3">
        <v>12</v>
      </c>
      <c r="B150" s="2">
        <f t="shared" si="30"/>
        <v>10058</v>
      </c>
      <c r="C150" s="2">
        <f t="shared" si="30"/>
        <v>144</v>
      </c>
      <c r="D150" s="2">
        <f t="shared" si="28"/>
        <v>34.923611111111114</v>
      </c>
      <c r="E150" s="2">
        <f t="shared" si="31"/>
        <v>162</v>
      </c>
      <c r="F150" s="2">
        <f t="shared" si="29"/>
        <v>31.043209876543209</v>
      </c>
      <c r="O150" s="1"/>
    </row>
    <row r="151" spans="1:15">
      <c r="A151" s="3">
        <v>14</v>
      </c>
      <c r="B151" s="2">
        <f t="shared" si="30"/>
        <v>10058</v>
      </c>
      <c r="C151" s="2">
        <f t="shared" si="30"/>
        <v>144</v>
      </c>
      <c r="D151" s="2">
        <f t="shared" si="28"/>
        <v>34.923611111111114</v>
      </c>
      <c r="E151" s="2">
        <f t="shared" si="31"/>
        <v>162</v>
      </c>
      <c r="F151" s="2">
        <f t="shared" si="29"/>
        <v>31.043209876543209</v>
      </c>
      <c r="O151" s="1"/>
    </row>
    <row r="152" spans="1:15">
      <c r="A152" s="3">
        <v>16</v>
      </c>
      <c r="B152" s="2">
        <f t="shared" si="30"/>
        <v>10058</v>
      </c>
      <c r="C152" s="2">
        <f t="shared" si="30"/>
        <v>144</v>
      </c>
      <c r="D152" s="2">
        <f t="shared" si="28"/>
        <v>34.923611111111114</v>
      </c>
      <c r="E152" s="2">
        <f t="shared" si="31"/>
        <v>162</v>
      </c>
      <c r="F152" s="2">
        <f t="shared" si="29"/>
        <v>31.043209876543209</v>
      </c>
      <c r="O152" s="1"/>
    </row>
    <row r="153" spans="1:15">
      <c r="A153" s="3">
        <v>18</v>
      </c>
      <c r="B153" s="2">
        <f t="shared" si="30"/>
        <v>10058</v>
      </c>
      <c r="C153" s="2">
        <f t="shared" si="30"/>
        <v>144</v>
      </c>
      <c r="D153" s="2">
        <f t="shared" si="28"/>
        <v>34.923611111111114</v>
      </c>
      <c r="E153" s="2">
        <f t="shared" si="31"/>
        <v>162</v>
      </c>
      <c r="F153" s="2">
        <f t="shared" si="29"/>
        <v>31.043209876543209</v>
      </c>
      <c r="O153" s="1"/>
    </row>
    <row r="154" spans="1:15">
      <c r="A154" s="3">
        <v>20</v>
      </c>
      <c r="B154" s="2">
        <f t="shared" si="30"/>
        <v>10058</v>
      </c>
      <c r="C154" s="2">
        <f t="shared" si="30"/>
        <v>144</v>
      </c>
      <c r="D154" s="2">
        <f t="shared" si="28"/>
        <v>34.923611111111114</v>
      </c>
      <c r="E154" s="2">
        <f t="shared" si="31"/>
        <v>162</v>
      </c>
      <c r="F154" s="2">
        <f t="shared" si="29"/>
        <v>31.043209876543209</v>
      </c>
      <c r="O154" s="1"/>
    </row>
    <row r="155" spans="1:15">
      <c r="A155" s="3">
        <v>22</v>
      </c>
      <c r="B155" s="2">
        <f t="shared" si="30"/>
        <v>10058</v>
      </c>
      <c r="C155" s="2">
        <f t="shared" si="30"/>
        <v>144</v>
      </c>
      <c r="D155" s="2">
        <f t="shared" si="28"/>
        <v>34.923611111111114</v>
      </c>
      <c r="E155" s="2">
        <f t="shared" si="31"/>
        <v>162</v>
      </c>
      <c r="F155" s="2">
        <f t="shared" si="29"/>
        <v>31.043209876543209</v>
      </c>
      <c r="O155" s="1"/>
    </row>
    <row r="156" spans="1:15">
      <c r="A156" s="3">
        <v>24</v>
      </c>
      <c r="B156" s="2">
        <f t="shared" si="30"/>
        <v>10058</v>
      </c>
      <c r="C156" s="2">
        <f t="shared" si="30"/>
        <v>144</v>
      </c>
      <c r="D156" s="2">
        <f t="shared" si="28"/>
        <v>34.923611111111114</v>
      </c>
      <c r="E156" s="2">
        <f t="shared" si="31"/>
        <v>162</v>
      </c>
      <c r="F156" s="2">
        <f t="shared" si="29"/>
        <v>31.043209876543209</v>
      </c>
      <c r="O156" s="1"/>
    </row>
    <row r="157" spans="1:15">
      <c r="A157" s="3">
        <v>26</v>
      </c>
      <c r="B157" s="2">
        <f t="shared" si="30"/>
        <v>10058</v>
      </c>
      <c r="C157" s="2">
        <f t="shared" si="30"/>
        <v>144</v>
      </c>
      <c r="D157" s="2">
        <f t="shared" si="28"/>
        <v>34.923611111111114</v>
      </c>
      <c r="E157" s="2">
        <f t="shared" si="31"/>
        <v>162</v>
      </c>
      <c r="F157" s="2">
        <f t="shared" si="29"/>
        <v>31.043209876543209</v>
      </c>
      <c r="O157" s="1"/>
    </row>
    <row r="158" spans="1:15">
      <c r="A158" s="3">
        <v>28</v>
      </c>
      <c r="B158" s="2">
        <f t="shared" si="30"/>
        <v>10058</v>
      </c>
      <c r="C158" s="2">
        <f t="shared" si="30"/>
        <v>144</v>
      </c>
      <c r="D158" s="2">
        <f t="shared" si="28"/>
        <v>34.923611111111114</v>
      </c>
      <c r="E158" s="2">
        <f t="shared" si="31"/>
        <v>162</v>
      </c>
      <c r="F158" s="2">
        <f t="shared" si="29"/>
        <v>31.043209876543209</v>
      </c>
      <c r="O158" s="1"/>
    </row>
    <row r="159" spans="1:15">
      <c r="A159" s="3">
        <v>30</v>
      </c>
      <c r="B159" s="2">
        <f t="shared" si="30"/>
        <v>10058</v>
      </c>
      <c r="C159" s="2">
        <f t="shared" si="30"/>
        <v>144</v>
      </c>
      <c r="D159" s="2">
        <f>(B159/2)/C159</f>
        <v>34.923611111111114</v>
      </c>
      <c r="E159" s="2">
        <f t="shared" si="31"/>
        <v>162</v>
      </c>
      <c r="F159" s="2">
        <f>(B159/2)/E159</f>
        <v>31.043209876543209</v>
      </c>
      <c r="O159" s="1"/>
    </row>
    <row r="160" spans="1:15">
      <c r="A160" s="1" t="s">
        <v>12</v>
      </c>
      <c r="B160" s="1">
        <f>SUM(B145:B159)/15</f>
        <v>10058</v>
      </c>
      <c r="C160" s="1">
        <f>SUM(C145:C159)/15</f>
        <v>144</v>
      </c>
      <c r="D160" s="1">
        <f>SUM(D145:D159)/15</f>
        <v>34.9236111111111</v>
      </c>
      <c r="E160" s="1">
        <f>SUM(E145:E159)/15</f>
        <v>162</v>
      </c>
      <c r="F160" s="1">
        <f>SUM(F145:F159)/15</f>
        <v>31.043209876543202</v>
      </c>
      <c r="O160" s="1"/>
    </row>
    <row r="161" spans="1:15">
      <c r="O161" s="1"/>
    </row>
    <row r="162" spans="1:15">
      <c r="A162" s="6" t="s">
        <v>65</v>
      </c>
      <c r="D162" s="1" t="s">
        <v>0</v>
      </c>
      <c r="O162" s="1"/>
    </row>
    <row r="163" spans="1:15"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3</v>
      </c>
      <c r="O163" s="1"/>
    </row>
    <row r="164" spans="1:15">
      <c r="A164" s="1" t="s">
        <v>26</v>
      </c>
      <c r="B164" s="5">
        <v>10097</v>
      </c>
      <c r="C164" s="5">
        <v>127.2</v>
      </c>
      <c r="D164" s="5">
        <v>39.773200000000003</v>
      </c>
      <c r="E164" s="5">
        <v>159.13</v>
      </c>
      <c r="F164" s="5">
        <v>31.765000000000001</v>
      </c>
      <c r="O164" s="1"/>
    </row>
    <row r="165" spans="1:15">
      <c r="A165" s="1">
        <v>1</v>
      </c>
      <c r="B165" s="2">
        <v>10097</v>
      </c>
      <c r="C165" s="2">
        <v>127</v>
      </c>
      <c r="D165" s="2">
        <f t="shared" ref="D165:D179" si="32">(B165/2)/C165</f>
        <v>39.751968503937007</v>
      </c>
      <c r="E165" s="2">
        <v>159</v>
      </c>
      <c r="F165" s="2">
        <f t="shared" ref="F165:F179" si="33">(B165/2)/E165</f>
        <v>31.751572327044027</v>
      </c>
      <c r="O165" s="1"/>
    </row>
    <row r="166" spans="1:15">
      <c r="A166" s="1">
        <v>3</v>
      </c>
      <c r="B166" s="2">
        <f t="shared" ref="B166:C179" si="34">B165</f>
        <v>10097</v>
      </c>
      <c r="C166" s="2">
        <f t="shared" si="34"/>
        <v>127</v>
      </c>
      <c r="D166" s="2">
        <f t="shared" si="32"/>
        <v>39.751968503937007</v>
      </c>
      <c r="E166" s="2">
        <f>E165</f>
        <v>159</v>
      </c>
      <c r="F166" s="2">
        <f t="shared" si="33"/>
        <v>31.751572327044027</v>
      </c>
      <c r="O166" s="1"/>
    </row>
    <row r="167" spans="1:15">
      <c r="A167" s="1">
        <v>5</v>
      </c>
      <c r="B167" s="2">
        <f t="shared" si="34"/>
        <v>10097</v>
      </c>
      <c r="C167" s="2">
        <f t="shared" si="34"/>
        <v>127</v>
      </c>
      <c r="D167" s="2">
        <f t="shared" si="32"/>
        <v>39.751968503937007</v>
      </c>
      <c r="E167" s="2">
        <f t="shared" ref="E167:E179" si="35">E166</f>
        <v>159</v>
      </c>
      <c r="F167" s="2">
        <f t="shared" si="33"/>
        <v>31.751572327044027</v>
      </c>
      <c r="O167" s="1"/>
    </row>
    <row r="168" spans="1:15">
      <c r="A168" s="1">
        <v>7</v>
      </c>
      <c r="B168" s="2">
        <f t="shared" si="34"/>
        <v>10097</v>
      </c>
      <c r="C168" s="2">
        <f t="shared" si="34"/>
        <v>127</v>
      </c>
      <c r="D168" s="2">
        <f t="shared" si="32"/>
        <v>39.751968503937007</v>
      </c>
      <c r="E168" s="2">
        <f t="shared" si="35"/>
        <v>159</v>
      </c>
      <c r="F168" s="2">
        <f t="shared" si="33"/>
        <v>31.751572327044027</v>
      </c>
      <c r="O168" s="1"/>
    </row>
    <row r="169" spans="1:15">
      <c r="A169" s="1">
        <v>9</v>
      </c>
      <c r="B169" s="2">
        <f t="shared" si="34"/>
        <v>10097</v>
      </c>
      <c r="C169" s="2">
        <f t="shared" si="34"/>
        <v>127</v>
      </c>
      <c r="D169" s="2">
        <f t="shared" si="32"/>
        <v>39.751968503937007</v>
      </c>
      <c r="E169" s="2">
        <f t="shared" si="35"/>
        <v>159</v>
      </c>
      <c r="F169" s="2">
        <f t="shared" si="33"/>
        <v>31.751572327044027</v>
      </c>
      <c r="O169" s="1"/>
    </row>
    <row r="170" spans="1:15">
      <c r="A170" s="1">
        <v>11</v>
      </c>
      <c r="B170" s="2">
        <f t="shared" si="34"/>
        <v>10097</v>
      </c>
      <c r="C170" s="2">
        <f t="shared" si="34"/>
        <v>127</v>
      </c>
      <c r="D170" s="2">
        <f t="shared" si="32"/>
        <v>39.751968503937007</v>
      </c>
      <c r="E170" s="2">
        <f t="shared" si="35"/>
        <v>159</v>
      </c>
      <c r="F170" s="2">
        <f t="shared" si="33"/>
        <v>31.751572327044027</v>
      </c>
      <c r="O170" s="1"/>
    </row>
    <row r="171" spans="1:15">
      <c r="A171" s="1">
        <v>13</v>
      </c>
      <c r="B171" s="2">
        <f t="shared" si="34"/>
        <v>10097</v>
      </c>
      <c r="C171" s="2">
        <f t="shared" si="34"/>
        <v>127</v>
      </c>
      <c r="D171" s="2">
        <f t="shared" si="32"/>
        <v>39.751968503937007</v>
      </c>
      <c r="E171" s="2">
        <f t="shared" si="35"/>
        <v>159</v>
      </c>
      <c r="F171" s="2">
        <f t="shared" si="33"/>
        <v>31.751572327044027</v>
      </c>
      <c r="O171" s="1"/>
    </row>
    <row r="172" spans="1:15">
      <c r="A172" s="1">
        <v>15</v>
      </c>
      <c r="B172" s="2">
        <f t="shared" si="34"/>
        <v>10097</v>
      </c>
      <c r="C172" s="2">
        <f t="shared" si="34"/>
        <v>127</v>
      </c>
      <c r="D172" s="2">
        <f t="shared" si="32"/>
        <v>39.751968503937007</v>
      </c>
      <c r="E172" s="2">
        <f t="shared" si="35"/>
        <v>159</v>
      </c>
      <c r="F172" s="2">
        <f t="shared" si="33"/>
        <v>31.751572327044027</v>
      </c>
      <c r="O172" s="1"/>
    </row>
    <row r="173" spans="1:15">
      <c r="A173" s="1">
        <v>17</v>
      </c>
      <c r="B173" s="2">
        <f t="shared" si="34"/>
        <v>10097</v>
      </c>
      <c r="C173" s="2">
        <f t="shared" si="34"/>
        <v>127</v>
      </c>
      <c r="D173" s="2">
        <f t="shared" si="32"/>
        <v>39.751968503937007</v>
      </c>
      <c r="E173" s="2">
        <f t="shared" si="35"/>
        <v>159</v>
      </c>
      <c r="F173" s="2">
        <f t="shared" si="33"/>
        <v>31.751572327044027</v>
      </c>
      <c r="O173" s="1"/>
    </row>
    <row r="174" spans="1:15">
      <c r="A174" s="1">
        <v>19</v>
      </c>
      <c r="B174" s="2">
        <f t="shared" si="34"/>
        <v>10097</v>
      </c>
      <c r="C174" s="2">
        <f t="shared" si="34"/>
        <v>127</v>
      </c>
      <c r="D174" s="2">
        <f t="shared" si="32"/>
        <v>39.751968503937007</v>
      </c>
      <c r="E174" s="2">
        <f t="shared" si="35"/>
        <v>159</v>
      </c>
      <c r="F174" s="2">
        <f t="shared" si="33"/>
        <v>31.751572327044027</v>
      </c>
      <c r="O174" s="1"/>
    </row>
    <row r="175" spans="1:15">
      <c r="A175" s="1">
        <v>21</v>
      </c>
      <c r="B175" s="2">
        <f t="shared" si="34"/>
        <v>10097</v>
      </c>
      <c r="C175" s="2">
        <f t="shared" si="34"/>
        <v>127</v>
      </c>
      <c r="D175" s="2">
        <f t="shared" si="32"/>
        <v>39.751968503937007</v>
      </c>
      <c r="E175" s="2">
        <f t="shared" si="35"/>
        <v>159</v>
      </c>
      <c r="F175" s="2">
        <f t="shared" si="33"/>
        <v>31.751572327044027</v>
      </c>
      <c r="O175" s="1"/>
    </row>
    <row r="176" spans="1:15">
      <c r="A176" s="1">
        <v>23</v>
      </c>
      <c r="B176" s="2">
        <f t="shared" si="34"/>
        <v>10097</v>
      </c>
      <c r="C176" s="2">
        <f t="shared" si="34"/>
        <v>127</v>
      </c>
      <c r="D176" s="2">
        <f t="shared" si="32"/>
        <v>39.751968503937007</v>
      </c>
      <c r="E176" s="2">
        <f t="shared" si="35"/>
        <v>159</v>
      </c>
      <c r="F176" s="2">
        <f t="shared" si="33"/>
        <v>31.751572327044027</v>
      </c>
      <c r="O176" s="1"/>
    </row>
    <row r="177" spans="1:15">
      <c r="A177" s="1">
        <v>25</v>
      </c>
      <c r="B177" s="2">
        <f t="shared" si="34"/>
        <v>10097</v>
      </c>
      <c r="C177" s="2">
        <f t="shared" si="34"/>
        <v>127</v>
      </c>
      <c r="D177" s="2">
        <f t="shared" si="32"/>
        <v>39.751968503937007</v>
      </c>
      <c r="E177" s="2">
        <f t="shared" si="35"/>
        <v>159</v>
      </c>
      <c r="F177" s="2">
        <f t="shared" si="33"/>
        <v>31.751572327044027</v>
      </c>
      <c r="O177" s="1"/>
    </row>
    <row r="178" spans="1:15">
      <c r="A178" s="1">
        <v>27</v>
      </c>
      <c r="B178" s="2">
        <f t="shared" si="34"/>
        <v>10097</v>
      </c>
      <c r="C178" s="2">
        <f t="shared" si="34"/>
        <v>127</v>
      </c>
      <c r="D178" s="2">
        <f t="shared" si="32"/>
        <v>39.751968503937007</v>
      </c>
      <c r="E178" s="2">
        <f t="shared" si="35"/>
        <v>159</v>
      </c>
      <c r="F178" s="2">
        <f t="shared" si="33"/>
        <v>31.751572327044027</v>
      </c>
      <c r="O178" s="1"/>
    </row>
    <row r="179" spans="1:15">
      <c r="A179" s="1">
        <v>29</v>
      </c>
      <c r="B179" s="2">
        <f t="shared" si="34"/>
        <v>10097</v>
      </c>
      <c r="C179" s="2">
        <f t="shared" si="34"/>
        <v>127</v>
      </c>
      <c r="D179" s="2">
        <f t="shared" si="32"/>
        <v>39.751968503937007</v>
      </c>
      <c r="E179" s="2">
        <f t="shared" si="35"/>
        <v>159</v>
      </c>
      <c r="F179" s="2">
        <f t="shared" si="33"/>
        <v>31.751572327044027</v>
      </c>
      <c r="O179" s="1"/>
    </row>
    <row r="180" spans="1:15">
      <c r="A180" s="1" t="s">
        <v>12</v>
      </c>
      <c r="B180" s="2">
        <f>SUM(B165:B179)/15</f>
        <v>10097</v>
      </c>
      <c r="C180" s="2">
        <f>SUM(C165:C179)/15</f>
        <v>127</v>
      </c>
      <c r="D180" s="2">
        <f>SUM(D165:D179)/15</f>
        <v>39.751968503936993</v>
      </c>
      <c r="E180" s="2">
        <f>SUM(E165:E179)/15</f>
        <v>159</v>
      </c>
      <c r="F180" s="2">
        <f>SUM(F165:F179)/15</f>
        <v>31.75157232704402</v>
      </c>
      <c r="O180" s="1"/>
    </row>
    <row r="181" spans="1:15">
      <c r="A181" s="1" t="s">
        <v>70</v>
      </c>
      <c r="D181" s="1" t="s">
        <v>0</v>
      </c>
      <c r="O181" s="1"/>
    </row>
    <row r="182" spans="1:15"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3</v>
      </c>
      <c r="O182" s="1"/>
    </row>
    <row r="183" spans="1:15">
      <c r="A183" s="1" t="s">
        <v>26</v>
      </c>
      <c r="B183" s="5">
        <v>8375.5</v>
      </c>
      <c r="C183" s="5">
        <v>119.33</v>
      </c>
      <c r="D183" s="5">
        <v>35.11</v>
      </c>
      <c r="E183" s="5">
        <v>152.6</v>
      </c>
      <c r="F183" s="5">
        <v>27.44</v>
      </c>
      <c r="O183" s="1"/>
    </row>
    <row r="184" spans="1:15">
      <c r="A184" s="1">
        <v>1</v>
      </c>
      <c r="B184" s="3">
        <v>8376</v>
      </c>
      <c r="C184" s="3">
        <v>119</v>
      </c>
      <c r="D184" s="3">
        <f>(B184/2)/C184</f>
        <v>35.193277310924373</v>
      </c>
      <c r="E184" s="3">
        <v>153</v>
      </c>
      <c r="F184" s="3">
        <f>(B184/2)/E184</f>
        <v>27.372549019607842</v>
      </c>
      <c r="O184" s="1"/>
    </row>
    <row r="185" spans="1:15">
      <c r="A185" s="1">
        <v>3</v>
      </c>
      <c r="B185" s="2">
        <f t="shared" ref="B185:C199" si="36">B184</f>
        <v>8376</v>
      </c>
      <c r="C185" s="2">
        <f t="shared" si="36"/>
        <v>119</v>
      </c>
      <c r="D185" s="3">
        <f t="shared" ref="D185:D199" si="37">(B185/2)/C185</f>
        <v>35.193277310924373</v>
      </c>
      <c r="E185" s="2">
        <f t="shared" ref="E185:E199" si="38">E184</f>
        <v>153</v>
      </c>
      <c r="F185" s="3">
        <f t="shared" ref="F185:F199" si="39">(B185/2)/E185</f>
        <v>27.372549019607842</v>
      </c>
      <c r="O185" s="1"/>
    </row>
    <row r="186" spans="1:15">
      <c r="A186" s="1">
        <v>5</v>
      </c>
      <c r="B186" s="2">
        <f t="shared" si="36"/>
        <v>8376</v>
      </c>
      <c r="C186" s="2">
        <f t="shared" si="36"/>
        <v>119</v>
      </c>
      <c r="D186" s="3">
        <f t="shared" si="37"/>
        <v>35.193277310924373</v>
      </c>
      <c r="E186" s="2">
        <f t="shared" si="38"/>
        <v>153</v>
      </c>
      <c r="F186" s="3">
        <f t="shared" si="39"/>
        <v>27.372549019607842</v>
      </c>
      <c r="O186" s="1"/>
    </row>
    <row r="187" spans="1:15">
      <c r="A187" s="1">
        <v>7</v>
      </c>
      <c r="B187" s="2">
        <f t="shared" si="36"/>
        <v>8376</v>
      </c>
      <c r="C187" s="2">
        <f t="shared" si="36"/>
        <v>119</v>
      </c>
      <c r="D187" s="3">
        <f t="shared" si="37"/>
        <v>35.193277310924373</v>
      </c>
      <c r="E187" s="2">
        <f t="shared" si="38"/>
        <v>153</v>
      </c>
      <c r="F187" s="3">
        <f t="shared" si="39"/>
        <v>27.372549019607842</v>
      </c>
      <c r="O187" s="1"/>
    </row>
    <row r="188" spans="1:15">
      <c r="A188" s="1">
        <v>9</v>
      </c>
      <c r="B188" s="2">
        <f t="shared" si="36"/>
        <v>8376</v>
      </c>
      <c r="C188" s="2">
        <f t="shared" si="36"/>
        <v>119</v>
      </c>
      <c r="D188" s="3">
        <f t="shared" si="37"/>
        <v>35.193277310924373</v>
      </c>
      <c r="E188" s="2">
        <f t="shared" si="38"/>
        <v>153</v>
      </c>
      <c r="F188" s="3">
        <f t="shared" si="39"/>
        <v>27.372549019607842</v>
      </c>
      <c r="O188" s="1"/>
    </row>
    <row r="189" spans="1:15">
      <c r="A189" s="1">
        <v>11</v>
      </c>
      <c r="B189" s="2">
        <f t="shared" si="36"/>
        <v>8376</v>
      </c>
      <c r="C189" s="2">
        <f t="shared" si="36"/>
        <v>119</v>
      </c>
      <c r="D189" s="3">
        <f t="shared" si="37"/>
        <v>35.193277310924373</v>
      </c>
      <c r="E189" s="2">
        <f t="shared" si="38"/>
        <v>153</v>
      </c>
      <c r="F189" s="3">
        <f t="shared" si="39"/>
        <v>27.372549019607842</v>
      </c>
      <c r="O189" s="1"/>
    </row>
    <row r="190" spans="1:15">
      <c r="A190" s="1">
        <v>13</v>
      </c>
      <c r="B190" s="2">
        <f t="shared" si="36"/>
        <v>8376</v>
      </c>
      <c r="C190" s="2">
        <f t="shared" si="36"/>
        <v>119</v>
      </c>
      <c r="D190" s="3">
        <f t="shared" si="37"/>
        <v>35.193277310924373</v>
      </c>
      <c r="E190" s="2">
        <f t="shared" si="38"/>
        <v>153</v>
      </c>
      <c r="F190" s="3">
        <f t="shared" si="39"/>
        <v>27.372549019607842</v>
      </c>
      <c r="O190" s="1"/>
    </row>
    <row r="191" spans="1:15">
      <c r="A191" s="1">
        <v>15</v>
      </c>
      <c r="B191" s="2">
        <f t="shared" si="36"/>
        <v>8376</v>
      </c>
      <c r="C191" s="2">
        <f t="shared" si="36"/>
        <v>119</v>
      </c>
      <c r="D191" s="3">
        <f t="shared" si="37"/>
        <v>35.193277310924373</v>
      </c>
      <c r="E191" s="2">
        <f t="shared" si="38"/>
        <v>153</v>
      </c>
      <c r="F191" s="3">
        <f t="shared" si="39"/>
        <v>27.372549019607842</v>
      </c>
      <c r="O191" s="1"/>
    </row>
    <row r="192" spans="1:15">
      <c r="A192" s="1">
        <v>17</v>
      </c>
      <c r="B192" s="2">
        <f t="shared" si="36"/>
        <v>8376</v>
      </c>
      <c r="C192" s="2">
        <f t="shared" si="36"/>
        <v>119</v>
      </c>
      <c r="D192" s="3">
        <f t="shared" si="37"/>
        <v>35.193277310924373</v>
      </c>
      <c r="E192" s="2">
        <f t="shared" si="38"/>
        <v>153</v>
      </c>
      <c r="F192" s="3">
        <f t="shared" si="39"/>
        <v>27.372549019607842</v>
      </c>
      <c r="O192" s="1"/>
    </row>
    <row r="193" spans="1:15">
      <c r="A193" s="1">
        <v>19</v>
      </c>
      <c r="B193" s="2">
        <f t="shared" si="36"/>
        <v>8376</v>
      </c>
      <c r="C193" s="2">
        <f t="shared" si="36"/>
        <v>119</v>
      </c>
      <c r="D193" s="3">
        <f t="shared" si="37"/>
        <v>35.193277310924373</v>
      </c>
      <c r="E193" s="2">
        <f t="shared" si="38"/>
        <v>153</v>
      </c>
      <c r="F193" s="3">
        <f t="shared" si="39"/>
        <v>27.372549019607842</v>
      </c>
      <c r="O193" s="1"/>
    </row>
    <row r="194" spans="1:15">
      <c r="A194" s="1">
        <v>21</v>
      </c>
      <c r="B194" s="2">
        <f t="shared" si="36"/>
        <v>8376</v>
      </c>
      <c r="C194" s="2">
        <f t="shared" si="36"/>
        <v>119</v>
      </c>
      <c r="D194" s="3">
        <f t="shared" si="37"/>
        <v>35.193277310924373</v>
      </c>
      <c r="E194" s="2">
        <f t="shared" si="38"/>
        <v>153</v>
      </c>
      <c r="F194" s="3">
        <f t="shared" si="39"/>
        <v>27.372549019607842</v>
      </c>
      <c r="O194" s="1"/>
    </row>
    <row r="195" spans="1:15">
      <c r="A195" s="1">
        <v>23</v>
      </c>
      <c r="B195" s="2">
        <f t="shared" si="36"/>
        <v>8376</v>
      </c>
      <c r="C195" s="2">
        <f t="shared" si="36"/>
        <v>119</v>
      </c>
      <c r="D195" s="3">
        <f t="shared" si="37"/>
        <v>35.193277310924373</v>
      </c>
      <c r="E195" s="2">
        <f t="shared" si="38"/>
        <v>153</v>
      </c>
      <c r="F195" s="3">
        <f t="shared" si="39"/>
        <v>27.372549019607842</v>
      </c>
      <c r="O195" s="1"/>
    </row>
    <row r="196" spans="1:15">
      <c r="A196" s="1">
        <v>25</v>
      </c>
      <c r="B196" s="2">
        <f t="shared" si="36"/>
        <v>8376</v>
      </c>
      <c r="C196" s="2">
        <f t="shared" si="36"/>
        <v>119</v>
      </c>
      <c r="D196" s="3">
        <f t="shared" si="37"/>
        <v>35.193277310924373</v>
      </c>
      <c r="E196" s="2">
        <f t="shared" si="38"/>
        <v>153</v>
      </c>
      <c r="F196" s="3">
        <f t="shared" si="39"/>
        <v>27.372549019607842</v>
      </c>
      <c r="O196" s="1"/>
    </row>
    <row r="197" spans="1:15">
      <c r="A197" s="1">
        <v>27</v>
      </c>
      <c r="B197" s="2">
        <f t="shared" si="36"/>
        <v>8376</v>
      </c>
      <c r="C197" s="2">
        <f t="shared" si="36"/>
        <v>119</v>
      </c>
      <c r="D197" s="3">
        <f t="shared" si="37"/>
        <v>35.193277310924373</v>
      </c>
      <c r="E197" s="2">
        <f t="shared" si="38"/>
        <v>153</v>
      </c>
      <c r="F197" s="3">
        <f t="shared" si="39"/>
        <v>27.372549019607842</v>
      </c>
      <c r="O197" s="1"/>
    </row>
    <row r="198" spans="1:15">
      <c r="A198" s="1">
        <v>29</v>
      </c>
      <c r="B198" s="2">
        <f t="shared" si="36"/>
        <v>8376</v>
      </c>
      <c r="C198" s="2">
        <f t="shared" si="36"/>
        <v>119</v>
      </c>
      <c r="D198" s="3">
        <f t="shared" si="37"/>
        <v>35.193277310924373</v>
      </c>
      <c r="E198" s="2">
        <f t="shared" si="38"/>
        <v>153</v>
      </c>
      <c r="F198" s="3">
        <f t="shared" si="39"/>
        <v>27.372549019607842</v>
      </c>
      <c r="O198" s="1"/>
    </row>
    <row r="199" spans="1:15">
      <c r="A199" s="1">
        <v>31</v>
      </c>
      <c r="B199" s="2">
        <f t="shared" si="36"/>
        <v>8376</v>
      </c>
      <c r="C199" s="2">
        <f t="shared" si="36"/>
        <v>119</v>
      </c>
      <c r="D199" s="3">
        <f t="shared" si="37"/>
        <v>35.193277310924373</v>
      </c>
      <c r="E199" s="2">
        <f t="shared" si="38"/>
        <v>153</v>
      </c>
      <c r="F199" s="3">
        <f t="shared" si="39"/>
        <v>27.372549019607842</v>
      </c>
      <c r="O199" s="1"/>
    </row>
    <row r="200" spans="1:15">
      <c r="A200" s="1" t="s">
        <v>12</v>
      </c>
      <c r="B200" s="1">
        <f>SUM(B184:B199)/16</f>
        <v>8376</v>
      </c>
      <c r="C200" s="1">
        <f>SUM(C184:C199)/16</f>
        <v>119</v>
      </c>
      <c r="D200" s="1">
        <f>SUM(D184:D199)/16</f>
        <v>35.193277310924373</v>
      </c>
      <c r="E200" s="1">
        <f>SUM(E184:E199)/16</f>
        <v>153</v>
      </c>
      <c r="F200" s="1">
        <f>SUM(F184:F199)/16</f>
        <v>27.372549019607842</v>
      </c>
      <c r="O200" s="1"/>
    </row>
    <row r="201" spans="1:15">
      <c r="A201" s="1" t="s">
        <v>41</v>
      </c>
      <c r="D201" s="1" t="s">
        <v>0</v>
      </c>
      <c r="O201" s="1"/>
    </row>
    <row r="202" spans="1:15">
      <c r="B202" s="1" t="s">
        <v>1</v>
      </c>
      <c r="C202" s="1" t="s">
        <v>2</v>
      </c>
      <c r="D202" s="1" t="s">
        <v>3</v>
      </c>
      <c r="E202" s="1" t="s">
        <v>4</v>
      </c>
      <c r="F202" s="1" t="s">
        <v>3</v>
      </c>
      <c r="O202" s="1"/>
    </row>
    <row r="203" spans="1:15">
      <c r="A203" s="1" t="s">
        <v>26</v>
      </c>
      <c r="B203" s="5">
        <v>8794</v>
      </c>
      <c r="C203" s="5">
        <v>115</v>
      </c>
      <c r="D203" s="5">
        <v>38.200000000000003</v>
      </c>
      <c r="E203" s="5">
        <v>146.9</v>
      </c>
      <c r="F203" s="5">
        <v>29.9</v>
      </c>
      <c r="O203" s="1"/>
    </row>
    <row r="204" spans="1:15">
      <c r="A204" s="3">
        <v>2</v>
      </c>
      <c r="B204" s="3">
        <v>8794</v>
      </c>
      <c r="C204" s="3">
        <v>115</v>
      </c>
      <c r="D204" s="3">
        <f t="shared" ref="D204:D218" si="40">(B204/2)/C204</f>
        <v>38.234782608695653</v>
      </c>
      <c r="E204" s="3">
        <v>147</v>
      </c>
      <c r="F204" s="3">
        <f t="shared" ref="F204:F217" si="41">(B204/2)/E204</f>
        <v>29.911564625850339</v>
      </c>
      <c r="O204" s="1"/>
    </row>
    <row r="205" spans="1:15">
      <c r="A205" s="3">
        <v>4</v>
      </c>
      <c r="B205" s="2">
        <f t="shared" ref="B205:C218" si="42">B204</f>
        <v>8794</v>
      </c>
      <c r="C205" s="2">
        <f t="shared" si="42"/>
        <v>115</v>
      </c>
      <c r="D205" s="2">
        <f t="shared" si="40"/>
        <v>38.234782608695653</v>
      </c>
      <c r="E205" s="2">
        <f t="shared" ref="E205:E218" si="43">E204</f>
        <v>147</v>
      </c>
      <c r="F205" s="3">
        <f t="shared" si="41"/>
        <v>29.911564625850339</v>
      </c>
      <c r="O205" s="1"/>
    </row>
    <row r="206" spans="1:15">
      <c r="A206" s="3">
        <v>6</v>
      </c>
      <c r="B206" s="2">
        <f t="shared" si="42"/>
        <v>8794</v>
      </c>
      <c r="C206" s="2">
        <f t="shared" si="42"/>
        <v>115</v>
      </c>
      <c r="D206" s="2">
        <f t="shared" si="40"/>
        <v>38.234782608695653</v>
      </c>
      <c r="E206" s="2">
        <f t="shared" si="43"/>
        <v>147</v>
      </c>
      <c r="F206" s="3">
        <f t="shared" si="41"/>
        <v>29.911564625850339</v>
      </c>
      <c r="O206" s="1"/>
    </row>
    <row r="207" spans="1:15">
      <c r="A207" s="3">
        <v>8</v>
      </c>
      <c r="B207" s="2">
        <f t="shared" si="42"/>
        <v>8794</v>
      </c>
      <c r="C207" s="2">
        <f t="shared" si="42"/>
        <v>115</v>
      </c>
      <c r="D207" s="2">
        <f t="shared" si="40"/>
        <v>38.234782608695653</v>
      </c>
      <c r="E207" s="2">
        <f t="shared" si="43"/>
        <v>147</v>
      </c>
      <c r="F207" s="3">
        <f t="shared" si="41"/>
        <v>29.911564625850339</v>
      </c>
      <c r="O207" s="1"/>
    </row>
    <row r="208" spans="1:15">
      <c r="A208" s="3">
        <v>10</v>
      </c>
      <c r="B208" s="2">
        <f t="shared" si="42"/>
        <v>8794</v>
      </c>
      <c r="C208" s="2">
        <f t="shared" si="42"/>
        <v>115</v>
      </c>
      <c r="D208" s="2">
        <f t="shared" si="40"/>
        <v>38.234782608695653</v>
      </c>
      <c r="E208" s="2">
        <f t="shared" si="43"/>
        <v>147</v>
      </c>
      <c r="F208" s="3">
        <f t="shared" si="41"/>
        <v>29.911564625850339</v>
      </c>
      <c r="O208" s="1"/>
    </row>
    <row r="209" spans="1:15">
      <c r="A209" s="3">
        <v>12</v>
      </c>
      <c r="B209" s="2">
        <f t="shared" si="42"/>
        <v>8794</v>
      </c>
      <c r="C209" s="2">
        <f t="shared" si="42"/>
        <v>115</v>
      </c>
      <c r="D209" s="2">
        <f t="shared" si="40"/>
        <v>38.234782608695653</v>
      </c>
      <c r="E209" s="2">
        <f t="shared" si="43"/>
        <v>147</v>
      </c>
      <c r="F209" s="3">
        <f t="shared" si="41"/>
        <v>29.911564625850339</v>
      </c>
      <c r="O209" s="1"/>
    </row>
    <row r="210" spans="1:15">
      <c r="A210" s="3">
        <v>14</v>
      </c>
      <c r="B210" s="2">
        <f t="shared" si="42"/>
        <v>8794</v>
      </c>
      <c r="C210" s="2">
        <f t="shared" si="42"/>
        <v>115</v>
      </c>
      <c r="D210" s="2">
        <f t="shared" si="40"/>
        <v>38.234782608695653</v>
      </c>
      <c r="E210" s="2">
        <f t="shared" si="43"/>
        <v>147</v>
      </c>
      <c r="F210" s="3">
        <f t="shared" si="41"/>
        <v>29.911564625850339</v>
      </c>
      <c r="O210" s="1"/>
    </row>
    <row r="211" spans="1:15">
      <c r="A211" s="3">
        <v>16</v>
      </c>
      <c r="B211" s="2">
        <f t="shared" si="42"/>
        <v>8794</v>
      </c>
      <c r="C211" s="2">
        <f t="shared" si="42"/>
        <v>115</v>
      </c>
      <c r="D211" s="2">
        <f t="shared" si="40"/>
        <v>38.234782608695653</v>
      </c>
      <c r="E211" s="2">
        <f t="shared" si="43"/>
        <v>147</v>
      </c>
      <c r="F211" s="3">
        <f t="shared" si="41"/>
        <v>29.911564625850339</v>
      </c>
      <c r="O211" s="1"/>
    </row>
    <row r="212" spans="1:15">
      <c r="A212" s="3">
        <v>18</v>
      </c>
      <c r="B212" s="2">
        <f t="shared" si="42"/>
        <v>8794</v>
      </c>
      <c r="C212" s="2">
        <f t="shared" si="42"/>
        <v>115</v>
      </c>
      <c r="D212" s="2">
        <f t="shared" si="40"/>
        <v>38.234782608695653</v>
      </c>
      <c r="E212" s="2">
        <f t="shared" si="43"/>
        <v>147</v>
      </c>
      <c r="F212" s="3">
        <f t="shared" si="41"/>
        <v>29.911564625850339</v>
      </c>
      <c r="O212" s="1"/>
    </row>
    <row r="213" spans="1:15">
      <c r="A213" s="3">
        <v>20</v>
      </c>
      <c r="B213" s="2">
        <f t="shared" si="42"/>
        <v>8794</v>
      </c>
      <c r="C213" s="2">
        <f t="shared" si="42"/>
        <v>115</v>
      </c>
      <c r="D213" s="2">
        <f t="shared" si="40"/>
        <v>38.234782608695653</v>
      </c>
      <c r="E213" s="2">
        <f t="shared" si="43"/>
        <v>147</v>
      </c>
      <c r="F213" s="3">
        <f t="shared" si="41"/>
        <v>29.911564625850339</v>
      </c>
      <c r="O213" s="1"/>
    </row>
    <row r="214" spans="1:15">
      <c r="A214" s="3">
        <v>22</v>
      </c>
      <c r="B214" s="2">
        <f t="shared" si="42"/>
        <v>8794</v>
      </c>
      <c r="C214" s="2">
        <f t="shared" si="42"/>
        <v>115</v>
      </c>
      <c r="D214" s="2">
        <f t="shared" si="40"/>
        <v>38.234782608695653</v>
      </c>
      <c r="E214" s="2">
        <f t="shared" si="43"/>
        <v>147</v>
      </c>
      <c r="F214" s="3">
        <f t="shared" si="41"/>
        <v>29.911564625850339</v>
      </c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3">
        <v>24</v>
      </c>
      <c r="B215" s="2">
        <f t="shared" si="42"/>
        <v>8794</v>
      </c>
      <c r="C215" s="2">
        <f t="shared" si="42"/>
        <v>115</v>
      </c>
      <c r="D215" s="2">
        <f t="shared" si="40"/>
        <v>38.234782608695653</v>
      </c>
      <c r="E215" s="2">
        <f t="shared" si="43"/>
        <v>147</v>
      </c>
      <c r="F215" s="3">
        <f t="shared" si="41"/>
        <v>29.911564625850339</v>
      </c>
      <c r="O215" s="1"/>
    </row>
    <row r="216" spans="1:15">
      <c r="A216" s="3">
        <v>26</v>
      </c>
      <c r="B216" s="2">
        <f t="shared" si="42"/>
        <v>8794</v>
      </c>
      <c r="C216" s="2">
        <f t="shared" si="42"/>
        <v>115</v>
      </c>
      <c r="D216" s="2">
        <f t="shared" si="40"/>
        <v>38.234782608695653</v>
      </c>
      <c r="E216" s="2">
        <f t="shared" si="43"/>
        <v>147</v>
      </c>
      <c r="F216" s="3">
        <f t="shared" si="41"/>
        <v>29.911564625850339</v>
      </c>
      <c r="O216" s="1"/>
    </row>
    <row r="217" spans="1:15">
      <c r="A217" s="3">
        <v>28</v>
      </c>
      <c r="B217" s="2">
        <f t="shared" si="42"/>
        <v>8794</v>
      </c>
      <c r="C217" s="2">
        <f t="shared" si="42"/>
        <v>115</v>
      </c>
      <c r="D217" s="2">
        <f t="shared" si="40"/>
        <v>38.234782608695653</v>
      </c>
      <c r="E217" s="2">
        <f t="shared" si="43"/>
        <v>147</v>
      </c>
      <c r="F217" s="3">
        <f t="shared" si="41"/>
        <v>29.911564625850339</v>
      </c>
      <c r="O217" s="1"/>
    </row>
    <row r="218" spans="1:15">
      <c r="A218" s="3">
        <v>30</v>
      </c>
      <c r="B218" s="2">
        <f t="shared" si="42"/>
        <v>8794</v>
      </c>
      <c r="C218" s="2">
        <f t="shared" si="42"/>
        <v>115</v>
      </c>
      <c r="D218" s="2">
        <f t="shared" si="40"/>
        <v>38.234782608695653</v>
      </c>
      <c r="E218" s="2">
        <f t="shared" si="43"/>
        <v>147</v>
      </c>
      <c r="F218" s="3">
        <f>(B218/2)/E218</f>
        <v>29.911564625850339</v>
      </c>
      <c r="O218" s="1"/>
    </row>
    <row r="219" spans="1:15">
      <c r="A219" s="1" t="s">
        <v>12</v>
      </c>
      <c r="B219" s="2">
        <f>SUM(B204:B218)/15</f>
        <v>8794</v>
      </c>
      <c r="C219" s="2">
        <f>SUM(C204:C218)/15</f>
        <v>115</v>
      </c>
      <c r="D219" s="2">
        <f>SUM(D204:D218)/15</f>
        <v>38.234782608695653</v>
      </c>
      <c r="E219" s="2">
        <f>SUM(E204:E218)/15</f>
        <v>147</v>
      </c>
      <c r="F219" s="2">
        <f>SUM(F204:F218)/15</f>
        <v>29.911564625850346</v>
      </c>
      <c r="O219" s="1"/>
    </row>
    <row r="220" spans="1:15">
      <c r="A220" s="1" t="s">
        <v>42</v>
      </c>
      <c r="D220" s="1" t="s">
        <v>0</v>
      </c>
      <c r="O220" s="1"/>
    </row>
    <row r="221" spans="1:15">
      <c r="B221" s="1" t="s">
        <v>1</v>
      </c>
      <c r="C221" s="1" t="s">
        <v>2</v>
      </c>
      <c r="D221" s="1" t="s">
        <v>3</v>
      </c>
      <c r="E221" s="1" t="s">
        <v>4</v>
      </c>
      <c r="F221" s="1" t="s">
        <v>3</v>
      </c>
      <c r="O221" s="1"/>
    </row>
    <row r="222" spans="1:15">
      <c r="A222" s="1" t="s">
        <v>26</v>
      </c>
      <c r="D222" s="1">
        <v>40.700000000000003</v>
      </c>
      <c r="F222" s="1">
        <v>34</v>
      </c>
      <c r="O222" s="1"/>
    </row>
    <row r="223" spans="1:15">
      <c r="A223" s="3">
        <v>2</v>
      </c>
      <c r="B223" s="3">
        <v>11115</v>
      </c>
      <c r="C223" s="3">
        <f>126-1</f>
        <v>125</v>
      </c>
      <c r="D223" s="3">
        <f t="shared" ref="D223:D237" si="44">(B223/2)/C223</f>
        <v>44.46</v>
      </c>
      <c r="E223" s="3">
        <f>143-1</f>
        <v>142</v>
      </c>
      <c r="F223" s="3">
        <f t="shared" ref="F223:F237" si="45">(B223/2)/E223</f>
        <v>39.137323943661968</v>
      </c>
      <c r="O223" s="1"/>
    </row>
    <row r="224" spans="1:15">
      <c r="A224" s="3">
        <v>4</v>
      </c>
      <c r="B224" s="2">
        <f t="shared" ref="B224:C237" si="46">B223</f>
        <v>11115</v>
      </c>
      <c r="C224" s="2">
        <f t="shared" si="46"/>
        <v>125</v>
      </c>
      <c r="D224" s="2">
        <f t="shared" si="44"/>
        <v>44.46</v>
      </c>
      <c r="E224" s="2">
        <f t="shared" ref="E224:E237" si="47">E223</f>
        <v>142</v>
      </c>
      <c r="F224" s="3">
        <f t="shared" si="45"/>
        <v>39.137323943661968</v>
      </c>
      <c r="O224" s="1"/>
    </row>
    <row r="225" spans="1:15">
      <c r="A225" s="3">
        <v>6</v>
      </c>
      <c r="B225" s="2">
        <f t="shared" si="46"/>
        <v>11115</v>
      </c>
      <c r="C225" s="2">
        <f t="shared" si="46"/>
        <v>125</v>
      </c>
      <c r="D225" s="2">
        <f t="shared" si="44"/>
        <v>44.46</v>
      </c>
      <c r="E225" s="2">
        <f t="shared" si="47"/>
        <v>142</v>
      </c>
      <c r="F225" s="3">
        <f t="shared" si="45"/>
        <v>39.137323943661968</v>
      </c>
      <c r="O225" s="1"/>
    </row>
    <row r="226" spans="1:15">
      <c r="A226" s="3">
        <v>8</v>
      </c>
      <c r="B226" s="2">
        <f t="shared" si="46"/>
        <v>11115</v>
      </c>
      <c r="C226" s="2">
        <f t="shared" si="46"/>
        <v>125</v>
      </c>
      <c r="D226" s="2">
        <f t="shared" si="44"/>
        <v>44.46</v>
      </c>
      <c r="E226" s="2">
        <f t="shared" si="47"/>
        <v>142</v>
      </c>
      <c r="F226" s="3">
        <f t="shared" si="45"/>
        <v>39.137323943661968</v>
      </c>
      <c r="O226" s="1"/>
    </row>
    <row r="227" spans="1:15">
      <c r="A227" s="3">
        <v>10</v>
      </c>
      <c r="B227" s="2">
        <f t="shared" si="46"/>
        <v>11115</v>
      </c>
      <c r="C227" s="2">
        <f t="shared" si="46"/>
        <v>125</v>
      </c>
      <c r="D227" s="2">
        <f t="shared" si="44"/>
        <v>44.46</v>
      </c>
      <c r="E227" s="2">
        <f t="shared" si="47"/>
        <v>142</v>
      </c>
      <c r="F227" s="3">
        <f t="shared" si="45"/>
        <v>39.137323943661968</v>
      </c>
      <c r="O227" s="1"/>
    </row>
    <row r="228" spans="1:15">
      <c r="A228" s="3">
        <v>12</v>
      </c>
      <c r="B228" s="2">
        <f t="shared" si="46"/>
        <v>11115</v>
      </c>
      <c r="C228" s="2">
        <f t="shared" si="46"/>
        <v>125</v>
      </c>
      <c r="D228" s="2">
        <f t="shared" si="44"/>
        <v>44.46</v>
      </c>
      <c r="E228" s="2">
        <f t="shared" si="47"/>
        <v>142</v>
      </c>
      <c r="F228" s="3">
        <f t="shared" si="45"/>
        <v>39.137323943661968</v>
      </c>
      <c r="O228" s="1"/>
    </row>
    <row r="229" spans="1:15">
      <c r="A229" s="3">
        <v>14</v>
      </c>
      <c r="B229" s="2">
        <f t="shared" si="46"/>
        <v>11115</v>
      </c>
      <c r="C229" s="2">
        <f t="shared" si="46"/>
        <v>125</v>
      </c>
      <c r="D229" s="2">
        <f t="shared" si="44"/>
        <v>44.46</v>
      </c>
      <c r="E229" s="2">
        <f t="shared" si="47"/>
        <v>142</v>
      </c>
      <c r="F229" s="3">
        <f t="shared" si="45"/>
        <v>39.137323943661968</v>
      </c>
      <c r="O229" s="1"/>
    </row>
    <row r="230" spans="1:15">
      <c r="A230" s="3">
        <v>16</v>
      </c>
      <c r="B230" s="2">
        <f t="shared" si="46"/>
        <v>11115</v>
      </c>
      <c r="C230" s="2">
        <f t="shared" si="46"/>
        <v>125</v>
      </c>
      <c r="D230" s="2">
        <f t="shared" si="44"/>
        <v>44.46</v>
      </c>
      <c r="E230" s="2">
        <f t="shared" si="47"/>
        <v>142</v>
      </c>
      <c r="F230" s="3">
        <f t="shared" si="45"/>
        <v>39.137323943661968</v>
      </c>
      <c r="O230" s="1"/>
    </row>
    <row r="231" spans="1:15">
      <c r="A231" s="3">
        <v>18</v>
      </c>
      <c r="B231" s="2">
        <f t="shared" si="46"/>
        <v>11115</v>
      </c>
      <c r="C231" s="2">
        <f t="shared" si="46"/>
        <v>125</v>
      </c>
      <c r="D231" s="2">
        <f t="shared" si="44"/>
        <v>44.46</v>
      </c>
      <c r="E231" s="2">
        <f t="shared" si="47"/>
        <v>142</v>
      </c>
      <c r="F231" s="3">
        <f t="shared" si="45"/>
        <v>39.137323943661968</v>
      </c>
      <c r="O231" s="1"/>
    </row>
    <row r="232" spans="1:15">
      <c r="A232" s="3">
        <v>20</v>
      </c>
      <c r="B232" s="2">
        <f t="shared" si="46"/>
        <v>11115</v>
      </c>
      <c r="C232" s="2">
        <f t="shared" si="46"/>
        <v>125</v>
      </c>
      <c r="D232" s="2">
        <f t="shared" si="44"/>
        <v>44.46</v>
      </c>
      <c r="E232" s="2">
        <f t="shared" si="47"/>
        <v>142</v>
      </c>
      <c r="F232" s="3">
        <f t="shared" si="45"/>
        <v>39.137323943661968</v>
      </c>
      <c r="O232" s="1"/>
    </row>
    <row r="233" spans="1:15">
      <c r="A233" s="3">
        <v>22</v>
      </c>
      <c r="B233" s="2">
        <f t="shared" si="46"/>
        <v>11115</v>
      </c>
      <c r="C233" s="2">
        <f t="shared" si="46"/>
        <v>125</v>
      </c>
      <c r="D233" s="2">
        <f t="shared" si="44"/>
        <v>44.46</v>
      </c>
      <c r="E233" s="2">
        <f t="shared" si="47"/>
        <v>142</v>
      </c>
      <c r="F233" s="3">
        <f t="shared" si="45"/>
        <v>39.137323943661968</v>
      </c>
      <c r="O233" s="1"/>
    </row>
    <row r="234" spans="1:15">
      <c r="A234" s="3">
        <v>24</v>
      </c>
      <c r="B234" s="2">
        <f t="shared" si="46"/>
        <v>11115</v>
      </c>
      <c r="C234" s="2">
        <f t="shared" si="46"/>
        <v>125</v>
      </c>
      <c r="D234" s="2">
        <f t="shared" si="44"/>
        <v>44.46</v>
      </c>
      <c r="E234" s="2">
        <f t="shared" si="47"/>
        <v>142</v>
      </c>
      <c r="F234" s="3">
        <f t="shared" si="45"/>
        <v>39.137323943661968</v>
      </c>
      <c r="O234" s="1"/>
    </row>
    <row r="235" spans="1:15">
      <c r="A235" s="3">
        <v>26</v>
      </c>
      <c r="B235" s="2">
        <f t="shared" si="46"/>
        <v>11115</v>
      </c>
      <c r="C235" s="2">
        <f t="shared" si="46"/>
        <v>125</v>
      </c>
      <c r="D235" s="2">
        <f t="shared" si="44"/>
        <v>44.46</v>
      </c>
      <c r="E235" s="2">
        <f t="shared" si="47"/>
        <v>142</v>
      </c>
      <c r="F235" s="3">
        <f t="shared" si="45"/>
        <v>39.137323943661968</v>
      </c>
      <c r="O235" s="1"/>
    </row>
    <row r="236" spans="1:15">
      <c r="A236" s="3">
        <v>28</v>
      </c>
      <c r="B236" s="2">
        <f t="shared" si="46"/>
        <v>11115</v>
      </c>
      <c r="C236" s="2">
        <f t="shared" si="46"/>
        <v>125</v>
      </c>
      <c r="D236" s="2">
        <f t="shared" si="44"/>
        <v>44.46</v>
      </c>
      <c r="E236" s="2">
        <f t="shared" si="47"/>
        <v>142</v>
      </c>
      <c r="F236" s="3">
        <f t="shared" si="45"/>
        <v>39.137323943661968</v>
      </c>
      <c r="O236" s="1"/>
    </row>
    <row r="237" spans="1:15">
      <c r="A237" s="3">
        <v>30</v>
      </c>
      <c r="B237" s="2">
        <f t="shared" si="46"/>
        <v>11115</v>
      </c>
      <c r="C237" s="2">
        <f t="shared" si="46"/>
        <v>125</v>
      </c>
      <c r="D237" s="2">
        <f t="shared" si="44"/>
        <v>44.46</v>
      </c>
      <c r="E237" s="2">
        <f t="shared" si="47"/>
        <v>142</v>
      </c>
      <c r="F237" s="3">
        <f t="shared" si="45"/>
        <v>39.137323943661968</v>
      </c>
      <c r="O237" s="1"/>
    </row>
    <row r="238" spans="1:15">
      <c r="A238" s="1" t="s">
        <v>12</v>
      </c>
      <c r="B238" s="2">
        <f>SUM(B223:B237)/15</f>
        <v>11115</v>
      </c>
      <c r="C238" s="2">
        <f>SUM(C223:C237)/15</f>
        <v>125</v>
      </c>
      <c r="D238" s="2">
        <f>SUM(D223:D237)/15</f>
        <v>44.46</v>
      </c>
      <c r="E238" s="2">
        <f>SUM(E223:E237)/15</f>
        <v>142</v>
      </c>
      <c r="F238" s="2">
        <f>SUM(F223:F237)/15</f>
        <v>39.137323943661961</v>
      </c>
      <c r="O238" s="1"/>
    </row>
    <row r="239" spans="1:15">
      <c r="O239" s="1"/>
    </row>
    <row r="240" spans="1:15">
      <c r="O240" s="1"/>
    </row>
    <row r="241" spans="15:15">
      <c r="O241" s="1"/>
    </row>
    <row r="242" spans="15:15">
      <c r="O242" s="1"/>
    </row>
    <row r="243" spans="15:15">
      <c r="O243" s="1"/>
    </row>
    <row r="244" spans="15:15">
      <c r="O244" s="1"/>
    </row>
    <row r="245" spans="15:15">
      <c r="O245" s="1"/>
    </row>
    <row r="246" spans="15:15">
      <c r="O246" s="1"/>
    </row>
    <row r="247" spans="15:15">
      <c r="O247" s="1"/>
    </row>
    <row r="248" spans="15:15">
      <c r="O248" s="1"/>
    </row>
    <row r="249" spans="15:15">
      <c r="O249" s="1"/>
    </row>
    <row r="250" spans="15:15">
      <c r="O250" s="1"/>
    </row>
    <row r="251" spans="15:15">
      <c r="O251" s="1"/>
    </row>
    <row r="252" spans="15:15">
      <c r="O252" s="1"/>
    </row>
    <row r="253" spans="15:15">
      <c r="O253" s="1"/>
    </row>
    <row r="254" spans="15:15">
      <c r="O254" s="1"/>
    </row>
    <row r="255" spans="15:15">
      <c r="O255" s="1"/>
    </row>
    <row r="256" spans="15:15">
      <c r="O256" s="1"/>
    </row>
    <row r="257" spans="15:15">
      <c r="O257" s="1"/>
    </row>
    <row r="258" spans="15:15">
      <c r="O258" s="1"/>
    </row>
    <row r="259" spans="15:15">
      <c r="O259" s="1"/>
    </row>
    <row r="260" spans="15:15">
      <c r="O260" s="1"/>
    </row>
    <row r="261" spans="15:15">
      <c r="O261" s="1"/>
    </row>
    <row r="262" spans="15:15">
      <c r="O262" s="1"/>
    </row>
  </sheetData>
  <sortState ref="E1:E19">
    <sortCondition ref="E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2"/>
  <sheetViews>
    <sheetView workbookViewId="0">
      <selection activeCell="A2" sqref="A2"/>
    </sheetView>
  </sheetViews>
  <sheetFormatPr defaultRowHeight="18.75"/>
  <cols>
    <col min="1" max="1" width="6.7109375" style="1" customWidth="1"/>
    <col min="2" max="2" width="10.5703125" style="1" customWidth="1"/>
    <col min="3" max="4" width="11.42578125" style="1" customWidth="1"/>
    <col min="5" max="5" width="10.85546875" style="1" customWidth="1"/>
    <col min="6" max="6" width="10.42578125" style="1" customWidth="1"/>
    <col min="7" max="14" width="9.140625" style="1"/>
  </cols>
  <sheetData>
    <row r="1" spans="1:15">
      <c r="A1" s="1" t="s">
        <v>20</v>
      </c>
      <c r="D1" s="1" t="s">
        <v>0</v>
      </c>
      <c r="O1" s="1"/>
    </row>
    <row r="2" spans="1:15"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O2" s="1"/>
    </row>
    <row r="3" spans="1:15">
      <c r="A3" s="1" t="s">
        <v>26</v>
      </c>
      <c r="B3" s="5">
        <v>10001</v>
      </c>
      <c r="C3" s="5">
        <v>105.86</v>
      </c>
      <c r="D3" s="5">
        <v>47.25</v>
      </c>
      <c r="E3" s="5">
        <v>137.07</v>
      </c>
      <c r="F3" s="5">
        <v>36.479999999999997</v>
      </c>
      <c r="O3" s="1"/>
    </row>
    <row r="4" spans="1:15">
      <c r="A4" s="3">
        <v>2</v>
      </c>
      <c r="B4" s="2">
        <v>10001</v>
      </c>
      <c r="C4" s="2">
        <v>106</v>
      </c>
      <c r="D4" s="2">
        <f t="shared" ref="D4:D17" si="0">(B4/2)/C4</f>
        <v>47.174528301886795</v>
      </c>
      <c r="E4" s="2">
        <v>137</v>
      </c>
      <c r="F4" s="2">
        <f t="shared" ref="F4:F17" si="1">(B4/2)/E4</f>
        <v>36.5</v>
      </c>
      <c r="O4" s="1"/>
    </row>
    <row r="5" spans="1:15">
      <c r="A5" s="3">
        <v>4</v>
      </c>
      <c r="B5" s="2">
        <f t="shared" ref="B5:C18" si="2">B4</f>
        <v>10001</v>
      </c>
      <c r="C5" s="2">
        <f t="shared" si="2"/>
        <v>106</v>
      </c>
      <c r="D5" s="2">
        <f t="shared" si="0"/>
        <v>47.174528301886795</v>
      </c>
      <c r="E5" s="2">
        <f t="shared" ref="E5:E18" si="3">E4</f>
        <v>137</v>
      </c>
      <c r="F5" s="2">
        <f t="shared" si="1"/>
        <v>36.5</v>
      </c>
      <c r="O5" s="1"/>
    </row>
    <row r="6" spans="1:15">
      <c r="A6" s="3">
        <v>6</v>
      </c>
      <c r="B6" s="2">
        <f t="shared" si="2"/>
        <v>10001</v>
      </c>
      <c r="C6" s="2">
        <f t="shared" si="2"/>
        <v>106</v>
      </c>
      <c r="D6" s="2">
        <f t="shared" si="0"/>
        <v>47.174528301886795</v>
      </c>
      <c r="E6" s="2">
        <f t="shared" si="3"/>
        <v>137</v>
      </c>
      <c r="F6" s="2">
        <f t="shared" si="1"/>
        <v>36.5</v>
      </c>
      <c r="O6" s="1"/>
    </row>
    <row r="7" spans="1:15">
      <c r="A7" s="3">
        <v>8</v>
      </c>
      <c r="B7" s="2">
        <f t="shared" si="2"/>
        <v>10001</v>
      </c>
      <c r="C7" s="2">
        <f t="shared" si="2"/>
        <v>106</v>
      </c>
      <c r="D7" s="2">
        <f t="shared" si="0"/>
        <v>47.174528301886795</v>
      </c>
      <c r="E7" s="2">
        <f t="shared" si="3"/>
        <v>137</v>
      </c>
      <c r="F7" s="2">
        <f t="shared" si="1"/>
        <v>36.5</v>
      </c>
      <c r="O7" s="1"/>
    </row>
    <row r="8" spans="1:15">
      <c r="A8" s="3">
        <v>10</v>
      </c>
      <c r="B8" s="2">
        <f t="shared" si="2"/>
        <v>10001</v>
      </c>
      <c r="C8" s="2">
        <f t="shared" si="2"/>
        <v>106</v>
      </c>
      <c r="D8" s="2">
        <f t="shared" si="0"/>
        <v>47.174528301886795</v>
      </c>
      <c r="E8" s="2">
        <f t="shared" si="3"/>
        <v>137</v>
      </c>
      <c r="F8" s="2">
        <f t="shared" si="1"/>
        <v>36.5</v>
      </c>
      <c r="O8" s="1"/>
    </row>
    <row r="9" spans="1:15">
      <c r="A9" s="3">
        <v>12</v>
      </c>
      <c r="B9" s="2">
        <f t="shared" si="2"/>
        <v>10001</v>
      </c>
      <c r="C9" s="2">
        <f t="shared" si="2"/>
        <v>106</v>
      </c>
      <c r="D9" s="2">
        <f t="shared" si="0"/>
        <v>47.174528301886795</v>
      </c>
      <c r="E9" s="2">
        <f t="shared" si="3"/>
        <v>137</v>
      </c>
      <c r="F9" s="2">
        <f t="shared" si="1"/>
        <v>36.5</v>
      </c>
      <c r="O9" s="1"/>
    </row>
    <row r="10" spans="1:15">
      <c r="A10" s="3">
        <v>14</v>
      </c>
      <c r="B10" s="2">
        <f t="shared" si="2"/>
        <v>10001</v>
      </c>
      <c r="C10" s="2">
        <f t="shared" si="2"/>
        <v>106</v>
      </c>
      <c r="D10" s="2">
        <f t="shared" si="0"/>
        <v>47.174528301886795</v>
      </c>
      <c r="E10" s="2">
        <f t="shared" si="3"/>
        <v>137</v>
      </c>
      <c r="F10" s="2">
        <f t="shared" si="1"/>
        <v>36.5</v>
      </c>
      <c r="O10" s="1"/>
    </row>
    <row r="11" spans="1:15">
      <c r="A11" s="3">
        <v>16</v>
      </c>
      <c r="B11" s="2">
        <f t="shared" si="2"/>
        <v>10001</v>
      </c>
      <c r="C11" s="2">
        <f t="shared" si="2"/>
        <v>106</v>
      </c>
      <c r="D11" s="2">
        <f t="shared" si="0"/>
        <v>47.174528301886795</v>
      </c>
      <c r="E11" s="2">
        <f t="shared" si="3"/>
        <v>137</v>
      </c>
      <c r="F11" s="2">
        <f t="shared" si="1"/>
        <v>36.5</v>
      </c>
      <c r="O11" s="1"/>
    </row>
    <row r="12" spans="1:15">
      <c r="A12" s="3">
        <v>18</v>
      </c>
      <c r="B12" s="2">
        <f t="shared" si="2"/>
        <v>10001</v>
      </c>
      <c r="C12" s="2">
        <f t="shared" si="2"/>
        <v>106</v>
      </c>
      <c r="D12" s="2">
        <f t="shared" si="0"/>
        <v>47.174528301886795</v>
      </c>
      <c r="E12" s="2">
        <f t="shared" si="3"/>
        <v>137</v>
      </c>
      <c r="F12" s="2">
        <f t="shared" si="1"/>
        <v>36.5</v>
      </c>
      <c r="O12" s="1"/>
    </row>
    <row r="13" spans="1:15">
      <c r="A13" s="3">
        <v>20</v>
      </c>
      <c r="B13" s="2">
        <f t="shared" si="2"/>
        <v>10001</v>
      </c>
      <c r="C13" s="2">
        <f t="shared" si="2"/>
        <v>106</v>
      </c>
      <c r="D13" s="2">
        <f t="shared" si="0"/>
        <v>47.174528301886795</v>
      </c>
      <c r="E13" s="2">
        <f t="shared" si="3"/>
        <v>137</v>
      </c>
      <c r="F13" s="2">
        <f t="shared" si="1"/>
        <v>36.5</v>
      </c>
      <c r="O13" s="1"/>
    </row>
    <row r="14" spans="1:15">
      <c r="A14" s="3">
        <v>22</v>
      </c>
      <c r="B14" s="2">
        <f t="shared" si="2"/>
        <v>10001</v>
      </c>
      <c r="C14" s="2">
        <f t="shared" si="2"/>
        <v>106</v>
      </c>
      <c r="D14" s="2">
        <f t="shared" si="0"/>
        <v>47.174528301886795</v>
      </c>
      <c r="E14" s="2">
        <f t="shared" si="3"/>
        <v>137</v>
      </c>
      <c r="F14" s="2">
        <f t="shared" si="1"/>
        <v>36.5</v>
      </c>
      <c r="O14" s="1"/>
    </row>
    <row r="15" spans="1:15">
      <c r="A15" s="3">
        <v>24</v>
      </c>
      <c r="B15" s="2">
        <f t="shared" si="2"/>
        <v>10001</v>
      </c>
      <c r="C15" s="2">
        <f t="shared" si="2"/>
        <v>106</v>
      </c>
      <c r="D15" s="2">
        <f t="shared" si="0"/>
        <v>47.174528301886795</v>
      </c>
      <c r="E15" s="2">
        <f t="shared" si="3"/>
        <v>137</v>
      </c>
      <c r="F15" s="2">
        <f t="shared" si="1"/>
        <v>36.5</v>
      </c>
      <c r="O15" s="1"/>
    </row>
    <row r="16" spans="1:15">
      <c r="A16" s="3">
        <v>26</v>
      </c>
      <c r="B16" s="2">
        <f t="shared" si="2"/>
        <v>10001</v>
      </c>
      <c r="C16" s="2">
        <f t="shared" si="2"/>
        <v>106</v>
      </c>
      <c r="D16" s="2">
        <f t="shared" si="0"/>
        <v>47.174528301886795</v>
      </c>
      <c r="E16" s="2">
        <f t="shared" si="3"/>
        <v>137</v>
      </c>
      <c r="F16" s="2">
        <f t="shared" si="1"/>
        <v>36.5</v>
      </c>
      <c r="O16" s="1"/>
    </row>
    <row r="17" spans="1:15">
      <c r="A17" s="3">
        <v>28</v>
      </c>
      <c r="B17" s="2">
        <f t="shared" si="2"/>
        <v>10001</v>
      </c>
      <c r="C17" s="2">
        <f t="shared" si="2"/>
        <v>106</v>
      </c>
      <c r="D17" s="2">
        <f t="shared" si="0"/>
        <v>47.174528301886795</v>
      </c>
      <c r="E17" s="2">
        <f t="shared" si="3"/>
        <v>137</v>
      </c>
      <c r="F17" s="2">
        <f t="shared" si="1"/>
        <v>36.5</v>
      </c>
      <c r="O17" s="1"/>
    </row>
    <row r="18" spans="1:15">
      <c r="A18" s="3">
        <v>30</v>
      </c>
      <c r="B18" s="2">
        <f t="shared" si="2"/>
        <v>10001</v>
      </c>
      <c r="C18" s="2">
        <f t="shared" si="2"/>
        <v>106</v>
      </c>
      <c r="D18" s="2">
        <f>(B18/2)/C18</f>
        <v>47.174528301886795</v>
      </c>
      <c r="E18" s="2">
        <f t="shared" si="3"/>
        <v>137</v>
      </c>
      <c r="F18" s="2">
        <f>(B18/2)/E18</f>
        <v>36.5</v>
      </c>
      <c r="O18" s="1"/>
    </row>
    <row r="19" spans="1:15">
      <c r="A19" s="1" t="s">
        <v>12</v>
      </c>
      <c r="B19" s="1">
        <f>SUM(B4:B18)/15</f>
        <v>10001</v>
      </c>
      <c r="C19" s="1">
        <f>SUM(C4:C18)/15</f>
        <v>106</v>
      </c>
      <c r="D19" s="1">
        <f>SUM(D4:D18)/15</f>
        <v>47.174528301886781</v>
      </c>
      <c r="E19" s="1">
        <f>SUM(E4:E18)/15</f>
        <v>137</v>
      </c>
      <c r="F19" s="1">
        <f>SUM(F4:F18)/15</f>
        <v>36.5</v>
      </c>
      <c r="O19" s="1"/>
    </row>
    <row r="20" spans="1:15">
      <c r="A20" s="2"/>
      <c r="B20" s="2"/>
      <c r="C20" s="2"/>
      <c r="D20" s="2"/>
      <c r="E20" s="2"/>
      <c r="F20" s="2"/>
      <c r="O20" s="1"/>
    </row>
    <row r="21" spans="1:15">
      <c r="A21" s="1" t="s">
        <v>27</v>
      </c>
      <c r="D21" s="1" t="s">
        <v>0</v>
      </c>
      <c r="O21" s="1"/>
    </row>
    <row r="22" spans="1:15">
      <c r="B22" s="1" t="s">
        <v>1</v>
      </c>
      <c r="C22" s="1" t="s">
        <v>2</v>
      </c>
      <c r="D22" s="1" t="s">
        <v>3</v>
      </c>
      <c r="E22" s="1" t="s">
        <v>4</v>
      </c>
      <c r="F22" s="1" t="s">
        <v>3</v>
      </c>
      <c r="O22" s="1"/>
    </row>
    <row r="23" spans="1:15">
      <c r="A23" s="1" t="s">
        <v>26</v>
      </c>
      <c r="B23" s="3">
        <v>9891</v>
      </c>
      <c r="C23" s="3">
        <v>104.2</v>
      </c>
      <c r="D23" s="5">
        <v>47.47</v>
      </c>
      <c r="E23" s="5">
        <v>139.4</v>
      </c>
      <c r="F23" s="5">
        <v>35.479999999999997</v>
      </c>
      <c r="O23" s="1"/>
    </row>
    <row r="24" spans="1:15">
      <c r="A24" s="1">
        <v>1</v>
      </c>
      <c r="B24" s="2">
        <v>9891</v>
      </c>
      <c r="C24" s="2">
        <v>104</v>
      </c>
      <c r="D24" s="2">
        <f t="shared" ref="D24:D37" si="4">(B24/2)/C24</f>
        <v>47.552884615384613</v>
      </c>
      <c r="E24" s="2">
        <v>139</v>
      </c>
      <c r="F24" s="2">
        <f t="shared" ref="F24:F37" si="5">(B24/2)/E24</f>
        <v>35.579136690647481</v>
      </c>
      <c r="O24" s="1"/>
    </row>
    <row r="25" spans="1:15">
      <c r="A25" s="1">
        <v>3</v>
      </c>
      <c r="B25" s="2">
        <f t="shared" ref="B25:C37" si="6">B24</f>
        <v>9891</v>
      </c>
      <c r="C25" s="2">
        <f t="shared" si="6"/>
        <v>104</v>
      </c>
      <c r="D25" s="2">
        <f t="shared" si="4"/>
        <v>47.552884615384613</v>
      </c>
      <c r="E25" s="2">
        <f t="shared" ref="E25:E37" si="7">E24</f>
        <v>139</v>
      </c>
      <c r="F25" s="2">
        <f t="shared" si="5"/>
        <v>35.579136690647481</v>
      </c>
      <c r="O25" s="1"/>
    </row>
    <row r="26" spans="1:15">
      <c r="A26" s="1">
        <v>5</v>
      </c>
      <c r="B26" s="2">
        <f t="shared" si="6"/>
        <v>9891</v>
      </c>
      <c r="C26" s="2">
        <f t="shared" si="6"/>
        <v>104</v>
      </c>
      <c r="D26" s="2">
        <f t="shared" si="4"/>
        <v>47.552884615384613</v>
      </c>
      <c r="E26" s="2">
        <f t="shared" si="7"/>
        <v>139</v>
      </c>
      <c r="F26" s="2">
        <f t="shared" si="5"/>
        <v>35.579136690647481</v>
      </c>
      <c r="O26" s="1"/>
    </row>
    <row r="27" spans="1:15">
      <c r="A27" s="1">
        <v>7</v>
      </c>
      <c r="B27" s="2">
        <f t="shared" si="6"/>
        <v>9891</v>
      </c>
      <c r="C27" s="2">
        <f t="shared" si="6"/>
        <v>104</v>
      </c>
      <c r="D27" s="2">
        <f t="shared" si="4"/>
        <v>47.552884615384613</v>
      </c>
      <c r="E27" s="2">
        <f t="shared" si="7"/>
        <v>139</v>
      </c>
      <c r="F27" s="2">
        <f t="shared" si="5"/>
        <v>35.579136690647481</v>
      </c>
      <c r="O27" s="1"/>
    </row>
    <row r="28" spans="1:15">
      <c r="A28" s="1">
        <v>9</v>
      </c>
      <c r="B28" s="2">
        <f t="shared" si="6"/>
        <v>9891</v>
      </c>
      <c r="C28" s="2">
        <f t="shared" si="6"/>
        <v>104</v>
      </c>
      <c r="D28" s="2">
        <f t="shared" si="4"/>
        <v>47.552884615384613</v>
      </c>
      <c r="E28" s="2">
        <f t="shared" si="7"/>
        <v>139</v>
      </c>
      <c r="F28" s="2">
        <f t="shared" si="5"/>
        <v>35.579136690647481</v>
      </c>
      <c r="O28" s="1"/>
    </row>
    <row r="29" spans="1:15">
      <c r="A29" s="1">
        <v>11</v>
      </c>
      <c r="B29" s="2">
        <f t="shared" si="6"/>
        <v>9891</v>
      </c>
      <c r="C29" s="2">
        <f t="shared" si="6"/>
        <v>104</v>
      </c>
      <c r="D29" s="2">
        <f t="shared" si="4"/>
        <v>47.552884615384613</v>
      </c>
      <c r="E29" s="2">
        <f t="shared" si="7"/>
        <v>139</v>
      </c>
      <c r="F29" s="2">
        <f t="shared" si="5"/>
        <v>35.579136690647481</v>
      </c>
      <c r="O29" s="1"/>
    </row>
    <row r="30" spans="1:15">
      <c r="A30" s="1">
        <v>13</v>
      </c>
      <c r="B30" s="2">
        <f t="shared" si="6"/>
        <v>9891</v>
      </c>
      <c r="C30" s="2">
        <f t="shared" si="6"/>
        <v>104</v>
      </c>
      <c r="D30" s="2">
        <f t="shared" si="4"/>
        <v>47.552884615384613</v>
      </c>
      <c r="E30" s="2">
        <f t="shared" si="7"/>
        <v>139</v>
      </c>
      <c r="F30" s="2">
        <f t="shared" si="5"/>
        <v>35.579136690647481</v>
      </c>
      <c r="O30" s="1"/>
    </row>
    <row r="31" spans="1:15">
      <c r="A31" s="1">
        <v>15</v>
      </c>
      <c r="B31" s="2">
        <f t="shared" si="6"/>
        <v>9891</v>
      </c>
      <c r="C31" s="2">
        <f t="shared" si="6"/>
        <v>104</v>
      </c>
      <c r="D31" s="2">
        <f t="shared" si="4"/>
        <v>47.552884615384613</v>
      </c>
      <c r="E31" s="2">
        <f t="shared" si="7"/>
        <v>139</v>
      </c>
      <c r="F31" s="2">
        <f t="shared" si="5"/>
        <v>35.579136690647481</v>
      </c>
      <c r="O31" s="1"/>
    </row>
    <row r="32" spans="1:15">
      <c r="A32" s="1">
        <v>17</v>
      </c>
      <c r="B32" s="2">
        <f t="shared" si="6"/>
        <v>9891</v>
      </c>
      <c r="C32" s="2">
        <f t="shared" si="6"/>
        <v>104</v>
      </c>
      <c r="D32" s="2">
        <f t="shared" si="4"/>
        <v>47.552884615384613</v>
      </c>
      <c r="E32" s="2">
        <f t="shared" si="7"/>
        <v>139</v>
      </c>
      <c r="F32" s="2">
        <f t="shared" si="5"/>
        <v>35.579136690647481</v>
      </c>
      <c r="O32" s="1"/>
    </row>
    <row r="33" spans="1:15">
      <c r="A33" s="1">
        <v>19</v>
      </c>
      <c r="B33" s="2">
        <f t="shared" si="6"/>
        <v>9891</v>
      </c>
      <c r="C33" s="2">
        <f t="shared" si="6"/>
        <v>104</v>
      </c>
      <c r="D33" s="2">
        <f t="shared" si="4"/>
        <v>47.552884615384613</v>
      </c>
      <c r="E33" s="2">
        <f t="shared" si="7"/>
        <v>139</v>
      </c>
      <c r="F33" s="2">
        <f t="shared" si="5"/>
        <v>35.579136690647481</v>
      </c>
      <c r="O33" s="1"/>
    </row>
    <row r="34" spans="1:15">
      <c r="A34" s="1">
        <v>21</v>
      </c>
      <c r="B34" s="2">
        <f t="shared" si="6"/>
        <v>9891</v>
      </c>
      <c r="C34" s="2">
        <f t="shared" si="6"/>
        <v>104</v>
      </c>
      <c r="D34" s="2">
        <f t="shared" si="4"/>
        <v>47.552884615384613</v>
      </c>
      <c r="E34" s="2">
        <f t="shared" si="7"/>
        <v>139</v>
      </c>
      <c r="F34" s="2">
        <f t="shared" si="5"/>
        <v>35.579136690647481</v>
      </c>
      <c r="O34" s="1"/>
    </row>
    <row r="35" spans="1:15">
      <c r="A35" s="1">
        <v>23</v>
      </c>
      <c r="B35" s="2">
        <f t="shared" si="6"/>
        <v>9891</v>
      </c>
      <c r="C35" s="2">
        <f t="shared" si="6"/>
        <v>104</v>
      </c>
      <c r="D35" s="2">
        <f t="shared" si="4"/>
        <v>47.552884615384613</v>
      </c>
      <c r="E35" s="2">
        <f t="shared" si="7"/>
        <v>139</v>
      </c>
      <c r="F35" s="2">
        <f t="shared" si="5"/>
        <v>35.579136690647481</v>
      </c>
      <c r="O35" s="1"/>
    </row>
    <row r="36" spans="1:15">
      <c r="A36" s="1">
        <v>25</v>
      </c>
      <c r="B36" s="2">
        <f t="shared" si="6"/>
        <v>9891</v>
      </c>
      <c r="C36" s="2">
        <f t="shared" si="6"/>
        <v>104</v>
      </c>
      <c r="D36" s="2">
        <f t="shared" si="4"/>
        <v>47.552884615384613</v>
      </c>
      <c r="E36" s="2">
        <f t="shared" si="7"/>
        <v>139</v>
      </c>
      <c r="F36" s="2">
        <f t="shared" si="5"/>
        <v>35.579136690647481</v>
      </c>
      <c r="O36" s="1"/>
    </row>
    <row r="37" spans="1:15">
      <c r="A37" s="1">
        <v>27</v>
      </c>
      <c r="B37" s="2">
        <f t="shared" si="6"/>
        <v>9891</v>
      </c>
      <c r="C37" s="2">
        <f t="shared" si="6"/>
        <v>104</v>
      </c>
      <c r="D37" s="2">
        <f t="shared" si="4"/>
        <v>47.552884615384613</v>
      </c>
      <c r="E37" s="2">
        <f t="shared" si="7"/>
        <v>139</v>
      </c>
      <c r="F37" s="2">
        <f t="shared" si="5"/>
        <v>35.579136690647481</v>
      </c>
      <c r="O37" s="1"/>
    </row>
    <row r="38" spans="1:15">
      <c r="A38" s="1" t="s">
        <v>12</v>
      </c>
      <c r="B38" s="1">
        <f>SUM(B24:B37)/14</f>
        <v>9891</v>
      </c>
      <c r="C38" s="1">
        <f>SUM(C24:C37)/14</f>
        <v>104</v>
      </c>
      <c r="D38" s="1">
        <f>SUM(D24:D37)/14</f>
        <v>47.552884615384627</v>
      </c>
      <c r="E38" s="1">
        <f>SUM(E24:E37)/14</f>
        <v>139</v>
      </c>
      <c r="F38" s="1">
        <f>SUM(F24:F37)/14</f>
        <v>35.579136690647481</v>
      </c>
      <c r="O38" s="1"/>
    </row>
    <row r="39" spans="1:15">
      <c r="O39" s="1"/>
    </row>
    <row r="40" spans="1:15">
      <c r="A40" s="1" t="s">
        <v>28</v>
      </c>
      <c r="D40" s="1" t="s">
        <v>0</v>
      </c>
      <c r="O40" s="1"/>
    </row>
    <row r="41" spans="1:15">
      <c r="B41" s="1" t="s">
        <v>1</v>
      </c>
      <c r="C41" s="1" t="s">
        <v>2</v>
      </c>
      <c r="D41" s="1" t="s">
        <v>3</v>
      </c>
      <c r="E41" s="1" t="s">
        <v>4</v>
      </c>
      <c r="F41" s="1" t="s">
        <v>3</v>
      </c>
      <c r="O41" s="1"/>
    </row>
    <row r="42" spans="1:15">
      <c r="A42" s="1" t="s">
        <v>26</v>
      </c>
      <c r="B42" s="5">
        <v>10068</v>
      </c>
      <c r="C42" s="5">
        <v>106.8</v>
      </c>
      <c r="D42" s="5">
        <v>47.14</v>
      </c>
      <c r="E42" s="5">
        <v>141.87</v>
      </c>
      <c r="F42" s="5">
        <v>35.479999999999997</v>
      </c>
      <c r="O42" s="1"/>
    </row>
    <row r="43" spans="1:15">
      <c r="A43" s="1">
        <v>1</v>
      </c>
      <c r="B43" s="2">
        <v>10068</v>
      </c>
      <c r="C43" s="2">
        <v>107</v>
      </c>
      <c r="D43" s="2">
        <f t="shared" ref="D43:D58" si="8">(B43/2)/C43</f>
        <v>47.046728971962615</v>
      </c>
      <c r="E43" s="2">
        <v>142</v>
      </c>
      <c r="F43" s="2">
        <f t="shared" ref="F43:F58" si="9">(B43/2)/E43</f>
        <v>35.450704225352112</v>
      </c>
      <c r="O43" s="1"/>
    </row>
    <row r="44" spans="1:15">
      <c r="A44" s="1">
        <v>3</v>
      </c>
      <c r="B44" s="2">
        <f t="shared" ref="B44:C58" si="10">B43</f>
        <v>10068</v>
      </c>
      <c r="C44" s="2">
        <f t="shared" si="10"/>
        <v>107</v>
      </c>
      <c r="D44" s="2">
        <f t="shared" si="8"/>
        <v>47.046728971962615</v>
      </c>
      <c r="E44" s="2">
        <f t="shared" ref="E44:E58" si="11">E43</f>
        <v>142</v>
      </c>
      <c r="F44" s="2">
        <f t="shared" si="9"/>
        <v>35.450704225352112</v>
      </c>
      <c r="O44" s="1"/>
    </row>
    <row r="45" spans="1:15">
      <c r="A45" s="1">
        <v>5</v>
      </c>
      <c r="B45" s="2">
        <f t="shared" si="10"/>
        <v>10068</v>
      </c>
      <c r="C45" s="2">
        <f t="shared" si="10"/>
        <v>107</v>
      </c>
      <c r="D45" s="2">
        <f t="shared" si="8"/>
        <v>47.046728971962615</v>
      </c>
      <c r="E45" s="2">
        <f t="shared" si="11"/>
        <v>142</v>
      </c>
      <c r="F45" s="2">
        <f t="shared" si="9"/>
        <v>35.450704225352112</v>
      </c>
      <c r="O45" s="1"/>
    </row>
    <row r="46" spans="1:15">
      <c r="A46" s="1">
        <v>7</v>
      </c>
      <c r="B46" s="2">
        <f t="shared" si="10"/>
        <v>10068</v>
      </c>
      <c r="C46" s="2">
        <f t="shared" si="10"/>
        <v>107</v>
      </c>
      <c r="D46" s="2">
        <f t="shared" si="8"/>
        <v>47.046728971962615</v>
      </c>
      <c r="E46" s="2">
        <f t="shared" si="11"/>
        <v>142</v>
      </c>
      <c r="F46" s="2">
        <f t="shared" si="9"/>
        <v>35.450704225352112</v>
      </c>
      <c r="O46" s="1"/>
    </row>
    <row r="47" spans="1:15">
      <c r="A47" s="1">
        <v>9</v>
      </c>
      <c r="B47" s="2">
        <f t="shared" si="10"/>
        <v>10068</v>
      </c>
      <c r="C47" s="2">
        <f t="shared" si="10"/>
        <v>107</v>
      </c>
      <c r="D47" s="2">
        <f t="shared" si="8"/>
        <v>47.046728971962615</v>
      </c>
      <c r="E47" s="2">
        <f t="shared" si="11"/>
        <v>142</v>
      </c>
      <c r="F47" s="2">
        <f t="shared" si="9"/>
        <v>35.450704225352112</v>
      </c>
      <c r="O47" s="1"/>
    </row>
    <row r="48" spans="1:15">
      <c r="A48" s="1">
        <v>11</v>
      </c>
      <c r="B48" s="2">
        <f t="shared" si="10"/>
        <v>10068</v>
      </c>
      <c r="C48" s="2">
        <f t="shared" si="10"/>
        <v>107</v>
      </c>
      <c r="D48" s="2">
        <f t="shared" si="8"/>
        <v>47.046728971962615</v>
      </c>
      <c r="E48" s="2">
        <f t="shared" si="11"/>
        <v>142</v>
      </c>
      <c r="F48" s="2">
        <f t="shared" si="9"/>
        <v>35.450704225352112</v>
      </c>
      <c r="O48" s="1"/>
    </row>
    <row r="49" spans="1:15">
      <c r="A49" s="1">
        <v>13</v>
      </c>
      <c r="B49" s="2">
        <f t="shared" si="10"/>
        <v>10068</v>
      </c>
      <c r="C49" s="2">
        <f t="shared" si="10"/>
        <v>107</v>
      </c>
      <c r="D49" s="2">
        <f t="shared" si="8"/>
        <v>47.046728971962615</v>
      </c>
      <c r="E49" s="2">
        <f t="shared" si="11"/>
        <v>142</v>
      </c>
      <c r="F49" s="2">
        <f t="shared" si="9"/>
        <v>35.450704225352112</v>
      </c>
      <c r="O49" s="1"/>
    </row>
    <row r="50" spans="1:15">
      <c r="A50" s="1">
        <v>15</v>
      </c>
      <c r="B50" s="2">
        <f t="shared" si="10"/>
        <v>10068</v>
      </c>
      <c r="C50" s="2">
        <f t="shared" si="10"/>
        <v>107</v>
      </c>
      <c r="D50" s="2">
        <f t="shared" si="8"/>
        <v>47.046728971962615</v>
      </c>
      <c r="E50" s="2">
        <f t="shared" si="11"/>
        <v>142</v>
      </c>
      <c r="F50" s="2">
        <f t="shared" si="9"/>
        <v>35.450704225352112</v>
      </c>
      <c r="O50" s="1"/>
    </row>
    <row r="51" spans="1:15">
      <c r="A51" s="1">
        <v>17</v>
      </c>
      <c r="B51" s="2">
        <f t="shared" si="10"/>
        <v>10068</v>
      </c>
      <c r="C51" s="2">
        <f t="shared" si="10"/>
        <v>107</v>
      </c>
      <c r="D51" s="2">
        <f t="shared" si="8"/>
        <v>47.046728971962615</v>
      </c>
      <c r="E51" s="2">
        <f t="shared" si="11"/>
        <v>142</v>
      </c>
      <c r="F51" s="2">
        <f t="shared" si="9"/>
        <v>35.450704225352112</v>
      </c>
      <c r="O51" s="1"/>
    </row>
    <row r="52" spans="1:15">
      <c r="A52" s="1">
        <v>19</v>
      </c>
      <c r="B52" s="2">
        <f t="shared" si="10"/>
        <v>10068</v>
      </c>
      <c r="C52" s="2">
        <f t="shared" si="10"/>
        <v>107</v>
      </c>
      <c r="D52" s="2">
        <f t="shared" si="8"/>
        <v>47.046728971962615</v>
      </c>
      <c r="E52" s="2">
        <f t="shared" si="11"/>
        <v>142</v>
      </c>
      <c r="F52" s="2">
        <f t="shared" si="9"/>
        <v>35.450704225352112</v>
      </c>
      <c r="O52" s="1"/>
    </row>
    <row r="53" spans="1:15">
      <c r="A53" s="1">
        <v>21</v>
      </c>
      <c r="B53" s="2">
        <f t="shared" si="10"/>
        <v>10068</v>
      </c>
      <c r="C53" s="2">
        <f t="shared" si="10"/>
        <v>107</v>
      </c>
      <c r="D53" s="2">
        <f t="shared" si="8"/>
        <v>47.046728971962615</v>
      </c>
      <c r="E53" s="2">
        <f t="shared" si="11"/>
        <v>142</v>
      </c>
      <c r="F53" s="2">
        <f t="shared" si="9"/>
        <v>35.450704225352112</v>
      </c>
      <c r="O53" s="1"/>
    </row>
    <row r="54" spans="1:15">
      <c r="A54" s="1">
        <v>23</v>
      </c>
      <c r="B54" s="2">
        <f t="shared" si="10"/>
        <v>10068</v>
      </c>
      <c r="C54" s="2">
        <f t="shared" si="10"/>
        <v>107</v>
      </c>
      <c r="D54" s="2">
        <f t="shared" si="8"/>
        <v>47.046728971962615</v>
      </c>
      <c r="E54" s="2">
        <f t="shared" si="11"/>
        <v>142</v>
      </c>
      <c r="F54" s="2">
        <f t="shared" si="9"/>
        <v>35.450704225352112</v>
      </c>
      <c r="O54" s="1"/>
    </row>
    <row r="55" spans="1:15">
      <c r="A55" s="1">
        <v>25</v>
      </c>
      <c r="B55" s="2">
        <f t="shared" si="10"/>
        <v>10068</v>
      </c>
      <c r="C55" s="2">
        <f t="shared" si="10"/>
        <v>107</v>
      </c>
      <c r="D55" s="2">
        <f t="shared" si="8"/>
        <v>47.046728971962615</v>
      </c>
      <c r="E55" s="2">
        <f t="shared" si="11"/>
        <v>142</v>
      </c>
      <c r="F55" s="2">
        <f t="shared" si="9"/>
        <v>35.450704225352112</v>
      </c>
      <c r="O55" s="1"/>
    </row>
    <row r="56" spans="1:15">
      <c r="A56" s="1">
        <v>27</v>
      </c>
      <c r="B56" s="2">
        <f t="shared" si="10"/>
        <v>10068</v>
      </c>
      <c r="C56" s="2">
        <f t="shared" si="10"/>
        <v>107</v>
      </c>
      <c r="D56" s="2">
        <f t="shared" si="8"/>
        <v>47.046728971962615</v>
      </c>
      <c r="E56" s="2">
        <f t="shared" si="11"/>
        <v>142</v>
      </c>
      <c r="F56" s="2">
        <f t="shared" si="9"/>
        <v>35.450704225352112</v>
      </c>
      <c r="O56" s="1"/>
    </row>
    <row r="57" spans="1:15">
      <c r="A57" s="1">
        <v>29</v>
      </c>
      <c r="B57" s="2">
        <f t="shared" si="10"/>
        <v>10068</v>
      </c>
      <c r="C57" s="2">
        <f t="shared" si="10"/>
        <v>107</v>
      </c>
      <c r="D57" s="2">
        <f t="shared" si="8"/>
        <v>47.046728971962615</v>
      </c>
      <c r="E57" s="2">
        <f t="shared" si="11"/>
        <v>142</v>
      </c>
      <c r="F57" s="2">
        <f t="shared" si="9"/>
        <v>35.450704225352112</v>
      </c>
      <c r="O57" s="1"/>
    </row>
    <row r="58" spans="1:15">
      <c r="A58" s="1">
        <v>31</v>
      </c>
      <c r="B58" s="2">
        <f t="shared" si="10"/>
        <v>10068</v>
      </c>
      <c r="C58" s="2">
        <f t="shared" si="10"/>
        <v>107</v>
      </c>
      <c r="D58" s="2">
        <f t="shared" si="8"/>
        <v>47.046728971962615</v>
      </c>
      <c r="E58" s="2">
        <f t="shared" si="11"/>
        <v>142</v>
      </c>
      <c r="F58" s="2">
        <f t="shared" si="9"/>
        <v>35.450704225352112</v>
      </c>
      <c r="O58" s="1"/>
    </row>
    <row r="59" spans="1:15">
      <c r="A59" s="1" t="s">
        <v>12</v>
      </c>
      <c r="B59" s="1">
        <f>SUM(B43:B58)/16</f>
        <v>10068</v>
      </c>
      <c r="C59" s="1">
        <f>SUM(C43:C58)/16</f>
        <v>107</v>
      </c>
      <c r="D59" s="1">
        <f>SUM(D43:D58)/16</f>
        <v>47.046728971962608</v>
      </c>
      <c r="E59" s="1">
        <f>SUM(E43:E58)/16</f>
        <v>142</v>
      </c>
      <c r="F59" s="1">
        <f>SUM(F43:F58)/16</f>
        <v>35.450704225352119</v>
      </c>
      <c r="O59" s="1"/>
    </row>
    <row r="60" spans="1:15">
      <c r="O60" s="1"/>
    </row>
    <row r="61" spans="1:15">
      <c r="A61" s="1" t="s">
        <v>29</v>
      </c>
      <c r="D61" s="1" t="s">
        <v>0</v>
      </c>
      <c r="O61" s="1"/>
    </row>
    <row r="62" spans="1:15">
      <c r="B62" s="1" t="s">
        <v>1</v>
      </c>
      <c r="C62" s="1" t="s">
        <v>2</v>
      </c>
      <c r="D62" s="1" t="s">
        <v>3</v>
      </c>
      <c r="E62" s="1" t="s">
        <v>4</v>
      </c>
      <c r="F62" s="1" t="s">
        <v>3</v>
      </c>
      <c r="O62" s="1"/>
    </row>
    <row r="63" spans="1:15">
      <c r="A63" s="1" t="s">
        <v>26</v>
      </c>
      <c r="B63" s="5">
        <v>10822</v>
      </c>
      <c r="C63" s="5">
        <v>117</v>
      </c>
      <c r="D63" s="5">
        <v>46.07</v>
      </c>
      <c r="E63" s="5">
        <v>146.53</v>
      </c>
      <c r="F63" s="5">
        <v>36.75</v>
      </c>
      <c r="O63" s="1"/>
    </row>
    <row r="64" spans="1:15">
      <c r="A64" s="3">
        <v>2</v>
      </c>
      <c r="B64" s="2">
        <v>10822</v>
      </c>
      <c r="C64" s="2">
        <v>117</v>
      </c>
      <c r="D64" s="2">
        <f t="shared" ref="D64:D78" si="12">(B64/2)/C64</f>
        <v>46.247863247863251</v>
      </c>
      <c r="E64" s="2">
        <v>147</v>
      </c>
      <c r="F64" s="2">
        <f t="shared" ref="F64:F78" si="13">(B64/2)/E64</f>
        <v>36.80952380952381</v>
      </c>
      <c r="O64" s="1"/>
    </row>
    <row r="65" spans="1:15">
      <c r="A65" s="3">
        <v>4</v>
      </c>
      <c r="B65" s="2">
        <f t="shared" ref="B65:C78" si="14">B64</f>
        <v>10822</v>
      </c>
      <c r="C65" s="2">
        <f t="shared" si="14"/>
        <v>117</v>
      </c>
      <c r="D65" s="2">
        <f t="shared" si="12"/>
        <v>46.247863247863251</v>
      </c>
      <c r="E65" s="2">
        <f t="shared" ref="E65:E78" si="15">E64</f>
        <v>147</v>
      </c>
      <c r="F65" s="2">
        <f t="shared" si="13"/>
        <v>36.80952380952381</v>
      </c>
      <c r="O65" s="1"/>
    </row>
    <row r="66" spans="1:15">
      <c r="A66" s="3">
        <v>6</v>
      </c>
      <c r="B66" s="2">
        <f t="shared" si="14"/>
        <v>10822</v>
      </c>
      <c r="C66" s="2">
        <f t="shared" si="14"/>
        <v>117</v>
      </c>
      <c r="D66" s="2">
        <f t="shared" si="12"/>
        <v>46.247863247863251</v>
      </c>
      <c r="E66" s="2">
        <f t="shared" si="15"/>
        <v>147</v>
      </c>
      <c r="F66" s="2">
        <f t="shared" si="13"/>
        <v>36.80952380952381</v>
      </c>
      <c r="O66" s="1"/>
    </row>
    <row r="67" spans="1:15">
      <c r="A67" s="3">
        <v>8</v>
      </c>
      <c r="B67" s="2">
        <f t="shared" si="14"/>
        <v>10822</v>
      </c>
      <c r="C67" s="2">
        <f t="shared" si="14"/>
        <v>117</v>
      </c>
      <c r="D67" s="2">
        <f t="shared" si="12"/>
        <v>46.247863247863251</v>
      </c>
      <c r="E67" s="2">
        <f t="shared" si="15"/>
        <v>147</v>
      </c>
      <c r="F67" s="2">
        <f t="shared" si="13"/>
        <v>36.80952380952381</v>
      </c>
      <c r="O67" s="1"/>
    </row>
    <row r="68" spans="1:15">
      <c r="A68" s="3">
        <v>10</v>
      </c>
      <c r="B68" s="2">
        <f t="shared" si="14"/>
        <v>10822</v>
      </c>
      <c r="C68" s="2">
        <f t="shared" si="14"/>
        <v>117</v>
      </c>
      <c r="D68" s="2">
        <f t="shared" si="12"/>
        <v>46.247863247863251</v>
      </c>
      <c r="E68" s="2">
        <f t="shared" si="15"/>
        <v>147</v>
      </c>
      <c r="F68" s="2">
        <f t="shared" si="13"/>
        <v>36.80952380952381</v>
      </c>
      <c r="G68" s="1" t="s">
        <v>19</v>
      </c>
      <c r="O68" s="1"/>
    </row>
    <row r="69" spans="1:15">
      <c r="A69" s="3">
        <v>12</v>
      </c>
      <c r="B69" s="2">
        <f t="shared" si="14"/>
        <v>10822</v>
      </c>
      <c r="C69" s="2">
        <f t="shared" si="14"/>
        <v>117</v>
      </c>
      <c r="D69" s="2">
        <f t="shared" si="12"/>
        <v>46.247863247863251</v>
      </c>
      <c r="E69" s="2">
        <f t="shared" si="15"/>
        <v>147</v>
      </c>
      <c r="F69" s="2">
        <f t="shared" si="13"/>
        <v>36.80952380952381</v>
      </c>
      <c r="O69" s="1"/>
    </row>
    <row r="70" spans="1:15">
      <c r="A70" s="3">
        <v>14</v>
      </c>
      <c r="B70" s="2">
        <f t="shared" si="14"/>
        <v>10822</v>
      </c>
      <c r="C70" s="2">
        <f t="shared" si="14"/>
        <v>117</v>
      </c>
      <c r="D70" s="2">
        <f t="shared" si="12"/>
        <v>46.247863247863251</v>
      </c>
      <c r="E70" s="2">
        <f t="shared" si="15"/>
        <v>147</v>
      </c>
      <c r="F70" s="2">
        <f t="shared" si="13"/>
        <v>36.80952380952381</v>
      </c>
      <c r="O70" s="1"/>
    </row>
    <row r="71" spans="1:15">
      <c r="A71" s="3">
        <v>16</v>
      </c>
      <c r="B71" s="2">
        <f t="shared" si="14"/>
        <v>10822</v>
      </c>
      <c r="C71" s="2">
        <f t="shared" si="14"/>
        <v>117</v>
      </c>
      <c r="D71" s="2">
        <f t="shared" si="12"/>
        <v>46.247863247863251</v>
      </c>
      <c r="E71" s="2">
        <f t="shared" si="15"/>
        <v>147</v>
      </c>
      <c r="F71" s="2">
        <f t="shared" si="13"/>
        <v>36.80952380952381</v>
      </c>
      <c r="O71" s="1"/>
    </row>
    <row r="72" spans="1:15">
      <c r="A72" s="3">
        <v>18</v>
      </c>
      <c r="B72" s="2">
        <f t="shared" si="14"/>
        <v>10822</v>
      </c>
      <c r="C72" s="2">
        <f t="shared" si="14"/>
        <v>117</v>
      </c>
      <c r="D72" s="2">
        <f t="shared" si="12"/>
        <v>46.247863247863251</v>
      </c>
      <c r="E72" s="2">
        <f t="shared" si="15"/>
        <v>147</v>
      </c>
      <c r="F72" s="2">
        <f t="shared" si="13"/>
        <v>36.80952380952381</v>
      </c>
      <c r="O72" s="1"/>
    </row>
    <row r="73" spans="1:15">
      <c r="A73" s="3">
        <v>20</v>
      </c>
      <c r="B73" s="2">
        <f t="shared" si="14"/>
        <v>10822</v>
      </c>
      <c r="C73" s="2">
        <f t="shared" si="14"/>
        <v>117</v>
      </c>
      <c r="D73" s="2">
        <f t="shared" si="12"/>
        <v>46.247863247863251</v>
      </c>
      <c r="E73" s="2">
        <f t="shared" si="15"/>
        <v>147</v>
      </c>
      <c r="F73" s="2">
        <f t="shared" si="13"/>
        <v>36.80952380952381</v>
      </c>
      <c r="O73" s="1"/>
    </row>
    <row r="74" spans="1:15">
      <c r="A74" s="3">
        <v>22</v>
      </c>
      <c r="B74" s="2">
        <f t="shared" si="14"/>
        <v>10822</v>
      </c>
      <c r="C74" s="2">
        <f t="shared" si="14"/>
        <v>117</v>
      </c>
      <c r="D74" s="2">
        <f t="shared" si="12"/>
        <v>46.247863247863251</v>
      </c>
      <c r="E74" s="2">
        <f t="shared" si="15"/>
        <v>147</v>
      </c>
      <c r="F74" s="2">
        <f t="shared" si="13"/>
        <v>36.80952380952381</v>
      </c>
      <c r="O74" s="1"/>
    </row>
    <row r="75" spans="1:15">
      <c r="A75" s="3">
        <v>24</v>
      </c>
      <c r="B75" s="2">
        <f t="shared" si="14"/>
        <v>10822</v>
      </c>
      <c r="C75" s="2">
        <f t="shared" si="14"/>
        <v>117</v>
      </c>
      <c r="D75" s="2">
        <f t="shared" si="12"/>
        <v>46.247863247863251</v>
      </c>
      <c r="E75" s="2">
        <f t="shared" si="15"/>
        <v>147</v>
      </c>
      <c r="F75" s="2">
        <f t="shared" si="13"/>
        <v>36.80952380952381</v>
      </c>
      <c r="O75" s="1"/>
    </row>
    <row r="76" spans="1:15">
      <c r="A76" s="3">
        <v>26</v>
      </c>
      <c r="B76" s="2">
        <f t="shared" si="14"/>
        <v>10822</v>
      </c>
      <c r="C76" s="2">
        <f t="shared" si="14"/>
        <v>117</v>
      </c>
      <c r="D76" s="2">
        <f t="shared" si="12"/>
        <v>46.247863247863251</v>
      </c>
      <c r="E76" s="2">
        <f t="shared" si="15"/>
        <v>147</v>
      </c>
      <c r="F76" s="2">
        <f t="shared" si="13"/>
        <v>36.80952380952381</v>
      </c>
      <c r="O76" s="1"/>
    </row>
    <row r="77" spans="1:15">
      <c r="A77" s="3">
        <v>28</v>
      </c>
      <c r="B77" s="2">
        <f t="shared" si="14"/>
        <v>10822</v>
      </c>
      <c r="C77" s="2">
        <f t="shared" si="14"/>
        <v>117</v>
      </c>
      <c r="D77" s="2">
        <f t="shared" si="12"/>
        <v>46.247863247863251</v>
      </c>
      <c r="E77" s="2">
        <f t="shared" si="15"/>
        <v>147</v>
      </c>
      <c r="F77" s="2">
        <f t="shared" si="13"/>
        <v>36.80952380952381</v>
      </c>
      <c r="O77" s="1"/>
    </row>
    <row r="78" spans="1:15">
      <c r="A78" s="3">
        <v>30</v>
      </c>
      <c r="B78" s="2">
        <f t="shared" si="14"/>
        <v>10822</v>
      </c>
      <c r="C78" s="2">
        <f t="shared" si="14"/>
        <v>117</v>
      </c>
      <c r="D78" s="2">
        <f t="shared" si="12"/>
        <v>46.247863247863251</v>
      </c>
      <c r="E78" s="2">
        <f t="shared" si="15"/>
        <v>147</v>
      </c>
      <c r="F78" s="2">
        <f t="shared" si="13"/>
        <v>36.80952380952381</v>
      </c>
      <c r="O78" s="1"/>
    </row>
    <row r="79" spans="1:15">
      <c r="A79" s="1" t="s">
        <v>12</v>
      </c>
      <c r="B79" s="1">
        <f>SUM(B64:B78)/15</f>
        <v>10822</v>
      </c>
      <c r="C79" s="1">
        <f>SUM(C64:C78)/15</f>
        <v>117</v>
      </c>
      <c r="D79" s="1">
        <f>SUM(D64:D78)/15</f>
        <v>46.247863247863265</v>
      </c>
      <c r="E79" s="1">
        <f>SUM(E64:E78)/15</f>
        <v>147</v>
      </c>
      <c r="F79" s="1">
        <f>SUM(F64:F78)/15</f>
        <v>36.80952380952381</v>
      </c>
      <c r="O79" s="1"/>
    </row>
    <row r="80" spans="1:15">
      <c r="O80" s="1"/>
    </row>
    <row r="81" spans="1:15">
      <c r="A81" s="1" t="s">
        <v>30</v>
      </c>
      <c r="D81" s="1" t="s">
        <v>0</v>
      </c>
      <c r="O81" s="1"/>
    </row>
    <row r="82" spans="1:15">
      <c r="B82" s="1" t="s">
        <v>1</v>
      </c>
      <c r="C82" s="1" t="s">
        <v>2</v>
      </c>
      <c r="D82" s="1" t="s">
        <v>3</v>
      </c>
      <c r="E82" s="1" t="s">
        <v>4</v>
      </c>
      <c r="F82" s="1" t="s">
        <v>3</v>
      </c>
      <c r="O82" s="1"/>
    </row>
    <row r="83" spans="1:15">
      <c r="A83" s="1" t="s">
        <v>26</v>
      </c>
      <c r="B83" s="5">
        <v>13130</v>
      </c>
      <c r="C83" s="5">
        <v>118.31</v>
      </c>
      <c r="D83" s="5">
        <v>55.55</v>
      </c>
      <c r="E83" s="5">
        <v>154.88</v>
      </c>
      <c r="F83" s="5">
        <v>42.4</v>
      </c>
      <c r="O83" s="1"/>
    </row>
    <row r="84" spans="1:15">
      <c r="A84" s="3">
        <v>2</v>
      </c>
      <c r="B84" s="2">
        <v>13130</v>
      </c>
      <c r="C84" s="2">
        <v>118</v>
      </c>
      <c r="D84" s="2">
        <f t="shared" ref="D84:D97" si="16">(B84/2)/C84</f>
        <v>55.635593220338983</v>
      </c>
      <c r="E84" s="2">
        <f>153+1</f>
        <v>154</v>
      </c>
      <c r="F84" s="2">
        <f t="shared" ref="F84:F97" si="17">(B84/2)/E84</f>
        <v>42.629870129870127</v>
      </c>
      <c r="O84" s="1"/>
    </row>
    <row r="85" spans="1:15">
      <c r="A85" s="3">
        <v>4</v>
      </c>
      <c r="B85" s="2">
        <f t="shared" ref="B85:C98" si="18">B84</f>
        <v>13130</v>
      </c>
      <c r="C85" s="2">
        <f t="shared" si="18"/>
        <v>118</v>
      </c>
      <c r="D85" s="2">
        <f t="shared" si="16"/>
        <v>55.635593220338983</v>
      </c>
      <c r="E85" s="2">
        <f t="shared" ref="E85:E98" si="19">E84</f>
        <v>154</v>
      </c>
      <c r="F85" s="2">
        <f t="shared" si="17"/>
        <v>42.629870129870127</v>
      </c>
      <c r="O85" s="1"/>
    </row>
    <row r="86" spans="1:15">
      <c r="A86" s="3">
        <v>6</v>
      </c>
      <c r="B86" s="2">
        <f t="shared" si="18"/>
        <v>13130</v>
      </c>
      <c r="C86" s="2">
        <f t="shared" si="18"/>
        <v>118</v>
      </c>
      <c r="D86" s="2">
        <f t="shared" si="16"/>
        <v>55.635593220338983</v>
      </c>
      <c r="E86" s="2">
        <f t="shared" si="19"/>
        <v>154</v>
      </c>
      <c r="F86" s="2">
        <f t="shared" si="17"/>
        <v>42.629870129870127</v>
      </c>
      <c r="O86" s="1"/>
    </row>
    <row r="87" spans="1:15">
      <c r="A87" s="3">
        <v>8</v>
      </c>
      <c r="B87" s="2">
        <f t="shared" si="18"/>
        <v>13130</v>
      </c>
      <c r="C87" s="2">
        <f t="shared" si="18"/>
        <v>118</v>
      </c>
      <c r="D87" s="2">
        <f t="shared" si="16"/>
        <v>55.635593220338983</v>
      </c>
      <c r="E87" s="2">
        <f t="shared" si="19"/>
        <v>154</v>
      </c>
      <c r="F87" s="2">
        <f t="shared" si="17"/>
        <v>42.629870129870127</v>
      </c>
      <c r="O87" s="1"/>
    </row>
    <row r="88" spans="1:15">
      <c r="A88" s="3">
        <v>10</v>
      </c>
      <c r="B88" s="2">
        <f t="shared" si="18"/>
        <v>13130</v>
      </c>
      <c r="C88" s="2">
        <f t="shared" si="18"/>
        <v>118</v>
      </c>
      <c r="D88" s="2">
        <f t="shared" si="16"/>
        <v>55.635593220338983</v>
      </c>
      <c r="E88" s="2">
        <f t="shared" si="19"/>
        <v>154</v>
      </c>
      <c r="F88" s="2">
        <f t="shared" si="17"/>
        <v>42.629870129870127</v>
      </c>
      <c r="O88" s="1"/>
    </row>
    <row r="89" spans="1:15">
      <c r="A89" s="3">
        <v>12</v>
      </c>
      <c r="B89" s="2">
        <f t="shared" si="18"/>
        <v>13130</v>
      </c>
      <c r="C89" s="2">
        <f t="shared" si="18"/>
        <v>118</v>
      </c>
      <c r="D89" s="2">
        <f t="shared" si="16"/>
        <v>55.635593220338983</v>
      </c>
      <c r="E89" s="2">
        <f t="shared" si="19"/>
        <v>154</v>
      </c>
      <c r="F89" s="2">
        <f t="shared" si="17"/>
        <v>42.629870129870127</v>
      </c>
      <c r="O89" s="1"/>
    </row>
    <row r="90" spans="1:15">
      <c r="A90" s="3">
        <v>14</v>
      </c>
      <c r="B90" s="2">
        <f t="shared" si="18"/>
        <v>13130</v>
      </c>
      <c r="C90" s="2">
        <f t="shared" si="18"/>
        <v>118</v>
      </c>
      <c r="D90" s="2">
        <f t="shared" si="16"/>
        <v>55.635593220338983</v>
      </c>
      <c r="E90" s="2">
        <f t="shared" si="19"/>
        <v>154</v>
      </c>
      <c r="F90" s="2">
        <f t="shared" si="17"/>
        <v>42.629870129870127</v>
      </c>
      <c r="O90" s="1"/>
    </row>
    <row r="91" spans="1:15">
      <c r="A91" s="3">
        <v>16</v>
      </c>
      <c r="B91" s="2">
        <f t="shared" si="18"/>
        <v>13130</v>
      </c>
      <c r="C91" s="2">
        <f t="shared" si="18"/>
        <v>118</v>
      </c>
      <c r="D91" s="2">
        <f t="shared" si="16"/>
        <v>55.635593220338983</v>
      </c>
      <c r="E91" s="2">
        <f t="shared" si="19"/>
        <v>154</v>
      </c>
      <c r="F91" s="2">
        <f t="shared" si="17"/>
        <v>42.629870129870127</v>
      </c>
      <c r="O91" s="1"/>
    </row>
    <row r="92" spans="1:15">
      <c r="A92" s="3">
        <v>18</v>
      </c>
      <c r="B92" s="2">
        <f t="shared" si="18"/>
        <v>13130</v>
      </c>
      <c r="C92" s="2">
        <f t="shared" si="18"/>
        <v>118</v>
      </c>
      <c r="D92" s="2">
        <f t="shared" si="16"/>
        <v>55.635593220338983</v>
      </c>
      <c r="E92" s="2">
        <f t="shared" si="19"/>
        <v>154</v>
      </c>
      <c r="F92" s="2">
        <f t="shared" si="17"/>
        <v>42.629870129870127</v>
      </c>
      <c r="O92" s="1"/>
    </row>
    <row r="93" spans="1:15">
      <c r="A93" s="3">
        <v>20</v>
      </c>
      <c r="B93" s="2">
        <f t="shared" si="18"/>
        <v>13130</v>
      </c>
      <c r="C93" s="2">
        <f t="shared" si="18"/>
        <v>118</v>
      </c>
      <c r="D93" s="2">
        <f t="shared" si="16"/>
        <v>55.635593220338983</v>
      </c>
      <c r="E93" s="2">
        <f t="shared" si="19"/>
        <v>154</v>
      </c>
      <c r="F93" s="2">
        <f t="shared" si="17"/>
        <v>42.629870129870127</v>
      </c>
      <c r="O93" s="1"/>
    </row>
    <row r="94" spans="1:15">
      <c r="A94" s="3">
        <v>22</v>
      </c>
      <c r="B94" s="2">
        <f t="shared" si="18"/>
        <v>13130</v>
      </c>
      <c r="C94" s="2">
        <f t="shared" si="18"/>
        <v>118</v>
      </c>
      <c r="D94" s="2">
        <f t="shared" si="16"/>
        <v>55.635593220338983</v>
      </c>
      <c r="E94" s="2">
        <f t="shared" si="19"/>
        <v>154</v>
      </c>
      <c r="F94" s="2">
        <f t="shared" si="17"/>
        <v>42.629870129870127</v>
      </c>
      <c r="O94" s="1"/>
    </row>
    <row r="95" spans="1:15">
      <c r="A95" s="3">
        <v>24</v>
      </c>
      <c r="B95" s="2">
        <f t="shared" si="18"/>
        <v>13130</v>
      </c>
      <c r="C95" s="2">
        <f t="shared" si="18"/>
        <v>118</v>
      </c>
      <c r="D95" s="2">
        <f t="shared" si="16"/>
        <v>55.635593220338983</v>
      </c>
      <c r="E95" s="2">
        <f t="shared" si="19"/>
        <v>154</v>
      </c>
      <c r="F95" s="2">
        <f t="shared" si="17"/>
        <v>42.629870129870127</v>
      </c>
      <c r="O95" s="1"/>
    </row>
    <row r="96" spans="1:15">
      <c r="A96" s="3">
        <v>26</v>
      </c>
      <c r="B96" s="2">
        <f t="shared" si="18"/>
        <v>13130</v>
      </c>
      <c r="C96" s="2">
        <f t="shared" si="18"/>
        <v>118</v>
      </c>
      <c r="D96" s="2">
        <f t="shared" si="16"/>
        <v>55.635593220338983</v>
      </c>
      <c r="E96" s="2">
        <f t="shared" si="19"/>
        <v>154</v>
      </c>
      <c r="F96" s="2">
        <f t="shared" si="17"/>
        <v>42.629870129870127</v>
      </c>
      <c r="O96" s="1"/>
    </row>
    <row r="97" spans="1:15">
      <c r="A97" s="3">
        <v>28</v>
      </c>
      <c r="B97" s="2">
        <f t="shared" si="18"/>
        <v>13130</v>
      </c>
      <c r="C97" s="2">
        <f t="shared" si="18"/>
        <v>118</v>
      </c>
      <c r="D97" s="2">
        <f t="shared" si="16"/>
        <v>55.635593220338983</v>
      </c>
      <c r="E97" s="2">
        <f t="shared" si="19"/>
        <v>154</v>
      </c>
      <c r="F97" s="2">
        <f t="shared" si="17"/>
        <v>42.629870129870127</v>
      </c>
      <c r="O97" s="1"/>
    </row>
    <row r="98" spans="1:15">
      <c r="A98" s="3">
        <v>30</v>
      </c>
      <c r="B98" s="2">
        <f t="shared" si="18"/>
        <v>13130</v>
      </c>
      <c r="C98" s="2">
        <f t="shared" si="18"/>
        <v>118</v>
      </c>
      <c r="D98" s="2">
        <f>(B98/2)/C98</f>
        <v>55.635593220338983</v>
      </c>
      <c r="E98" s="2">
        <f t="shared" si="19"/>
        <v>154</v>
      </c>
      <c r="F98" s="2">
        <f>(B98/2)/E98</f>
        <v>42.629870129870127</v>
      </c>
      <c r="O98" s="1"/>
    </row>
    <row r="99" spans="1:15">
      <c r="A99" s="1" t="s">
        <v>12</v>
      </c>
      <c r="B99" s="1">
        <f>SUM(B84:B98)/15</f>
        <v>13130</v>
      </c>
      <c r="C99" s="1">
        <f>SUM(C84:C98)/15</f>
        <v>118</v>
      </c>
      <c r="D99" s="1">
        <f>SUM(D84:D98)/15</f>
        <v>55.635593220338961</v>
      </c>
      <c r="E99" s="1">
        <f>SUM(E84:E98)/15</f>
        <v>154</v>
      </c>
      <c r="F99" s="1">
        <f>SUM(F84:F98)/15</f>
        <v>42.629870129870135</v>
      </c>
      <c r="O99" s="1"/>
    </row>
    <row r="100" spans="1:15">
      <c r="A100" s="2"/>
      <c r="B100" s="2"/>
      <c r="C100" s="2"/>
      <c r="D100" s="2"/>
      <c r="E100" s="2"/>
      <c r="F100" s="2"/>
      <c r="O100" s="1"/>
    </row>
    <row r="101" spans="1:15">
      <c r="A101" s="1" t="s">
        <v>31</v>
      </c>
      <c r="D101" s="1" t="s">
        <v>0</v>
      </c>
      <c r="O101" s="1"/>
    </row>
    <row r="102" spans="1:15"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3</v>
      </c>
      <c r="O102" s="1"/>
    </row>
    <row r="103" spans="1:15">
      <c r="A103" s="1" t="s">
        <v>26</v>
      </c>
      <c r="B103" s="5">
        <v>13270</v>
      </c>
      <c r="C103" s="5">
        <v>123.47</v>
      </c>
      <c r="D103" s="5">
        <v>53.76</v>
      </c>
      <c r="E103" s="5">
        <v>156.87</v>
      </c>
      <c r="F103" s="5">
        <v>42.31</v>
      </c>
      <c r="O103" s="1"/>
    </row>
    <row r="104" spans="1:15">
      <c r="A104" s="1">
        <v>1</v>
      </c>
      <c r="B104" s="2">
        <v>13296</v>
      </c>
      <c r="C104" s="2">
        <v>123</v>
      </c>
      <c r="D104" s="2">
        <f t="shared" ref="D104:D117" si="20">(B104/2)/C104</f>
        <v>54.048780487804876</v>
      </c>
      <c r="E104" s="2">
        <v>157</v>
      </c>
      <c r="F104" s="2">
        <f t="shared" ref="F104:F117" si="21">(B104/2)/E104</f>
        <v>42.34394904458599</v>
      </c>
      <c r="O104" s="1"/>
    </row>
    <row r="105" spans="1:15">
      <c r="A105" s="1">
        <v>3</v>
      </c>
      <c r="B105" s="2">
        <f t="shared" ref="B105:C118" si="22">B104</f>
        <v>13296</v>
      </c>
      <c r="C105" s="2">
        <f t="shared" si="22"/>
        <v>123</v>
      </c>
      <c r="D105" s="2">
        <f t="shared" si="20"/>
        <v>54.048780487804876</v>
      </c>
      <c r="E105" s="2">
        <f t="shared" ref="E105:E118" si="23">E104</f>
        <v>157</v>
      </c>
      <c r="F105" s="2">
        <f t="shared" si="21"/>
        <v>42.34394904458599</v>
      </c>
      <c r="O105" s="1"/>
    </row>
    <row r="106" spans="1:15">
      <c r="A106" s="1">
        <v>5</v>
      </c>
      <c r="B106" s="2">
        <f t="shared" si="22"/>
        <v>13296</v>
      </c>
      <c r="C106" s="2">
        <f t="shared" si="22"/>
        <v>123</v>
      </c>
      <c r="D106" s="2">
        <f t="shared" si="20"/>
        <v>54.048780487804876</v>
      </c>
      <c r="E106" s="2">
        <f t="shared" si="23"/>
        <v>157</v>
      </c>
      <c r="F106" s="2">
        <f t="shared" si="21"/>
        <v>42.34394904458599</v>
      </c>
      <c r="O106" s="1"/>
    </row>
    <row r="107" spans="1:15">
      <c r="A107" s="1">
        <v>7</v>
      </c>
      <c r="B107" s="2">
        <f t="shared" si="22"/>
        <v>13296</v>
      </c>
      <c r="C107" s="2">
        <f t="shared" si="22"/>
        <v>123</v>
      </c>
      <c r="D107" s="2">
        <f t="shared" si="20"/>
        <v>54.048780487804876</v>
      </c>
      <c r="E107" s="2">
        <f t="shared" si="23"/>
        <v>157</v>
      </c>
      <c r="F107" s="2">
        <f t="shared" si="21"/>
        <v>42.34394904458599</v>
      </c>
      <c r="O107" s="1"/>
    </row>
    <row r="108" spans="1:15">
      <c r="A108" s="1">
        <v>9</v>
      </c>
      <c r="B108" s="2">
        <f t="shared" si="22"/>
        <v>13296</v>
      </c>
      <c r="C108" s="2">
        <f t="shared" si="22"/>
        <v>123</v>
      </c>
      <c r="D108" s="2">
        <f t="shared" si="20"/>
        <v>54.048780487804876</v>
      </c>
      <c r="E108" s="2">
        <f t="shared" si="23"/>
        <v>157</v>
      </c>
      <c r="F108" s="2">
        <f t="shared" si="21"/>
        <v>42.34394904458599</v>
      </c>
      <c r="O108" s="1"/>
    </row>
    <row r="109" spans="1:15">
      <c r="A109" s="1">
        <v>11</v>
      </c>
      <c r="B109" s="2">
        <f t="shared" si="22"/>
        <v>13296</v>
      </c>
      <c r="C109" s="2">
        <f t="shared" si="22"/>
        <v>123</v>
      </c>
      <c r="D109" s="2">
        <f t="shared" si="20"/>
        <v>54.048780487804876</v>
      </c>
      <c r="E109" s="2">
        <f t="shared" si="23"/>
        <v>157</v>
      </c>
      <c r="F109" s="2">
        <f t="shared" si="21"/>
        <v>42.34394904458599</v>
      </c>
      <c r="O109" s="1"/>
    </row>
    <row r="110" spans="1:15">
      <c r="A110" s="1">
        <v>13</v>
      </c>
      <c r="B110" s="2">
        <f t="shared" si="22"/>
        <v>13296</v>
      </c>
      <c r="C110" s="2">
        <f t="shared" si="22"/>
        <v>123</v>
      </c>
      <c r="D110" s="2">
        <f t="shared" si="20"/>
        <v>54.048780487804876</v>
      </c>
      <c r="E110" s="2">
        <f t="shared" si="23"/>
        <v>157</v>
      </c>
      <c r="F110" s="2">
        <f t="shared" si="21"/>
        <v>42.34394904458599</v>
      </c>
      <c r="O110" s="1"/>
    </row>
    <row r="111" spans="1:15">
      <c r="A111" s="1">
        <v>15</v>
      </c>
      <c r="B111" s="2">
        <f t="shared" si="22"/>
        <v>13296</v>
      </c>
      <c r="C111" s="2">
        <f t="shared" si="22"/>
        <v>123</v>
      </c>
      <c r="D111" s="2">
        <f t="shared" si="20"/>
        <v>54.048780487804876</v>
      </c>
      <c r="E111" s="2">
        <f t="shared" si="23"/>
        <v>157</v>
      </c>
      <c r="F111" s="2">
        <f t="shared" si="21"/>
        <v>42.34394904458599</v>
      </c>
      <c r="O111" s="1"/>
    </row>
    <row r="112" spans="1:15">
      <c r="A112" s="1">
        <v>17</v>
      </c>
      <c r="B112" s="2">
        <f t="shared" si="22"/>
        <v>13296</v>
      </c>
      <c r="C112" s="2">
        <f t="shared" si="22"/>
        <v>123</v>
      </c>
      <c r="D112" s="2">
        <f t="shared" si="20"/>
        <v>54.048780487804876</v>
      </c>
      <c r="E112" s="2">
        <f t="shared" si="23"/>
        <v>157</v>
      </c>
      <c r="F112" s="2">
        <f t="shared" si="21"/>
        <v>42.34394904458599</v>
      </c>
      <c r="O112" s="1"/>
    </row>
    <row r="113" spans="1:15">
      <c r="A113" s="1">
        <v>19</v>
      </c>
      <c r="B113" s="2">
        <f t="shared" si="22"/>
        <v>13296</v>
      </c>
      <c r="C113" s="2">
        <f t="shared" si="22"/>
        <v>123</v>
      </c>
      <c r="D113" s="2">
        <f t="shared" si="20"/>
        <v>54.048780487804876</v>
      </c>
      <c r="E113" s="2">
        <f t="shared" si="23"/>
        <v>157</v>
      </c>
      <c r="F113" s="2">
        <f t="shared" si="21"/>
        <v>42.34394904458599</v>
      </c>
      <c r="O113" s="1"/>
    </row>
    <row r="114" spans="1:15">
      <c r="A114" s="1">
        <v>21</v>
      </c>
      <c r="B114" s="2">
        <f t="shared" si="22"/>
        <v>13296</v>
      </c>
      <c r="C114" s="2">
        <f t="shared" si="22"/>
        <v>123</v>
      </c>
      <c r="D114" s="2">
        <f t="shared" si="20"/>
        <v>54.048780487804876</v>
      </c>
      <c r="E114" s="2">
        <f t="shared" si="23"/>
        <v>157</v>
      </c>
      <c r="F114" s="2">
        <f t="shared" si="21"/>
        <v>42.34394904458599</v>
      </c>
      <c r="O114" s="1"/>
    </row>
    <row r="115" spans="1:15">
      <c r="A115" s="1">
        <v>23</v>
      </c>
      <c r="B115" s="2">
        <f t="shared" si="22"/>
        <v>13296</v>
      </c>
      <c r="C115" s="2">
        <f t="shared" si="22"/>
        <v>123</v>
      </c>
      <c r="D115" s="2">
        <f t="shared" si="20"/>
        <v>54.048780487804876</v>
      </c>
      <c r="E115" s="2">
        <f t="shared" si="23"/>
        <v>157</v>
      </c>
      <c r="F115" s="2">
        <f t="shared" si="21"/>
        <v>42.34394904458599</v>
      </c>
      <c r="O115" s="1"/>
    </row>
    <row r="116" spans="1:15">
      <c r="A116" s="1">
        <v>25</v>
      </c>
      <c r="B116" s="2">
        <f t="shared" si="22"/>
        <v>13296</v>
      </c>
      <c r="C116" s="2">
        <f t="shared" si="22"/>
        <v>123</v>
      </c>
      <c r="D116" s="2">
        <f t="shared" si="20"/>
        <v>54.048780487804876</v>
      </c>
      <c r="E116" s="2">
        <f t="shared" si="23"/>
        <v>157</v>
      </c>
      <c r="F116" s="2">
        <f t="shared" si="21"/>
        <v>42.34394904458599</v>
      </c>
      <c r="O116" s="1"/>
    </row>
    <row r="117" spans="1:15">
      <c r="A117" s="1">
        <v>27</v>
      </c>
      <c r="B117" s="2">
        <f t="shared" si="22"/>
        <v>13296</v>
      </c>
      <c r="C117" s="2">
        <f t="shared" si="22"/>
        <v>123</v>
      </c>
      <c r="D117" s="2">
        <f t="shared" si="20"/>
        <v>54.048780487804876</v>
      </c>
      <c r="E117" s="2">
        <f t="shared" si="23"/>
        <v>157</v>
      </c>
      <c r="F117" s="2">
        <f t="shared" si="21"/>
        <v>42.34394904458599</v>
      </c>
      <c r="O117" s="1"/>
    </row>
    <row r="118" spans="1:15">
      <c r="A118" s="1">
        <v>29</v>
      </c>
      <c r="B118" s="2">
        <f t="shared" si="22"/>
        <v>13296</v>
      </c>
      <c r="C118" s="2">
        <f t="shared" si="22"/>
        <v>123</v>
      </c>
      <c r="D118" s="2">
        <f>(B118/2)/C118</f>
        <v>54.048780487804876</v>
      </c>
      <c r="E118" s="2">
        <f t="shared" si="23"/>
        <v>157</v>
      </c>
      <c r="F118" s="2">
        <f>(B118/2)/E118</f>
        <v>42.34394904458599</v>
      </c>
      <c r="O118" s="1"/>
    </row>
    <row r="119" spans="1:15">
      <c r="A119" s="1" t="s">
        <v>12</v>
      </c>
      <c r="B119" s="1">
        <f>SUM(B104:B118)/15</f>
        <v>13296</v>
      </c>
      <c r="C119" s="1">
        <f>SUM(C104:C118)/15</f>
        <v>123</v>
      </c>
      <c r="D119" s="1">
        <f>SUM(D104:D118)/15</f>
        <v>54.048780487804862</v>
      </c>
      <c r="E119" s="1">
        <f>SUM(E104:E118)/15</f>
        <v>157</v>
      </c>
      <c r="F119" s="1">
        <f>SUM(F104:F118)/15</f>
        <v>42.34394904458599</v>
      </c>
      <c r="O119" s="1"/>
    </row>
    <row r="120" spans="1:15">
      <c r="O120" s="1"/>
    </row>
    <row r="121" spans="1:15">
      <c r="A121" s="1" t="s">
        <v>17</v>
      </c>
      <c r="D121" s="1" t="s">
        <v>0</v>
      </c>
      <c r="O121" s="1"/>
    </row>
    <row r="122" spans="1:15"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3</v>
      </c>
      <c r="O122" s="1"/>
    </row>
    <row r="123" spans="1:15">
      <c r="A123" s="1" t="s">
        <v>26</v>
      </c>
      <c r="B123" s="5">
        <v>13440</v>
      </c>
      <c r="C123" s="5">
        <v>121</v>
      </c>
      <c r="D123" s="5">
        <v>55.59</v>
      </c>
      <c r="E123" s="5">
        <v>149.4</v>
      </c>
      <c r="F123" s="5">
        <v>44.98</v>
      </c>
      <c r="O123" s="1"/>
    </row>
    <row r="124" spans="1:15">
      <c r="A124" s="1">
        <v>1</v>
      </c>
      <c r="B124" s="2">
        <v>13440</v>
      </c>
      <c r="C124" s="2">
        <v>121</v>
      </c>
      <c r="D124" s="2">
        <f t="shared" ref="D124:D139" si="24">(B124/2)/C124</f>
        <v>55.537190082644628</v>
      </c>
      <c r="E124" s="2">
        <v>149</v>
      </c>
      <c r="F124" s="2">
        <f t="shared" ref="F124:F139" si="25">(B124/2)/E124</f>
        <v>45.100671140939596</v>
      </c>
      <c r="O124" s="1"/>
    </row>
    <row r="125" spans="1:15">
      <c r="A125" s="1">
        <v>3</v>
      </c>
      <c r="B125" s="2">
        <f t="shared" ref="B125:C139" si="26">B124</f>
        <v>13440</v>
      </c>
      <c r="C125" s="2">
        <f t="shared" si="26"/>
        <v>121</v>
      </c>
      <c r="D125" s="2">
        <f t="shared" si="24"/>
        <v>55.537190082644628</v>
      </c>
      <c r="E125" s="2">
        <f t="shared" ref="E125:E139" si="27">E124</f>
        <v>149</v>
      </c>
      <c r="F125" s="2">
        <f t="shared" si="25"/>
        <v>45.100671140939596</v>
      </c>
      <c r="O125" s="1"/>
    </row>
    <row r="126" spans="1:15">
      <c r="A126" s="1">
        <v>5</v>
      </c>
      <c r="B126" s="2">
        <f t="shared" si="26"/>
        <v>13440</v>
      </c>
      <c r="C126" s="2">
        <f t="shared" si="26"/>
        <v>121</v>
      </c>
      <c r="D126" s="2">
        <f t="shared" si="24"/>
        <v>55.537190082644628</v>
      </c>
      <c r="E126" s="2">
        <f t="shared" si="27"/>
        <v>149</v>
      </c>
      <c r="F126" s="2">
        <f t="shared" si="25"/>
        <v>45.100671140939596</v>
      </c>
      <c r="O126" s="1"/>
    </row>
    <row r="127" spans="1:15">
      <c r="A127" s="1">
        <v>7</v>
      </c>
      <c r="B127" s="2">
        <f t="shared" si="26"/>
        <v>13440</v>
      </c>
      <c r="C127" s="2">
        <f t="shared" si="26"/>
        <v>121</v>
      </c>
      <c r="D127" s="2">
        <f t="shared" si="24"/>
        <v>55.537190082644628</v>
      </c>
      <c r="E127" s="2">
        <f t="shared" si="27"/>
        <v>149</v>
      </c>
      <c r="F127" s="2">
        <f t="shared" si="25"/>
        <v>45.100671140939596</v>
      </c>
      <c r="O127" s="1"/>
    </row>
    <row r="128" spans="1:15">
      <c r="A128" s="1">
        <v>9</v>
      </c>
      <c r="B128" s="2">
        <f t="shared" si="26"/>
        <v>13440</v>
      </c>
      <c r="C128" s="2">
        <f t="shared" si="26"/>
        <v>121</v>
      </c>
      <c r="D128" s="2">
        <f t="shared" si="24"/>
        <v>55.537190082644628</v>
      </c>
      <c r="E128" s="2">
        <f t="shared" si="27"/>
        <v>149</v>
      </c>
      <c r="F128" s="2">
        <f t="shared" si="25"/>
        <v>45.100671140939596</v>
      </c>
      <c r="O128" s="1"/>
    </row>
    <row r="129" spans="1:15">
      <c r="A129" s="1">
        <v>11</v>
      </c>
      <c r="B129" s="2">
        <f t="shared" si="26"/>
        <v>13440</v>
      </c>
      <c r="C129" s="2">
        <f t="shared" si="26"/>
        <v>121</v>
      </c>
      <c r="D129" s="2">
        <f t="shared" si="24"/>
        <v>55.537190082644628</v>
      </c>
      <c r="E129" s="2">
        <f t="shared" si="27"/>
        <v>149</v>
      </c>
      <c r="F129" s="2">
        <f t="shared" si="25"/>
        <v>45.100671140939596</v>
      </c>
      <c r="O129" s="1"/>
    </row>
    <row r="130" spans="1:15">
      <c r="A130" s="1">
        <v>13</v>
      </c>
      <c r="B130" s="2">
        <f t="shared" si="26"/>
        <v>13440</v>
      </c>
      <c r="C130" s="2">
        <f t="shared" si="26"/>
        <v>121</v>
      </c>
      <c r="D130" s="2">
        <f t="shared" si="24"/>
        <v>55.537190082644628</v>
      </c>
      <c r="E130" s="2">
        <f t="shared" si="27"/>
        <v>149</v>
      </c>
      <c r="F130" s="2">
        <f t="shared" si="25"/>
        <v>45.100671140939596</v>
      </c>
      <c r="O130" s="1"/>
    </row>
    <row r="131" spans="1:15">
      <c r="A131" s="1">
        <v>15</v>
      </c>
      <c r="B131" s="2">
        <f t="shared" si="26"/>
        <v>13440</v>
      </c>
      <c r="C131" s="2">
        <f t="shared" si="26"/>
        <v>121</v>
      </c>
      <c r="D131" s="2">
        <f t="shared" si="24"/>
        <v>55.537190082644628</v>
      </c>
      <c r="E131" s="2">
        <f t="shared" si="27"/>
        <v>149</v>
      </c>
      <c r="F131" s="2">
        <f t="shared" si="25"/>
        <v>45.100671140939596</v>
      </c>
      <c r="O131" s="1"/>
    </row>
    <row r="132" spans="1:15">
      <c r="A132" s="1">
        <v>17</v>
      </c>
      <c r="B132" s="2">
        <f t="shared" si="26"/>
        <v>13440</v>
      </c>
      <c r="C132" s="2">
        <f t="shared" si="26"/>
        <v>121</v>
      </c>
      <c r="D132" s="2">
        <f t="shared" si="24"/>
        <v>55.537190082644628</v>
      </c>
      <c r="E132" s="2">
        <f t="shared" si="27"/>
        <v>149</v>
      </c>
      <c r="F132" s="2">
        <f t="shared" si="25"/>
        <v>45.100671140939596</v>
      </c>
      <c r="O132" s="1"/>
    </row>
    <row r="133" spans="1:15">
      <c r="A133" s="1">
        <v>19</v>
      </c>
      <c r="B133" s="2">
        <f t="shared" si="26"/>
        <v>13440</v>
      </c>
      <c r="C133" s="2">
        <f t="shared" si="26"/>
        <v>121</v>
      </c>
      <c r="D133" s="2">
        <f t="shared" si="24"/>
        <v>55.537190082644628</v>
      </c>
      <c r="E133" s="2">
        <f t="shared" si="27"/>
        <v>149</v>
      </c>
      <c r="F133" s="2">
        <f t="shared" si="25"/>
        <v>45.100671140939596</v>
      </c>
      <c r="O133" s="1"/>
    </row>
    <row r="134" spans="1:15">
      <c r="A134" s="1">
        <v>21</v>
      </c>
      <c r="B134" s="2">
        <f t="shared" si="26"/>
        <v>13440</v>
      </c>
      <c r="C134" s="2">
        <f t="shared" si="26"/>
        <v>121</v>
      </c>
      <c r="D134" s="2">
        <f t="shared" si="24"/>
        <v>55.537190082644628</v>
      </c>
      <c r="E134" s="2">
        <f t="shared" si="27"/>
        <v>149</v>
      </c>
      <c r="F134" s="2">
        <f t="shared" si="25"/>
        <v>45.100671140939596</v>
      </c>
      <c r="O134" s="1"/>
    </row>
    <row r="135" spans="1:15">
      <c r="A135" s="1">
        <v>23</v>
      </c>
      <c r="B135" s="2">
        <f t="shared" si="26"/>
        <v>13440</v>
      </c>
      <c r="C135" s="2">
        <f t="shared" si="26"/>
        <v>121</v>
      </c>
      <c r="D135" s="2">
        <f t="shared" si="24"/>
        <v>55.537190082644628</v>
      </c>
      <c r="E135" s="2">
        <f t="shared" si="27"/>
        <v>149</v>
      </c>
      <c r="F135" s="2">
        <f t="shared" si="25"/>
        <v>45.100671140939596</v>
      </c>
      <c r="O135" s="1"/>
    </row>
    <row r="136" spans="1:15">
      <c r="A136" s="1">
        <v>25</v>
      </c>
      <c r="B136" s="2">
        <f t="shared" si="26"/>
        <v>13440</v>
      </c>
      <c r="C136" s="2">
        <f t="shared" si="26"/>
        <v>121</v>
      </c>
      <c r="D136" s="2">
        <f t="shared" si="24"/>
        <v>55.537190082644628</v>
      </c>
      <c r="E136" s="2">
        <f t="shared" si="27"/>
        <v>149</v>
      </c>
      <c r="F136" s="2">
        <f t="shared" si="25"/>
        <v>45.100671140939596</v>
      </c>
      <c r="O136" s="1"/>
    </row>
    <row r="137" spans="1:15">
      <c r="A137" s="1">
        <v>27</v>
      </c>
      <c r="B137" s="2">
        <f t="shared" si="26"/>
        <v>13440</v>
      </c>
      <c r="C137" s="2">
        <f t="shared" si="26"/>
        <v>121</v>
      </c>
      <c r="D137" s="2">
        <f t="shared" si="24"/>
        <v>55.537190082644628</v>
      </c>
      <c r="E137" s="2">
        <f t="shared" si="27"/>
        <v>149</v>
      </c>
      <c r="F137" s="2">
        <f t="shared" si="25"/>
        <v>45.100671140939596</v>
      </c>
      <c r="O137" s="1"/>
    </row>
    <row r="138" spans="1:15">
      <c r="A138" s="1">
        <v>29</v>
      </c>
      <c r="B138" s="2">
        <f t="shared" si="26"/>
        <v>13440</v>
      </c>
      <c r="C138" s="2">
        <f t="shared" si="26"/>
        <v>121</v>
      </c>
      <c r="D138" s="2">
        <f t="shared" si="24"/>
        <v>55.537190082644628</v>
      </c>
      <c r="E138" s="2">
        <f t="shared" si="27"/>
        <v>149</v>
      </c>
      <c r="F138" s="2">
        <f t="shared" si="25"/>
        <v>45.100671140939596</v>
      </c>
      <c r="O138" s="1"/>
    </row>
    <row r="139" spans="1:15">
      <c r="A139" s="1">
        <v>31</v>
      </c>
      <c r="B139" s="2">
        <f t="shared" si="26"/>
        <v>13440</v>
      </c>
      <c r="C139" s="2">
        <f t="shared" si="26"/>
        <v>121</v>
      </c>
      <c r="D139" s="2">
        <f t="shared" si="24"/>
        <v>55.537190082644628</v>
      </c>
      <c r="E139" s="2">
        <f t="shared" si="27"/>
        <v>149</v>
      </c>
      <c r="F139" s="2">
        <f t="shared" si="25"/>
        <v>45.100671140939596</v>
      </c>
      <c r="O139" s="1"/>
    </row>
    <row r="140" spans="1:15">
      <c r="A140" s="1" t="s">
        <v>12</v>
      </c>
      <c r="B140" s="1">
        <f>SUM(B124:B139)/16</f>
        <v>13440</v>
      </c>
      <c r="C140" s="1">
        <f>SUM(C124:C139)/16</f>
        <v>121</v>
      </c>
      <c r="D140" s="1">
        <f>SUM(D124:D139)/16</f>
        <v>55.537190082644649</v>
      </c>
      <c r="E140" s="1">
        <f>SUM(E124:E139)/16</f>
        <v>149</v>
      </c>
      <c r="F140" s="1">
        <f>SUM(F124:F139)/16</f>
        <v>45.100671140939582</v>
      </c>
      <c r="O140" s="1"/>
    </row>
    <row r="141" spans="1:15">
      <c r="O141" s="1"/>
    </row>
    <row r="142" spans="1:15">
      <c r="A142" s="1" t="s">
        <v>33</v>
      </c>
      <c r="D142" s="1" t="s">
        <v>0</v>
      </c>
      <c r="O142" s="1"/>
    </row>
    <row r="143" spans="1:15"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3</v>
      </c>
      <c r="O143" s="1"/>
    </row>
    <row r="144" spans="1:15">
      <c r="A144" s="1" t="s">
        <v>26</v>
      </c>
      <c r="B144" s="5">
        <v>11218</v>
      </c>
      <c r="C144" s="5">
        <v>131.63</v>
      </c>
      <c r="D144" s="5">
        <v>42.63</v>
      </c>
      <c r="E144" s="5">
        <v>148.81</v>
      </c>
      <c r="F144" s="5">
        <v>37.68</v>
      </c>
      <c r="O144" s="1"/>
    </row>
    <row r="145" spans="1:15">
      <c r="A145" s="3">
        <v>2</v>
      </c>
      <c r="B145" s="2">
        <v>11218</v>
      </c>
      <c r="C145" s="2">
        <v>132</v>
      </c>
      <c r="D145" s="2">
        <f t="shared" ref="D145:D158" si="28">(B145/2)/C145</f>
        <v>42.492424242424242</v>
      </c>
      <c r="E145" s="2">
        <v>149</v>
      </c>
      <c r="F145" s="2">
        <f t="shared" ref="F145:F158" si="29">(B145/2)/E145</f>
        <v>37.644295302013425</v>
      </c>
      <c r="O145" s="1"/>
    </row>
    <row r="146" spans="1:15">
      <c r="A146" s="3">
        <v>4</v>
      </c>
      <c r="B146" s="2">
        <f t="shared" ref="B146:C159" si="30">B145</f>
        <v>11218</v>
      </c>
      <c r="C146" s="2">
        <f t="shared" si="30"/>
        <v>132</v>
      </c>
      <c r="D146" s="2">
        <f t="shared" si="28"/>
        <v>42.492424242424242</v>
      </c>
      <c r="E146" s="2">
        <f t="shared" ref="E146:E159" si="31">E145</f>
        <v>149</v>
      </c>
      <c r="F146" s="2">
        <f t="shared" si="29"/>
        <v>37.644295302013425</v>
      </c>
      <c r="O146" s="1"/>
    </row>
    <row r="147" spans="1:15">
      <c r="A147" s="3">
        <v>6</v>
      </c>
      <c r="B147" s="2">
        <f t="shared" si="30"/>
        <v>11218</v>
      </c>
      <c r="C147" s="2">
        <f t="shared" si="30"/>
        <v>132</v>
      </c>
      <c r="D147" s="2">
        <f t="shared" si="28"/>
        <v>42.492424242424242</v>
      </c>
      <c r="E147" s="2">
        <f t="shared" si="31"/>
        <v>149</v>
      </c>
      <c r="F147" s="2">
        <f t="shared" si="29"/>
        <v>37.644295302013425</v>
      </c>
      <c r="O147" s="1"/>
    </row>
    <row r="148" spans="1:15">
      <c r="A148" s="3">
        <v>8</v>
      </c>
      <c r="B148" s="2">
        <f t="shared" si="30"/>
        <v>11218</v>
      </c>
      <c r="C148" s="2">
        <f t="shared" si="30"/>
        <v>132</v>
      </c>
      <c r="D148" s="2">
        <f t="shared" si="28"/>
        <v>42.492424242424242</v>
      </c>
      <c r="E148" s="2">
        <f t="shared" si="31"/>
        <v>149</v>
      </c>
      <c r="F148" s="2">
        <f t="shared" si="29"/>
        <v>37.644295302013425</v>
      </c>
      <c r="O148" s="1"/>
    </row>
    <row r="149" spans="1:15">
      <c r="A149" s="3">
        <v>10</v>
      </c>
      <c r="B149" s="2">
        <f t="shared" si="30"/>
        <v>11218</v>
      </c>
      <c r="C149" s="2">
        <f t="shared" si="30"/>
        <v>132</v>
      </c>
      <c r="D149" s="2">
        <f t="shared" si="28"/>
        <v>42.492424242424242</v>
      </c>
      <c r="E149" s="2">
        <f t="shared" si="31"/>
        <v>149</v>
      </c>
      <c r="F149" s="2">
        <f t="shared" si="29"/>
        <v>37.644295302013425</v>
      </c>
      <c r="O149" s="1"/>
    </row>
    <row r="150" spans="1:15">
      <c r="A150" s="3">
        <v>12</v>
      </c>
      <c r="B150" s="2">
        <f t="shared" si="30"/>
        <v>11218</v>
      </c>
      <c r="C150" s="2">
        <f t="shared" si="30"/>
        <v>132</v>
      </c>
      <c r="D150" s="2">
        <f t="shared" si="28"/>
        <v>42.492424242424242</v>
      </c>
      <c r="E150" s="2">
        <f t="shared" si="31"/>
        <v>149</v>
      </c>
      <c r="F150" s="2">
        <f t="shared" si="29"/>
        <v>37.644295302013425</v>
      </c>
      <c r="O150" s="1"/>
    </row>
    <row r="151" spans="1:15">
      <c r="A151" s="3">
        <v>14</v>
      </c>
      <c r="B151" s="2">
        <f t="shared" si="30"/>
        <v>11218</v>
      </c>
      <c r="C151" s="2">
        <f t="shared" si="30"/>
        <v>132</v>
      </c>
      <c r="D151" s="2">
        <f t="shared" si="28"/>
        <v>42.492424242424242</v>
      </c>
      <c r="E151" s="2">
        <f t="shared" si="31"/>
        <v>149</v>
      </c>
      <c r="F151" s="2">
        <f t="shared" si="29"/>
        <v>37.644295302013425</v>
      </c>
      <c r="O151" s="1"/>
    </row>
    <row r="152" spans="1:15">
      <c r="A152" s="3">
        <v>16</v>
      </c>
      <c r="B152" s="2">
        <f t="shared" si="30"/>
        <v>11218</v>
      </c>
      <c r="C152" s="2">
        <f t="shared" si="30"/>
        <v>132</v>
      </c>
      <c r="D152" s="2">
        <f t="shared" si="28"/>
        <v>42.492424242424242</v>
      </c>
      <c r="E152" s="2">
        <f t="shared" si="31"/>
        <v>149</v>
      </c>
      <c r="F152" s="2">
        <f t="shared" si="29"/>
        <v>37.644295302013425</v>
      </c>
      <c r="O152" s="1"/>
    </row>
    <row r="153" spans="1:15">
      <c r="A153" s="3">
        <v>18</v>
      </c>
      <c r="B153" s="2">
        <f t="shared" si="30"/>
        <v>11218</v>
      </c>
      <c r="C153" s="2">
        <f t="shared" si="30"/>
        <v>132</v>
      </c>
      <c r="D153" s="2">
        <f t="shared" si="28"/>
        <v>42.492424242424242</v>
      </c>
      <c r="E153" s="2">
        <f t="shared" si="31"/>
        <v>149</v>
      </c>
      <c r="F153" s="2">
        <f t="shared" si="29"/>
        <v>37.644295302013425</v>
      </c>
      <c r="O153" s="1"/>
    </row>
    <row r="154" spans="1:15">
      <c r="A154" s="3">
        <v>20</v>
      </c>
      <c r="B154" s="2">
        <f t="shared" si="30"/>
        <v>11218</v>
      </c>
      <c r="C154" s="2">
        <f t="shared" si="30"/>
        <v>132</v>
      </c>
      <c r="D154" s="2">
        <f t="shared" si="28"/>
        <v>42.492424242424242</v>
      </c>
      <c r="E154" s="2">
        <f t="shared" si="31"/>
        <v>149</v>
      </c>
      <c r="F154" s="2">
        <f t="shared" si="29"/>
        <v>37.644295302013425</v>
      </c>
      <c r="O154" s="1"/>
    </row>
    <row r="155" spans="1:15">
      <c r="A155" s="3">
        <v>22</v>
      </c>
      <c r="B155" s="2">
        <f t="shared" si="30"/>
        <v>11218</v>
      </c>
      <c r="C155" s="2">
        <f t="shared" si="30"/>
        <v>132</v>
      </c>
      <c r="D155" s="2">
        <f t="shared" si="28"/>
        <v>42.492424242424242</v>
      </c>
      <c r="E155" s="2">
        <f t="shared" si="31"/>
        <v>149</v>
      </c>
      <c r="F155" s="2">
        <f t="shared" si="29"/>
        <v>37.644295302013425</v>
      </c>
      <c r="O155" s="1"/>
    </row>
    <row r="156" spans="1:15">
      <c r="A156" s="3">
        <v>24</v>
      </c>
      <c r="B156" s="2">
        <f t="shared" si="30"/>
        <v>11218</v>
      </c>
      <c r="C156" s="2">
        <f t="shared" si="30"/>
        <v>132</v>
      </c>
      <c r="D156" s="2">
        <f t="shared" si="28"/>
        <v>42.492424242424242</v>
      </c>
      <c r="E156" s="2">
        <f t="shared" si="31"/>
        <v>149</v>
      </c>
      <c r="F156" s="2">
        <f t="shared" si="29"/>
        <v>37.644295302013425</v>
      </c>
      <c r="O156" s="1"/>
    </row>
    <row r="157" spans="1:15">
      <c r="A157" s="3">
        <v>26</v>
      </c>
      <c r="B157" s="2">
        <f t="shared" si="30"/>
        <v>11218</v>
      </c>
      <c r="C157" s="2">
        <f t="shared" si="30"/>
        <v>132</v>
      </c>
      <c r="D157" s="2">
        <f t="shared" si="28"/>
        <v>42.492424242424242</v>
      </c>
      <c r="E157" s="2">
        <f t="shared" si="31"/>
        <v>149</v>
      </c>
      <c r="F157" s="2">
        <f t="shared" si="29"/>
        <v>37.644295302013425</v>
      </c>
      <c r="O157" s="1"/>
    </row>
    <row r="158" spans="1:15">
      <c r="A158" s="3">
        <v>28</v>
      </c>
      <c r="B158" s="2">
        <f t="shared" si="30"/>
        <v>11218</v>
      </c>
      <c r="C158" s="2">
        <f t="shared" si="30"/>
        <v>132</v>
      </c>
      <c r="D158" s="2">
        <f t="shared" si="28"/>
        <v>42.492424242424242</v>
      </c>
      <c r="E158" s="2">
        <f t="shared" si="31"/>
        <v>149</v>
      </c>
      <c r="F158" s="2">
        <f t="shared" si="29"/>
        <v>37.644295302013425</v>
      </c>
      <c r="O158" s="1"/>
    </row>
    <row r="159" spans="1:15">
      <c r="A159" s="3">
        <v>30</v>
      </c>
      <c r="B159" s="2">
        <f t="shared" si="30"/>
        <v>11218</v>
      </c>
      <c r="C159" s="2">
        <f t="shared" si="30"/>
        <v>132</v>
      </c>
      <c r="D159" s="2">
        <f>(B159/2)/C159</f>
        <v>42.492424242424242</v>
      </c>
      <c r="E159" s="2">
        <f t="shared" si="31"/>
        <v>149</v>
      </c>
      <c r="F159" s="2">
        <f>(B159/2)/E159</f>
        <v>37.644295302013425</v>
      </c>
      <c r="O159" s="1"/>
    </row>
    <row r="160" spans="1:15">
      <c r="A160" s="1" t="s">
        <v>12</v>
      </c>
      <c r="B160" s="1">
        <f>SUM(B145:B159)/15</f>
        <v>11218</v>
      </c>
      <c r="C160" s="1">
        <f>SUM(C145:C159)/15</f>
        <v>132</v>
      </c>
      <c r="D160" s="1">
        <f>SUM(D145:D159)/15</f>
        <v>42.492424242424242</v>
      </c>
      <c r="E160" s="1">
        <f>SUM(E145:E159)/15</f>
        <v>149</v>
      </c>
      <c r="F160" s="1">
        <f>SUM(F145:F159)/15</f>
        <v>37.644295302013425</v>
      </c>
      <c r="O160" s="1"/>
    </row>
    <row r="161" spans="1:15">
      <c r="O161" s="1"/>
    </row>
    <row r="162" spans="1:15">
      <c r="A162" s="6" t="s">
        <v>35</v>
      </c>
      <c r="D162" s="1" t="s">
        <v>0</v>
      </c>
      <c r="O162" s="1"/>
    </row>
    <row r="163" spans="1:15"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3</v>
      </c>
      <c r="O163" s="1"/>
    </row>
    <row r="164" spans="1:15">
      <c r="A164" s="1" t="s">
        <v>26</v>
      </c>
      <c r="B164" s="5">
        <v>9601.7000000000007</v>
      </c>
      <c r="C164" s="5">
        <v>127.13</v>
      </c>
      <c r="D164" s="5">
        <v>37.74</v>
      </c>
      <c r="E164" s="5">
        <v>146.33000000000001</v>
      </c>
      <c r="F164" s="5">
        <v>32.81</v>
      </c>
      <c r="O164" s="1"/>
    </row>
    <row r="165" spans="1:15">
      <c r="A165" s="1">
        <v>1</v>
      </c>
      <c r="B165" s="2">
        <v>9601</v>
      </c>
      <c r="C165" s="2">
        <v>127</v>
      </c>
      <c r="D165" s="2">
        <f t="shared" ref="D165:D179" si="32">(B165/2)/C165</f>
        <v>37.7992125984252</v>
      </c>
      <c r="E165" s="2">
        <v>146</v>
      </c>
      <c r="F165" s="2">
        <f t="shared" ref="F165:F179" si="33">(B165/2)/E165</f>
        <v>32.880136986301373</v>
      </c>
      <c r="O165" s="1"/>
    </row>
    <row r="166" spans="1:15">
      <c r="A166" s="1">
        <v>3</v>
      </c>
      <c r="B166" s="2">
        <f t="shared" ref="B166:C179" si="34">B165</f>
        <v>9601</v>
      </c>
      <c r="C166" s="2">
        <f t="shared" si="34"/>
        <v>127</v>
      </c>
      <c r="D166" s="2">
        <f t="shared" si="32"/>
        <v>37.7992125984252</v>
      </c>
      <c r="E166" s="2">
        <f>E165</f>
        <v>146</v>
      </c>
      <c r="F166" s="2">
        <f t="shared" si="33"/>
        <v>32.880136986301373</v>
      </c>
      <c r="O166" s="1"/>
    </row>
    <row r="167" spans="1:15">
      <c r="A167" s="1">
        <v>5</v>
      </c>
      <c r="B167" s="2">
        <f t="shared" si="34"/>
        <v>9601</v>
      </c>
      <c r="C167" s="2">
        <f t="shared" si="34"/>
        <v>127</v>
      </c>
      <c r="D167" s="2">
        <f t="shared" si="32"/>
        <v>37.7992125984252</v>
      </c>
      <c r="E167" s="2">
        <f t="shared" ref="E167:E179" si="35">E166</f>
        <v>146</v>
      </c>
      <c r="F167" s="2">
        <f t="shared" si="33"/>
        <v>32.880136986301373</v>
      </c>
      <c r="O167" s="1"/>
    </row>
    <row r="168" spans="1:15">
      <c r="A168" s="1">
        <v>7</v>
      </c>
      <c r="B168" s="2">
        <f t="shared" si="34"/>
        <v>9601</v>
      </c>
      <c r="C168" s="2">
        <f t="shared" si="34"/>
        <v>127</v>
      </c>
      <c r="D168" s="2">
        <f t="shared" si="32"/>
        <v>37.7992125984252</v>
      </c>
      <c r="E168" s="2">
        <f t="shared" si="35"/>
        <v>146</v>
      </c>
      <c r="F168" s="2">
        <f t="shared" si="33"/>
        <v>32.880136986301373</v>
      </c>
      <c r="O168" s="1"/>
    </row>
    <row r="169" spans="1:15">
      <c r="A169" s="1">
        <v>9</v>
      </c>
      <c r="B169" s="2">
        <f t="shared" si="34"/>
        <v>9601</v>
      </c>
      <c r="C169" s="2">
        <f t="shared" si="34"/>
        <v>127</v>
      </c>
      <c r="D169" s="2">
        <f t="shared" si="32"/>
        <v>37.7992125984252</v>
      </c>
      <c r="E169" s="2">
        <f t="shared" si="35"/>
        <v>146</v>
      </c>
      <c r="F169" s="2">
        <f t="shared" si="33"/>
        <v>32.880136986301373</v>
      </c>
      <c r="O169" s="1"/>
    </row>
    <row r="170" spans="1:15">
      <c r="A170" s="1">
        <v>11</v>
      </c>
      <c r="B170" s="2">
        <f t="shared" si="34"/>
        <v>9601</v>
      </c>
      <c r="C170" s="2">
        <f t="shared" si="34"/>
        <v>127</v>
      </c>
      <c r="D170" s="2">
        <f t="shared" si="32"/>
        <v>37.7992125984252</v>
      </c>
      <c r="E170" s="2">
        <f t="shared" si="35"/>
        <v>146</v>
      </c>
      <c r="F170" s="2">
        <f t="shared" si="33"/>
        <v>32.880136986301373</v>
      </c>
      <c r="O170" s="1"/>
    </row>
    <row r="171" spans="1:15">
      <c r="A171" s="1">
        <v>13</v>
      </c>
      <c r="B171" s="2">
        <f t="shared" si="34"/>
        <v>9601</v>
      </c>
      <c r="C171" s="2">
        <f t="shared" si="34"/>
        <v>127</v>
      </c>
      <c r="D171" s="2">
        <f t="shared" si="32"/>
        <v>37.7992125984252</v>
      </c>
      <c r="E171" s="2">
        <f t="shared" si="35"/>
        <v>146</v>
      </c>
      <c r="F171" s="2">
        <f t="shared" si="33"/>
        <v>32.880136986301373</v>
      </c>
      <c r="O171" s="1"/>
    </row>
    <row r="172" spans="1:15">
      <c r="A172" s="1">
        <v>15</v>
      </c>
      <c r="B172" s="2">
        <f t="shared" si="34"/>
        <v>9601</v>
      </c>
      <c r="C172" s="2">
        <f t="shared" si="34"/>
        <v>127</v>
      </c>
      <c r="D172" s="2">
        <f t="shared" si="32"/>
        <v>37.7992125984252</v>
      </c>
      <c r="E172" s="2">
        <f t="shared" si="35"/>
        <v>146</v>
      </c>
      <c r="F172" s="2">
        <f t="shared" si="33"/>
        <v>32.880136986301373</v>
      </c>
      <c r="O172" s="1"/>
    </row>
    <row r="173" spans="1:15">
      <c r="A173" s="1">
        <v>17</v>
      </c>
      <c r="B173" s="2">
        <f t="shared" si="34"/>
        <v>9601</v>
      </c>
      <c r="C173" s="2">
        <f t="shared" si="34"/>
        <v>127</v>
      </c>
      <c r="D173" s="2">
        <f t="shared" si="32"/>
        <v>37.7992125984252</v>
      </c>
      <c r="E173" s="2">
        <f t="shared" si="35"/>
        <v>146</v>
      </c>
      <c r="F173" s="2">
        <f t="shared" si="33"/>
        <v>32.880136986301373</v>
      </c>
      <c r="O173" s="1"/>
    </row>
    <row r="174" spans="1:15">
      <c r="A174" s="1">
        <v>19</v>
      </c>
      <c r="B174" s="2">
        <f t="shared" si="34"/>
        <v>9601</v>
      </c>
      <c r="C174" s="2">
        <f t="shared" si="34"/>
        <v>127</v>
      </c>
      <c r="D174" s="2">
        <f t="shared" si="32"/>
        <v>37.7992125984252</v>
      </c>
      <c r="E174" s="2">
        <f t="shared" si="35"/>
        <v>146</v>
      </c>
      <c r="F174" s="2">
        <f t="shared" si="33"/>
        <v>32.880136986301373</v>
      </c>
      <c r="O174" s="1"/>
    </row>
    <row r="175" spans="1:15">
      <c r="A175" s="1">
        <v>21</v>
      </c>
      <c r="B175" s="2">
        <f t="shared" si="34"/>
        <v>9601</v>
      </c>
      <c r="C175" s="2">
        <f t="shared" si="34"/>
        <v>127</v>
      </c>
      <c r="D175" s="2">
        <f t="shared" si="32"/>
        <v>37.7992125984252</v>
      </c>
      <c r="E175" s="2">
        <f t="shared" si="35"/>
        <v>146</v>
      </c>
      <c r="F175" s="2">
        <f t="shared" si="33"/>
        <v>32.880136986301373</v>
      </c>
      <c r="O175" s="1"/>
    </row>
    <row r="176" spans="1:15">
      <c r="A176" s="1">
        <v>23</v>
      </c>
      <c r="B176" s="2">
        <f t="shared" si="34"/>
        <v>9601</v>
      </c>
      <c r="C176" s="2">
        <f t="shared" si="34"/>
        <v>127</v>
      </c>
      <c r="D176" s="2">
        <f t="shared" si="32"/>
        <v>37.7992125984252</v>
      </c>
      <c r="E176" s="2">
        <f t="shared" si="35"/>
        <v>146</v>
      </c>
      <c r="F176" s="2">
        <f t="shared" si="33"/>
        <v>32.880136986301373</v>
      </c>
      <c r="O176" s="1"/>
    </row>
    <row r="177" spans="1:15">
      <c r="A177" s="1">
        <v>25</v>
      </c>
      <c r="B177" s="2">
        <f t="shared" si="34"/>
        <v>9601</v>
      </c>
      <c r="C177" s="2">
        <f t="shared" si="34"/>
        <v>127</v>
      </c>
      <c r="D177" s="2">
        <f t="shared" si="32"/>
        <v>37.7992125984252</v>
      </c>
      <c r="E177" s="2">
        <f t="shared" si="35"/>
        <v>146</v>
      </c>
      <c r="F177" s="2">
        <f t="shared" si="33"/>
        <v>32.880136986301373</v>
      </c>
      <c r="O177" s="1"/>
    </row>
    <row r="178" spans="1:15">
      <c r="A178" s="1">
        <v>27</v>
      </c>
      <c r="B178" s="2">
        <f t="shared" si="34"/>
        <v>9601</v>
      </c>
      <c r="C178" s="2">
        <f t="shared" si="34"/>
        <v>127</v>
      </c>
      <c r="D178" s="2">
        <f t="shared" si="32"/>
        <v>37.7992125984252</v>
      </c>
      <c r="E178" s="2">
        <f t="shared" si="35"/>
        <v>146</v>
      </c>
      <c r="F178" s="2">
        <f t="shared" si="33"/>
        <v>32.880136986301373</v>
      </c>
      <c r="O178" s="1"/>
    </row>
    <row r="179" spans="1:15">
      <c r="A179" s="1">
        <v>29</v>
      </c>
      <c r="B179" s="2">
        <f t="shared" si="34"/>
        <v>9601</v>
      </c>
      <c r="C179" s="2">
        <f t="shared" si="34"/>
        <v>127</v>
      </c>
      <c r="D179" s="2">
        <f t="shared" si="32"/>
        <v>37.7992125984252</v>
      </c>
      <c r="E179" s="2">
        <f t="shared" si="35"/>
        <v>146</v>
      </c>
      <c r="F179" s="2">
        <f t="shared" si="33"/>
        <v>32.880136986301373</v>
      </c>
      <c r="O179" s="1"/>
    </row>
    <row r="180" spans="1:15">
      <c r="A180" s="1" t="s">
        <v>12</v>
      </c>
      <c r="B180" s="2">
        <f>SUM(B165:B179)/15</f>
        <v>9601</v>
      </c>
      <c r="C180" s="2">
        <f>SUM(C165:C179)/15</f>
        <v>127</v>
      </c>
      <c r="D180" s="2">
        <f>SUM(D165:D179)/15</f>
        <v>37.7992125984252</v>
      </c>
      <c r="E180" s="2">
        <f>SUM(E165:E179)/15</f>
        <v>146</v>
      </c>
      <c r="F180" s="2">
        <f>SUM(F165:F179)/15</f>
        <v>32.880136986301366</v>
      </c>
      <c r="O180" s="1"/>
    </row>
    <row r="181" spans="1:15">
      <c r="A181" s="1" t="s">
        <v>40</v>
      </c>
      <c r="D181" s="1" t="s">
        <v>0</v>
      </c>
      <c r="O181" s="1"/>
    </row>
    <row r="182" spans="1:15"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3</v>
      </c>
      <c r="O182" s="1"/>
    </row>
    <row r="183" spans="1:15">
      <c r="A183" s="1" t="s">
        <v>26</v>
      </c>
      <c r="B183" s="5">
        <v>10445</v>
      </c>
      <c r="C183" s="5">
        <v>122.93</v>
      </c>
      <c r="D183" s="5">
        <v>41.81</v>
      </c>
      <c r="E183" s="5">
        <v>145.66999999999999</v>
      </c>
      <c r="F183" s="5">
        <v>35.26</v>
      </c>
      <c r="O183" s="1"/>
    </row>
    <row r="184" spans="1:15">
      <c r="A184" s="1">
        <v>1</v>
      </c>
      <c r="B184" s="3">
        <v>10445</v>
      </c>
      <c r="C184" s="3">
        <v>123</v>
      </c>
      <c r="D184" s="3">
        <f>(B184/2)/C184</f>
        <v>42.459349593495936</v>
      </c>
      <c r="E184" s="3">
        <v>146</v>
      </c>
      <c r="F184" s="3">
        <f>(B184/2)/E184</f>
        <v>35.770547945205479</v>
      </c>
      <c r="O184" s="1"/>
    </row>
    <row r="185" spans="1:15">
      <c r="A185" s="1">
        <v>3</v>
      </c>
      <c r="B185" s="2">
        <f t="shared" ref="B185:C199" si="36">B184</f>
        <v>10445</v>
      </c>
      <c r="C185" s="2">
        <f t="shared" si="36"/>
        <v>123</v>
      </c>
      <c r="D185" s="3">
        <f t="shared" ref="D185:D199" si="37">(B185/2)/C185</f>
        <v>42.459349593495936</v>
      </c>
      <c r="E185" s="2">
        <f t="shared" ref="E185:E199" si="38">E184</f>
        <v>146</v>
      </c>
      <c r="F185" s="3">
        <f t="shared" ref="F185:F199" si="39">(B185/2)/E185</f>
        <v>35.770547945205479</v>
      </c>
      <c r="O185" s="1"/>
    </row>
    <row r="186" spans="1:15">
      <c r="A186" s="1">
        <v>5</v>
      </c>
      <c r="B186" s="2">
        <f t="shared" si="36"/>
        <v>10445</v>
      </c>
      <c r="C186" s="2">
        <f t="shared" si="36"/>
        <v>123</v>
      </c>
      <c r="D186" s="3">
        <f t="shared" si="37"/>
        <v>42.459349593495936</v>
      </c>
      <c r="E186" s="2">
        <f t="shared" si="38"/>
        <v>146</v>
      </c>
      <c r="F186" s="3">
        <f t="shared" si="39"/>
        <v>35.770547945205479</v>
      </c>
      <c r="O186" s="1"/>
    </row>
    <row r="187" spans="1:15">
      <c r="A187" s="1">
        <v>7</v>
      </c>
      <c r="B187" s="2">
        <f t="shared" si="36"/>
        <v>10445</v>
      </c>
      <c r="C187" s="2">
        <f t="shared" si="36"/>
        <v>123</v>
      </c>
      <c r="D187" s="3">
        <f t="shared" si="37"/>
        <v>42.459349593495936</v>
      </c>
      <c r="E187" s="2">
        <f t="shared" si="38"/>
        <v>146</v>
      </c>
      <c r="F187" s="3">
        <f t="shared" si="39"/>
        <v>35.770547945205479</v>
      </c>
      <c r="O187" s="1"/>
    </row>
    <row r="188" spans="1:15">
      <c r="A188" s="1">
        <v>9</v>
      </c>
      <c r="B188" s="2">
        <f t="shared" si="36"/>
        <v>10445</v>
      </c>
      <c r="C188" s="2">
        <f t="shared" si="36"/>
        <v>123</v>
      </c>
      <c r="D188" s="3">
        <f t="shared" si="37"/>
        <v>42.459349593495936</v>
      </c>
      <c r="E188" s="2">
        <f t="shared" si="38"/>
        <v>146</v>
      </c>
      <c r="F188" s="3">
        <f t="shared" si="39"/>
        <v>35.770547945205479</v>
      </c>
      <c r="O188" s="1"/>
    </row>
    <row r="189" spans="1:15">
      <c r="A189" s="1">
        <v>11</v>
      </c>
      <c r="B189" s="2">
        <f t="shared" si="36"/>
        <v>10445</v>
      </c>
      <c r="C189" s="2">
        <f t="shared" si="36"/>
        <v>123</v>
      </c>
      <c r="D189" s="3">
        <f t="shared" si="37"/>
        <v>42.459349593495936</v>
      </c>
      <c r="E189" s="2">
        <f t="shared" si="38"/>
        <v>146</v>
      </c>
      <c r="F189" s="3">
        <f t="shared" si="39"/>
        <v>35.770547945205479</v>
      </c>
      <c r="O189" s="1"/>
    </row>
    <row r="190" spans="1:15">
      <c r="A190" s="1">
        <v>13</v>
      </c>
      <c r="B190" s="2">
        <f t="shared" si="36"/>
        <v>10445</v>
      </c>
      <c r="C190" s="2">
        <f t="shared" si="36"/>
        <v>123</v>
      </c>
      <c r="D190" s="3">
        <f t="shared" si="37"/>
        <v>42.459349593495936</v>
      </c>
      <c r="E190" s="2">
        <f t="shared" si="38"/>
        <v>146</v>
      </c>
      <c r="F190" s="3">
        <f t="shared" si="39"/>
        <v>35.770547945205479</v>
      </c>
      <c r="O190" s="1"/>
    </row>
    <row r="191" spans="1:15">
      <c r="A191" s="1">
        <v>15</v>
      </c>
      <c r="B191" s="2">
        <f t="shared" si="36"/>
        <v>10445</v>
      </c>
      <c r="C191" s="2">
        <f t="shared" si="36"/>
        <v>123</v>
      </c>
      <c r="D191" s="3">
        <f t="shared" si="37"/>
        <v>42.459349593495936</v>
      </c>
      <c r="E191" s="2">
        <f t="shared" si="38"/>
        <v>146</v>
      </c>
      <c r="F191" s="3">
        <f t="shared" si="39"/>
        <v>35.770547945205479</v>
      </c>
      <c r="O191" s="1"/>
    </row>
    <row r="192" spans="1:15">
      <c r="A192" s="1">
        <v>17</v>
      </c>
      <c r="B192" s="2">
        <f t="shared" si="36"/>
        <v>10445</v>
      </c>
      <c r="C192" s="2">
        <f t="shared" si="36"/>
        <v>123</v>
      </c>
      <c r="D192" s="3">
        <f t="shared" si="37"/>
        <v>42.459349593495936</v>
      </c>
      <c r="E192" s="2">
        <f t="shared" si="38"/>
        <v>146</v>
      </c>
      <c r="F192" s="3">
        <f t="shared" si="39"/>
        <v>35.770547945205479</v>
      </c>
      <c r="O192" s="1"/>
    </row>
    <row r="193" spans="1:15">
      <c r="A193" s="1">
        <v>19</v>
      </c>
      <c r="B193" s="2">
        <f t="shared" si="36"/>
        <v>10445</v>
      </c>
      <c r="C193" s="2">
        <f t="shared" si="36"/>
        <v>123</v>
      </c>
      <c r="D193" s="3">
        <f t="shared" si="37"/>
        <v>42.459349593495936</v>
      </c>
      <c r="E193" s="2">
        <f t="shared" si="38"/>
        <v>146</v>
      </c>
      <c r="F193" s="3">
        <f t="shared" si="39"/>
        <v>35.770547945205479</v>
      </c>
      <c r="O193" s="1"/>
    </row>
    <row r="194" spans="1:15">
      <c r="A194" s="1">
        <v>21</v>
      </c>
      <c r="B194" s="2">
        <f t="shared" si="36"/>
        <v>10445</v>
      </c>
      <c r="C194" s="2">
        <f t="shared" si="36"/>
        <v>123</v>
      </c>
      <c r="D194" s="3">
        <f t="shared" si="37"/>
        <v>42.459349593495936</v>
      </c>
      <c r="E194" s="2">
        <f t="shared" si="38"/>
        <v>146</v>
      </c>
      <c r="F194" s="3">
        <f t="shared" si="39"/>
        <v>35.770547945205479</v>
      </c>
      <c r="O194" s="1"/>
    </row>
    <row r="195" spans="1:15">
      <c r="A195" s="1">
        <v>23</v>
      </c>
      <c r="B195" s="2">
        <f t="shared" si="36"/>
        <v>10445</v>
      </c>
      <c r="C195" s="2">
        <f t="shared" si="36"/>
        <v>123</v>
      </c>
      <c r="D195" s="3">
        <f t="shared" si="37"/>
        <v>42.459349593495936</v>
      </c>
      <c r="E195" s="2">
        <f t="shared" si="38"/>
        <v>146</v>
      </c>
      <c r="F195" s="3">
        <f t="shared" si="39"/>
        <v>35.770547945205479</v>
      </c>
      <c r="O195" s="1"/>
    </row>
    <row r="196" spans="1:15">
      <c r="A196" s="1">
        <v>25</v>
      </c>
      <c r="B196" s="2">
        <f t="shared" si="36"/>
        <v>10445</v>
      </c>
      <c r="C196" s="2">
        <f t="shared" si="36"/>
        <v>123</v>
      </c>
      <c r="D196" s="3">
        <f t="shared" si="37"/>
        <v>42.459349593495936</v>
      </c>
      <c r="E196" s="2">
        <f t="shared" si="38"/>
        <v>146</v>
      </c>
      <c r="F196" s="3">
        <f t="shared" si="39"/>
        <v>35.770547945205479</v>
      </c>
      <c r="O196" s="1"/>
    </row>
    <row r="197" spans="1:15">
      <c r="A197" s="1">
        <v>27</v>
      </c>
      <c r="B197" s="2">
        <f t="shared" si="36"/>
        <v>10445</v>
      </c>
      <c r="C197" s="2">
        <f t="shared" si="36"/>
        <v>123</v>
      </c>
      <c r="D197" s="3">
        <f t="shared" si="37"/>
        <v>42.459349593495936</v>
      </c>
      <c r="E197" s="2">
        <f t="shared" si="38"/>
        <v>146</v>
      </c>
      <c r="F197" s="3">
        <f t="shared" si="39"/>
        <v>35.770547945205479</v>
      </c>
      <c r="O197" s="1"/>
    </row>
    <row r="198" spans="1:15">
      <c r="A198" s="1">
        <v>29</v>
      </c>
      <c r="B198" s="2">
        <f t="shared" si="36"/>
        <v>10445</v>
      </c>
      <c r="C198" s="2">
        <f t="shared" si="36"/>
        <v>123</v>
      </c>
      <c r="D198" s="3">
        <f t="shared" si="37"/>
        <v>42.459349593495936</v>
      </c>
      <c r="E198" s="2">
        <f t="shared" si="38"/>
        <v>146</v>
      </c>
      <c r="F198" s="3">
        <f t="shared" si="39"/>
        <v>35.770547945205479</v>
      </c>
      <c r="O198" s="1"/>
    </row>
    <row r="199" spans="1:15">
      <c r="A199" s="1">
        <v>31</v>
      </c>
      <c r="B199" s="2">
        <f t="shared" si="36"/>
        <v>10445</v>
      </c>
      <c r="C199" s="2">
        <f t="shared" si="36"/>
        <v>123</v>
      </c>
      <c r="D199" s="3">
        <f t="shared" si="37"/>
        <v>42.459349593495936</v>
      </c>
      <c r="E199" s="2">
        <f t="shared" si="38"/>
        <v>146</v>
      </c>
      <c r="F199" s="3">
        <f t="shared" si="39"/>
        <v>35.770547945205479</v>
      </c>
      <c r="O199" s="1"/>
    </row>
    <row r="200" spans="1:15">
      <c r="A200" s="1" t="s">
        <v>12</v>
      </c>
      <c r="B200" s="1">
        <f>SUM(B184:B199)/16</f>
        <v>10445</v>
      </c>
      <c r="C200" s="1">
        <f>SUM(C184:C199)/16</f>
        <v>123</v>
      </c>
      <c r="D200" s="1">
        <f>SUM(D184:D199)/16</f>
        <v>42.459349593495936</v>
      </c>
      <c r="E200" s="1">
        <f>SUM(E184:E199)/16</f>
        <v>146</v>
      </c>
      <c r="F200" s="1">
        <f>SUM(F184:F199)/16</f>
        <v>35.770547945205472</v>
      </c>
      <c r="O200" s="1"/>
    </row>
    <row r="201" spans="1:15">
      <c r="A201" s="1" t="s">
        <v>41</v>
      </c>
      <c r="D201" s="1" t="s">
        <v>0</v>
      </c>
      <c r="O201" s="1"/>
    </row>
    <row r="202" spans="1:15">
      <c r="B202" s="1" t="s">
        <v>1</v>
      </c>
      <c r="C202" s="1" t="s">
        <v>2</v>
      </c>
      <c r="D202" s="1" t="s">
        <v>3</v>
      </c>
      <c r="E202" s="1" t="s">
        <v>4</v>
      </c>
      <c r="F202" s="1" t="s">
        <v>3</v>
      </c>
      <c r="O202" s="1"/>
    </row>
    <row r="203" spans="1:15">
      <c r="A203" s="1" t="s">
        <v>26</v>
      </c>
      <c r="B203" s="5">
        <v>9867.5</v>
      </c>
      <c r="C203" s="5">
        <v>111.2</v>
      </c>
      <c r="D203" s="5">
        <v>44.37</v>
      </c>
      <c r="E203" s="5">
        <v>143.6</v>
      </c>
      <c r="F203" s="5">
        <v>34.36</v>
      </c>
      <c r="O203" s="1"/>
    </row>
    <row r="204" spans="1:15">
      <c r="A204" s="3">
        <v>2</v>
      </c>
      <c r="B204" s="3">
        <v>9868</v>
      </c>
      <c r="C204" s="3">
        <v>111</v>
      </c>
      <c r="D204" s="3">
        <f t="shared" ref="D204:D218" si="40">(B204/2)/C204</f>
        <v>44.450450450450454</v>
      </c>
      <c r="E204" s="3">
        <v>144</v>
      </c>
      <c r="F204" s="3">
        <f t="shared" ref="F204:F217" si="41">(B204/2)/E204</f>
        <v>34.263888888888886</v>
      </c>
      <c r="O204" s="1"/>
    </row>
    <row r="205" spans="1:15">
      <c r="A205" s="3">
        <v>4</v>
      </c>
      <c r="B205" s="2">
        <f t="shared" ref="B205:C218" si="42">B204</f>
        <v>9868</v>
      </c>
      <c r="C205" s="2">
        <f t="shared" si="42"/>
        <v>111</v>
      </c>
      <c r="D205" s="2">
        <f t="shared" si="40"/>
        <v>44.450450450450454</v>
      </c>
      <c r="E205" s="2">
        <f t="shared" ref="E205:E218" si="43">E204</f>
        <v>144</v>
      </c>
      <c r="F205" s="3">
        <f t="shared" si="41"/>
        <v>34.263888888888886</v>
      </c>
      <c r="O205" s="1"/>
    </row>
    <row r="206" spans="1:15">
      <c r="A206" s="3">
        <v>6</v>
      </c>
      <c r="B206" s="2">
        <f t="shared" si="42"/>
        <v>9868</v>
      </c>
      <c r="C206" s="2">
        <f t="shared" si="42"/>
        <v>111</v>
      </c>
      <c r="D206" s="2">
        <f t="shared" si="40"/>
        <v>44.450450450450454</v>
      </c>
      <c r="E206" s="2">
        <f t="shared" si="43"/>
        <v>144</v>
      </c>
      <c r="F206" s="3">
        <f t="shared" si="41"/>
        <v>34.263888888888886</v>
      </c>
      <c r="O206" s="1"/>
    </row>
    <row r="207" spans="1:15">
      <c r="A207" s="3">
        <v>8</v>
      </c>
      <c r="B207" s="2">
        <f t="shared" si="42"/>
        <v>9868</v>
      </c>
      <c r="C207" s="2">
        <f t="shared" si="42"/>
        <v>111</v>
      </c>
      <c r="D207" s="2">
        <f t="shared" si="40"/>
        <v>44.450450450450454</v>
      </c>
      <c r="E207" s="2">
        <f t="shared" si="43"/>
        <v>144</v>
      </c>
      <c r="F207" s="3">
        <f t="shared" si="41"/>
        <v>34.263888888888886</v>
      </c>
      <c r="O207" s="1"/>
    </row>
    <row r="208" spans="1:15">
      <c r="A208" s="3">
        <v>10</v>
      </c>
      <c r="B208" s="2">
        <f t="shared" si="42"/>
        <v>9868</v>
      </c>
      <c r="C208" s="2">
        <f t="shared" si="42"/>
        <v>111</v>
      </c>
      <c r="D208" s="2">
        <f t="shared" si="40"/>
        <v>44.450450450450454</v>
      </c>
      <c r="E208" s="2">
        <f t="shared" si="43"/>
        <v>144</v>
      </c>
      <c r="F208" s="3">
        <f t="shared" si="41"/>
        <v>34.263888888888886</v>
      </c>
      <c r="O208" s="1"/>
    </row>
    <row r="209" spans="1:15">
      <c r="A209" s="3">
        <v>12</v>
      </c>
      <c r="B209" s="2">
        <f t="shared" si="42"/>
        <v>9868</v>
      </c>
      <c r="C209" s="2">
        <f t="shared" si="42"/>
        <v>111</v>
      </c>
      <c r="D209" s="2">
        <f t="shared" si="40"/>
        <v>44.450450450450454</v>
      </c>
      <c r="E209" s="2">
        <f t="shared" si="43"/>
        <v>144</v>
      </c>
      <c r="F209" s="3">
        <f t="shared" si="41"/>
        <v>34.263888888888886</v>
      </c>
      <c r="O209" s="1"/>
    </row>
    <row r="210" spans="1:15">
      <c r="A210" s="3">
        <v>14</v>
      </c>
      <c r="B210" s="2">
        <f t="shared" si="42"/>
        <v>9868</v>
      </c>
      <c r="C210" s="2">
        <f t="shared" si="42"/>
        <v>111</v>
      </c>
      <c r="D210" s="2">
        <f t="shared" si="40"/>
        <v>44.450450450450454</v>
      </c>
      <c r="E210" s="2">
        <f t="shared" si="43"/>
        <v>144</v>
      </c>
      <c r="F210" s="3">
        <f t="shared" si="41"/>
        <v>34.263888888888886</v>
      </c>
      <c r="O210" s="1"/>
    </row>
    <row r="211" spans="1:15">
      <c r="A211" s="3">
        <v>16</v>
      </c>
      <c r="B211" s="2">
        <f t="shared" si="42"/>
        <v>9868</v>
      </c>
      <c r="C211" s="2">
        <f t="shared" si="42"/>
        <v>111</v>
      </c>
      <c r="D211" s="2">
        <f t="shared" si="40"/>
        <v>44.450450450450454</v>
      </c>
      <c r="E211" s="2">
        <f t="shared" si="43"/>
        <v>144</v>
      </c>
      <c r="F211" s="3">
        <f t="shared" si="41"/>
        <v>34.263888888888886</v>
      </c>
      <c r="O211" s="1"/>
    </row>
    <row r="212" spans="1:15">
      <c r="A212" s="3">
        <v>18</v>
      </c>
      <c r="B212" s="2">
        <f t="shared" si="42"/>
        <v>9868</v>
      </c>
      <c r="C212" s="2">
        <f t="shared" si="42"/>
        <v>111</v>
      </c>
      <c r="D212" s="2">
        <f t="shared" si="40"/>
        <v>44.450450450450454</v>
      </c>
      <c r="E212" s="2">
        <f t="shared" si="43"/>
        <v>144</v>
      </c>
      <c r="F212" s="3">
        <f t="shared" si="41"/>
        <v>34.263888888888886</v>
      </c>
      <c r="O212" s="1"/>
    </row>
    <row r="213" spans="1:15">
      <c r="A213" s="3">
        <v>20</v>
      </c>
      <c r="B213" s="2">
        <f t="shared" si="42"/>
        <v>9868</v>
      </c>
      <c r="C213" s="2">
        <f t="shared" si="42"/>
        <v>111</v>
      </c>
      <c r="D213" s="2">
        <f t="shared" si="40"/>
        <v>44.450450450450454</v>
      </c>
      <c r="E213" s="2">
        <f t="shared" si="43"/>
        <v>144</v>
      </c>
      <c r="F213" s="3">
        <f t="shared" si="41"/>
        <v>34.263888888888886</v>
      </c>
      <c r="O213" s="1"/>
    </row>
    <row r="214" spans="1:15">
      <c r="A214" s="3">
        <v>22</v>
      </c>
      <c r="B214" s="2">
        <f t="shared" si="42"/>
        <v>9868</v>
      </c>
      <c r="C214" s="2">
        <f t="shared" si="42"/>
        <v>111</v>
      </c>
      <c r="D214" s="2">
        <f t="shared" si="40"/>
        <v>44.450450450450454</v>
      </c>
      <c r="E214" s="2">
        <f t="shared" si="43"/>
        <v>144</v>
      </c>
      <c r="F214" s="3">
        <f t="shared" si="41"/>
        <v>34.263888888888886</v>
      </c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3">
        <v>24</v>
      </c>
      <c r="B215" s="2">
        <f t="shared" si="42"/>
        <v>9868</v>
      </c>
      <c r="C215" s="2">
        <f t="shared" si="42"/>
        <v>111</v>
      </c>
      <c r="D215" s="2">
        <f t="shared" si="40"/>
        <v>44.450450450450454</v>
      </c>
      <c r="E215" s="2">
        <f t="shared" si="43"/>
        <v>144</v>
      </c>
      <c r="F215" s="3">
        <f t="shared" si="41"/>
        <v>34.263888888888886</v>
      </c>
      <c r="O215" s="1"/>
    </row>
    <row r="216" spans="1:15">
      <c r="A216" s="3">
        <v>26</v>
      </c>
      <c r="B216" s="2">
        <f t="shared" si="42"/>
        <v>9868</v>
      </c>
      <c r="C216" s="2">
        <f t="shared" si="42"/>
        <v>111</v>
      </c>
      <c r="D216" s="2">
        <f t="shared" si="40"/>
        <v>44.450450450450454</v>
      </c>
      <c r="E216" s="2">
        <f t="shared" si="43"/>
        <v>144</v>
      </c>
      <c r="F216" s="3">
        <f t="shared" si="41"/>
        <v>34.263888888888886</v>
      </c>
      <c r="O216" s="1"/>
    </row>
    <row r="217" spans="1:15">
      <c r="A217" s="3">
        <v>28</v>
      </c>
      <c r="B217" s="2">
        <f t="shared" si="42"/>
        <v>9868</v>
      </c>
      <c r="C217" s="2">
        <f t="shared" si="42"/>
        <v>111</v>
      </c>
      <c r="D217" s="2">
        <f t="shared" si="40"/>
        <v>44.450450450450454</v>
      </c>
      <c r="E217" s="2">
        <f t="shared" si="43"/>
        <v>144</v>
      </c>
      <c r="F217" s="3">
        <f t="shared" si="41"/>
        <v>34.263888888888886</v>
      </c>
      <c r="O217" s="1"/>
    </row>
    <row r="218" spans="1:15">
      <c r="A218" s="3">
        <v>30</v>
      </c>
      <c r="B218" s="2">
        <f t="shared" si="42"/>
        <v>9868</v>
      </c>
      <c r="C218" s="2">
        <f t="shared" si="42"/>
        <v>111</v>
      </c>
      <c r="D218" s="2">
        <f t="shared" si="40"/>
        <v>44.450450450450454</v>
      </c>
      <c r="E218" s="2">
        <f t="shared" si="43"/>
        <v>144</v>
      </c>
      <c r="F218" s="3">
        <f>(B218/2)/E218</f>
        <v>34.263888888888886</v>
      </c>
      <c r="O218" s="1"/>
    </row>
    <row r="219" spans="1:15">
      <c r="A219" s="1" t="s">
        <v>12</v>
      </c>
      <c r="B219" s="2">
        <f>SUM(B204:B218)/15</f>
        <v>9868</v>
      </c>
      <c r="C219" s="2">
        <f>SUM(C204:C218)/15</f>
        <v>111</v>
      </c>
      <c r="D219" s="2">
        <f>SUM(D204:D218)/15</f>
        <v>44.450450450450454</v>
      </c>
      <c r="E219" s="2">
        <f>SUM(E204:E218)/15</f>
        <v>144</v>
      </c>
      <c r="F219" s="2">
        <f>SUM(F204:F218)/15</f>
        <v>34.2638888888889</v>
      </c>
      <c r="O219" s="1"/>
    </row>
    <row r="220" spans="1:15">
      <c r="A220" s="1" t="s">
        <v>42</v>
      </c>
      <c r="D220" s="1" t="s">
        <v>0</v>
      </c>
      <c r="O220" s="1"/>
    </row>
    <row r="221" spans="1:15">
      <c r="B221" s="1" t="s">
        <v>1</v>
      </c>
      <c r="C221" s="1" t="s">
        <v>2</v>
      </c>
      <c r="D221" s="1" t="s">
        <v>3</v>
      </c>
      <c r="E221" s="1" t="s">
        <v>4</v>
      </c>
      <c r="F221" s="1" t="s">
        <v>3</v>
      </c>
      <c r="O221" s="1"/>
    </row>
    <row r="222" spans="1:15">
      <c r="A222" s="1" t="s">
        <v>26</v>
      </c>
      <c r="D222" s="1">
        <v>40.700000000000003</v>
      </c>
      <c r="F222" s="1">
        <v>34</v>
      </c>
      <c r="O222" s="1"/>
    </row>
    <row r="223" spans="1:15">
      <c r="A223" s="3">
        <v>2</v>
      </c>
      <c r="B223" s="3">
        <v>11115</v>
      </c>
      <c r="C223" s="3">
        <f>126-1</f>
        <v>125</v>
      </c>
      <c r="D223" s="3">
        <f t="shared" ref="D223:D237" si="44">(B223/2)/C223</f>
        <v>44.46</v>
      </c>
      <c r="E223" s="3">
        <f>143-1</f>
        <v>142</v>
      </c>
      <c r="F223" s="3">
        <f t="shared" ref="F223:F237" si="45">(B223/2)/E223</f>
        <v>39.137323943661968</v>
      </c>
      <c r="O223" s="1"/>
    </row>
    <row r="224" spans="1:15">
      <c r="A224" s="3">
        <v>4</v>
      </c>
      <c r="B224" s="2">
        <f t="shared" ref="B224:C237" si="46">B223</f>
        <v>11115</v>
      </c>
      <c r="C224" s="2">
        <f t="shared" si="46"/>
        <v>125</v>
      </c>
      <c r="D224" s="2">
        <f t="shared" si="44"/>
        <v>44.46</v>
      </c>
      <c r="E224" s="2">
        <f t="shared" ref="E224:E237" si="47">E223</f>
        <v>142</v>
      </c>
      <c r="F224" s="3">
        <f t="shared" si="45"/>
        <v>39.137323943661968</v>
      </c>
      <c r="O224" s="1"/>
    </row>
    <row r="225" spans="1:15">
      <c r="A225" s="3">
        <v>6</v>
      </c>
      <c r="B225" s="2">
        <f t="shared" si="46"/>
        <v>11115</v>
      </c>
      <c r="C225" s="2">
        <f t="shared" si="46"/>
        <v>125</v>
      </c>
      <c r="D225" s="2">
        <f t="shared" si="44"/>
        <v>44.46</v>
      </c>
      <c r="E225" s="2">
        <f t="shared" si="47"/>
        <v>142</v>
      </c>
      <c r="F225" s="3">
        <f t="shared" si="45"/>
        <v>39.137323943661968</v>
      </c>
      <c r="O225" s="1"/>
    </row>
    <row r="226" spans="1:15">
      <c r="A226" s="3">
        <v>8</v>
      </c>
      <c r="B226" s="2">
        <f t="shared" si="46"/>
        <v>11115</v>
      </c>
      <c r="C226" s="2">
        <f t="shared" si="46"/>
        <v>125</v>
      </c>
      <c r="D226" s="2">
        <f t="shared" si="44"/>
        <v>44.46</v>
      </c>
      <c r="E226" s="2">
        <f t="shared" si="47"/>
        <v>142</v>
      </c>
      <c r="F226" s="3">
        <f t="shared" si="45"/>
        <v>39.137323943661968</v>
      </c>
      <c r="O226" s="1"/>
    </row>
    <row r="227" spans="1:15">
      <c r="A227" s="3">
        <v>10</v>
      </c>
      <c r="B227" s="2">
        <f t="shared" si="46"/>
        <v>11115</v>
      </c>
      <c r="C227" s="2">
        <f t="shared" si="46"/>
        <v>125</v>
      </c>
      <c r="D227" s="2">
        <f t="shared" si="44"/>
        <v>44.46</v>
      </c>
      <c r="E227" s="2">
        <f t="shared" si="47"/>
        <v>142</v>
      </c>
      <c r="F227" s="3">
        <f t="shared" si="45"/>
        <v>39.137323943661968</v>
      </c>
      <c r="O227" s="1"/>
    </row>
    <row r="228" spans="1:15">
      <c r="A228" s="3">
        <v>12</v>
      </c>
      <c r="B228" s="2">
        <f t="shared" si="46"/>
        <v>11115</v>
      </c>
      <c r="C228" s="2">
        <f t="shared" si="46"/>
        <v>125</v>
      </c>
      <c r="D228" s="2">
        <f t="shared" si="44"/>
        <v>44.46</v>
      </c>
      <c r="E228" s="2">
        <f t="shared" si="47"/>
        <v>142</v>
      </c>
      <c r="F228" s="3">
        <f t="shared" si="45"/>
        <v>39.137323943661968</v>
      </c>
      <c r="O228" s="1"/>
    </row>
    <row r="229" spans="1:15">
      <c r="A229" s="3">
        <v>14</v>
      </c>
      <c r="B229" s="2">
        <f t="shared" si="46"/>
        <v>11115</v>
      </c>
      <c r="C229" s="2">
        <f t="shared" si="46"/>
        <v>125</v>
      </c>
      <c r="D229" s="2">
        <f t="shared" si="44"/>
        <v>44.46</v>
      </c>
      <c r="E229" s="2">
        <f t="shared" si="47"/>
        <v>142</v>
      </c>
      <c r="F229" s="3">
        <f t="shared" si="45"/>
        <v>39.137323943661968</v>
      </c>
      <c r="O229" s="1"/>
    </row>
    <row r="230" spans="1:15">
      <c r="A230" s="3">
        <v>16</v>
      </c>
      <c r="B230" s="2">
        <f t="shared" si="46"/>
        <v>11115</v>
      </c>
      <c r="C230" s="2">
        <f t="shared" si="46"/>
        <v>125</v>
      </c>
      <c r="D230" s="2">
        <f t="shared" si="44"/>
        <v>44.46</v>
      </c>
      <c r="E230" s="2">
        <f t="shared" si="47"/>
        <v>142</v>
      </c>
      <c r="F230" s="3">
        <f t="shared" si="45"/>
        <v>39.137323943661968</v>
      </c>
      <c r="O230" s="1"/>
    </row>
    <row r="231" spans="1:15">
      <c r="A231" s="3">
        <v>18</v>
      </c>
      <c r="B231" s="2">
        <f t="shared" si="46"/>
        <v>11115</v>
      </c>
      <c r="C231" s="2">
        <f t="shared" si="46"/>
        <v>125</v>
      </c>
      <c r="D231" s="2">
        <f t="shared" si="44"/>
        <v>44.46</v>
      </c>
      <c r="E231" s="2">
        <f t="shared" si="47"/>
        <v>142</v>
      </c>
      <c r="F231" s="3">
        <f t="shared" si="45"/>
        <v>39.137323943661968</v>
      </c>
      <c r="O231" s="1"/>
    </row>
    <row r="232" spans="1:15">
      <c r="A232" s="3">
        <v>20</v>
      </c>
      <c r="B232" s="2">
        <f t="shared" si="46"/>
        <v>11115</v>
      </c>
      <c r="C232" s="2">
        <f t="shared" si="46"/>
        <v>125</v>
      </c>
      <c r="D232" s="2">
        <f t="shared" si="44"/>
        <v>44.46</v>
      </c>
      <c r="E232" s="2">
        <f t="shared" si="47"/>
        <v>142</v>
      </c>
      <c r="F232" s="3">
        <f t="shared" si="45"/>
        <v>39.137323943661968</v>
      </c>
      <c r="O232" s="1"/>
    </row>
    <row r="233" spans="1:15">
      <c r="A233" s="3">
        <v>22</v>
      </c>
      <c r="B233" s="2">
        <f t="shared" si="46"/>
        <v>11115</v>
      </c>
      <c r="C233" s="2">
        <f t="shared" si="46"/>
        <v>125</v>
      </c>
      <c r="D233" s="2">
        <f t="shared" si="44"/>
        <v>44.46</v>
      </c>
      <c r="E233" s="2">
        <f t="shared" si="47"/>
        <v>142</v>
      </c>
      <c r="F233" s="3">
        <f t="shared" si="45"/>
        <v>39.137323943661968</v>
      </c>
      <c r="O233" s="1"/>
    </row>
    <row r="234" spans="1:15">
      <c r="A234" s="3">
        <v>24</v>
      </c>
      <c r="B234" s="2">
        <f t="shared" si="46"/>
        <v>11115</v>
      </c>
      <c r="C234" s="2">
        <f t="shared" si="46"/>
        <v>125</v>
      </c>
      <c r="D234" s="2">
        <f t="shared" si="44"/>
        <v>44.46</v>
      </c>
      <c r="E234" s="2">
        <f t="shared" si="47"/>
        <v>142</v>
      </c>
      <c r="F234" s="3">
        <f t="shared" si="45"/>
        <v>39.137323943661968</v>
      </c>
      <c r="O234" s="1"/>
    </row>
    <row r="235" spans="1:15">
      <c r="A235" s="3">
        <v>26</v>
      </c>
      <c r="B235" s="2">
        <f t="shared" si="46"/>
        <v>11115</v>
      </c>
      <c r="C235" s="2">
        <f t="shared" si="46"/>
        <v>125</v>
      </c>
      <c r="D235" s="2">
        <f t="shared" si="44"/>
        <v>44.46</v>
      </c>
      <c r="E235" s="2">
        <f t="shared" si="47"/>
        <v>142</v>
      </c>
      <c r="F235" s="3">
        <f t="shared" si="45"/>
        <v>39.137323943661968</v>
      </c>
      <c r="O235" s="1"/>
    </row>
    <row r="236" spans="1:15">
      <c r="A236" s="3">
        <v>28</v>
      </c>
      <c r="B236" s="2">
        <f t="shared" si="46"/>
        <v>11115</v>
      </c>
      <c r="C236" s="2">
        <f t="shared" si="46"/>
        <v>125</v>
      </c>
      <c r="D236" s="2">
        <f t="shared" si="44"/>
        <v>44.46</v>
      </c>
      <c r="E236" s="2">
        <f t="shared" si="47"/>
        <v>142</v>
      </c>
      <c r="F236" s="3">
        <f t="shared" si="45"/>
        <v>39.137323943661968</v>
      </c>
      <c r="O236" s="1"/>
    </row>
    <row r="237" spans="1:15">
      <c r="A237" s="3">
        <v>30</v>
      </c>
      <c r="B237" s="2">
        <f t="shared" si="46"/>
        <v>11115</v>
      </c>
      <c r="C237" s="2">
        <f t="shared" si="46"/>
        <v>125</v>
      </c>
      <c r="D237" s="2">
        <f t="shared" si="44"/>
        <v>44.46</v>
      </c>
      <c r="E237" s="2">
        <f t="shared" si="47"/>
        <v>142</v>
      </c>
      <c r="F237" s="3">
        <f t="shared" si="45"/>
        <v>39.137323943661968</v>
      </c>
      <c r="O237" s="1"/>
    </row>
    <row r="238" spans="1:15">
      <c r="A238" s="1" t="s">
        <v>12</v>
      </c>
      <c r="B238" s="2">
        <f>SUM(B223:B237)/15</f>
        <v>11115</v>
      </c>
      <c r="C238" s="2">
        <f>SUM(C223:C237)/15</f>
        <v>125</v>
      </c>
      <c r="D238" s="2">
        <f>SUM(D223:D237)/15</f>
        <v>44.46</v>
      </c>
      <c r="E238" s="2">
        <f>SUM(E223:E237)/15</f>
        <v>142</v>
      </c>
      <c r="F238" s="2">
        <f>SUM(F223:F237)/15</f>
        <v>39.137323943661961</v>
      </c>
      <c r="O238" s="1"/>
    </row>
    <row r="239" spans="1:15">
      <c r="O239" s="1"/>
    </row>
    <row r="240" spans="1:15">
      <c r="O240" s="1"/>
    </row>
    <row r="241" spans="15:15">
      <c r="O241" s="1"/>
    </row>
    <row r="242" spans="15:15">
      <c r="O242" s="1"/>
    </row>
    <row r="243" spans="15:15">
      <c r="O243" s="1"/>
    </row>
    <row r="244" spans="15:15">
      <c r="O244" s="1"/>
    </row>
    <row r="245" spans="15:15">
      <c r="O245" s="1"/>
    </row>
    <row r="246" spans="15:15">
      <c r="O246" s="1"/>
    </row>
    <row r="247" spans="15:15">
      <c r="O247" s="1"/>
    </row>
    <row r="248" spans="15:15">
      <c r="O248" s="1"/>
    </row>
    <row r="249" spans="15:15">
      <c r="O249" s="1"/>
    </row>
    <row r="250" spans="15:15">
      <c r="O250" s="1"/>
    </row>
    <row r="251" spans="15:15">
      <c r="O251" s="1"/>
    </row>
    <row r="252" spans="15:15">
      <c r="O252" s="1"/>
    </row>
    <row r="253" spans="15:15">
      <c r="O253" s="1"/>
    </row>
    <row r="254" spans="15:15">
      <c r="O254" s="1"/>
    </row>
    <row r="255" spans="15:15">
      <c r="O255" s="1"/>
    </row>
    <row r="256" spans="15:15">
      <c r="O256" s="1"/>
    </row>
    <row r="257" spans="15:15">
      <c r="O257" s="1"/>
    </row>
    <row r="258" spans="15:15">
      <c r="O258" s="1"/>
    </row>
    <row r="259" spans="15:15">
      <c r="O259" s="1"/>
    </row>
    <row r="260" spans="15:15">
      <c r="O260" s="1"/>
    </row>
    <row r="261" spans="15:15">
      <c r="O261" s="1"/>
    </row>
    <row r="262" spans="15:15">
      <c r="O26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2011</vt:lpstr>
      <vt:lpstr>2012</vt:lpstr>
      <vt:lpstr>2013</vt:lpstr>
      <vt:lpstr>2014</vt:lpstr>
      <vt:lpstr>2015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2011-09-02T14:43:01Z</dcterms:created>
  <dcterms:modified xsi:type="dcterms:W3CDTF">2013-12-27T22:42:01Z</dcterms:modified>
</cp:coreProperties>
</file>