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600" yWindow="-15" windowWidth="9630" windowHeight="8730" tabRatio="646"/>
  </bookViews>
  <sheets>
    <sheet name="Title Page" sheetId="79" r:id="rId1"/>
    <sheet name="Application Setup" sheetId="80" r:id="rId2"/>
    <sheet name="Chosen Parameters-Part I" sheetId="54" r:id="rId3"/>
    <sheet name="Chosen Parameters-Part II" sheetId="65" r:id="rId4"/>
    <sheet name="Chosen Parameters-Part III" sheetId="66" r:id="rId5"/>
    <sheet name="Chosen Parameters-Part IV" sheetId="64" r:id="rId6"/>
    <sheet name="Results Table-Part I" sheetId="34" r:id="rId7"/>
    <sheet name="Results Table-Part II" sheetId="67" r:id="rId8"/>
    <sheet name="Results Table-Part III" sheetId="68" r:id="rId9"/>
    <sheet name="Results Table-Part IV" sheetId="69" r:id="rId10"/>
    <sheet name="Step 1 -- Herd Profile" sheetId="30" r:id="rId11"/>
    <sheet name="Step 2--Cull Rates" sheetId="27" r:id="rId12"/>
    <sheet name="Step 3--Lactation Profile" sheetId="22" r:id="rId13"/>
    <sheet name="Step 4--Breeding &amp; Health" sheetId="23" r:id="rId14"/>
    <sheet name="Step 5--Total Production" sheetId="31" r:id="rId15"/>
    <sheet name="Step 6--DMI Required" sheetId="38" r:id="rId16"/>
    <sheet name="Step 7a--Feedstuff Required" sheetId="14" r:id="rId17"/>
    <sheet name="Step 7b--Feedstuff Required" sheetId="55" r:id="rId18"/>
    <sheet name="Step 8a--DMI Worksheet" sheetId="71" r:id="rId19"/>
    <sheet name="Step 8b--DMI Worksheet" sheetId="72" r:id="rId20"/>
    <sheet name="Step 9a--Daily DMI Rations" sheetId="57" r:id="rId21"/>
    <sheet name="Step 9b--Daily DMI Rations" sheetId="59" r:id="rId22"/>
    <sheet name="Step 10a--Required Acres" sheetId="13" r:id="rId23"/>
    <sheet name="Step 10b--Required Acres" sheetId="60" r:id="rId24"/>
    <sheet name="Step 11a--Inputs" sheetId="61" r:id="rId25"/>
    <sheet name="Step 11b--Inputs" sheetId="75" r:id="rId26"/>
    <sheet name="Step 11a--Inputs Detail" sheetId="62" r:id="rId27"/>
    <sheet name="Step 11b--Inputs Detail" sheetId="76" r:id="rId28"/>
    <sheet name="Step 12--Dietary Intake" sheetId="43" r:id="rId29"/>
    <sheet name="Step 13a--Nutrient Excretions" sheetId="29" r:id="rId30"/>
    <sheet name="Step 13b--Nutrient Excretions" sheetId="45" r:id="rId31"/>
    <sheet name="Step 14a-Greenhouse Gas Factors" sheetId="50" r:id="rId32"/>
    <sheet name="Step 14b-Greenhouse Gas Factors" sheetId="78" r:id="rId33"/>
    <sheet name="Step 15a--CH4 Emissions" sheetId="47" r:id="rId34"/>
    <sheet name="Step 15b--CH4 Emissions" sheetId="48" r:id="rId35"/>
    <sheet name="App A-Formula Sources" sheetId="70" r:id="rId36"/>
    <sheet name="Options" sheetId="26" r:id="rId37"/>
    <sheet name="Defaults" sheetId="73" r:id="rId38"/>
  </sheets>
  <externalReferences>
    <externalReference r:id="rId39"/>
  </externalReferences>
  <definedNames>
    <definedName name="Application_Name">'Application Setup'!$B$3</definedName>
    <definedName name="F1_Abortion_Days_Cows">'Chosen Parameters-Part I'!$B$86</definedName>
    <definedName name="F1_Abortion_Days_Cows_default">'Step 4--Breeding &amp; Health'!$D$88</definedName>
    <definedName name="F1_Abortion_Days_Cows_reported">'Step 4--Breeding &amp; Health'!$D$86</definedName>
    <definedName name="F1_Abortion_Days_Heifers">'Chosen Parameters-Part I'!$B$74</definedName>
    <definedName name="F1_Abortion_Days_Heifers_default">'Step 4--Breeding &amp; Health'!$I$88</definedName>
    <definedName name="F1_Abortion_Days_Heifers_reported">'Step 4--Breeding &amp; Health'!$I$86</definedName>
    <definedName name="F1_Abortion_Rate_Cows">'Chosen Parameters-Part I'!$B$85</definedName>
    <definedName name="F1_Abortion_Rate_Cows_default">'Step 4--Breeding &amp; Health'!$D$82</definedName>
    <definedName name="F1_Abortion_Rate_Cows_reported">'Step 4--Breeding &amp; Health'!$D$80</definedName>
    <definedName name="F1_Abortion_Rate_Heifers">'Chosen Parameters-Part I'!$B$73</definedName>
    <definedName name="F1_Abortion_Rate_Heifers_default">'Step 4--Breeding &amp; Health'!$I$82</definedName>
    <definedName name="F1_Abortion_Rate_Heifers_reported">'Step 4--Breeding &amp; Health'!$I$80</definedName>
    <definedName name="F1_Age_at_1st_Birthing">'Chosen Parameters-Part I'!$B$90</definedName>
    <definedName name="F1_Age_at_1st_Birthing_default">'Step 4--Breeding &amp; Health'!$D$111</definedName>
    <definedName name="F1_Age_at_1st_Birthing_projected">'Step 4--Breeding &amp; Health'!$D$113</definedName>
    <definedName name="F1_Age_at_1st_Birthing_reported">'Step 4--Breeding &amp; Health'!$D$109</definedName>
    <definedName name="F1_Age_at_1st_Breeding">'Chosen Parameters-Part I'!$B$53</definedName>
    <definedName name="F1_Age_at_1st_Breeding_default">'Step 4--Breeding &amp; Health'!$I$13</definedName>
    <definedName name="F1_Age_at_1st_Breeding_reported">'Step 4--Breeding &amp; Health'!$I$11</definedName>
    <definedName name="F1_Age_at_EOL">'Chosen Parameters-Part I'!$B$93</definedName>
    <definedName name="F1_Age_at_EOL_projected">'Step 4--Breeding &amp; Health'!$D$145</definedName>
    <definedName name="F1_Age_at_EOL_reported">'Step 4--Breeding &amp; Health'!$D$143</definedName>
    <definedName name="F1_Annual_Bull_Calves">'Step 5--Total Production'!$C$29</definedName>
    <definedName name="F1_Annual_Heifer_Calves">'Step 5--Total Production'!$C$27</definedName>
    <definedName name="F1_Annual_Total_Calves">'Step 5--Total Production'!$C$31</definedName>
    <definedName name="F1_Avg_Annual_Milk_Production_ECM">'Step 5--Total Production'!$C$21</definedName>
    <definedName name="F1_Avg_Annual_Milk_Production_Unadjusted">'Step 5--Total Production'!$C$19</definedName>
    <definedName name="F1_Bo">'Step 14a-Greenhouse Gas Factors'!$C$37</definedName>
    <definedName name="F1_Breeding_Method">'Chosen Parameters-Part I'!$B$50</definedName>
    <definedName name="F1_Bull_Calves_in_Life">'Step 4--Breeding &amp; Health'!$C$130</definedName>
    <definedName name="F1_Bull_Can_Impregnate">'Chosen Parameters-Part I'!$B$18</definedName>
    <definedName name="F1_Bull_Can_Impregnate_default">'Step 1 -- Herd Profile'!$D$116</definedName>
    <definedName name="F1_Bull_Can_Impregnate_reported">'Step 1 -- Herd Profile'!$D$114</definedName>
    <definedName name="F1_Bull_Units">'Step 1 -- Herd Profile'!$G$120</definedName>
    <definedName name="F1_Bulls">'Step 1 -- Herd Profile'!$D$120</definedName>
    <definedName name="F1_Calf_Dressing_Rate">'Step 5--Total Production'!$C$49</definedName>
    <definedName name="F1_Calf_Weight_default">'Step 1 -- Herd Profile'!$D$147</definedName>
    <definedName name="F1_Calf_Weight_kg">'Chosen Parameters-Part I'!$B$25</definedName>
    <definedName name="F1_Calf_Weight_lb">'Chosen Parameters-Part I'!$B$31</definedName>
    <definedName name="F1_Calf_Weight_reported">'Step 1 -- Herd Profile'!$D$145</definedName>
    <definedName name="F1_Calving_Interval">'Chosen Parameters-Part I'!$B$89</definedName>
    <definedName name="F1_Calving_Interval_projected">'Step 4--Breeding &amp; Health'!$D$102</definedName>
    <definedName name="F1_Calving_Interval_reported">'Step 4--Breeding &amp; Health'!$D$100</definedName>
    <definedName name="F1_Calving_to_1st_Breeding_Attempt">'Chosen Parameters-Part I'!$B$59</definedName>
    <definedName name="F1_Calving_to_1st_Breeding_Attempt_default">'Step 4--Breeding &amp; Health'!$D$20</definedName>
    <definedName name="F1_Calving_to_1st_Breeding_Attempt_reported">'Step 4--Breeding &amp; Health'!$D$18</definedName>
    <definedName name="F1_Climate">'Chosen Parameters-Part IV'!$B$7</definedName>
    <definedName name="F1_Cow_Breeding_Attempts">'Chosen Parameters-Part I'!$B$61</definedName>
    <definedName name="F1_Cow_Breeding_Attempts_default">'Step 4--Breeding &amp; Health'!$D$33</definedName>
    <definedName name="F1_Cow_Breeding_Attempts_reported">'Step 4--Breeding &amp; Health'!$D$31</definedName>
    <definedName name="F1_Cow_Days_Between_Breeding_Attempts">'Chosen Parameters-Part I'!$B$62</definedName>
    <definedName name="F1_Cow_Days_between_Breeding_Attempts_default">'Step 4--Breeding &amp; Health'!$D$39</definedName>
    <definedName name="F1_Cow_Days_between_Breeding_Attempts_projected">'Step 4--Breeding &amp; Health'!$D$41</definedName>
    <definedName name="F1_Cow_Days_between_Breeding_Attempts_reported">'Step 4--Breeding &amp; Health'!$D$37</definedName>
    <definedName name="F1_Cow_Dressing_Rate">'Step 5--Total Production'!$C$40</definedName>
    <definedName name="F1_Cow_Failure_to_Breed_Rate">'Chosen Parameters-Part I'!$B$60</definedName>
    <definedName name="F1_Cow_Failure_to_Breed_Rate_default">'Step 4--Breeding &amp; Health'!$D$26</definedName>
    <definedName name="F1_Cow_Failure_to_Breed_Rate_reported">'Step 4--Breeding &amp; Health'!$D$24</definedName>
    <definedName name="F1_Cull_Rate_Dry_Cows">'Chosen Parameters-Part I'!$B$12</definedName>
    <definedName name="F1_Cull_Rate_Dry_Cows_default">'Step 1 -- Herd Profile'!$D$49</definedName>
    <definedName name="F1_Cull_Rate_Dry_Cows_reported">'Step 1 -- Herd Profile'!$D$47</definedName>
    <definedName name="F1_Cull_Rate_Involuntary_Lact_Cows">'Chosen Parameters-Part I'!$B$9</definedName>
    <definedName name="F1_Cull_Rate_Involuntary_Lact_Cows_default">'Step 1 -- Herd Profile'!$D$28</definedName>
    <definedName name="F1_Cull_Rate_Involuntary_Lact_Cows_reported">'Step 1 -- Herd Profile'!$D$26</definedName>
    <definedName name="F1_Cull_Rate_Voluntary_Lact_Cows">'Chosen Parameters-Part I'!$B$10</definedName>
    <definedName name="F1_Cull_Rate_Voluntary_Lact_Cows_default">'Step 1 -- Herd Profile'!$D$34</definedName>
    <definedName name="F1_Cull_Rate_Voluntary_Lact_Cows_reported">'Step 1 -- Herd Profile'!$D$32</definedName>
    <definedName name="F1_Days_in_Diverted_Milk">'Chosen Parameters-Part I'!$B$92</definedName>
    <definedName name="F1_Days_in_Diverted_Milk_default">'Step 4--Breeding &amp; Health'!$D$139</definedName>
    <definedName name="F1_Days_in_Diverted_Milk_reported">'Step 4--Breeding &amp; Health'!$D$137</definedName>
    <definedName name="F1_Death_Rate_Dry_Cows">'Chosen Parameters-Part I'!$B$13</definedName>
    <definedName name="F1_Death_Rate_Dry_Cows_default">'Step 1 -- Herd Profile'!$D$54</definedName>
    <definedName name="F1_Death_Rate_Dry_Cows_reported">'Step 1 -- Herd Profile'!$D$52</definedName>
    <definedName name="F1_Death_Rate_Heifers">'Chosen Parameters-Part I'!$B$15</definedName>
    <definedName name="F1_Death_Rate_Heifers_default">'Step 1 -- Herd Profile'!$D$70</definedName>
    <definedName name="F1_Death_Rate_Heifers_reported">'Step 1 -- Herd Profile'!$D$68</definedName>
    <definedName name="F1_Death_Rate_Lact_Cows">'Chosen Parameters-Part I'!$B$11</definedName>
    <definedName name="F1_Death_Rate_Lact_Cows_default">'Step 1 -- Herd Profile'!$D$39</definedName>
    <definedName name="F1_Death_Rate_Lact_Cows_reported">'Step 1 -- Herd Profile'!$D$37</definedName>
    <definedName name="F1_Death_Rate_Unweaned_Heifers">'Chosen Parameters-Part I'!$B$17</definedName>
    <definedName name="F1_Death_Rate_Unweaned_Heifers_default">'Step 1 -- Herd Profile'!$D$106</definedName>
    <definedName name="F1_Death_Rate_Unweaned_Heifers_reported">'Step 1 -- Herd Profile'!$D$104</definedName>
    <definedName name="F1_Death_Rate_Weaned_Heifers">'Chosen Parameters-Part I'!$B$16</definedName>
    <definedName name="F1_Death_Rate_Weaned_Heifers_default">'Step 1 -- Herd Profile'!$D$91</definedName>
    <definedName name="F1_Death_Rate_Weaned_Heifers_reported">'Step 1 -- Herd Profile'!$D$89</definedName>
    <definedName name="F1_Diet_Digestibility">'Chosen Parameters-Part IV'!$B$19</definedName>
    <definedName name="F1_Diet_Digestibility_projected">'Step 14a-Greenhouse Gas Factors'!$D$43</definedName>
    <definedName name="F1_Diet_Digestibility_reported">'Step 14a-Greenhouse Gas Factors'!$D$41</definedName>
    <definedName name="F1_Dietary_CP_Calf">'Chosen Parameters-Part II'!$B$117</definedName>
    <definedName name="F1_Dietary_CP_Calf_projected">'Step 12--Dietary Intake'!$D$78</definedName>
    <definedName name="F1_Dietary_CP_Calf_reported">'Step 12--Dietary Intake'!$D$76</definedName>
    <definedName name="F1_Dietary_CP_Dry_Cow">'Chosen Parameters-Part II'!$B$109</definedName>
    <definedName name="F1_Dietary_CP_Dry_Cow_projected">'Step 12--Dietary Intake'!$D$34</definedName>
    <definedName name="F1_Dietary_CP_Dry_Cow_reported">'Step 12--Dietary Intake'!$D$32</definedName>
    <definedName name="F1_Dietary_CP_Heifer">'Chosen Parameters-Part II'!$B$113</definedName>
    <definedName name="F1_Dietary_CP_Heifers_projected">'Step 12--Dietary Intake'!$D$56</definedName>
    <definedName name="F1_Dietary_CP_Heifers_reported">'Step 12--Dietary Intake'!$D$54</definedName>
    <definedName name="F1_Dietary_CP_Lact_Cow">'Chosen Parameters-Part II'!$B$105</definedName>
    <definedName name="F1_Dietary_CP_Lact_Cow_projected">'Step 12--Dietary Intake'!$D$12</definedName>
    <definedName name="F1_Dietary_CP_Lact_Cow_reported">'Step 12--Dietary Intake'!$D$10</definedName>
    <definedName name="F1_Dietary_K_Calf">'Chosen Parameters-Part II'!$B$119</definedName>
    <definedName name="F1_Dietary_K_Calf_projected">'Step 12--Dietary Intake'!$D$92</definedName>
    <definedName name="F1_Dietary_K_Calf_reported">'Step 12--Dietary Intake'!$D$90</definedName>
    <definedName name="F1_Dietary_K_Dry_Cow">'Chosen Parameters-Part II'!$B$111</definedName>
    <definedName name="F1_Dietary_K_Dry_Cow_projected">'Step 12--Dietary Intake'!$D$48</definedName>
    <definedName name="F1_Dietary_K_Dry_Cow_reported">'Step 12--Dietary Intake'!$D$46</definedName>
    <definedName name="F1_Dietary_K_Heifer">'Chosen Parameters-Part II'!$B$115</definedName>
    <definedName name="F1_Dietary_K_Heifer_projected">'Step 12--Dietary Intake'!$D$70</definedName>
    <definedName name="F1_Dietary_K_Heifer_reported">'Step 12--Dietary Intake'!$D$68</definedName>
    <definedName name="F1_Dietary_K_Lact_Cow">'Chosen Parameters-Part II'!$B$107</definedName>
    <definedName name="F1_Dietary_K_Lact_Cow_projected">'Step 12--Dietary Intake'!$D$26</definedName>
    <definedName name="F1_Dietary_K_Lact_Cow_reported">'Step 12--Dietary Intake'!$D$24</definedName>
    <definedName name="F1_Dietary_P_Calf">'Chosen Parameters-Part II'!$B$118</definedName>
    <definedName name="F1_Dietary_P_Calf_projected">'Step 12--Dietary Intake'!$D$85</definedName>
    <definedName name="F1_Dietary_P_Calf_reported">'Step 12--Dietary Intake'!$D$83</definedName>
    <definedName name="F1_Dietary_P_Dry_Cow">'Chosen Parameters-Part II'!$B$110</definedName>
    <definedName name="F1_Dietary_P_Dry_Cow_projected">'Step 12--Dietary Intake'!$D$41</definedName>
    <definedName name="F1_Dietary_P_Dry_Cow_reported">'Step 12--Dietary Intake'!$D$39</definedName>
    <definedName name="F1_Dietary_P_Heifer">'Chosen Parameters-Part II'!$B$114</definedName>
    <definedName name="F1_Dietary_P_Heifer_projected">'Step 12--Dietary Intake'!$D$63</definedName>
    <definedName name="F1_Dietary_P_Heifer_reported">'Step 12--Dietary Intake'!$D$61</definedName>
    <definedName name="F1_Dietary_P_Lact_Cow">'Chosen Parameters-Part II'!$B$106</definedName>
    <definedName name="F1_Dietary_P_Lact_Cow_projected">'Step 12--Dietary Intake'!$D$19</definedName>
    <definedName name="F1_Dietary_P_Lact_Cow_reported">'Step 12--Dietary Intake'!$D$17</definedName>
    <definedName name="F1_Digestible_Energy">'Chosen Parameters-Part IV'!$B$21</definedName>
    <definedName name="F1_Digestible_Energy_projected">'Step 14a-Greenhouse Gas Factors'!$D$66</definedName>
    <definedName name="F1_Digestible_Energy_reported">'Step 14a-Greenhouse Gas Factors'!$D$64</definedName>
    <definedName name="F1_DIM">'Step 3--Lactation Profile'!$C$11</definedName>
    <definedName name="F1_DME_Calf_Day_kg">'Chosen Parameters-Part III'!$B$26</definedName>
    <definedName name="F1_DME_Calf_projected_kg">'Step 13a--Nutrient Excretions'!$F$114</definedName>
    <definedName name="F1_DME_Calf_reported_kg">'Step 13a--Nutrient Excretions'!$F$112</definedName>
    <definedName name="F1_DME_Dry_Cow_Day_kg">'Chosen Parameters-Part III'!$B$14</definedName>
    <definedName name="F1_DME_Dry_Cow_projected_kg">'Step 13a--Nutrient Excretions'!$F$52</definedName>
    <definedName name="F1_DME_Dry_Cow_reported_kg">'Step 13a--Nutrient Excretions'!$F$50</definedName>
    <definedName name="F1_DME_Heifer_Day_kg">'Chosen Parameters-Part III'!$B$20</definedName>
    <definedName name="F1_DME_Heifer_Projected_kg">'Step 13a--Nutrient Excretions'!$F$83</definedName>
    <definedName name="F1_DME_Heifer_reported_kg">'Step 13a--Nutrient Excretions'!$F$81</definedName>
    <definedName name="F1_DME_Lact_Cow_Day_kg">'Chosen Parameters-Part III'!$B$8</definedName>
    <definedName name="F1_DME_Lact_Cow_Day_lb">'Results Table-Part III'!$C$19</definedName>
    <definedName name="F1_DME_Lact_Cow_Life_kg">'Results Table-Part III'!$F$21</definedName>
    <definedName name="F1_DME_Lact_Cow_Life_lb">'Results Table-Part III'!$C$21</definedName>
    <definedName name="F1_DME_Lact_Cow_projected_kg">'Step 13a--Nutrient Excretions'!$F$17</definedName>
    <definedName name="F1_DME_Lact_Cow_reported_kg">'Step 13a--Nutrient Excretions'!$F$15</definedName>
    <definedName name="F1_DMI_Dry_Cow_kg">'Chosen Parameters-Part II'!$B$16</definedName>
    <definedName name="F1_DMI_Dry_Cow_lb">'Chosen Parameters-Part II'!$B$12</definedName>
    <definedName name="F1_DMI_Dry_Cow_projected_kg">'Step 6--DMI Required'!$G$41</definedName>
    <definedName name="F1_DMI_Dry_Cow_reported_kg">'Step 6--DMI Required'!$G$39</definedName>
    <definedName name="F1_DMI_Heifer_Calf_kg">'Chosen Parameters-Part II'!$B$18</definedName>
    <definedName name="F1_DMI_Heifer_Calf_lb">'Chosen Parameters-Part II'!$B$14</definedName>
    <definedName name="F1_DMI_Heifer_Calf_projected_kg">'Step 6--DMI Required'!$G$55</definedName>
    <definedName name="F1_DMI_Heifer_Calf_reported_kg">'Step 6--DMI Required'!$G$53</definedName>
    <definedName name="F1_DMI_Heifer_kg">'Chosen Parameters-Part II'!$B$17</definedName>
    <definedName name="F1_DMI_Heifer_lb">'Chosen Parameters-Part II'!$B$13</definedName>
    <definedName name="F1_DMI_Heifer_projected_kg">'Step 6--DMI Required'!$G$48</definedName>
    <definedName name="F1_DMI_Heifer_reported_kg">'Step 6--DMI Required'!$G$46</definedName>
    <definedName name="F1_DMI_Lact_Cow_at_Milk_Production_kg_default">'Step 6--DMI Required'!$G$19</definedName>
    <definedName name="F1_DMI_Lact_Cow_at_Milk_Production_kg_reported">'Step 6--DMI Required'!$G$17</definedName>
    <definedName name="F1_DMI_Lact_Cow_at_Milk_Production_lb_default">'Step 6--DMI Required'!$D$19</definedName>
    <definedName name="F1_DMI_Lact_Cow_at_Milk_Production_lb_reported">'Step 6--DMI Required'!$D$17</definedName>
    <definedName name="F1_DMI_Lact_Cow_kg">'Chosen Parameters-Part II'!$B$9</definedName>
    <definedName name="F1_DMI_Lact_Cow_lb">'Chosen Parameters-Part II'!$B$8</definedName>
    <definedName name="F1_Dry_Cow_Units">'Step 1 -- Herd Profile'!$G$20</definedName>
    <definedName name="F1_Dry_Cow_Weight_default">'Step 1 -- Herd Profile'!$D$135</definedName>
    <definedName name="F1_Dry_Cow_Weight_kg">'Chosen Parameters-Part I'!$B$23</definedName>
    <definedName name="F1_Dry_Cow_Weight_lb">'Chosen Parameters-Part I'!$B$29</definedName>
    <definedName name="F1_Dry_Cow_Weight_reported">'Step 1 -- Herd Profile'!$D$133</definedName>
    <definedName name="F1_Dry_Cows">'Step 1 -- Herd Profile'!$D$17</definedName>
    <definedName name="F1_Dryoff_Period">'Chosen Parameters-Part I'!$B$47</definedName>
    <definedName name="F1_Dryoff_Period_default">'Step 3--Lactation Profile'!$D$43</definedName>
    <definedName name="F1_Dryoff_Period_reported">'Step 3--Lactation Profile'!$D$41</definedName>
    <definedName name="F1_ECM_Production_kg_day">'Step 3--Lactation Profile'!$G$26</definedName>
    <definedName name="F1_ECM_Production_lb_day">'Step 3--Lactation Profile'!$C$26</definedName>
    <definedName name="F1_ECM_Production_Life_lb">'Step 5--Total Production'!$C$11</definedName>
    <definedName name="F1_Embryonic_Loss_Days_Cows">'Chosen Parameters-Part I'!$B$83</definedName>
    <definedName name="F1_Embryonic_Loss_Days_Cows_default">'Step 4--Breeding &amp; Health'!$D$74</definedName>
    <definedName name="F1_Embryonic_Loss_Days_Cows_reported">'Step 4--Breeding &amp; Health'!$D$72</definedName>
    <definedName name="F1_Embryonic_Loss_Days_Heifers">'Chosen Parameters-Part I'!$B$71</definedName>
    <definedName name="F1_Embryonic_Loss_Days_Heifers_default">'Step 4--Breeding &amp; Health'!$I$74</definedName>
    <definedName name="F1_Embryonic_Loss_Days_Heifers_reported">'Step 4--Breeding &amp; Health'!$I$72</definedName>
    <definedName name="F1_Embryonic_Loss_Rate_Cows">'Chosen Parameters-Part I'!$B$82</definedName>
    <definedName name="F1_Embryonic_Loss_Rate_Cows_default">'Step 4--Breeding &amp; Health'!$D$68</definedName>
    <definedName name="F1_Embryonic_Loss_Rate_Cows_reported">'Step 4--Breeding &amp; Health'!$D$66</definedName>
    <definedName name="F1_Embryonic_Loss_Rate_Heifers">'Chosen Parameters-Part I'!$B$70</definedName>
    <definedName name="F1_Embryonic_Loss_Rate_Heifers_default">'Step 4--Breeding &amp; Health'!$I$68</definedName>
    <definedName name="F1_Embryonic_Loss_Rate_Heifers_reported">'Step 4--Breeding &amp; Health'!$I$66</definedName>
    <definedName name="F1_Fat_Content_kg">'Step 3--Lactation Profile'!$G$30</definedName>
    <definedName name="F1_Fat_Content_lb">'Step 3--Lactation Profile'!$C$30</definedName>
    <definedName name="F1_Gestation_Period">'Step 4--Breeding &amp; Health'!$D$105</definedName>
    <definedName name="F1_Gross_Energy">'Chosen Parameters-Part IV'!$B$22</definedName>
    <definedName name="F1_Gross_Energy_projected">'Step 14a-Greenhouse Gas Factors'!$D$73</definedName>
    <definedName name="F1_Gross_Energy_reported">'Step 14a-Greenhouse Gas Factors'!$D$71</definedName>
    <definedName name="F1_Grown_Calf_Weight_default">'Step 1 -- Herd Profile'!$D$153</definedName>
    <definedName name="F1_Grown_Calf_Weight_kg">'Chosen Parameters-Part I'!$B$26</definedName>
    <definedName name="F1_Grown_Calf_Weight_lb">'Chosen Parameters-Part I'!$B$32</definedName>
    <definedName name="F1_Grown_Calf_Weight_reported">'Step 1 -- Herd Profile'!$D$151</definedName>
    <definedName name="F1_Heifer_Breeding_Attempts">'Chosen Parameters-Part I'!$B$55</definedName>
    <definedName name="F1_Heifer_Breeding_Attempts_default">'Step 4--Breeding &amp; Health'!$I$33</definedName>
    <definedName name="F1_Heifer_Breeding_Attempts_reported">'Step 4--Breeding &amp; Health'!$I$31</definedName>
    <definedName name="F1_Heifer_Calf">'Step 1 -- Herd Profile'!$D$94</definedName>
    <definedName name="F1_Heifer_Calf_Units">'Step 1 -- Herd Profile'!$G$98</definedName>
    <definedName name="F1_Heifer_Calves_in_Life">'Step 4--Breeding &amp; Health'!$C$128</definedName>
    <definedName name="F1_Heifer_Days_Between_Breeding_Attempts">'Chosen Parameters-Part I'!$B$56</definedName>
    <definedName name="F1_Heifer_Days_between_Breeding_Attempts_default">'Step 4--Breeding &amp; Health'!$I$39</definedName>
    <definedName name="F1_Heifer_Days_between_Breeding_Attempts_projected">'Step 4--Breeding &amp; Health'!$I$41</definedName>
    <definedName name="F1_Heifer_Days_between_Breeding_Attempts_reported">'Step 4--Breeding &amp; Health'!$I$37</definedName>
    <definedName name="F1_Heifer_Failure_to_Breed_Rate">'Chosen Parameters-Part I'!$B$54</definedName>
    <definedName name="F1_Heifer_Failure_to_Breed_Rate_default">'Step 4--Breeding &amp; Health'!$I$26</definedName>
    <definedName name="F1_Heifer_Failure_to_Breed_Rate_reported">'Step 4--Breeding &amp; Health'!$I$24</definedName>
    <definedName name="F1_Heifer_Units">'Step 1 -- Herd Profile'!$G$84</definedName>
    <definedName name="F1_Heifer_Weight_default">'Step 1 -- Herd Profile'!$D$141</definedName>
    <definedName name="F1_Heifer_Weight_kg">'Chosen Parameters-Part I'!$B$24</definedName>
    <definedName name="F1_Heifer_Weight_lb">'Chosen Parameters-Part I'!$B$30</definedName>
    <definedName name="F1_Heifer_Weight_reported">'Step 1 -- Herd Profile'!$D$139</definedName>
    <definedName name="F1_Heifers">'Step 1 -- Herd Profile'!$D$80</definedName>
    <definedName name="F1_Heifers_to_be_Born">'Step 1 -- Herd Profile'!$D$109</definedName>
    <definedName name="F1_Herbicide_per_Lactation_kg">'Step 11a--Inputs'!$U$61</definedName>
    <definedName name="F1_Herbicide_per_Lactation_lb">'Step 11a--Inputs'!$U$63</definedName>
    <definedName name="F1_Herbicides_Calf_day">'Step 11a--Inputs Detail'!$AL$59</definedName>
    <definedName name="F1_Herbicides_Dry_Cow_day">'Step 11a--Inputs Detail'!$V$59</definedName>
    <definedName name="F1_Herbicides_Heifer_day">'Step 11a--Inputs Detail'!$AD$59</definedName>
    <definedName name="F1_Herbicides_Lact_Cow_day">'Step 11a--Inputs Detail'!$N$59</definedName>
    <definedName name="F1_Insecticide_per_Lactation_kg">'Step 11a--Inputs'!$X$61</definedName>
    <definedName name="F1_Insecticide_per_Lactation_lb">'Step 11a--Inputs'!$X$63</definedName>
    <definedName name="F1_Insecticides_Calf_day">'Step 11a--Inputs Detail'!$AN$59</definedName>
    <definedName name="F1_Insecticides_Dry_Cow_day">'Step 11a--Inputs Detail'!$X$59</definedName>
    <definedName name="F1_Insecticides_Heifer_day">'Step 11a--Inputs Detail'!$AF$59</definedName>
    <definedName name="F1_Insecticides_Lact_Cow_day">'Step 11a--Inputs Detail'!$P$59</definedName>
    <definedName name="F1_KE_Calf_Day_kg">'Chosen Parameters-Part III'!$B$29</definedName>
    <definedName name="F1_KE_Calf_projected_kg">'Step 13a--Nutrient Excretions'!$F$132</definedName>
    <definedName name="F1_KE_Calf_reported_kg">'Step 13a--Nutrient Excretions'!$F$130</definedName>
    <definedName name="F1_KE_Dry_Cow_Day_kg">'Chosen Parameters-Part III'!$B$17</definedName>
    <definedName name="F1_KE_Dry_Cow_projected_kg">'Step 13a--Nutrient Excretions'!$F$70</definedName>
    <definedName name="F1_KE_Dry_Cow_reported_kg">'Step 13a--Nutrient Excretions'!$F$68</definedName>
    <definedName name="F1_KE_Heifer_Day_kg">'Chosen Parameters-Part III'!$B$23</definedName>
    <definedName name="F1_KE_Heifer_projected_kg">'Step 13a--Nutrient Excretions'!$F$101</definedName>
    <definedName name="F1_KE_Heifer_reported_kg">'Step 13a--Nutrient Excretions'!$F$99</definedName>
    <definedName name="F1_KE_Lact_Cow_Day_kg">'Chosen Parameters-Part III'!$B$11</definedName>
    <definedName name="F1_KE_Lact_Cow_Day_lb">'Results Table-Part III'!$C$46</definedName>
    <definedName name="F1_KE_Lact_Cow_Life_kg">'Results Table-Part III'!$F$48</definedName>
    <definedName name="F1_KE_Lact_Cow_Life_lb">'Results Table-Part III'!$C$48</definedName>
    <definedName name="F1_KE_Lact_Cow_projected_kg">'Step 13a--Nutrient Excretions'!$F$39</definedName>
    <definedName name="F1_KE_Lact_Cow_reported_kg">'Step 13a--Nutrient Excretions'!$F$37</definedName>
    <definedName name="F1_Lact_Cow_Weight_default">'Step 1 -- Herd Profile'!$D$129</definedName>
    <definedName name="F1_Lact_Cow_Weight_kg">'Chosen Parameters-Part I'!$B$22</definedName>
    <definedName name="F1_Lact_Cow_Weight_lb">'Chosen Parameters-Part I'!$B$28</definedName>
    <definedName name="F1_Lact_Cow_Weight_reported">'Step 1 -- Herd Profile'!$D$127</definedName>
    <definedName name="F1_Lact_Cows">'Chosen Parameters-Part I'!$B$7</definedName>
    <definedName name="F1_Lact_Cows_projected">'Step 1 -- Herd Profile'!$D$13</definedName>
    <definedName name="F1_Lact_Cows_reported">'Step 1 -- Herd Profile'!$D$11</definedName>
    <definedName name="F1_Length_of_Lactation">'Chosen Parameters-Part I'!$B$46</definedName>
    <definedName name="F1_Length_of_Lactation_projected">'Step 3--Lactation Profile'!$D$36</definedName>
    <definedName name="F1_Length_of_Lactation_reported">'Step 3--Lactation Profile'!$D$34</definedName>
    <definedName name="F1_Market_Value_Bull_Calf">'Chosen Parameters-Part I'!$B$107</definedName>
    <definedName name="F1_Market_Value_Bull_Calf_default">'Step 5--Total Production'!$D$109</definedName>
    <definedName name="F1_Market_Value_Bull_Calf_reported">'Step 5--Total Production'!$D$107</definedName>
    <definedName name="F1_Market_Value_Heifer_Calf">'Chosen Parameters-Part I'!$B$106</definedName>
    <definedName name="F1_Market_Value_Heifer_Calf_default">'Step 5--Total Production'!$D$103</definedName>
    <definedName name="F1_Market_Value_Heifer_Calf_reported">'Step 5--Total Production'!$D$101</definedName>
    <definedName name="F1_MCF">'Chosen Parameters-Part IV'!$B$18</definedName>
    <definedName name="F1_MCF_projected">'Step 14a-Greenhouse Gas Factors'!$D$34</definedName>
    <definedName name="F1_MCF_reported">'Step 14a-Greenhouse Gas Factors'!$D$32</definedName>
    <definedName name="F1_Meat_Price_Calf">'Chosen Parameters-Part I'!$B$105</definedName>
    <definedName name="F1_Meat_Price_Calf_default">'Step 5--Total Production'!$D$86</definedName>
    <definedName name="F1_Meat_Price_Calf_reported">'Step 5--Total Production'!$D$84</definedName>
    <definedName name="F1_Meat_Price_Cow">'Chosen Parameters-Part I'!$B$104</definedName>
    <definedName name="F1_Meat_Price_Cow_default">'Step 5--Total Production'!$D$80</definedName>
    <definedName name="F1_Meat_Price_Cow_reported">'Step 5--Total Production'!$D$78</definedName>
    <definedName name="F1_Meat_Production_from_Calves">'Step 5--Total Production'!$C$51</definedName>
    <definedName name="F1_Meat_Production_from_Cow">'Step 5--Total Production'!$C$42</definedName>
    <definedName name="F1_Methane_Enteric_Calf_Day_kg">'Chosen Parameters-Part IV'!$B$36</definedName>
    <definedName name="F1_Methane_Enteric_Calf_Day_lb">'Results Table-Part IV'!$C$38</definedName>
    <definedName name="F1_Methane_Enteric_Dry_Cow_Day_kg">'Chosen Parameters-Part IV'!$B$30</definedName>
    <definedName name="F1_Methane_Enteric_Dry_Cow_Day_lb">'Results Table-Part IV'!$C$36</definedName>
    <definedName name="F1_Methane_Enteric_Heifer_Day_kg">'Chosen Parameters-Part IV'!$B$33</definedName>
    <definedName name="F1_Methane_Enteric_Heifer_Day_lb">'Results Table-Part IV'!$C$37</definedName>
    <definedName name="F1_Methane_Enteric_Lact_Cow_Day_kg">'Chosen Parameters-Part IV'!$B$27</definedName>
    <definedName name="F1_Methane_Enteric_Lact_Cow_Day_lb">'Results Table-Part IV'!$C$10</definedName>
    <definedName name="F1_Methane_Enteric_Lact_Cow_Life_kg">'Results Table-Part IV'!$F$12</definedName>
    <definedName name="F1_Methane_Enteric_Lact_Cow_Life_lb">'Results Table-Part IV'!$C$12</definedName>
    <definedName name="F1_Methane_Manure_Calf_Day_kg">'Chosen Parameters-Part IV'!$B$37</definedName>
    <definedName name="F1_Methane_Manure_Calf_Day_lb">'Results Table-Part IV'!$C$44</definedName>
    <definedName name="F1_Methane_Manure_Dry_Cow_Day_kg">'Chosen Parameters-Part IV'!$B$31</definedName>
    <definedName name="F1_Methane_Manure_Dry_Cow_Day_lb">'Results Table-Part IV'!$C$42</definedName>
    <definedName name="F1_Methane_Manure_Heifer_Day_kg">'Chosen Parameters-Part IV'!$B$34</definedName>
    <definedName name="F1_Methane_Manure_Heifer_Day_lb">'Results Table-Part IV'!$C$43</definedName>
    <definedName name="F1_Methane_Manure_Lact_Cow_Day_kg">'Chosen Parameters-Part IV'!$B$28</definedName>
    <definedName name="F1_Methane_Manure_Lact_Cow_Day_lb">'Results Table-Part IV'!$C$19</definedName>
    <definedName name="F1_Methane_Manure_Lact_Cow_Life_kg">'Results Table-Part IV'!$F$21</definedName>
    <definedName name="F1_Methane_Manure_Lact_Cow_Life_lb">'Results Table-Part IV'!$C$21</definedName>
    <definedName name="F1_Milk_Price">'Chosen Parameters-Part I'!$B$101</definedName>
    <definedName name="F1_Milk_Price_default">'Step 5--Total Production'!$D$61</definedName>
    <definedName name="F1_Milk_Price_reported">'Step 5--Total Production'!$D$59</definedName>
    <definedName name="F1_NE_activity">'Step 14a-Greenhouse Gas Factors'!$C$51</definedName>
    <definedName name="F1_NE_Calf_Day_kg">'Chosen Parameters-Part III'!$B$27</definedName>
    <definedName name="F1_NE_Calf_projected_kg">'Step 13a--Nutrient Excretions'!$F$120</definedName>
    <definedName name="F1_NE_Calf_reported_kg">'Step 13a--Nutrient Excretions'!$F$118</definedName>
    <definedName name="F1_NE_Dry_Cow_Day_kg">'Chosen Parameters-Part III'!$B$15</definedName>
    <definedName name="F1_NE_Dry_Cow_projected_kg">'Step 13a--Nutrient Excretions'!$F$58</definedName>
    <definedName name="F1_NE_Dry_Cow_reported_kg">'Step 13a--Nutrient Excretions'!$F$56</definedName>
    <definedName name="F1_NE_Heifer_Day_kg">'Chosen Parameters-Part III'!$B$21</definedName>
    <definedName name="F1_NE_Heifer_Projected_kg">'Step 13a--Nutrient Excretions'!$F$89</definedName>
    <definedName name="F1_NE_Heifer_reported_kg">'Step 13a--Nutrient Excretions'!$F$87</definedName>
    <definedName name="F1_NE_Lact_Cow_Day_kg">'Chosen Parameters-Part III'!$B$9</definedName>
    <definedName name="F1_NE_Lact_Cow_Day_lb">'Results Table-Part III'!$C$28</definedName>
    <definedName name="F1_NE_Lact_Cow_Life_kg">'Results Table-Part III'!$F$30</definedName>
    <definedName name="F1_NE_Lact_Cow_Life_lb">'Results Table-Part III'!$C$30</definedName>
    <definedName name="F1_NE_Lact_Cow_projected_DCP_kg">'Step 13a--Nutrient Excretions'!$F$25</definedName>
    <definedName name="F1_NE_Lact_Cow_projected_Milk_kg">'Step 13a--Nutrient Excretions'!$F$23</definedName>
    <definedName name="F1_NE_Lact_Cow_reported_kg">'Step 13a--Nutrient Excretions'!$F$21</definedName>
    <definedName name="F1_NE_lactation">'Step 14a-Greenhouse Gas Factors'!$C$53</definedName>
    <definedName name="F1_NE_maintenance">'Step 14a-Greenhouse Gas Factors'!$C$49</definedName>
    <definedName name="F1_NE_pregnancy">'Step 14a-Greenhouse Gas Factors'!$C$55</definedName>
    <definedName name="F1_Nitrogen_Calf_day">'Step 11a--Inputs Detail'!$AJ$59</definedName>
    <definedName name="F1_Nitrogen_Dry_Cow_day">'Step 11a--Inputs Detail'!$T$59</definedName>
    <definedName name="F1_Nitrogen_Heifer_day">'Step 11a--Inputs Detail'!$AB$59</definedName>
    <definedName name="F1_Nitrogen_Lact_Cow_day">'Step 11a--Inputs Detail'!$L$59</definedName>
    <definedName name="F1_Nitrogen_per_Lactation_kg">'Step 11a--Inputs'!$R$61</definedName>
    <definedName name="F1_Nitrogen_per_Lactation_lb">'Step 11a--Inputs'!$R$63</definedName>
    <definedName name="F1_Number_of_Bull_Calves_Born">'Step 4--Breeding &amp; Health'!$C$124</definedName>
    <definedName name="F1_Number_of_Heifer_Calves_Born">'Step 4--Breeding &amp; Health'!$C$122</definedName>
    <definedName name="F1_Number_of_Lactations">'Chosen Parameters-Part I'!$B$94</definedName>
    <definedName name="F1_Number_of_Lactations_reported">'Step 4--Breeding &amp; Health'!$D$152</definedName>
    <definedName name="F1_Organic">Options!$AE$24</definedName>
    <definedName name="F1_PE_Calf_Day_kg">'Chosen Parameters-Part III'!$B$28</definedName>
    <definedName name="F1_PE_Calf_projected_kg">'Step 13a--Nutrient Excretions'!$F$126</definedName>
    <definedName name="F1_PE_Calf_reported_kg">'Step 13a--Nutrient Excretions'!$F$124</definedName>
    <definedName name="F1_PE_Dry_Cow_Day_kg">'Chosen Parameters-Part III'!$B$16</definedName>
    <definedName name="F1_PE_Dry_Cow_projected_kg">'Step 13a--Nutrient Excretions'!$F$64</definedName>
    <definedName name="F1_PE_Dry_Cow_reported_kg">'Step 13a--Nutrient Excretions'!$F$62</definedName>
    <definedName name="F1_PE_Heifer_Day_kg">'Chosen Parameters-Part III'!$B$22</definedName>
    <definedName name="F1_PE_Heifer_projected_kg">'Step 13a--Nutrient Excretions'!$F$95</definedName>
    <definedName name="F1_PE_Heifer_reported_kg">'Step 13a--Nutrient Excretions'!$F$93</definedName>
    <definedName name="F1_PE_Lact_Cow_Day_kg">'Chosen Parameters-Part III'!$B$10</definedName>
    <definedName name="F1_PE_Lact_Cow_Day_lb">'Results Table-Part III'!$C$37</definedName>
    <definedName name="F1_PE_Lact_Cow_Life_kg">'Results Table-Part III'!$F$39</definedName>
    <definedName name="F1_PE_Lact_Cow_Life_lb">'Results Table-Part III'!$C$39</definedName>
    <definedName name="F1_PE_Lact_Cow_projected_DP_kg">'Step 13a--Nutrient Excretions'!$F$33</definedName>
    <definedName name="F1_PE_Lact_Cow_projected_Milk_kg">'Step 13a--Nutrient Excretions'!$F$31</definedName>
    <definedName name="F1_PE_Lact_Cow_reported_kg">'Step 13a--Nutrient Excretions'!$F$29</definedName>
    <definedName name="F1_Percent_Bull_Calves">'Step 4--Breeding &amp; Health'!$C$120</definedName>
    <definedName name="F1_Percent_Heifer_Calves">'Step 4--Breeding &amp; Health'!$C$118</definedName>
    <definedName name="F1_Percent_Live_Births">'Step 4--Breeding &amp; Health'!$C$116</definedName>
    <definedName name="F1_Percent_Milk_Fat">'Step 3--Lactation Profile'!$C$17</definedName>
    <definedName name="F1_Percent_Milk_Protein">'Step 3--Lactation Profile'!$C$15</definedName>
    <definedName name="F1_Pounds_Available_for_Slaughter">'Step 5--Total Production'!$C$38</definedName>
    <definedName name="F1_Protein_Content_kg">'Step 3--Lactation Profile'!$G$28</definedName>
    <definedName name="F1_Protein_Content_lb">'Step 3--Lactation Profile'!$C$28</definedName>
    <definedName name="F1_REM">'Step 14a-Greenhouse Gas Factors'!$C$60</definedName>
    <definedName name="F1_Replacement_Heifers">'Step 1 -- Herd Profile'!$D$62</definedName>
    <definedName name="F1_Revenue_from_Calf_Sales_year_of_life">'Step 5--Total Production'!$D$118</definedName>
    <definedName name="F1_Revenue_from_Meat_year_of_life">'Step 5--Total Production'!$D$96</definedName>
    <definedName name="F1_Revenue_from_Unadjusted_Milk_year_of_life_lb">'Step 5--Total Production'!$C$66</definedName>
    <definedName name="F1_Rrevenue_from_ECM_Milk_year_of_life_lb">'Step 5--Total Production'!$C$68</definedName>
    <definedName name="F1_State">'Chosen Parameters-Part IV'!$B$6</definedName>
    <definedName name="F1_TME_Calf_Day_kg">'Chosen Parameters-Part III'!$B$25</definedName>
    <definedName name="F1_TME_Calf_projected_kg">'Step 13a--Nutrient Excretions'!$F$108</definedName>
    <definedName name="F1_TME_Calf_reported_kg">'Step 13a--Nutrient Excretions'!$F$106</definedName>
    <definedName name="F1_TME_Dry_Cow_Day_kg">'Chosen Parameters-Part III'!$B$13</definedName>
    <definedName name="F1_TME_Dry_Cow_projected_kg">'Step 13a--Nutrient Excretions'!$F$46</definedName>
    <definedName name="F1_TME_Dry_Cow_reported_kg">'Step 13a--Nutrient Excretions'!$F$44</definedName>
    <definedName name="F1_TME_Heifer_Day_kg">'Chosen Parameters-Part III'!$B$19</definedName>
    <definedName name="F1_TME_Heifer_Projected_kg">'Step 13a--Nutrient Excretions'!$F$77</definedName>
    <definedName name="F1_TME_Heifer_reported_kg">'Step 13a--Nutrient Excretions'!$F$75</definedName>
    <definedName name="F1_TME_Lact_Cow_Day_kg">'Chosen Parameters-Part III'!$B$7</definedName>
    <definedName name="F1_TME_Lact_Cow_Day_lb">'Results Table-Part III'!$C$10</definedName>
    <definedName name="F1_TME_Lact_Cow_Life_kg">'Results Table-Part III'!$F$12</definedName>
    <definedName name="F1_TME_Lact_Cow_Life_lb">'Results Table-Part III'!$C$12</definedName>
    <definedName name="F1_TME_Lact_Cow_projected_kg">'Step 13a--Nutrient Excretions'!$F$11</definedName>
    <definedName name="F1_TME_Lact_Cow_projected_lb">'Step 13a--Nutrient Excretions'!$D$11</definedName>
    <definedName name="F1_TME_Lact_Cow_reported_kg">'Step 13a--Nutrient Excretions'!$F$9</definedName>
    <definedName name="F1_TME_Lact_Cow_reported_lb">'Step 13a--Nutrient Excretions'!$D$9</definedName>
    <definedName name="F1_Total_Calves_in_Life">'Step 4--Breeding &amp; Health'!$C$132</definedName>
    <definedName name="F1_Total_DME_kg_day">'Step 13a--Nutrient Excretions'!$F$144</definedName>
    <definedName name="F1_Total_KE_kg_day">'Step 13a--Nutrient Excretions'!$F$150</definedName>
    <definedName name="F1_Total_ME_kg_day">'Step 13a--Nutrient Excretions'!$F$142</definedName>
    <definedName name="F1_Total_Meat_Production">'Step 5--Total Production'!$C$54</definedName>
    <definedName name="F1_Total_Methane_Calf_Day_kg">'Step 15a--CH4 Emissions'!$F$86</definedName>
    <definedName name="F1_Total_Methane_Dry_Cow_Day_kg">'Step 15a--CH4 Emissions'!$F$46</definedName>
    <definedName name="F1_Total_Methane_Heifer_Day_kg">'Step 15a--CH4 Emissions'!$F$66</definedName>
    <definedName name="F1_Total_Methane_Lact_Cow_Day_kg">'Step 15a--CH4 Emissions'!$F$26</definedName>
    <definedName name="F1_Total_Methane_Lact_Cow_Day_lb">'Step 15a--CH4 Emissions'!$D$26</definedName>
    <definedName name="F1_Total_Methane_Lact_Cow_Life_kg">'Results Table-Part IV'!$F$30</definedName>
    <definedName name="F1_Total_Methane_Lact_Cow_Life_lb">'Results Table-Part IV'!$C$30</definedName>
    <definedName name="F1_Total_NE_kg_day">'Step 13a--Nutrient Excretions'!$F$146</definedName>
    <definedName name="F1_Total_Net_Energy">'Step 14a-Greenhouse Gas Factors'!$C$57</definedName>
    <definedName name="F1_Total_PE_kg_day">'Step 13a--Nutrient Excretions'!$F$148</definedName>
    <definedName name="F1_Unadjusted_Milk_Production_kg_day">'Chosen Parameters-Part I'!$B$44</definedName>
    <definedName name="F1_Unadjusted_Milk_Production_kg_day_default">'Step 3--Lactation Profile'!$G$24</definedName>
    <definedName name="F1_Unadjusted_Milk_Production_kg_day_reported">'Step 3--Lactation Profile'!$G$22</definedName>
    <definedName name="F1_Unadjusted_Milk_Production_lb_day">'Chosen Parameters-Part I'!$B$43</definedName>
    <definedName name="F1_Unadjusted_Milk_Production_lb_day_default">'Step 3--Lactation Profile'!$D$24</definedName>
    <definedName name="F1_Unadjusted_Milk_Production_lb_day_reported">'Step 3--Lactation Profile'!$D$22</definedName>
    <definedName name="F1_Unadjusted_Milk_Production_Life_lb">'Step 5--Total Production'!$C$9</definedName>
    <definedName name="F1_Unsuccessful_Breeding_Cows_Days">'Chosen Parameters-Part I'!$B$79</definedName>
    <definedName name="F1_Unsuccessful_Breeding_Cows_Days_default">'Step 4--Breeding &amp; Health'!$D$58</definedName>
    <definedName name="F1_Unsuccessful_Breeding_Cows_Days_reported">'Step 4--Breeding &amp; Health'!$D$56</definedName>
    <definedName name="F1_Unsuccessful_Breeding_Cows_Percent">'Chosen Parameters-Part I'!$B$78</definedName>
    <definedName name="F1_Unsuccessful_Breeding_Cows_Percent_default">'Step 4--Breeding &amp; Health'!$D$52</definedName>
    <definedName name="F1_Unsuccessful_Breeding_Cows_Percent_reported">'Step 4--Breeding &amp; Health'!$D$50</definedName>
    <definedName name="F1_Unsuccessful_Breeding_Heifers_Days">'Chosen Parameters-Part I'!$B$67</definedName>
    <definedName name="F1_Unsuccessful_Breeding_Heifers_Days_default">'Step 4--Breeding &amp; Health'!$I$58</definedName>
    <definedName name="F1_Unsuccessful_Breeding_Heifers_Days_reported">'Step 4--Breeding &amp; Health'!$I$56</definedName>
    <definedName name="F1_Unsuccessful_Breeding_Heifers_Percent">'Chosen Parameters-Part I'!$B$66</definedName>
    <definedName name="F1_Unsuccessful_Breeding_Heifers_Percent_default">'Step 4--Breeding &amp; Health'!$I$52</definedName>
    <definedName name="F1_Unsuccessful_Breeding_Heifers_Percent_reported">'Step 4--Breeding &amp; Health'!$I$50</definedName>
    <definedName name="F1_VSP">'Chosen Parameters-Part IV'!$B$23</definedName>
    <definedName name="F1_VSP_projected">'Step 14a-Greenhouse Gas Factors'!$D$82</definedName>
    <definedName name="F1_VSP_reported">'Step 14a-Greenhouse Gas Factors'!$D$80</definedName>
    <definedName name="F1_Years_of_Productive_Life">'Step 4--Breeding &amp; Health'!$D$148</definedName>
    <definedName name="F1_YM">'Step 14a-Greenhouse Gas Factors'!$C$76</definedName>
    <definedName name="F2_Abortion_Days_Cows">'Chosen Parameters-Part I'!$C$86</definedName>
    <definedName name="F2_Abortion_Days_Cows_default">'Step 4--Breeding &amp; Health'!$Q$88</definedName>
    <definedName name="F2_Abortion_Days_Cows_reported">'Step 4--Breeding &amp; Health'!$Q$86</definedName>
    <definedName name="F2_Abortion_Days_Heifers">'Chosen Parameters-Part I'!$C$74</definedName>
    <definedName name="F2_Abortion_Days_Heifers_default">'Step 4--Breeding &amp; Health'!$V$88</definedName>
    <definedName name="F2_Abortion_Days_Heifers_reported">'Step 4--Breeding &amp; Health'!$V$86</definedName>
    <definedName name="F2_Abortion_Rate_Cows">'Chosen Parameters-Part I'!$C$85</definedName>
    <definedName name="F2_Abortion_Rate_Cows_default">'Step 4--Breeding &amp; Health'!$Q$82</definedName>
    <definedName name="F2_Abortion_Rate_Cows_reported">'Step 4--Breeding &amp; Health'!$Q$80</definedName>
    <definedName name="F2_Abortion_Rate_Heifers">'Chosen Parameters-Part I'!$C$73</definedName>
    <definedName name="F2_Abortion_Rate_Heifers_default">'Step 4--Breeding &amp; Health'!$V$82</definedName>
    <definedName name="F2_Abortion_Rate_Heifers_reported">'Step 4--Breeding &amp; Health'!$V$80</definedName>
    <definedName name="F2_Age_at_1st_Birthing">'Chosen Parameters-Part I'!$C$90</definedName>
    <definedName name="F2_Age_at_1st_Birthing_default">'Step 4--Breeding &amp; Health'!$Q$111</definedName>
    <definedName name="F2_Age_at_1st_Birthing_projected">'Step 4--Breeding &amp; Health'!$Q$113</definedName>
    <definedName name="F2_Age_at_1st_Birthing_reported">'Step 4--Breeding &amp; Health'!$Q$109</definedName>
    <definedName name="F2_Age_at_1st_Breeding">'Chosen Parameters-Part I'!$C$53</definedName>
    <definedName name="F2_Age_at_1st_Breeding_default">'Step 4--Breeding &amp; Health'!$V$13</definedName>
    <definedName name="F2_Age_at_1st_Breeding_reported">'Step 4--Breeding &amp; Health'!$V$11</definedName>
    <definedName name="F2_Age_at_EOL">'Chosen Parameters-Part I'!$C$93</definedName>
    <definedName name="F2_Age_at_EOL_projected">'Step 4--Breeding &amp; Health'!$Q$145</definedName>
    <definedName name="F2_Age_at_EOL_reported">'Step 4--Breeding &amp; Health'!$Q$143</definedName>
    <definedName name="F2_Annual_Bull_Calves">'Step 5--Total Production'!$M$29</definedName>
    <definedName name="F2_Annual_Heifer_Calves">'Step 5--Total Production'!$M$27</definedName>
    <definedName name="F2_Annual_Total_Calves">'Step 5--Total Production'!$M$31</definedName>
    <definedName name="F2_Avg_Annual_Milk_Production_ECM">'Step 5--Total Production'!$M$21</definedName>
    <definedName name="F2_Avg_Annual_Milk_Production_Unadjusted">'Step 5--Total Production'!$M$19</definedName>
    <definedName name="F2_Bo">'Step 14a-Greenhouse Gas Factors'!$N$37</definedName>
    <definedName name="F2_Breeding_Method">'Chosen Parameters-Part I'!$C$50</definedName>
    <definedName name="F2_Bull_Calves_in_Life">'Step 4--Breeding &amp; Health'!$P$130</definedName>
    <definedName name="F2_Bull_Can_Impregnate">'Chosen Parameters-Part I'!$C$18</definedName>
    <definedName name="F2_Bull_Can_Impregnate_default">'Step 1 -- Herd Profile'!$O$116</definedName>
    <definedName name="F2_Bull_Can_Impregnate_reported">'Step 1 -- Herd Profile'!$O$114</definedName>
    <definedName name="F2_Bull_Units">'Step 1 -- Herd Profile'!$R$120</definedName>
    <definedName name="F2_Bulls">'Step 1 -- Herd Profile'!$O$120</definedName>
    <definedName name="F2_Calf_Dressing_Rate">'Step 5--Total Production'!$M$49</definedName>
    <definedName name="F2_Calf_Weight_default">'Step 1 -- Herd Profile'!$O$147</definedName>
    <definedName name="F2_Calf_Weight_kg">'Chosen Parameters-Part I'!$C$25</definedName>
    <definedName name="F2_Calf_Weight_lb">'Chosen Parameters-Part I'!$C$31</definedName>
    <definedName name="F2_Calf_Weight_reported">'Step 1 -- Herd Profile'!$O$145</definedName>
    <definedName name="F2_Calving_Interval">'Chosen Parameters-Part I'!$C$89</definedName>
    <definedName name="F2_Calving_Interval_projected">'Step 4--Breeding &amp; Health'!$Q$102</definedName>
    <definedName name="F2_Calving_Interval_reported">'Step 4--Breeding &amp; Health'!$Q$100</definedName>
    <definedName name="F2_Calving_to_1st_Breeding_Attempt">'Chosen Parameters-Part I'!$C$59</definedName>
    <definedName name="F2_Calving_to_1st_Breeding_Attempt_default">'Step 4--Breeding &amp; Health'!$Q$20</definedName>
    <definedName name="F2_Calving_to_1st_Breeding_Attempt_reported">'Step 4--Breeding &amp; Health'!$Q$18</definedName>
    <definedName name="F2_Climate">'Chosen Parameters-Part IV'!$C$7</definedName>
    <definedName name="F2_Cow_Breeding_Attempts">'Chosen Parameters-Part I'!$C$61</definedName>
    <definedName name="F2_Cow_Breeding_Attempts_default">'Step 4--Breeding &amp; Health'!$Q$33</definedName>
    <definedName name="F2_Cow_Breeding_Attempts_reported">'Step 4--Breeding &amp; Health'!$Q$31</definedName>
    <definedName name="F2_Cow_Days_Between_Breeding_Attempts">'Chosen Parameters-Part I'!$C$62</definedName>
    <definedName name="F2_Cow_Days_between_Breeding_Attempts_default">'Step 4--Breeding &amp; Health'!$Q$39</definedName>
    <definedName name="F2_Cow_Days_between_Breeding_Attempts_projected">'Step 4--Breeding &amp; Health'!$Q$41</definedName>
    <definedName name="F2_Cow_Days_between_Breeding_Attempts_reported">'Step 4--Breeding &amp; Health'!$Q$37</definedName>
    <definedName name="F2_Cow_Dressing_Rate">'Step 5--Total Production'!$M$40</definedName>
    <definedName name="F2_Cow_Failure_to_Breed_Rate">'Chosen Parameters-Part I'!$C$60</definedName>
    <definedName name="F2_Cow_Failure_to_Breed_Rate_default">'Step 4--Breeding &amp; Health'!$Q$26</definedName>
    <definedName name="F2_Cow_Failure_to_Breed_Rate_reported">'Step 4--Breeding &amp; Health'!$Q$24</definedName>
    <definedName name="F2_Cull_Rate_Dry_Cows">'Chosen Parameters-Part I'!$C$12</definedName>
    <definedName name="F2_Cull_Rate_Dry_Cows_default">'Step 1 -- Herd Profile'!$O$49</definedName>
    <definedName name="F2_Cull_Rate_Dry_Cows_reported">'Step 1 -- Herd Profile'!$O$47</definedName>
    <definedName name="F2_Cull_Rate_Involuntary_Lact_Cows">'Chosen Parameters-Part I'!$C$9</definedName>
    <definedName name="F2_Cull_Rate_Involuntary_Lact_Cows_default">'Step 1 -- Herd Profile'!$O$28</definedName>
    <definedName name="F2_Cull_Rate_Involuntary_Lact_Cows_reported">'Step 1 -- Herd Profile'!$O$26</definedName>
    <definedName name="F2_Cull_Rate_Voluntary_Lact_Cows">'Chosen Parameters-Part I'!$C$10</definedName>
    <definedName name="F2_Cull_Rate_Voluntary_Lact_Cows_default">'Step 1 -- Herd Profile'!$O$34</definedName>
    <definedName name="F2_Cull_Rate_Voluntary_Lact_Cows_reported">'Step 1 -- Herd Profile'!$O$32</definedName>
    <definedName name="F2_Days_in_Diverted_Milk">'Chosen Parameters-Part I'!$C$92</definedName>
    <definedName name="F2_Days_in_Diverted_Milk_default">'Step 4--Breeding &amp; Health'!$Q$139</definedName>
    <definedName name="F2_Days_in_Diverted_Milk_reported">'Step 4--Breeding &amp; Health'!$Q$137</definedName>
    <definedName name="F2_Death_Rate_Dry_Cows">'Chosen Parameters-Part I'!$C$13</definedName>
    <definedName name="F2_Death_Rate_Dry_Cows_default">'Step 1 -- Herd Profile'!$O$54</definedName>
    <definedName name="F2_Death_Rate_Dry_Cows_reported">'Step 1 -- Herd Profile'!$O$52</definedName>
    <definedName name="F2_Death_Rate_Heifers">'Chosen Parameters-Part I'!$C$15</definedName>
    <definedName name="F2_Death_Rate_Heifers_default">'Step 1 -- Herd Profile'!$O$70</definedName>
    <definedName name="F2_Death_Rate_Heifers_reported">'Step 1 -- Herd Profile'!$O$68</definedName>
    <definedName name="F2_Death_Rate_Lact_Cows">'Chosen Parameters-Part I'!$C$11</definedName>
    <definedName name="F2_Death_Rate_Lact_Cows_default">'Step 1 -- Herd Profile'!$O$39</definedName>
    <definedName name="F2_Death_Rate_Lact_Cows_reported">'Step 1 -- Herd Profile'!$O$37</definedName>
    <definedName name="F2_Death_Rate_Unweaned_Heifers">'Chosen Parameters-Part I'!$C$17</definedName>
    <definedName name="F2_Death_Rate_Unweaned_Heifers_default">'Step 1 -- Herd Profile'!$O$106</definedName>
    <definedName name="F2_Death_Rate_Unweaned_Heifers_reported">'Step 1 -- Herd Profile'!$O$104</definedName>
    <definedName name="F2_Death_Rate_Weaned_Heifers">'Chosen Parameters-Part I'!$C$16</definedName>
    <definedName name="F2_Death_Rate_Weaned_Heifers_default">'Step 1 -- Herd Profile'!$O$91</definedName>
    <definedName name="F2_Death_Rate_Weaned_Heifers_reported">'Step 1 -- Herd Profile'!$O$89</definedName>
    <definedName name="F2_Diet_Digestibility">'Chosen Parameters-Part IV'!$C$19</definedName>
    <definedName name="F2_Diet_Digestibility_projected">'Step 14a-Greenhouse Gas Factors'!$O$43</definedName>
    <definedName name="F2_Diet_Digestibility_reported">'Step 14a-Greenhouse Gas Factors'!$O$41</definedName>
    <definedName name="F2_Dietary_CP_Calf">'Chosen Parameters-Part II'!$C$117</definedName>
    <definedName name="F2_Dietary_CP_Calf_projected">'Step 12--Dietary Intake'!$K$78</definedName>
    <definedName name="F2_Dietary_CP_Calf_reported">'Step 12--Dietary Intake'!$K$76</definedName>
    <definedName name="F2_Dietary_CP_Dry_Cow">'Chosen Parameters-Part II'!$C$109</definedName>
    <definedName name="F2_Dietary_CP_Dry_Cow_projected">'Step 12--Dietary Intake'!$K$34</definedName>
    <definedName name="F2_Dietary_CP_Dry_Cow_reported">'Step 12--Dietary Intake'!$K$32</definedName>
    <definedName name="F2_Dietary_CP_Heifer">'Chosen Parameters-Part II'!$C$113</definedName>
    <definedName name="F2_Dietary_CP_Heifer_projected">'Step 12--Dietary Intake'!$K$56</definedName>
    <definedName name="F2_Dietary_CP_Heifer_reported">'Step 12--Dietary Intake'!$K$54</definedName>
    <definedName name="F2_Dietary_CP_Lact_Cow">'Chosen Parameters-Part II'!$C$105</definedName>
    <definedName name="F2_Dietary_CP_Lact_Cow_projected">'Step 12--Dietary Intake'!$K$12</definedName>
    <definedName name="F2_Dietary_CP_Lact_Cow_reported">'Step 12--Dietary Intake'!$K$10</definedName>
    <definedName name="F2_Dietary_K_Calf">'Chosen Parameters-Part II'!$C$119</definedName>
    <definedName name="F2_Dietary_K_Calf_projected">'Step 12--Dietary Intake'!$K$92</definedName>
    <definedName name="F2_Dietary_K_Calf_reported">'Step 12--Dietary Intake'!$K$90</definedName>
    <definedName name="F2_Dietary_K_Dry_Cow">'Chosen Parameters-Part II'!$C$111</definedName>
    <definedName name="F2_Dietary_K_Dry_Cow_projected">'Step 12--Dietary Intake'!$K$48</definedName>
    <definedName name="F2_Dietary_K_Dry_Cow_reported">'Step 12--Dietary Intake'!$K$46</definedName>
    <definedName name="F2_Dietary_K_Heifer">'Chosen Parameters-Part II'!$C$115</definedName>
    <definedName name="F2_Dietary_K_Heifer_projected">'Step 12--Dietary Intake'!$K$70</definedName>
    <definedName name="F2_Dietary_K_Heifer_reported">'Step 12--Dietary Intake'!$K$68</definedName>
    <definedName name="F2_Dietary_K_Lact_Cow">'Chosen Parameters-Part II'!$C$107</definedName>
    <definedName name="F2_Dietary_K_Lact_Cow_projected">'Step 12--Dietary Intake'!$K$26</definedName>
    <definedName name="F2_Dietary_K_Lact_Cow_reported">'Step 12--Dietary Intake'!$K$24</definedName>
    <definedName name="F2_Dietary_P_Calf">'Chosen Parameters-Part II'!$C$118</definedName>
    <definedName name="F2_Dietary_P_Calf_projected">'Step 12--Dietary Intake'!$K$85</definedName>
    <definedName name="F2_Dietary_P_Calf_reported">'Step 12--Dietary Intake'!$K$83</definedName>
    <definedName name="F2_Dietary_P_Dry_Cow">'Chosen Parameters-Part II'!$C$110</definedName>
    <definedName name="F2_Dietary_P_Dry_Cow_projected">'Step 12--Dietary Intake'!$K$41</definedName>
    <definedName name="F2_Dietary_P_Dry_Cow_reported">'Step 12--Dietary Intake'!$K$39</definedName>
    <definedName name="F2_Dietary_P_Heifer">'Chosen Parameters-Part II'!$C$114</definedName>
    <definedName name="F2_Dietary_P_Heifer_projected">'Step 12--Dietary Intake'!$K$63</definedName>
    <definedName name="F2_Dietary_P_Heifer_reported">'Step 12--Dietary Intake'!$K$61</definedName>
    <definedName name="F2_Dietary_P_Lact_Cow">'Chosen Parameters-Part II'!$C$106</definedName>
    <definedName name="F2_Dietary_P_Lact_Cow_projected">'Step 12--Dietary Intake'!$K$19</definedName>
    <definedName name="F2_Dietary_P_Lact_Cow_reported">'Step 12--Dietary Intake'!$K$17</definedName>
    <definedName name="F2_Digestible_Energy">'Chosen Parameters-Part IV'!$C$21</definedName>
    <definedName name="F2_Digestible_Energy_projected">'Step 14a-Greenhouse Gas Factors'!$O$66</definedName>
    <definedName name="F2_Digestible_Energy_reported">'Step 14a-Greenhouse Gas Factors'!$O$64</definedName>
    <definedName name="F2_DIM">'Step 3--Lactation Profile'!$N$11</definedName>
    <definedName name="F2_DME_Calf_Day_kg">'Chosen Parameters-Part III'!$C$26</definedName>
    <definedName name="F2_DME_Calf_projected_kg">'Step 13a--Nutrient Excretions'!$O$114</definedName>
    <definedName name="F2_DME_Calf_reported_kg">'Step 13a--Nutrient Excretions'!$O$112</definedName>
    <definedName name="F2_DME_Dry_Cow_Day_kg">'Chosen Parameters-Part III'!$C$14</definedName>
    <definedName name="F2_DME_Dry_Cow_projected_kg">'Step 13a--Nutrient Excretions'!$O$52</definedName>
    <definedName name="F2_DME_Dry_Cow_reported_kg">'Step 13a--Nutrient Excretions'!$O$50</definedName>
    <definedName name="F2_DME_Heifer_Day_kg">'Chosen Parameters-Part III'!$C$20</definedName>
    <definedName name="F2_DME_Heifer_Projected_kg">'Step 13a--Nutrient Excretions'!$O$83</definedName>
    <definedName name="F2_DME_Heifer_reported_kg">'Step 13a--Nutrient Excretions'!$O$81</definedName>
    <definedName name="F2_DME_Lact_Cow_Day_kg">'Chosen Parameters-Part III'!$C$8</definedName>
    <definedName name="F2_DME_Lact_Cow_Day_lb">'Results Table-Part III'!$J$19</definedName>
    <definedName name="F2_DME_Lact_Cow_Life_kg">'Results Table-Part III'!$M$21</definedName>
    <definedName name="F2_DME_Lact_Cow_Life_lb">'Results Table-Part III'!$J$21</definedName>
    <definedName name="F2_DME_Lact_Cow_projected_kg">'Step 13a--Nutrient Excretions'!$O$17</definedName>
    <definedName name="F2_DME_Lact_Cow_reported_kg">'Step 13a--Nutrient Excretions'!$O$15</definedName>
    <definedName name="F2_DMI_Dry_Cow_kg">'Chosen Parameters-Part II'!$C$16</definedName>
    <definedName name="F2_DMI_Dry_Cow_lb">'Chosen Parameters-Part II'!$C$12</definedName>
    <definedName name="F2_DMI_Dry_Cow_projected_kg">'Step 6--DMI Required'!$Q$41</definedName>
    <definedName name="F2_DMI_Dry_Cow_reported_kg">'Step 6--DMI Required'!$Q$39</definedName>
    <definedName name="F2_DMI_Heifer_Calf_kg">'Chosen Parameters-Part II'!$C$18</definedName>
    <definedName name="F2_DMI_Heifer_Calf_lb">'Chosen Parameters-Part II'!$C$14</definedName>
    <definedName name="F2_DMI_Heifer_Calf_projected_kg">'Step 6--DMI Required'!$Q$55</definedName>
    <definedName name="F2_DMI_Heifer_Calf_reported_kg">'Step 6--DMI Required'!$Q$53</definedName>
    <definedName name="F2_DMI_Heifer_kg">'Chosen Parameters-Part II'!$C$17</definedName>
    <definedName name="F2_DMI_Heifer_lb">'Chosen Parameters-Part II'!$C$13</definedName>
    <definedName name="F2_DMI_Heifer_projected_kg">'Step 6--DMI Required'!$Q$48</definedName>
    <definedName name="F2_DMI_Heifer_reported_kg">'Step 6--DMI Required'!$Q$46</definedName>
    <definedName name="F2_DMI_Lact_Cow_at_Milk_Production_kg_default">'Step 6--DMI Required'!$Q$19</definedName>
    <definedName name="F2_DMI_Lact_Cow_at_Milk_Production_kg_reported">'Step 6--DMI Required'!$Q$17</definedName>
    <definedName name="F2_DMI_Lact_Cow_at_Milk_Production_lb_default">'Step 6--DMI Required'!$N$19</definedName>
    <definedName name="F2_DMI_Lact_Cow_at_Milk_Production_lb_reported">'Step 6--DMI Required'!$N$17</definedName>
    <definedName name="F2_DMI_Lact_Cow_kg">'Chosen Parameters-Part II'!$C$9</definedName>
    <definedName name="F2_DMI_Lact_Cow_lb">'Chosen Parameters-Part II'!$C$8</definedName>
    <definedName name="F2_Dry_Cow_Units">'Step 1 -- Herd Profile'!$R$20</definedName>
    <definedName name="F2_Dry_Cow_Weight_default">'Step 1 -- Herd Profile'!$O$135</definedName>
    <definedName name="F2_Dry_Cow_Weight_kg">'Chosen Parameters-Part I'!$C$23</definedName>
    <definedName name="F2_Dry_Cow_Weight_lb">'Chosen Parameters-Part I'!$C$29</definedName>
    <definedName name="F2_Dry_Cow_Weight_reported">'Step 1 -- Herd Profile'!$O$133</definedName>
    <definedName name="F2_Dry_Cows">'Step 1 -- Herd Profile'!$O$17</definedName>
    <definedName name="F2_Dryoff_Period">'Chosen Parameters-Part I'!$C$47</definedName>
    <definedName name="F2_Dryoff_Period_default">'Step 3--Lactation Profile'!$O$43</definedName>
    <definedName name="F2_Dryoff_Period_reported">'Step 3--Lactation Profile'!$O$41</definedName>
    <definedName name="F2_ECM_Production_kg_day">'Step 3--Lactation Profile'!$R$26</definedName>
    <definedName name="F2_ECM_Production_lb_day">'Step 3--Lactation Profile'!$N$26</definedName>
    <definedName name="F2_ECM_Production_Life_lb">'Step 5--Total Production'!$M$11</definedName>
    <definedName name="F2_Embryonic_Loss_Days_Cows">'Chosen Parameters-Part I'!$C$83</definedName>
    <definedName name="F2_Embryonic_Loss_Days_Cows_default">'Step 4--Breeding &amp; Health'!$Q$74</definedName>
    <definedName name="F2_Embryonic_Loss_Days_Cows_reported">'Step 4--Breeding &amp; Health'!$Q$72</definedName>
    <definedName name="F2_Embryonic_Loss_Days_Heifers">'Chosen Parameters-Part I'!$C$71</definedName>
    <definedName name="F2_Embryonic_Loss_Days_Heifers_default">'Step 4--Breeding &amp; Health'!$V$74</definedName>
    <definedName name="F2_Embryonic_Loss_Days_Heifers_reported">'Step 4--Breeding &amp; Health'!$V$72</definedName>
    <definedName name="F2_Embryonic_Loss_Rate_Cows">'Chosen Parameters-Part I'!$C$82</definedName>
    <definedName name="F2_Embryonic_Loss_Rate_Cows_default">'Step 4--Breeding &amp; Health'!$Q$68</definedName>
    <definedName name="F2_Embryonic_Loss_Rate_Cows_reported">'Step 4--Breeding &amp; Health'!$Q$66</definedName>
    <definedName name="F2_Embryonic_Loss_Rate_Heifers">'Chosen Parameters-Part I'!$C$70</definedName>
    <definedName name="F2_Embryonic_Loss_Rate_Heifers_default">'Step 4--Breeding &amp; Health'!$V$68</definedName>
    <definedName name="F2_Embryonic_Loss_Rate_Heifers_reported">'Step 4--Breeding &amp; Health'!$V$66</definedName>
    <definedName name="F2_Fat_Content_kg">'Step 3--Lactation Profile'!$R$30</definedName>
    <definedName name="F2_Fat_Content_lb">'Step 3--Lactation Profile'!$N$30</definedName>
    <definedName name="F2_Gestation_Period">'Step 4--Breeding &amp; Health'!$Q$105</definedName>
    <definedName name="F2_Gross_Energy">'Chosen Parameters-Part IV'!$C$22</definedName>
    <definedName name="F2_Gross_Energy_projected">'Step 14a-Greenhouse Gas Factors'!$O$73</definedName>
    <definedName name="F2_Gross_Energy_reported">'Step 14a-Greenhouse Gas Factors'!$O$71</definedName>
    <definedName name="F2_Grown_Calf_Weight_default">'Step 1 -- Herd Profile'!$O$153</definedName>
    <definedName name="F2_Grown_Calf_Weight_kg">'Chosen Parameters-Part I'!$C$26</definedName>
    <definedName name="F2_Grown_Calf_Weight_lb">'Chosen Parameters-Part I'!$C$32</definedName>
    <definedName name="F2_Grown_Calf_Weight_reported">'Step 1 -- Herd Profile'!$O$151</definedName>
    <definedName name="F2_Heifer_Breeding_Attempts">'Chosen Parameters-Part I'!$C$55</definedName>
    <definedName name="F2_Heifer_Breeding_Attempts_default">'Step 4--Breeding &amp; Health'!$V$33</definedName>
    <definedName name="F2_Heifer_Breeding_Attempts_reported">'Step 4--Breeding &amp; Health'!$V$31</definedName>
    <definedName name="F2_Heifer_Calf">'Step 1 -- Herd Profile'!$O$94</definedName>
    <definedName name="F2_Heifer_Calf_Units">'Step 1 -- Herd Profile'!$R$98</definedName>
    <definedName name="F2_Heifer_Calves_in_Life">'Step 4--Breeding &amp; Health'!$P$128</definedName>
    <definedName name="F2_Heifer_Days_Between_Breeding_Attempts">'Chosen Parameters-Part I'!$C$56</definedName>
    <definedName name="F2_Heifer_Days_between_Breeding_Attempts_default">'Step 4--Breeding &amp; Health'!$V$39</definedName>
    <definedName name="F2_Heifer_Days_between_Breeding_Attempts_projected">'Step 4--Breeding &amp; Health'!$V$41</definedName>
    <definedName name="F2_Heifer_Days_between_Breeding_Attempts_reported">'Step 4--Breeding &amp; Health'!$V$37</definedName>
    <definedName name="F2_Heifer_Failure_to_Breed_Rate">'Chosen Parameters-Part I'!$C$54</definedName>
    <definedName name="F2_Heifer_Failure_to_Breed_Rate_default">'Step 4--Breeding &amp; Health'!$V$26</definedName>
    <definedName name="F2_Heifer_Failure_to_Breed_Rate_reported">'Step 4--Breeding &amp; Health'!$V$24</definedName>
    <definedName name="F2_Heifer_Units">'Step 1 -- Herd Profile'!$R$84</definedName>
    <definedName name="F2_Heifer_Weight_default">'Step 1 -- Herd Profile'!$O$141</definedName>
    <definedName name="F2_Heifer_Weight_kg">'Chosen Parameters-Part I'!$C$24</definedName>
    <definedName name="F2_Heifer_Weight_lb">'Chosen Parameters-Part I'!$C$30</definedName>
    <definedName name="F2_Heifer_Weight_reported">'Step 1 -- Herd Profile'!$O$139</definedName>
    <definedName name="F2_Heifers">'Step 1 -- Herd Profile'!$O$80</definedName>
    <definedName name="F2_Heifers_to_be_Born">'Step 1 -- Herd Profile'!$O$109</definedName>
    <definedName name="F2_Herbicide_per_Lactation_kg">'Step 11a--Inputs'!$AG$61</definedName>
    <definedName name="F2_Herbicide_per_Lactation_lb">'Step 11a--Inputs'!$AG$63</definedName>
    <definedName name="F2_Herbicides_Calf_day">'Step 11a--Inputs Detail'!$BZ$59</definedName>
    <definedName name="F2_Herbicides_Dry_Cow_day">'Step 11a--Inputs Detail'!$BJ$59</definedName>
    <definedName name="F2_Herbicides_Heifer_day">'Step 11a--Inputs Detail'!$BR$59</definedName>
    <definedName name="F2_Herbicides_Lact_Cow_day">'Step 11a--Inputs Detail'!$BB$59</definedName>
    <definedName name="F2_Insecticide_per_Lactation_kg">'Step 11a--Inputs'!$AJ$61</definedName>
    <definedName name="F2_Insecticide_per_Lactation_lb">'Step 11a--Inputs'!$AJ$63</definedName>
    <definedName name="F2_Insecticides_Calf_day">'Step 11a--Inputs Detail'!$CB$59</definedName>
    <definedName name="F2_Insecticides_Dry_Cow_day">'Step 11a--Inputs Detail'!$BL$59</definedName>
    <definedName name="F2_Insecticides_Heifer_day">'Step 11a--Inputs Detail'!$BT$59</definedName>
    <definedName name="F2_Insecticides_Lact_Cow_day">'Step 11a--Inputs Detail'!$BD$59</definedName>
    <definedName name="F2_KE_Calf_Day_kg">'Chosen Parameters-Part III'!$C$29</definedName>
    <definedName name="F2_KE_Calf_projected_kg">'Step 13a--Nutrient Excretions'!$O$132</definedName>
    <definedName name="F2_KE_Calf_reported_kg">'Step 13a--Nutrient Excretions'!$O$130</definedName>
    <definedName name="F2_KE_Dry_Cow_Day_kg">'Chosen Parameters-Part III'!$C$17</definedName>
    <definedName name="F2_KE_Dry_Cow_projected_kg">'Step 13a--Nutrient Excretions'!$O$70</definedName>
    <definedName name="F2_KE_Dry_Cow_reported_kg">'Step 13a--Nutrient Excretions'!$O$68</definedName>
    <definedName name="F2_KE_Heifer_Day_kg">'Chosen Parameters-Part III'!$C$23</definedName>
    <definedName name="F2_KE_Heifer_projected_kg">'Step 13a--Nutrient Excretions'!$O$101</definedName>
    <definedName name="F2_KE_Heifer_reported_kg">'Step 13a--Nutrient Excretions'!$O$99</definedName>
    <definedName name="F2_KE_Lact_Cow_Day_kg">'Chosen Parameters-Part III'!$C$11</definedName>
    <definedName name="F2_KE_Lact_Cow_Day_lb">'Results Table-Part III'!$J$46</definedName>
    <definedName name="F2_KE_Lact_Cow_Life_kg">'Results Table-Part III'!$M$48</definedName>
    <definedName name="F2_KE_Lact_Cow_Life_lb">'Results Table-Part III'!$J$48</definedName>
    <definedName name="F2_KE_Lact_Cow_projected_kg">'Step 13a--Nutrient Excretions'!$O$39</definedName>
    <definedName name="F2_KE_Lact_Cow_reported_kg">'Step 13a--Nutrient Excretions'!$O$37</definedName>
    <definedName name="F2_Lact_Cow_Weight_default">'Step 1 -- Herd Profile'!$O$129</definedName>
    <definedName name="F2_Lact_Cow_Weight_kg">'Chosen Parameters-Part I'!$C$22</definedName>
    <definedName name="F2_Lact_Cow_Weight_lb">'Chosen Parameters-Part I'!$C$28</definedName>
    <definedName name="F2_Lact_Cow_Weight_reported">'Step 1 -- Herd Profile'!$O$127</definedName>
    <definedName name="F2_Lact_Cows">'Chosen Parameters-Part I'!$C$7</definedName>
    <definedName name="F2_Lact_Cows_projected">'Step 1 -- Herd Profile'!$O$13</definedName>
    <definedName name="F2_Lact_Cows_reported">'Step 1 -- Herd Profile'!$O$11</definedName>
    <definedName name="F2_Length_of_Lactation">'Chosen Parameters-Part I'!$C$46</definedName>
    <definedName name="F2_Length_of_Lactation_projected">'Step 3--Lactation Profile'!$O$36</definedName>
    <definedName name="F2_Length_of_Lactation_reported">'Step 3--Lactation Profile'!$O$34</definedName>
    <definedName name="F2_Market_Value_Bull_Calf">'Chosen Parameters-Part I'!$C$107</definedName>
    <definedName name="F2_Market_Value_Bull_Calf_default">'Step 5--Total Production'!$N$109</definedName>
    <definedName name="F2_Market_Value_Bull_Calf_reported">'Step 5--Total Production'!$N$107</definedName>
    <definedName name="F2_Market_Value_Heifer_Calf">'Chosen Parameters-Part I'!$C$106</definedName>
    <definedName name="F2_Market_Value_Heifer_Calf_default">'Step 5--Total Production'!$N$103</definedName>
    <definedName name="F2_Market_Value_Heifer_Calf_reported">'Step 5--Total Production'!$N$101</definedName>
    <definedName name="F2_MCF">'Chosen Parameters-Part IV'!$C$18</definedName>
    <definedName name="F2_MCF_projected">'Step 14a-Greenhouse Gas Factors'!$O$34</definedName>
    <definedName name="F2_MCF_reported">'Step 14a-Greenhouse Gas Factors'!$O$32</definedName>
    <definedName name="F2_Meat_Price_Calf">'Chosen Parameters-Part I'!$C$105</definedName>
    <definedName name="F2_Meat_Price_Calf_default">'Step 5--Total Production'!$N$86</definedName>
    <definedName name="F2_Meat_Price_Calf_reported">'Step 5--Total Production'!$N$84</definedName>
    <definedName name="F2_Meat_Price_Cow">'Chosen Parameters-Part I'!$C$104</definedName>
    <definedName name="F2_Meat_Price_Cow_default">'Step 5--Total Production'!$N$80</definedName>
    <definedName name="F2_Meat_Price_Cow_reported">'Step 5--Total Production'!$N$78</definedName>
    <definedName name="F2_Meat_Production_from_Calves">'Step 5--Total Production'!$M$51</definedName>
    <definedName name="F2_Meat_Production_from_Cow">'Step 5--Total Production'!$M$42</definedName>
    <definedName name="F2_Methane_Enteric_Calf_Day_kg">'Chosen Parameters-Part IV'!$C$36</definedName>
    <definedName name="F2_Methane_Enteric_Calf_Day_lb">'Results Table-Part IV'!$J$38</definedName>
    <definedName name="F2_Methane_Enteric_Dry_Cow_Day_kg">'Chosen Parameters-Part IV'!$C$30</definedName>
    <definedName name="F2_Methane_Enteric_Dry_Cow_Day_lb">'Results Table-Part IV'!$J$36</definedName>
    <definedName name="F2_Methane_Enteric_Heifer_Day_kg">'Chosen Parameters-Part IV'!$C$33</definedName>
    <definedName name="F2_Methane_Enteric_Heifer_Day_lb">'Results Table-Part IV'!$J$37</definedName>
    <definedName name="F2_Methane_Enteric_Lact_Cow_Day_kg">'Chosen Parameters-Part IV'!$C$27</definedName>
    <definedName name="F2_Methane_Enteric_Lact_Cow_Day_lb">'Results Table-Part IV'!$J$10</definedName>
    <definedName name="F2_Methane_Enteric_Lact_Cow_Life_kg">'Results Table-Part IV'!$M$12</definedName>
    <definedName name="F2_Methane_Enteric_Lact_Cow_Life_lb">'Results Table-Part IV'!$J$12</definedName>
    <definedName name="F2_Methane_Manure_Calf_Day_kg">'Chosen Parameters-Part IV'!$C$37</definedName>
    <definedName name="F2_Methane_Manure_Calf_Day_lb">'Results Table-Part IV'!$J$44</definedName>
    <definedName name="F2_Methane_Manure_Dry_Cow_Day_kg">'Chosen Parameters-Part IV'!$C$31</definedName>
    <definedName name="F2_Methane_Manure_Dry_Cow_Day_lb">'Results Table-Part IV'!$J$42</definedName>
    <definedName name="F2_Methane_Manure_Heifer_Day_kg">'Chosen Parameters-Part IV'!$C$34</definedName>
    <definedName name="F2_Methane_Manure_Heifer_Day_lb">'Results Table-Part IV'!$J$43</definedName>
    <definedName name="F2_Methane_Manure_Lact_Cow_Day_kg">'Chosen Parameters-Part IV'!$C$28</definedName>
    <definedName name="F2_Methane_Manure_Lact_Cow_Day_lb">'Results Table-Part IV'!$J$19</definedName>
    <definedName name="F2_Methane_Manure_Lact_Cow_Life_kg">'Results Table-Part IV'!$M$21</definedName>
    <definedName name="F2_Methane_Manure_Lact_Cow_Life_lb">'Results Table-Part IV'!$J$21</definedName>
    <definedName name="F2_Milk_Price">'Chosen Parameters-Part I'!$C$101</definedName>
    <definedName name="F2_Milk_Price_default">'Step 5--Total Production'!$N$61</definedName>
    <definedName name="F2_Milk_Price_reported">'Step 5--Total Production'!$N$59</definedName>
    <definedName name="F2_Milk_Unadjusted_Revenue_year_of_life_lb">'Step 5--Total Production'!$M$66</definedName>
    <definedName name="F2_NE_activity">'Step 14a-Greenhouse Gas Factors'!$N$51</definedName>
    <definedName name="F2_NE_Calf_Day_kg">'Chosen Parameters-Part III'!$C$27</definedName>
    <definedName name="F2_NE_Calf_projected_kg">'Step 13a--Nutrient Excretions'!$O$120</definedName>
    <definedName name="F2_NE_Calf_reported_kg">'Step 13a--Nutrient Excretions'!$O$118</definedName>
    <definedName name="F2_NE_Dry_Cow_Day_kg">'Chosen Parameters-Part III'!$C$15</definedName>
    <definedName name="F2_NE_Dry_Cow_projected_kg">'Step 13a--Nutrient Excretions'!$O$58</definedName>
    <definedName name="F2_NE_Dry_Cow_reported_kg">'Step 13a--Nutrient Excretions'!$O$56</definedName>
    <definedName name="F2_NE_Heifer_Day_kg">'Chosen Parameters-Part III'!$C$21</definedName>
    <definedName name="F2_NE_Heifer_Projected_kg">'Step 13a--Nutrient Excretions'!$O$89</definedName>
    <definedName name="F2_NE_Heifer_reported_kg">'Step 13a--Nutrient Excretions'!$O$87</definedName>
    <definedName name="F2_NE_Lact_Cow_Day_kg">'Chosen Parameters-Part III'!$C$9</definedName>
    <definedName name="F2_NE_Lact_Cow_Day_lb">'Results Table-Part III'!$J$28</definedName>
    <definedName name="F2_NE_Lact_Cow_Life_kg">'Results Table-Part III'!$M$30</definedName>
    <definedName name="F2_NE_Lact_Cow_Life_lb">'Results Table-Part III'!$J$30</definedName>
    <definedName name="F2_NE_Lact_Cow_projected_DCP_kg">'Step 13a--Nutrient Excretions'!$O$25</definedName>
    <definedName name="F2_NE_Lact_Cow_projected_Milk_kg">'Step 13a--Nutrient Excretions'!$O$23</definedName>
    <definedName name="F2_NE_Lact_Cow_reported_kg">'Step 13a--Nutrient Excretions'!$O$21</definedName>
    <definedName name="F2_NE_lactation">'Step 14a-Greenhouse Gas Factors'!$N$53</definedName>
    <definedName name="F2_NE_maintenance">'Step 14a-Greenhouse Gas Factors'!$N$49</definedName>
    <definedName name="F2_NE_pregnancy">'Step 14a-Greenhouse Gas Factors'!$N$55</definedName>
    <definedName name="F2_Nitrogen_Calf_day">'Step 11a--Inputs Detail'!$BX$59</definedName>
    <definedName name="F2_Nitrogen_Dry_Cow_day">'Step 11a--Inputs Detail'!$BH$59</definedName>
    <definedName name="F2_Nitrogen_Heifer_day">'Step 11a--Inputs Detail'!$BP$59</definedName>
    <definedName name="F2_Nitrogen_Lact_Cow_day">'Step 11a--Inputs Detail'!$AZ$59</definedName>
    <definedName name="F2_Nitrogen_per_Lactation_kg">'Step 11a--Inputs'!$AD$61</definedName>
    <definedName name="F2_Nitrogen_per_Lactation_lb">'Step 11a--Inputs'!$AD$63</definedName>
    <definedName name="F2_Number_of_Bull_Calves_Born">'Step 4--Breeding &amp; Health'!$P$124</definedName>
    <definedName name="F2_Number_of_Heifer_Calves_Born">'Step 4--Breeding &amp; Health'!$P$122</definedName>
    <definedName name="F2_Number_of_Lactations">'Chosen Parameters-Part I'!$C$94</definedName>
    <definedName name="F2_Number_of_Lactations_reported">'Step 4--Breeding &amp; Health'!$Q$152</definedName>
    <definedName name="F2_Organic">Options!$AF$24</definedName>
    <definedName name="F2_PE_Calf_Day_kg">'Chosen Parameters-Part III'!$C$28</definedName>
    <definedName name="F2_PE_Calf_projected_kg">'Step 13a--Nutrient Excretions'!$O$126</definedName>
    <definedName name="F2_PE_Calf_reported_kg">'Step 13a--Nutrient Excretions'!$O$124</definedName>
    <definedName name="F2_PE_Dry_Cow_Day_kg">'Chosen Parameters-Part III'!$C$16</definedName>
    <definedName name="F2_PE_Dry_Cow_projected_kg">'Step 13a--Nutrient Excretions'!$O$64</definedName>
    <definedName name="F2_PE_Dry_Cow_reported_kg">'Step 13a--Nutrient Excretions'!$O$62</definedName>
    <definedName name="F2_PE_Heifer_Day_kg">'Chosen Parameters-Part III'!$C$22</definedName>
    <definedName name="F2_PE_Heifer_projected_kg">'Step 13a--Nutrient Excretions'!$O$95</definedName>
    <definedName name="F2_PE_Heifer_reported_kg">'Step 13a--Nutrient Excretions'!$O$93</definedName>
    <definedName name="F2_PE_Lact_Cow_Day_kg">'Chosen Parameters-Part III'!$C$10</definedName>
    <definedName name="F2_PE_Lact_Cow_Day_lb">'Results Table-Part III'!$J$37</definedName>
    <definedName name="F2_PE_Lact_Cow_Life_kg">'Results Table-Part III'!$M$39</definedName>
    <definedName name="F2_PE_Lact_Cow_Life_lb">'Results Table-Part III'!$J$39</definedName>
    <definedName name="F2_PE_Lact_Cow_projected_DP_kg">'Step 13a--Nutrient Excretions'!$O$33</definedName>
    <definedName name="F2_PE_Lact_Cow_projected_kg">'Step 13a--Nutrient Excretions'!$O$33</definedName>
    <definedName name="F2_PE_Lact_Cow_projected_Milk_kg">'Step 13a--Nutrient Excretions'!$O$31</definedName>
    <definedName name="F2_PE_Lact_Cow_reported_kg">'Step 13a--Nutrient Excretions'!$O$29</definedName>
    <definedName name="F2_Percent_Bull_Calves">'Step 4--Breeding &amp; Health'!$P$120</definedName>
    <definedName name="F2_Percent_Heifer_Calves">'Step 4--Breeding &amp; Health'!$P$118</definedName>
    <definedName name="F2_Percent_Live_Births">'Step 4--Breeding &amp; Health'!$P$116</definedName>
    <definedName name="F2_Percent_Milk_Fat">'Step 3--Lactation Profile'!$N$17</definedName>
    <definedName name="F2_Percent_Milk_Protein">'Step 3--Lactation Profile'!$N$15</definedName>
    <definedName name="F2_Pounds_Available_for_Slaughter">'Step 5--Total Production'!$M$38</definedName>
    <definedName name="F2_Protein_Content_kg">'Step 3--Lactation Profile'!$R$28</definedName>
    <definedName name="F2_Protein_Content_lb">'Step 3--Lactation Profile'!$N$28</definedName>
    <definedName name="F2_REM">'Step 14a-Greenhouse Gas Factors'!$N$60</definedName>
    <definedName name="F2_Replacement_Heifers">'Step 1 -- Herd Profile'!$O$62</definedName>
    <definedName name="F2_Revenue_from_Calf_Sales_year_of_life">'Step 5--Total Production'!$N$118</definedName>
    <definedName name="F2_Revenue_from_ECM_Milk_year_of_life_lb">'Step 5--Total Production'!$M$68</definedName>
    <definedName name="F2_Revenue_from_Meat_year_of_life">'Step 5--Total Production'!$N$96</definedName>
    <definedName name="F2_TME_Calf_Day_kg">'Chosen Parameters-Part III'!$C$25</definedName>
    <definedName name="F2_TME_Calf_projected_kg">'Step 13a--Nutrient Excretions'!$O$108</definedName>
    <definedName name="F2_TME_Calf_reported_kg">'Step 13a--Nutrient Excretions'!$O$106</definedName>
    <definedName name="F2_TME_Dry_Cow_Day_kg">'Chosen Parameters-Part III'!$C$13</definedName>
    <definedName name="F2_TME_Dry_Cow_projected_kg">'Step 13a--Nutrient Excretions'!$O$46</definedName>
    <definedName name="F2_TME_Dry_Cow_reported_kg">'Step 13a--Nutrient Excretions'!$O$44</definedName>
    <definedName name="F2_TME_Heifer_Day_kg">'Chosen Parameters-Part III'!$C$19</definedName>
    <definedName name="F2_TME_Heifer_Projected_kg">'Step 13a--Nutrient Excretions'!$O$77</definedName>
    <definedName name="F2_TME_Heifer_reported_kg">'Step 13a--Nutrient Excretions'!$O$75</definedName>
    <definedName name="F2_TME_Lact_Cow_Day_kg">'Chosen Parameters-Part III'!$C$7</definedName>
    <definedName name="F2_TME_Lact_Cow_Day_lb">'Results Table-Part III'!$J$10</definedName>
    <definedName name="F2_TME_Lact_Cow_Life_kg">'Results Table-Part III'!$M$12</definedName>
    <definedName name="F2_TME_Lact_Cow_Life_lb">'Results Table-Part III'!$J$12</definedName>
    <definedName name="F2_TME_Lact_Cow_projected_kg">'Step 13a--Nutrient Excretions'!$O$11</definedName>
    <definedName name="F2_TME_Lact_Cow_projected_lb">'Step 13a--Nutrient Excretions'!$M$11</definedName>
    <definedName name="F2_TME_Lact_Cow_reported_kg">'Step 13a--Nutrient Excretions'!$O$9</definedName>
    <definedName name="F2_TME_Lact_Cow_reported_lb">'Step 13a--Nutrient Excretions'!$M$9</definedName>
    <definedName name="F2_Total_Calves_in_Life">'Step 4--Breeding &amp; Health'!$P$132</definedName>
    <definedName name="F2_Total_DME_kg_day">'Step 13a--Nutrient Excretions'!$O$144</definedName>
    <definedName name="F2_Total_KE_kg_day">'Step 13a--Nutrient Excretions'!$O$150</definedName>
    <definedName name="F2_Total_ME_kg_day">'Step 13a--Nutrient Excretions'!$O$142</definedName>
    <definedName name="F2_Total_Meat_Production">'Step 5--Total Production'!$M$54</definedName>
    <definedName name="F2_Total_Methane_Calf_Day_kg">'Step 15a--CH4 Emissions'!$O$86</definedName>
    <definedName name="F2_Total_Methane_Dry_Cow_Day_kg">'Step 15a--CH4 Emissions'!$O$46</definedName>
    <definedName name="F2_Total_Methane_Heifer_Day_kg">'Step 15a--CH4 Emissions'!$O$66</definedName>
    <definedName name="F2_Total_Methane_Lact_Cow_Day_kg">'Step 15a--CH4 Emissions'!$O$26</definedName>
    <definedName name="F2_Total_Methane_Lact_Cow_Day_lb">'Step 15a--CH4 Emissions'!$M$26</definedName>
    <definedName name="F2_Total_Methane_Lact_Cow_Life_kg">'Results Table-Part IV'!$M$30</definedName>
    <definedName name="F2_Total_Methane_Lact_Cow_Life_lb">'Results Table-Part IV'!$J$30</definedName>
    <definedName name="F2_Total_NE_kg_day">'Step 13a--Nutrient Excretions'!$O$146</definedName>
    <definedName name="F2_Total_Net_Energy">'Step 14a-Greenhouse Gas Factors'!$N$57</definedName>
    <definedName name="F2_Total_PE_kg_day">'Step 13a--Nutrient Excretions'!$O$148</definedName>
    <definedName name="F2_Unadjusted_Milk_Production_kg_day">'Chosen Parameters-Part I'!$C$44</definedName>
    <definedName name="F2_Unadjusted_Milk_Production_kg_day_default">'Step 3--Lactation Profile'!$R$24</definedName>
    <definedName name="F2_Unadjusted_Milk_Production_kg_day_reported">'Step 3--Lactation Profile'!$R$22</definedName>
    <definedName name="F2_Unadjusted_Milk_Production_lb_day">'Chosen Parameters-Part I'!$C$43</definedName>
    <definedName name="F2_Unadjusted_Milk_Production_lb_day_default">'Step 3--Lactation Profile'!$O$24</definedName>
    <definedName name="F2_Unadjusted_Milk_Production_lb_day_reported">'Step 3--Lactation Profile'!$O$22</definedName>
    <definedName name="F2_Unadjusted_Milk_Production_Life_lb">'Step 5--Total Production'!$M$9</definedName>
    <definedName name="F2_Unsuccessful_Breeding_Cows_Days">'Chosen Parameters-Part I'!$C$79</definedName>
    <definedName name="F2_Unsuccessful_Breeding_Cows_Days_default">'Step 4--Breeding &amp; Health'!$Q$58</definedName>
    <definedName name="F2_Unsuccessful_Breeding_Cows_Days_reported">'Step 4--Breeding &amp; Health'!$Q$56</definedName>
    <definedName name="F2_Unsuccessful_Breeding_Cows_Percent">'Chosen Parameters-Part I'!$C$78</definedName>
    <definedName name="F2_Unsuccessful_Breeding_Cows_Percent_default">'Step 4--Breeding &amp; Health'!$Q$52</definedName>
    <definedName name="F2_Unsuccessful_Breeding_Cows_Percent_reported">'Step 4--Breeding &amp; Health'!$Q$50</definedName>
    <definedName name="F2_Unsuccessful_Breeding_Heifers_Days">'Chosen Parameters-Part I'!$C$67</definedName>
    <definedName name="F2_Unsuccessful_Breeding_Heifers_Days_default">'Step 4--Breeding &amp; Health'!$V$58</definedName>
    <definedName name="F2_Unsuccessful_Breeding_Heifers_Days_reported">'Step 4--Breeding &amp; Health'!$V$56</definedName>
    <definedName name="F2_Unsuccessful_Breeding_Heifers_Percent">'Chosen Parameters-Part I'!$C$66</definedName>
    <definedName name="F2_Unsuccessful_Breeding_Heifers_Percent_default">'Step 4--Breeding &amp; Health'!$V$52</definedName>
    <definedName name="F2_Unsuccessful_Breeding_Heifers_Percent_reported">'Step 4--Breeding &amp; Health'!$V$50</definedName>
    <definedName name="F2_VSP">'Chosen Parameters-Part IV'!$C$23</definedName>
    <definedName name="F2_VSP_projected">'Step 14a-Greenhouse Gas Factors'!$O$82</definedName>
    <definedName name="F2_VSP_reported">'Step 14a-Greenhouse Gas Factors'!$O$80</definedName>
    <definedName name="F2_Years_of_Productive_Life">'Step 4--Breeding &amp; Health'!$Q$148</definedName>
    <definedName name="F2_YM">'Step 14a-Greenhouse Gas Factors'!$N$76</definedName>
    <definedName name="F3_Abortion_Days_Cows">'Chosen Parameters-Part I'!$D$86</definedName>
    <definedName name="F3_Abortion_Days_Cows_default">'Step 4--Breeding &amp; Health'!$AD$88</definedName>
    <definedName name="F3_Abortion_Days_Cows_reported">'Step 4--Breeding &amp; Health'!$AD$86</definedName>
    <definedName name="F3_Abortion_Days_Heifers">'Chosen Parameters-Part I'!$D$74</definedName>
    <definedName name="F3_Abortion_Days_Heifers_default">'Step 4--Breeding &amp; Health'!$AI$88</definedName>
    <definedName name="F3_Abortion_Days_Heifers_reported">'Step 4--Breeding &amp; Health'!$AI$86</definedName>
    <definedName name="F3_Abortion_Rate_Cows">'Chosen Parameters-Part I'!$D$85</definedName>
    <definedName name="F3_Abortion_Rate_Cows_default">'Step 4--Breeding &amp; Health'!$AD$82</definedName>
    <definedName name="F3_Abortion_Rate_Cows_reported">'Step 4--Breeding &amp; Health'!$AD$80</definedName>
    <definedName name="F3_Abortion_Rate_Heifers">'Chosen Parameters-Part I'!$D$73</definedName>
    <definedName name="F3_Abortion_Rate_Heifers_default">'Step 4--Breeding &amp; Health'!$AI$82</definedName>
    <definedName name="F3_Abortion_Rate_Heifers_reported">'Step 4--Breeding &amp; Health'!$AI$80</definedName>
    <definedName name="F3_Age_at_1st_Birthing">'Chosen Parameters-Part I'!$D$90</definedName>
    <definedName name="F3_Age_at_1st_Birthing_default">'Step 4--Breeding &amp; Health'!$AD$111</definedName>
    <definedName name="F3_Age_at_1st_Birthing_projected">'Step 4--Breeding &amp; Health'!$AD$113</definedName>
    <definedName name="F3_Age_at_1st_Birthing_reported">'Step 4--Breeding &amp; Health'!$AD$109</definedName>
    <definedName name="F3_Age_at_1st_Breeding">'Chosen Parameters-Part I'!$D$53</definedName>
    <definedName name="F3_Age_at_1st_Breeding_default">'Step 4--Breeding &amp; Health'!$AI$13</definedName>
    <definedName name="F3_Age_at_1st_Breeding_reported">'Step 4--Breeding &amp; Health'!$AI$11</definedName>
    <definedName name="F3_Age_at_EOL">'Chosen Parameters-Part I'!$D$93</definedName>
    <definedName name="F3_Age_at_EOL_projected">'Step 4--Breeding &amp; Health'!$AD$145</definedName>
    <definedName name="F3_Age_at_EOL_reported">'Step 4--Breeding &amp; Health'!$AD$143</definedName>
    <definedName name="F3_Annual_Bull_Calves">'Step 5--Total Production'!$W$29</definedName>
    <definedName name="F3_Annual_Heifer_Calves">'Step 5--Total Production'!$W$27</definedName>
    <definedName name="F3_Annual_Total_Calves">'Step 5--Total Production'!$W$31</definedName>
    <definedName name="F3_Avg_Annual_Milk_Production_ECM">'Step 5--Total Production'!$W$21</definedName>
    <definedName name="F3_Avg_Annual_Milk_Production_Unadjusted">'Step 5--Total Production'!$W$19</definedName>
    <definedName name="F3_Bo">'Step 14b-Greenhouse Gas Factors'!$C$36</definedName>
    <definedName name="F3_Breeding_Method">'Chosen Parameters-Part I'!$D$50</definedName>
    <definedName name="F3_Bull_Calves_in_Life">'Step 4--Breeding &amp; Health'!$AC$130</definedName>
    <definedName name="F3_Bull_Can_Impregnate">'Chosen Parameters-Part I'!$D$18</definedName>
    <definedName name="F3_Bull_Can_Impregnate_default">'Step 1 -- Herd Profile'!$Z$116</definedName>
    <definedName name="F3_Bull_Units">'Step 1 -- Herd Profile'!$AC$120</definedName>
    <definedName name="F3_Bulls">'Step 1 -- Herd Profile'!$Z$120</definedName>
    <definedName name="F3_Calf_Dressing_Rate">'Step 5--Total Production'!$W$49</definedName>
    <definedName name="F3_Calf_Weight_default">'Step 1 -- Herd Profile'!$Z$147</definedName>
    <definedName name="F3_Calf_Weight_kg">'Chosen Parameters-Part I'!$D$25</definedName>
    <definedName name="F3_Calf_Weight_lb">'Chosen Parameters-Part I'!$D$31</definedName>
    <definedName name="F3_Calf_Weight_reported">'Step 1 -- Herd Profile'!$Z$145</definedName>
    <definedName name="F3_Calving_Interval">'Chosen Parameters-Part I'!$D$89</definedName>
    <definedName name="F3_Calving_Interval_projected">'Step 4--Breeding &amp; Health'!$AD$102</definedName>
    <definedName name="F3_Calving_Interval_reported">'Step 4--Breeding &amp; Health'!$AD$100</definedName>
    <definedName name="F3_Calving_to_1st_Breeding_Attempt">'Chosen Parameters-Part I'!$D$59</definedName>
    <definedName name="F3_Calving_to_1st_Breeding_Attempt_default">'Step 4--Breeding &amp; Health'!$AD$20</definedName>
    <definedName name="F3_Calving_to_1st_Breeding_Attempt_reported">'Step 4--Breeding &amp; Health'!$AD$18</definedName>
    <definedName name="F3_Climate">'Chosen Parameters-Part IV'!$D$7</definedName>
    <definedName name="F3_Cow_Breeding_Attempts">'Chosen Parameters-Part I'!$D$61</definedName>
    <definedName name="F3_Cow_Breeding_Attempts_default">'Step 4--Breeding &amp; Health'!$AD$33</definedName>
    <definedName name="F3_Cow_Breeding_Attempts_reported">'Step 4--Breeding &amp; Health'!$AD$31</definedName>
    <definedName name="F3_Cow_Days_Between_Breeding_Attempts">'Chosen Parameters-Part I'!$D$62</definedName>
    <definedName name="F3_Cow_Days_between_Breeding_Attempts_default">'Step 4--Breeding &amp; Health'!$AD$39</definedName>
    <definedName name="F3_Cow_Days_between_Breeding_Attempts_projected">'Step 4--Breeding &amp; Health'!$AD$41</definedName>
    <definedName name="F3_Cow_Days_between_Breeding_Attempts_reported">'Step 4--Breeding &amp; Health'!$AD$37</definedName>
    <definedName name="F3_Cow_Dressing_Rate">'Step 5--Total Production'!$W$40</definedName>
    <definedName name="F3_Cow_Failure_to_Breed_Rate">'Chosen Parameters-Part I'!$D$60</definedName>
    <definedName name="F3_Cow_Failure_to_Breed_Rate_default">'Step 4--Breeding &amp; Health'!$AD$26</definedName>
    <definedName name="F3_Cow_Failure_to_Breed_Rate_reported">'Step 4--Breeding &amp; Health'!$AD$24</definedName>
    <definedName name="F3_Cull_Rate_Dry_Cows">'Chosen Parameters-Part I'!$D$12</definedName>
    <definedName name="F3_Cull_Rate_Dry_Cows_default">'Step 1 -- Herd Profile'!$Z$49</definedName>
    <definedName name="F3_Cull_Rate_Dry_Cows_reported">'Step 1 -- Herd Profile'!$Z$47</definedName>
    <definedName name="F3_Cull_Rate_Involuntary_Lact_Cows">'Chosen Parameters-Part I'!$D$9</definedName>
    <definedName name="F3_Cull_Rate_Involuntary_Lact_Cows_default">'Step 1 -- Herd Profile'!$Z$28</definedName>
    <definedName name="F3_Cull_Rate_Involuntary_Lact_Cows_reported">'Step 1 -- Herd Profile'!$Z$26</definedName>
    <definedName name="F3_Cull_Rate_Voluntary_Lact_Cows">'Chosen Parameters-Part I'!$D$10</definedName>
    <definedName name="F3_Cull_Rate_Voluntary_Lact_Cows_default">'Step 1 -- Herd Profile'!$Z$34</definedName>
    <definedName name="F3_Cull_Rate_Voluntary_Lact_Cows_reported">'Step 1 -- Herd Profile'!$Z$32</definedName>
    <definedName name="F3_Days_in_Diverted_Milk">'Chosen Parameters-Part I'!$D$92</definedName>
    <definedName name="F3_Days_in_Diverted_Milk_default">'Step 4--Breeding &amp; Health'!$AD$139</definedName>
    <definedName name="F3_Days_in_Diverted_Milk_reported">'Step 4--Breeding &amp; Health'!$AD$137</definedName>
    <definedName name="F3_Death_Rate_Dry_Cows">'Chosen Parameters-Part I'!$D$13</definedName>
    <definedName name="F3_Death_Rate_Dry_Cows_default">'Step 1 -- Herd Profile'!$Z$54</definedName>
    <definedName name="F3_Death_Rate_Dry_Cows_reported">'Step 1 -- Herd Profile'!$Z$52</definedName>
    <definedName name="F3_Death_Rate_Heifers">'Chosen Parameters-Part I'!$D$15</definedName>
    <definedName name="F3_Death_Rate_Heifers_default">'Step 1 -- Herd Profile'!$Z$70</definedName>
    <definedName name="F3_Death_Rate_Heifers_reported">'Step 1 -- Herd Profile'!$Z$68</definedName>
    <definedName name="F3_Death_Rate_Lact_Cows">'Chosen Parameters-Part I'!$D$11</definedName>
    <definedName name="F3_Death_Rate_Lact_Cows_default">'Step 1 -- Herd Profile'!$Z$39</definedName>
    <definedName name="F3_Death_Rate_Lact_Cows_reported">'Step 1 -- Herd Profile'!$Z$37</definedName>
    <definedName name="F3_Death_Rate_Unweaned_Heifers">'Chosen Parameters-Part I'!$D$17</definedName>
    <definedName name="F3_Death_Rate_Unweaned_Heifers_default">'Step 1 -- Herd Profile'!$Z$106</definedName>
    <definedName name="F3_Death_Rate_Unweaned_Heifers_reported">'Step 1 -- Herd Profile'!$Z$104</definedName>
    <definedName name="F3_Death_Rate_Weaned_Heifers">'Chosen Parameters-Part I'!$D$16</definedName>
    <definedName name="F3_Death_Rate_Weaned_Heifers_default">'Step 1 -- Herd Profile'!$Z$91</definedName>
    <definedName name="F3_Death_Rate_Weaned_Heifers_reported">'Step 1 -- Herd Profile'!$Z$89</definedName>
    <definedName name="F3_Diet_Digestibility">'Chosen Parameters-Part IV'!$D$19</definedName>
    <definedName name="F3_Diet_Digestibility_projected">'Step 14b-Greenhouse Gas Factors'!$D$42</definedName>
    <definedName name="F3_Diet_Digestibility_reported">'Step 14b-Greenhouse Gas Factors'!$D$40</definedName>
    <definedName name="F3_Dietary_CP_Calf">'Chosen Parameters-Part II'!$D$117</definedName>
    <definedName name="F3_Dietary_CP_Calf_projected">'Step 12--Dietary Intake'!$R$78</definedName>
    <definedName name="F3_Dietary_CP_Calf_reported">'Step 12--Dietary Intake'!$R$76</definedName>
    <definedName name="F3_Dietary_CP_Dry_Cow">'Chosen Parameters-Part II'!$D$109</definedName>
    <definedName name="F3_Dietary_CP_Dry_Cow_projected">'Step 12--Dietary Intake'!$R$34</definedName>
    <definedName name="F3_Dietary_CP_Dry_Cow_reported">'Step 12--Dietary Intake'!$R$32</definedName>
    <definedName name="F3_Dietary_CP_Heifer">'Chosen Parameters-Part II'!$D$113</definedName>
    <definedName name="F3_Dietary_CP_Heifer_projected">'Step 12--Dietary Intake'!$R$56</definedName>
    <definedName name="F3_Dietary_CP_Heifer_reported">'Step 12--Dietary Intake'!$R$54</definedName>
    <definedName name="F3_Dietary_CP_Lact_Cow">'Chosen Parameters-Part II'!$D$105</definedName>
    <definedName name="F3_Dietary_CP_Lact_Cow_projected">'Step 12--Dietary Intake'!$R$12</definedName>
    <definedName name="F3_Dietary_CP_Lact_Cow_reported">'Step 12--Dietary Intake'!$R$10</definedName>
    <definedName name="F3_Dietary_K_Calf">'Chosen Parameters-Part II'!$D$119</definedName>
    <definedName name="F3_Dietary_K_Calf_projected">'Step 12--Dietary Intake'!$R$92</definedName>
    <definedName name="F3_Dietary_K_Calf_reported">'Step 12--Dietary Intake'!$R$90</definedName>
    <definedName name="F3_Dietary_K_Dry_Cow">'Chosen Parameters-Part II'!$D$111</definedName>
    <definedName name="F3_Dietary_K_Dry_Cow_projected">'Step 12--Dietary Intake'!$R$48</definedName>
    <definedName name="F3_Dietary_K_Dry_Cow_reported">'Step 12--Dietary Intake'!$R$46</definedName>
    <definedName name="F3_Dietary_K_Heifer">'Chosen Parameters-Part II'!$D$115</definedName>
    <definedName name="F3_Dietary_K_Heifer_projected">'Step 12--Dietary Intake'!$R$70</definedName>
    <definedName name="F3_Dietary_K_Heifer_reported">'Step 12--Dietary Intake'!$R$68</definedName>
    <definedName name="F3_Dietary_K_Lact_Cow">'Chosen Parameters-Part II'!$D$107</definedName>
    <definedName name="F3_Dietary_K_Lact_Cow_projected">'Step 12--Dietary Intake'!$R$26</definedName>
    <definedName name="F3_Dietary_K_Lact_Cow_reported">'Step 12--Dietary Intake'!$R$24</definedName>
    <definedName name="F3_Dietary_P_Calf">'Chosen Parameters-Part II'!$D$118</definedName>
    <definedName name="F3_Dietary_P_Calf_projected">'Step 12--Dietary Intake'!$R$85</definedName>
    <definedName name="F3_Dietary_P_Calf_reported">'Step 12--Dietary Intake'!$R$83</definedName>
    <definedName name="F3_Dietary_P_Dry_Cow">'Chosen Parameters-Part II'!$D$110</definedName>
    <definedName name="F3_Dietary_P_Dry_Cow_projected">'Step 12--Dietary Intake'!$R$41</definedName>
    <definedName name="F3_Dietary_P_Dry_Cow_reported">'Step 12--Dietary Intake'!$R$39</definedName>
    <definedName name="F3_Dietary_P_Heifer">'Chosen Parameters-Part II'!$D$114</definedName>
    <definedName name="F3_Dietary_P_Heifer_projected">'Step 12--Dietary Intake'!$R$63</definedName>
    <definedName name="F3_Dietary_P_Heifer_reported">'Step 12--Dietary Intake'!$R$61</definedName>
    <definedName name="F3_Dietary_P_Lact_Cow">'Chosen Parameters-Part II'!$D$106</definedName>
    <definedName name="F3_Dietary_P_Lact_Cow_projected">'Step 12--Dietary Intake'!$R$19</definedName>
    <definedName name="F3_Dietary_P_Lact_Cow_reported">'Step 12--Dietary Intake'!$R$17</definedName>
    <definedName name="F3_Digestible_Energy">'Chosen Parameters-Part IV'!$D$21</definedName>
    <definedName name="F3_Digestible_Energy_projected">'Step 14b-Greenhouse Gas Factors'!$D$65</definedName>
    <definedName name="F3_Digestible_Energy_reported">'Step 14b-Greenhouse Gas Factors'!$D$63</definedName>
    <definedName name="F3_DIM">'Step 3--Lactation Profile'!$Y$11</definedName>
    <definedName name="F3_DME_Calf_Day_kg">'Chosen Parameters-Part III'!$D$26</definedName>
    <definedName name="F3_DME_Calf_projected_kg">'Step 13b--Nutrient Excretions'!$F$114</definedName>
    <definedName name="F3_DME_Calf_reported_kg">'Step 13b--Nutrient Excretions'!$F$112</definedName>
    <definedName name="F3_DME_Dry_Cow_Day_kg">'Chosen Parameters-Part III'!$D$14</definedName>
    <definedName name="F3_DME_Dry_Cow_projected_kg">'Step 13b--Nutrient Excretions'!$F$52</definedName>
    <definedName name="F3_DME_Dry_Cow_reported_kg">'Step 13b--Nutrient Excretions'!$F$50</definedName>
    <definedName name="F3_DME_Heifer_Day_kg">'Chosen Parameters-Part III'!$D$20</definedName>
    <definedName name="F3_DME_Heifer_Projected_kg">'Step 13b--Nutrient Excretions'!$F$83</definedName>
    <definedName name="F3_DME_Heifer_reported_kg">'Step 13b--Nutrient Excretions'!$F$81</definedName>
    <definedName name="F3_DME_Lact_Cow_Day_kg">'Chosen Parameters-Part III'!$D$8</definedName>
    <definedName name="F3_DME_Lact_Cow_Day_lb">'Results Table-Part III'!$Q$19</definedName>
    <definedName name="F3_DME_Lact_Cow_Life_kg">'Results Table-Part III'!$T$21</definedName>
    <definedName name="F3_DME_Lact_Cow_Life_lb">'Results Table-Part III'!$Q$21</definedName>
    <definedName name="F3_DME_Lact_Cow_projected_kg">'Step 13b--Nutrient Excretions'!$F$17</definedName>
    <definedName name="F3_DME_Lact_Cow_reported_kg">'Step 13b--Nutrient Excretions'!$F$15</definedName>
    <definedName name="F3_DMI_Dry_Cow_kg">'Chosen Parameters-Part II'!$D$16</definedName>
    <definedName name="F3_DMI_Dry_Cow_lb">'Chosen Parameters-Part II'!$D$12</definedName>
    <definedName name="F3_DMI_Dry_Cow_projected_kg">'Step 6--DMI Required'!$AA$41</definedName>
    <definedName name="F3_DMI_Dry_Cow_reported_kg">'Step 6--DMI Required'!$AA$39</definedName>
    <definedName name="F3_DMI_Heifer_Calf_kg">'Chosen Parameters-Part II'!$D$18</definedName>
    <definedName name="F3_DMI_Heifer_Calf_lb">'Chosen Parameters-Part II'!$D$14</definedName>
    <definedName name="F3_DMI_Heifer_Calf_projected_kg">'Step 6--DMI Required'!$AA$55</definedName>
    <definedName name="F3_DMI_Heifer_Calf_reported_kg">'Step 6--DMI Required'!$AA$53</definedName>
    <definedName name="F3_DMI_Heifer_kg">'Chosen Parameters-Part II'!$D$17</definedName>
    <definedName name="F3_DMI_Heifer_lb">'Chosen Parameters-Part II'!$D$13</definedName>
    <definedName name="F3_DMI_Heifer_projected_kg">'Step 6--DMI Required'!$AA$48</definedName>
    <definedName name="F3_DMI_Heifer_reported_kg">'Step 6--DMI Required'!$AA$46</definedName>
    <definedName name="F3_DMI_Lact_Cow_at_Milk_Production_kg_default">'Step 6--DMI Required'!$AA$19</definedName>
    <definedName name="F3_DMI_Lact_Cow_at_Milk_Production_kg_reported">'Step 6--DMI Required'!$AA$17</definedName>
    <definedName name="F3_DMI_Lact_Cow_at_Milk_Production_lb_default">'Step 6--DMI Required'!$X$19</definedName>
    <definedName name="F3_DMI_Lact_Cow_at_Milk_Production_lb_reported">'Step 6--DMI Required'!$X$17</definedName>
    <definedName name="F3_DMI_Lact_Cow_kg">'Chosen Parameters-Part II'!$D$9</definedName>
    <definedName name="F3_DMI_Lact_Cow_lb">'Chosen Parameters-Part II'!$D$8</definedName>
    <definedName name="F3_Dry_Cow_Units">'Step 1 -- Herd Profile'!$AC$20</definedName>
    <definedName name="F3_Dry_Cow_Weight_default">'Step 1 -- Herd Profile'!$Z$135</definedName>
    <definedName name="F3_Dry_Cow_Weight_kg">'Chosen Parameters-Part I'!$D$23</definedName>
    <definedName name="F3_Dry_Cow_Weight_lb">'Chosen Parameters-Part I'!$D$29</definedName>
    <definedName name="F3_Dry_Cow_Weight_reported">'Step 1 -- Herd Profile'!$Z$133</definedName>
    <definedName name="F3_Dry_Cows">'Step 1 -- Herd Profile'!$Z$17</definedName>
    <definedName name="F3_Dryoff_Period">'Chosen Parameters-Part I'!$D$47</definedName>
    <definedName name="F3_Dryoff_Period_default">'Step 3--Lactation Profile'!$Z$43</definedName>
    <definedName name="F3_Dryoff_Period_reported">'Step 3--Lactation Profile'!$Z$41</definedName>
    <definedName name="F3_ECM_Production_kg_day">'Step 3--Lactation Profile'!$AC$26</definedName>
    <definedName name="F3_ECM_Production_lb_day">'Step 3--Lactation Profile'!$Y$26</definedName>
    <definedName name="F3_ECM_Production_Life_lb">'Step 5--Total Production'!$W$11</definedName>
    <definedName name="F3_Embryonic_Loss_Days_Cows">'Chosen Parameters-Part I'!$D$83</definedName>
    <definedName name="F3_Embryonic_Loss_Days_Cows_default">'Step 4--Breeding &amp; Health'!$AD$74</definedName>
    <definedName name="F3_Embryonic_Loss_Days_Cows_reported">'Step 4--Breeding &amp; Health'!$AD$72</definedName>
    <definedName name="F3_Embryonic_Loss_Days_Heifers">'Chosen Parameters-Part I'!$D$71</definedName>
    <definedName name="F3_Embryonic_Loss_Days_Heifers_default">'Step 4--Breeding &amp; Health'!$AI$74</definedName>
    <definedName name="F3_Embryonic_Loss_Days_Heifers_reported">'Step 4--Breeding &amp; Health'!$AI$72</definedName>
    <definedName name="F3_Embryonic_Loss_Rate_Cows">'Chosen Parameters-Part I'!$D$82</definedName>
    <definedName name="F3_Embryonic_Loss_Rate_Cows_default">'Step 4--Breeding &amp; Health'!$AD$68</definedName>
    <definedName name="F3_Embryonic_Loss_Rate_Cows_reported">'Step 4--Breeding &amp; Health'!$AD$66</definedName>
    <definedName name="F3_Embryonic_Loss_Rate_Heifers">'Chosen Parameters-Part I'!$D$70</definedName>
    <definedName name="F3_Embryonic_Loss_Rate_Heifers_default">'Step 4--Breeding &amp; Health'!$AI$68</definedName>
    <definedName name="F3_Embryonic_Loss_Rate_Heifers_reported">'Step 4--Breeding &amp; Health'!$AI$66</definedName>
    <definedName name="F3_Fat_Content_kg">'Step 3--Lactation Profile'!$AC$30</definedName>
    <definedName name="F3_Fat_Content_lb">'Step 3--Lactation Profile'!$Y$30</definedName>
    <definedName name="F3_Gestation_Period">'Step 4--Breeding &amp; Health'!$AD$105</definedName>
    <definedName name="F3_Gross_Energy">'Chosen Parameters-Part IV'!$D$22</definedName>
    <definedName name="F3_Gross_Energy_projected">'Step 14b-Greenhouse Gas Factors'!$D$72</definedName>
    <definedName name="F3_Gross_Energy_reported">'Step 14b-Greenhouse Gas Factors'!$D$70</definedName>
    <definedName name="F3_Grown_Calf_Weight_default">'Step 1 -- Herd Profile'!$Z$153</definedName>
    <definedName name="F3_Grown_Calf_Weight_kg">'Chosen Parameters-Part I'!$D$26</definedName>
    <definedName name="F3_Grown_Calf_Weight_lb">'Chosen Parameters-Part I'!$D$32</definedName>
    <definedName name="F3_Grown_Calf_Weight_reported">'Step 1 -- Herd Profile'!$Z$151</definedName>
    <definedName name="F3_Heifer_Breeding_Attempts">'Chosen Parameters-Part I'!$D$55</definedName>
    <definedName name="F3_Heifer_Breeding_Attempts_default">'Step 4--Breeding &amp; Health'!$AI$33</definedName>
    <definedName name="F3_Heifer_Breeding_Attempts_reported">'Step 4--Breeding &amp; Health'!$AI$31</definedName>
    <definedName name="F3_Heifer_Calf">'Step 1 -- Herd Profile'!$Z$94</definedName>
    <definedName name="F3_Heifer_Calf_Units">'Step 1 -- Herd Profile'!$AC$98</definedName>
    <definedName name="F3_Heifer_Calves_in_Life">'Step 4--Breeding &amp; Health'!$AC$128</definedName>
    <definedName name="F3_Heifer_Days_Between_Breeding_Attempts">'Chosen Parameters-Part I'!$D$56</definedName>
    <definedName name="F3_Heifer_Days_between_Breeding_Attempts_default">'Step 4--Breeding &amp; Health'!$AI$39</definedName>
    <definedName name="F3_Heifer_Days_between_Breeding_Attempts_projected">'Step 4--Breeding &amp; Health'!$AI$41</definedName>
    <definedName name="F3_Heifer_Days_between_Breeding_Attempts_reported">'Step 4--Breeding &amp; Health'!$AI$37</definedName>
    <definedName name="F3_Heifer_Failure_to_Breed_Rate">'Chosen Parameters-Part I'!$D$54</definedName>
    <definedName name="F3_Heifer_Failure_to_Breed_Rate_default">'Step 4--Breeding &amp; Health'!$AI$26</definedName>
    <definedName name="F3_Heifer_Failure_to_Breed_Rate_reported">'Step 4--Breeding &amp; Health'!$AI$24</definedName>
    <definedName name="F3_Heifer_Units">'Step 1 -- Herd Profile'!$AC$84</definedName>
    <definedName name="F3_Heifer_Weight_default">'Step 1 -- Herd Profile'!$Z$141</definedName>
    <definedName name="F3_Heifer_Weight_kg">'Chosen Parameters-Part I'!$D$24</definedName>
    <definedName name="F3_Heifer_Weight_lb">'Chosen Parameters-Part I'!$D$30</definedName>
    <definedName name="F3_Heifer_Weight_reported">'Step 1 -- Herd Profile'!$Z$139</definedName>
    <definedName name="F3_Heifers">'Step 1 -- Herd Profile'!$Z$80</definedName>
    <definedName name="F3_Heifers_to_be_Born">'Step 1 -- Herd Profile'!$Z$109</definedName>
    <definedName name="F3_Herbicide_per_Lactation_kg">'Step 11b--Inputs'!$U$61</definedName>
    <definedName name="F3_Herbicide_per_Lactation_lb">'Step 11b--Inputs'!$U$63</definedName>
    <definedName name="F3_Herbicides_Calf_day">'Step 11b--Inputs Detail'!$AL$59</definedName>
    <definedName name="F3_Herbicides_Dry_Cow_day">'Step 11b--Inputs Detail'!$V$59</definedName>
    <definedName name="F3_Herbicides_Heifer_day">'Step 11b--Inputs Detail'!$AD$59</definedName>
    <definedName name="F3_Herbicides_Lact_Cow_day">'Step 11b--Inputs Detail'!$N$59</definedName>
    <definedName name="F3_Insecticide_per_Lactation_kg">'Step 11b--Inputs'!$X$61</definedName>
    <definedName name="F3_Insecticide_per_Lactation_lb">'Step 11b--Inputs'!$X$63</definedName>
    <definedName name="F3_Insecticides_Calf_day">'Step 11b--Inputs Detail'!$AN$59</definedName>
    <definedName name="F3_Insecticides_Dry_Cow_day">'Step 11b--Inputs Detail'!$X$59</definedName>
    <definedName name="F3_Insecticides_Heifer_day">'Step 11b--Inputs Detail'!$AF$59</definedName>
    <definedName name="F3_Insecticides_Lact_Cow_day">'Step 11b--Inputs Detail'!$P$59</definedName>
    <definedName name="F3_KE_Calf_Day_kg">'Chosen Parameters-Part III'!$D$29</definedName>
    <definedName name="F3_KE_Calf_projected_kg">'Step 13b--Nutrient Excretions'!$F$132</definedName>
    <definedName name="F3_KE_Calf_reported_kg">'Step 13b--Nutrient Excretions'!$F$130</definedName>
    <definedName name="F3_KE_Dry_Cow_Day_kg">'Chosen Parameters-Part III'!$D$17</definedName>
    <definedName name="F3_KE_Dry_Cow_projected_kg">'Step 13b--Nutrient Excretions'!$F$70</definedName>
    <definedName name="F3_KE_Dry_Cow_reported_kg">'Step 13b--Nutrient Excretions'!$F$68</definedName>
    <definedName name="F3_KE_Heifer_Day_kg">'Chosen Parameters-Part III'!$D$23</definedName>
    <definedName name="F3_KE_Heifer_projected_kg">'Step 13b--Nutrient Excretions'!$F$101</definedName>
    <definedName name="F3_KE_Heifer_reported_kg">'Step 13b--Nutrient Excretions'!$F$99</definedName>
    <definedName name="F3_KE_Lact_Cow_Day_kg">'Chosen Parameters-Part III'!$D$11</definedName>
    <definedName name="F3_KE_Lact_Cow_Day_lb">'Results Table-Part III'!$Q$46</definedName>
    <definedName name="F3_KE_Lact_Cow_Life_kg">'Results Table-Part III'!$T$48</definedName>
    <definedName name="F3_KE_Lact_Cow_Life_lb">'Results Table-Part III'!$Q$48</definedName>
    <definedName name="F3_KE_Lact_Cow_projected_kg">'Step 13b--Nutrient Excretions'!$F$39</definedName>
    <definedName name="F3_KE_Lact_Cow_reported_kg">'Step 13b--Nutrient Excretions'!$F$37</definedName>
    <definedName name="F3_Lact_Cow_Weight_default">'Step 1 -- Herd Profile'!$Z$129</definedName>
    <definedName name="F3_Lact_Cow_Weight_kg">'Chosen Parameters-Part I'!$D$22</definedName>
    <definedName name="F3_Lact_Cow_Weight_lb">'Chosen Parameters-Part I'!$D$28</definedName>
    <definedName name="F3_Lact_Cow_Weight_reported">'Step 1 -- Herd Profile'!$Z$127</definedName>
    <definedName name="F3_Lact_Cows">'Chosen Parameters-Part I'!$D$7</definedName>
    <definedName name="F3_Lact_Cows_projected">'Step 1 -- Herd Profile'!$Z$13</definedName>
    <definedName name="F3_Lact_Cows_reported">'Step 1 -- Herd Profile'!$Z$11</definedName>
    <definedName name="F3_Length_of_Lactation">'Chosen Parameters-Part I'!$D$46</definedName>
    <definedName name="F3_Length_of_Lactation_projected">'Step 3--Lactation Profile'!$Z$36</definedName>
    <definedName name="F3_Length_of_Lactation_reported">'Step 3--Lactation Profile'!$Z$34</definedName>
    <definedName name="F3_Market_Value_Bull_Calf">'Chosen Parameters-Part I'!$D$107</definedName>
    <definedName name="F3_Market_Value_Bull_Calf_default">'Step 5--Total Production'!$X$109</definedName>
    <definedName name="F3_Market_Value_Bull_Calf_reported">'Step 5--Total Production'!$X$107</definedName>
    <definedName name="F3_Market_Value_Heifer_Calf">'Chosen Parameters-Part I'!$D$106</definedName>
    <definedName name="F3_Market_Value_Heifer_Calf_default">'Step 5--Total Production'!$X$103</definedName>
    <definedName name="F3_Market_Value_Heifer_Calf_reported">'Step 5--Total Production'!$X$101</definedName>
    <definedName name="F3_MCF">'Chosen Parameters-Part IV'!$D$18</definedName>
    <definedName name="F3_MCF_projected">'Step 14b-Greenhouse Gas Factors'!$D$33</definedName>
    <definedName name="F3_MCF_reported">'Step 14b-Greenhouse Gas Factors'!$D$31</definedName>
    <definedName name="F3_Meat_Price_Calf">'Chosen Parameters-Part I'!$D$105</definedName>
    <definedName name="F3_Meat_Price_Calf_default">'Step 5--Total Production'!$X$86</definedName>
    <definedName name="F3_Meat_Price_Calf_reported">'Step 5--Total Production'!$X$84</definedName>
    <definedName name="F3_Meat_Price_Cow">'Chosen Parameters-Part I'!$D$104</definedName>
    <definedName name="F3_Meat_Price_Cow_default">'Step 5--Total Production'!$X$80</definedName>
    <definedName name="F3_Meat_Price_Cow_reported">'Step 5--Total Production'!$X$78</definedName>
    <definedName name="F3_Meat_Production_from_Calves">'Step 5--Total Production'!$W$51</definedName>
    <definedName name="F3_Meat_Production_from_Cow">'Step 5--Total Production'!$W$42</definedName>
    <definedName name="F3_Methane_Enteric_Calf_Day_kg">'Chosen Parameters-Part IV'!$D$36</definedName>
    <definedName name="F3_Methane_Enteric_Calf_Day_lb">'Results Table-Part IV'!$Q$38</definedName>
    <definedName name="F3_Methane_Enteric_Dry_Cow_Day_kg">'Chosen Parameters-Part IV'!$D$30</definedName>
    <definedName name="F3_Methane_Enteric_Dry_Cow_Day_lb">'Results Table-Part IV'!$Q$36</definedName>
    <definedName name="F3_Methane_Enteric_Heifer_Day_kg">'Chosen Parameters-Part IV'!$D$33</definedName>
    <definedName name="F3_Methane_Enteric_Heifer_Day_lb">'Results Table-Part IV'!$Q$37</definedName>
    <definedName name="F3_Methane_Enteric_Lact_Cow_Day_kg">'Chosen Parameters-Part IV'!$D$27</definedName>
    <definedName name="F3_Methane_Enteric_Lact_Cow_Day_lb">'Results Table-Part IV'!$Q$10</definedName>
    <definedName name="F3_Methane_Enteric_Lact_Cow_Life_kg">'Results Table-Part IV'!$T$12</definedName>
    <definedName name="F3_Methane_Enteric_Lact_Cow_Life_lb">'Results Table-Part IV'!$Q$12</definedName>
    <definedName name="F3_Methane_Manure_Calf_Day_kg">'Chosen Parameters-Part IV'!$D$37</definedName>
    <definedName name="F3_Methane_Manure_Calf_Day_lb">'Results Table-Part IV'!$Q$44</definedName>
    <definedName name="F3_Methane_Manure_Dry_Cow_Day_kg">'Chosen Parameters-Part IV'!$D$31</definedName>
    <definedName name="F3_Methane_Manure_Dry_Cow_Day_lb">'Results Table-Part IV'!$Q$42</definedName>
    <definedName name="F3_Methane_Manure_Heifer_Day_kg">'Chosen Parameters-Part IV'!$D$34</definedName>
    <definedName name="F3_Methane_Manure_Heifer_Day_lb">'Results Table-Part IV'!$Q$43</definedName>
    <definedName name="F3_Methane_Manure_Lact_Cow_Day_kg">'Chosen Parameters-Part IV'!$D$28</definedName>
    <definedName name="F3_Methane_Manure_Lact_Cow_Day_lb">'Results Table-Part IV'!$Q$19</definedName>
    <definedName name="F3_Methane_Manure_Lact_Cow_Life_kg">'Results Table-Part IV'!$T$21</definedName>
    <definedName name="F3_Methane_Manure_Lact_Cow_Life_lb">'Results Table-Part IV'!$Q$21</definedName>
    <definedName name="F3_Milk_Price">'Chosen Parameters-Part I'!$D$101</definedName>
    <definedName name="F3_Milk_Price_default">'Step 5--Total Production'!$X$61</definedName>
    <definedName name="F3_Milk_Price_reported">'Step 5--Total Production'!$X$59</definedName>
    <definedName name="F3_NE_activity">'Step 14b-Greenhouse Gas Factors'!$C$50</definedName>
    <definedName name="F3_NE_Calf_Day_kg">'Chosen Parameters-Part III'!$D$27</definedName>
    <definedName name="F3_NE_Calf_projected_kg">'Step 13b--Nutrient Excretions'!$F$120</definedName>
    <definedName name="F3_NE_Calf_reported_kg">'Step 13b--Nutrient Excretions'!$F$118</definedName>
    <definedName name="F3_NE_Dry_Cow_Day_kg">'Chosen Parameters-Part III'!$D$15</definedName>
    <definedName name="F3_NE_Dry_Cow_projected_kg">'Step 13b--Nutrient Excretions'!$F$58</definedName>
    <definedName name="F3_NE_Dry_Cow_reported_kg">'Step 13b--Nutrient Excretions'!$F$56</definedName>
    <definedName name="F3_NE_Heifer_Day_kg">'Chosen Parameters-Part III'!$D$21</definedName>
    <definedName name="F3_NE_Heifer_projected_kg">'Step 13b--Nutrient Excretions'!$F$89</definedName>
    <definedName name="F3_NE_Heifer_reported_kg">'Step 13b--Nutrient Excretions'!$F$87</definedName>
    <definedName name="F3_NE_Lact_Cow_Day_kg">'Chosen Parameters-Part III'!$D$9</definedName>
    <definedName name="F3_NE_Lact_Cow_Day_lb">'Results Table-Part III'!$Q$28</definedName>
    <definedName name="F3_NE_Lact_Cow_Life_kg">'Results Table-Part III'!$T$30</definedName>
    <definedName name="F3_NE_Lact_Cow_Life_lb">'Results Table-Part III'!$Q$30</definedName>
    <definedName name="F3_NE_Lact_Cow_projected_DCP_kg">'Step 13b--Nutrient Excretions'!$F$25</definedName>
    <definedName name="F3_NE_Lact_Cow_projected_Milk_kg">'Step 13b--Nutrient Excretions'!$F$23</definedName>
    <definedName name="F3_NE_Lact_Cow_reported_kg">'Step 13b--Nutrient Excretions'!$F$21</definedName>
    <definedName name="F3_NE_lactation">'Step 14b-Greenhouse Gas Factors'!$C$52</definedName>
    <definedName name="F3_NE_maintenance">'Step 14b-Greenhouse Gas Factors'!$C$48</definedName>
    <definedName name="F3_NE_pregnancy">'Step 14b-Greenhouse Gas Factors'!$C$54</definedName>
    <definedName name="F3_Nitrogen_Calf_day">'Step 11b--Inputs Detail'!$AJ$59</definedName>
    <definedName name="F3_Nitrogen_Dry_Cow_day">'Step 11b--Inputs Detail'!$T$59</definedName>
    <definedName name="F3_Nitrogen_Heifer_day">'Step 11b--Inputs Detail'!$AB$59</definedName>
    <definedName name="F3_Nitrogen_Lact_Cow_day">'Step 11b--Inputs Detail'!$L$59</definedName>
    <definedName name="F3_Nitrogen_per_Lactation_kg">'Step 11b--Inputs'!$R$61</definedName>
    <definedName name="F3_Nitrogen_per_Lactation_lb">'Step 11b--Inputs'!$R$63</definedName>
    <definedName name="F3_Number_of_Bull_Calves_Born">'Step 4--Breeding &amp; Health'!$AC$124</definedName>
    <definedName name="F3_Number_of_Heifer_Calves_Born">'Step 4--Breeding &amp; Health'!$AC$122</definedName>
    <definedName name="F3_Number_of_Lactations">'Chosen Parameters-Part I'!$D$94</definedName>
    <definedName name="F3_Number_of_Lactations_reported">'Step 4--Breeding &amp; Health'!$AD$152</definedName>
    <definedName name="F3_Organic">Options!$AG$24</definedName>
    <definedName name="F3_PE_Calf_Day_kg">'Chosen Parameters-Part III'!$D$28</definedName>
    <definedName name="F3_PE_Calf_projected_kg">'Step 13b--Nutrient Excretions'!$F$126</definedName>
    <definedName name="F3_PE_Calf_reported_kg">'Step 13b--Nutrient Excretions'!$F$124</definedName>
    <definedName name="F3_PE_Dry_Cow_Day_kg">'Chosen Parameters-Part III'!$D$16</definedName>
    <definedName name="F3_PE_Dry_Cow_projected_kg">'Step 13b--Nutrient Excretions'!$F$64</definedName>
    <definedName name="F3_PE_Dry_Cow_reported_kg">'Step 13b--Nutrient Excretions'!$F$62</definedName>
    <definedName name="F3_PE_Heifer_Day_kg">'Chosen Parameters-Part III'!$D$22</definedName>
    <definedName name="F3_PE_Heifer_projected_kg">'Step 13b--Nutrient Excretions'!$F$95</definedName>
    <definedName name="F3_PE_Heifer_reported_kg">'Step 13b--Nutrient Excretions'!$F$93</definedName>
    <definedName name="F3_PE_Lact_Cow_Day_kg">'Chosen Parameters-Part III'!$D$10</definedName>
    <definedName name="F3_PE_Lact_Cow_Day_lb">'Results Table-Part III'!$Q$37</definedName>
    <definedName name="F3_PE_Lact_Cow_Life_kg">'Results Table-Part III'!$T$39</definedName>
    <definedName name="F3_PE_Lact_Cow_Life_lb">'Results Table-Part III'!$Q$39</definedName>
    <definedName name="F3_PE_Lact_Cow_projected_DP_kg">'Step 13b--Nutrient Excretions'!$F$33</definedName>
    <definedName name="F3_PE_Lact_Cow_projected_Milk_kg">'Step 13b--Nutrient Excretions'!$F$31</definedName>
    <definedName name="F3_PE_Lact_Cow_reported_kg">'Step 13b--Nutrient Excretions'!$F$29</definedName>
    <definedName name="F3_Percent_Bull_Calves">'Step 4--Breeding &amp; Health'!$AC$120</definedName>
    <definedName name="F3_Percent_Heifer_Calves">'Step 4--Breeding &amp; Health'!$AC$118</definedName>
    <definedName name="F3_Percent_Live_Births">'Step 4--Breeding &amp; Health'!$AC$116</definedName>
    <definedName name="F3_Percent_Milk_Fat">'Step 3--Lactation Profile'!$Y$17</definedName>
    <definedName name="F3_Percent_Milk_Protein">'Step 3--Lactation Profile'!$Y$15</definedName>
    <definedName name="F3_Pounds_Available_for_Slaughter">'Step 5--Total Production'!$W$38</definedName>
    <definedName name="F3_Protein_Content_kg">'Step 3--Lactation Profile'!$AC$28</definedName>
    <definedName name="F3_Protein_Content_lb">'Step 3--Lactation Profile'!$Y$28</definedName>
    <definedName name="F3_REM">'Step 14b-Greenhouse Gas Factors'!$C$59</definedName>
    <definedName name="F3_Replacement_Heifers">'Step 1 -- Herd Profile'!$Z$62</definedName>
    <definedName name="F3_Revenue_from_Calf_Sales_year_of_life">'Step 5--Total Production'!$X$118</definedName>
    <definedName name="F3_Revenue_from_ECM_Milk_year_of_life_lb">'Step 5--Total Production'!$W$68</definedName>
    <definedName name="F3_Revenue_from_Meat_year_of_life">'Step 5--Total Production'!$X$96</definedName>
    <definedName name="F3_Revenue_from_Unadjusted_Milk_year_of_life_lb">'Step 5--Total Production'!$W$66</definedName>
    <definedName name="F3_TME_Calf_Day_kg">'Chosen Parameters-Part III'!$D$25</definedName>
    <definedName name="F3_TME_Calf_projected_kg">'Step 13b--Nutrient Excretions'!$F$108</definedName>
    <definedName name="F3_TME_Calf_reported_kg">'Step 13b--Nutrient Excretions'!$F$106</definedName>
    <definedName name="F3_TME_Dry_Cow_Day_kg">'Chosen Parameters-Part III'!$D$13</definedName>
    <definedName name="F3_TME_Dry_Cow_projected_kg">'Step 13b--Nutrient Excretions'!$F$46</definedName>
    <definedName name="F3_TME_Dry_Cow_reported_kg">'Step 13b--Nutrient Excretions'!$F$44</definedName>
    <definedName name="F3_TME_Heifer_Day_kg">'Chosen Parameters-Part III'!$D$19</definedName>
    <definedName name="F3_TME_Heifer_Projected_kg">'Step 13b--Nutrient Excretions'!$F$77</definedName>
    <definedName name="F3_TME_Heifer_reported_kg">'Step 13b--Nutrient Excretions'!$F$75</definedName>
    <definedName name="F3_TME_Lact_Cow_Day_kg">'Chosen Parameters-Part III'!$D$7</definedName>
    <definedName name="F3_TME_Lact_Cow_Day_lb">'Results Table-Part III'!$Q$10</definedName>
    <definedName name="F3_TME_Lact_Cow_Life_kg">'Results Table-Part III'!$T$12</definedName>
    <definedName name="F3_TME_Lact_Cow_Life_lb">'Results Table-Part III'!$Q$12</definedName>
    <definedName name="F3_TME_Lact_Cow_projected_kg">'Step 13b--Nutrient Excretions'!$F$11</definedName>
    <definedName name="F3_TME_Lact_Cow_reported_kg">'Step 13b--Nutrient Excretions'!$F$9</definedName>
    <definedName name="F3_Total_Calves_in_Life">'Step 4--Breeding &amp; Health'!$AC$132</definedName>
    <definedName name="F3_Total_DME_kg_day">'Step 13b--Nutrient Excretions'!$F$144</definedName>
    <definedName name="F3_Total_KE_kg_day">'Step 13b--Nutrient Excretions'!$F$150</definedName>
    <definedName name="F3_Total_ME_kg_day">'Step 13b--Nutrient Excretions'!$F$142</definedName>
    <definedName name="F3_Total_Meat_Production">'Step 5--Total Production'!$W$54</definedName>
    <definedName name="F3_Total_Methane_Lact_Cow_Day_kg">'Step 15b--CH4 Emissions'!$F$26</definedName>
    <definedName name="F3_Total_Methane_Lact_Cow_Day_lb">'Step 15b--CH4 Emissions'!$D$26</definedName>
    <definedName name="F3_Total_Methane_Lact_Cow_Life_kg">'Results Table-Part IV'!$T$30</definedName>
    <definedName name="F3_Total_Methane_Lact_Cow_Life_lb">'Results Table-Part IV'!$Q$30</definedName>
    <definedName name="F3_Total_NE_kg_day">'Step 13b--Nutrient Excretions'!$F$146</definedName>
    <definedName name="F3_Total_Net_Energy">'Step 14b-Greenhouse Gas Factors'!$C$56</definedName>
    <definedName name="F3_Total_PE_kg_day">'Step 13b--Nutrient Excretions'!$F$148</definedName>
    <definedName name="F3_Unadjusted_Milk_Production_kg_day">'Chosen Parameters-Part I'!$D$44</definedName>
    <definedName name="F3_Unadjusted_Milk_Production_kg_day_default">'Step 3--Lactation Profile'!$AC$24</definedName>
    <definedName name="F3_Unadjusted_Milk_Production_kg_day_reported">'Step 3--Lactation Profile'!$AC$22</definedName>
    <definedName name="F3_Unadjusted_Milk_Production_lb_day">'Chosen Parameters-Part I'!$D$43</definedName>
    <definedName name="F3_Unadjusted_Milk_Production_lb_day_default">'Step 3--Lactation Profile'!$Z$24</definedName>
    <definedName name="F3_Unadjusted_Milk_Production_lb_day_reported">'Step 3--Lactation Profile'!$Z$22</definedName>
    <definedName name="F3_Unadjusted_Milk_Production_Life_lb">'Step 5--Total Production'!$W$9</definedName>
    <definedName name="F3_Unsuccessful_Breeding_Cows_Days">'Chosen Parameters-Part I'!$D$79</definedName>
    <definedName name="F3_Unsuccessful_Breeding_Cows_Days_default">'Step 4--Breeding &amp; Health'!$AD$58</definedName>
    <definedName name="F3_Unsuccessful_Breeding_Cows_Days_reported">'Step 4--Breeding &amp; Health'!$AD$56</definedName>
    <definedName name="F3_Unsuccessful_Breeding_Cows_Percent">'Chosen Parameters-Part I'!$D$78</definedName>
    <definedName name="F3_Unsuccessful_Breeding_Cows_Percent_default">'Step 4--Breeding &amp; Health'!$AD$52</definedName>
    <definedName name="F3_Unsuccessful_Breeding_Cows_Percent_reported">'Step 4--Breeding &amp; Health'!$AD$50</definedName>
    <definedName name="F3_Unsuccessful_Breeding_Heifers_Days">'Chosen Parameters-Part I'!$D$67</definedName>
    <definedName name="F3_Unsuccessful_Breeding_Heifers_Days_default">'Step 4--Breeding &amp; Health'!$AI$58</definedName>
    <definedName name="F3_Unsuccessful_Breeding_Heifers_Days_reported">'Step 4--Breeding &amp; Health'!$AI$56</definedName>
    <definedName name="F3_Unsuccessful_Breeding_Heifers_Percent">'Chosen Parameters-Part I'!$D$66</definedName>
    <definedName name="F3_Unsuccessful_Breeding_Heifers_Percent_default">'Step 4--Breeding &amp; Health'!$AI$52</definedName>
    <definedName name="F3_Unsuccessful_Breeding_Heifers_Percent_reported">'Step 4--Breeding &amp; Health'!$AI$50</definedName>
    <definedName name="F3_VSP">'Chosen Parameters-Part IV'!$D$23</definedName>
    <definedName name="F3_VSP_projected">'Step 14b-Greenhouse Gas Factors'!$D$81</definedName>
    <definedName name="F3_VSP_reported">'Step 14b-Greenhouse Gas Factors'!$D$79</definedName>
    <definedName name="F3_Years_of_Productive_Life">'Step 4--Breeding &amp; Health'!$AD$148</definedName>
    <definedName name="F3_YM">'Step 14b-Greenhouse Gas Factors'!$C$75</definedName>
    <definedName name="F4_Abortion_Days_Cows">'Chosen Parameters-Part I'!$E$86</definedName>
    <definedName name="F4_Abortion_Days_Cows_default">'Step 4--Breeding &amp; Health'!$AQ$88</definedName>
    <definedName name="F4_Abortion_Days_Cows_reported">'Step 4--Breeding &amp; Health'!$AQ$86</definedName>
    <definedName name="F4_Abortion_Days_Heifers">'Chosen Parameters-Part I'!$E$74</definedName>
    <definedName name="F4_Abortion_Days_Heifers_default">'Step 4--Breeding &amp; Health'!$AV$88</definedName>
    <definedName name="F4_Abortion_Days_Heifers_reported">'Step 4--Breeding &amp; Health'!$AV$86</definedName>
    <definedName name="F4_Abortion_Rate_Cows">'Chosen Parameters-Part I'!$E$85</definedName>
    <definedName name="F4_Abortion_Rate_Cows_default">'Step 4--Breeding &amp; Health'!$AQ$82</definedName>
    <definedName name="F4_Abortion_Rate_Cows_reported">'Step 4--Breeding &amp; Health'!$AQ$80</definedName>
    <definedName name="F4_Abortion_Rate_Heifers">'Chosen Parameters-Part I'!$E$73</definedName>
    <definedName name="F4_Abortion_Rate_Heifers_default">'Step 4--Breeding &amp; Health'!$AV$82</definedName>
    <definedName name="F4_Abortion_Rate_Heifers_reported">'Step 4--Breeding &amp; Health'!$AV$80</definedName>
    <definedName name="F4_Age_at_1st_Birthing">'Chosen Parameters-Part I'!$E$90</definedName>
    <definedName name="F4_Age_at_1st_Birthing_default">'Step 4--Breeding &amp; Health'!$AQ$111</definedName>
    <definedName name="F4_Age_at_1st_Birthing_projected">'Step 4--Breeding &amp; Health'!$AQ$113</definedName>
    <definedName name="F4_Age_at_1st_Birthing_reported">'Step 4--Breeding &amp; Health'!$AQ$109</definedName>
    <definedName name="F4_Age_at_1st_Breeding">'Chosen Parameters-Part I'!$E$53</definedName>
    <definedName name="F4_Age_at_1st_Breeding_default">'Step 4--Breeding &amp; Health'!$AV$13</definedName>
    <definedName name="F4_Age_at_1st_Breeding_reported">'Step 4--Breeding &amp; Health'!$AV$11</definedName>
    <definedName name="F4_Age_at_EOL">'Chosen Parameters-Part I'!$E$93</definedName>
    <definedName name="F4_Age_at_EOL_projected">'Step 4--Breeding &amp; Health'!$AQ$145</definedName>
    <definedName name="F4_Age_at_EOL_reported">'Step 4--Breeding &amp; Health'!$AQ$143</definedName>
    <definedName name="F4_Annual_Bull_Calves">'Step 5--Total Production'!$AG$29</definedName>
    <definedName name="F4_Annual_Heifer_Calves">'Step 5--Total Production'!$AG$27</definedName>
    <definedName name="F4_Annual_Total_Calves">'Step 5--Total Production'!$AG$31</definedName>
    <definedName name="F4_Avg_Annual_Milk_Production_ECM">'Step 5--Total Production'!$AG$21</definedName>
    <definedName name="F4_Avg_Annual_Milk_Production_Unadjusted">'Step 5--Total Production'!$AG$19</definedName>
    <definedName name="F4_Bo">'Step 14b-Greenhouse Gas Factors'!$N$36</definedName>
    <definedName name="F4_Breeding_Method">'Chosen Parameters-Part I'!$E$50</definedName>
    <definedName name="F4_Bull_Calves_in_Life">'Step 4--Breeding &amp; Health'!$AP$130</definedName>
    <definedName name="F4_Bull_Can_Impregnate">'Chosen Parameters-Part I'!$E$18</definedName>
    <definedName name="F4_Bull_Can_Impregnate_default">'Step 1 -- Herd Profile'!$AK$116</definedName>
    <definedName name="F4_Bull_Can_Impregnate_reported">'Step 1 -- Herd Profile'!$AK$114</definedName>
    <definedName name="F4_Bull_Units">'Step 1 -- Herd Profile'!$AN$120</definedName>
    <definedName name="F4_Bulls">'Step 1 -- Herd Profile'!$AK$120</definedName>
    <definedName name="F4_Calf_Dressing_Rate">'Step 5--Total Production'!$AG$49</definedName>
    <definedName name="F4_Calf_Weight_default">'Step 1 -- Herd Profile'!$AK$147</definedName>
    <definedName name="F4_Calf_Weight_kg">'Chosen Parameters-Part I'!$E$25</definedName>
    <definedName name="F4_Calf_Weight_lb">'Chosen Parameters-Part I'!$E$31</definedName>
    <definedName name="F4_Calf_Weight_reported">'Step 1 -- Herd Profile'!$AK$145</definedName>
    <definedName name="F4_Calving_Interval">'Chosen Parameters-Part I'!$E$89</definedName>
    <definedName name="F4_Calving_Interval_projected">'Step 4--Breeding &amp; Health'!$AQ$102</definedName>
    <definedName name="F4_Calving_Interval_reported">'Step 4--Breeding &amp; Health'!$AQ$100</definedName>
    <definedName name="F4_Calving_to_1st_Breeding_Attempt">'Chosen Parameters-Part I'!$E$59</definedName>
    <definedName name="F4_Calving_to_1st_Breeding_Attempt_default">'Step 4--Breeding &amp; Health'!$AQ$20</definedName>
    <definedName name="F4_Calving_to_1st_Breeding_Attempt_reported">'Step 4--Breeding &amp; Health'!$AQ$18</definedName>
    <definedName name="F4_Climate">'Chosen Parameters-Part IV'!$E$7</definedName>
    <definedName name="F4_Cow_Breeding_Attempts">'Chosen Parameters-Part I'!$E$61</definedName>
    <definedName name="F4_Cow_Breeding_Attempts_default">'Step 4--Breeding &amp; Health'!$AQ$33</definedName>
    <definedName name="F4_Cow_Breeding_Attempts_reported">'Step 4--Breeding &amp; Health'!$AQ$31</definedName>
    <definedName name="F4_Cow_Days_Between_Breeding_Attempts">'Chosen Parameters-Part I'!$E$62</definedName>
    <definedName name="F4_Cow_Days_between_Breeding_Attempts_default">'Step 4--Breeding &amp; Health'!$AQ$39</definedName>
    <definedName name="F4_Cow_Days_between_Breeding_Attempts_projected">'Step 4--Breeding &amp; Health'!$AQ$41</definedName>
    <definedName name="F4_Cow_Days_between_Breeding_Attempts_reported">'Step 4--Breeding &amp; Health'!$AQ$37</definedName>
    <definedName name="F4_Cow_Dressing_Rate">'Step 5--Total Production'!$AG$40</definedName>
    <definedName name="F4_Cow_Failure_to_Breed_Rate">'Chosen Parameters-Part I'!$E$60</definedName>
    <definedName name="F4_Cow_Failure_to_Breed_Rate_default">'Step 4--Breeding &amp; Health'!$AQ$26</definedName>
    <definedName name="F4_Cow_Failure_to_Breed_Rate_reported">'Step 4--Breeding &amp; Health'!$AQ$24</definedName>
    <definedName name="F4_Cull_Rate_Dry_Cows">'Chosen Parameters-Part I'!$E$12</definedName>
    <definedName name="F4_Cull_Rate_Dry_Cows_default">'Step 1 -- Herd Profile'!$AK$49</definedName>
    <definedName name="F4_Cull_Rate_Dry_Cows_reported">'Step 1 -- Herd Profile'!$AK$47</definedName>
    <definedName name="F4_Cull_Rate_Involuntary_Lact_Cows">'Chosen Parameters-Part I'!$E$9</definedName>
    <definedName name="F4_Cull_Rate_Involuntary_Lact_Cows_default">'Step 1 -- Herd Profile'!$AK$28</definedName>
    <definedName name="F4_Cull_Rate_Involuntary_Lact_Cows_reported">'Step 1 -- Herd Profile'!$AK$26</definedName>
    <definedName name="F4_Cull_Rate_Voluntary_Lact_Cows">'Chosen Parameters-Part I'!$E$10</definedName>
    <definedName name="F4_Cull_Rate_Voluntary_Lact_Cows_default">'Step 1 -- Herd Profile'!$AK$34</definedName>
    <definedName name="F4_Cull_Rate_Voluntary_Lact_Cows_reported">'Step 1 -- Herd Profile'!$AK$32</definedName>
    <definedName name="F4_Days_in_Diverted_Milk">'Chosen Parameters-Part I'!$E$92</definedName>
    <definedName name="F4_Days_in_Diverted_Milk_default">'Step 4--Breeding &amp; Health'!$AQ$139</definedName>
    <definedName name="F4_Days_in_Diverted_Milk_reported">'Step 4--Breeding &amp; Health'!$AQ$137</definedName>
    <definedName name="F4_Death_Rate_Dry_Cows">'Chosen Parameters-Part I'!$E$13</definedName>
    <definedName name="F4_Death_Rate_Dry_Cows_default">'Step 1 -- Herd Profile'!$AK$54</definedName>
    <definedName name="F4_Death_Rate_Dry_Cows_reported">'Step 1 -- Herd Profile'!$AK$52</definedName>
    <definedName name="F4_Death_Rate_Heifers">'Chosen Parameters-Part I'!$E$15</definedName>
    <definedName name="F4_Death_Rate_Heifers_default">'Step 1 -- Herd Profile'!$AK$70</definedName>
    <definedName name="F4_Death_Rate_Heifers_reported">'Step 1 -- Herd Profile'!$AK$68</definedName>
    <definedName name="F4_Death_Rate_Lact_Cows">'Chosen Parameters-Part I'!$E$11</definedName>
    <definedName name="F4_Death_Rate_Lact_Cows_default">'Step 1 -- Herd Profile'!$AK$39</definedName>
    <definedName name="F4_Death_Rate_Lact_Cows_reported">'Step 1 -- Herd Profile'!$AK$37</definedName>
    <definedName name="F4_Death_Rate_Unweaned_Heifers">'Chosen Parameters-Part I'!$E$17</definedName>
    <definedName name="F4_Death_Rate_Unweaned_Heifers_default">'Step 1 -- Herd Profile'!$AK$106</definedName>
    <definedName name="F4_Death_Rate_Unweaned_Heifers_reported">'Step 1 -- Herd Profile'!$AK$104</definedName>
    <definedName name="F4_Death_Rate_Weaned_Heifers">'Chosen Parameters-Part I'!$E$16</definedName>
    <definedName name="F4_Death_Rate_Weaned_Heifers_default">'Step 1 -- Herd Profile'!$AK$91</definedName>
    <definedName name="F4_Death_Rate_Weaned_Heifers_reported">'Step 1 -- Herd Profile'!$AK$89</definedName>
    <definedName name="F4_Diet_Digestibility">'Chosen Parameters-Part IV'!$E$19</definedName>
    <definedName name="F4_Diet_Digestibility_projected">'Step 14b-Greenhouse Gas Factors'!$O$42</definedName>
    <definedName name="F4_Diet_Digestibility_reported">'Step 14b-Greenhouse Gas Factors'!$O$40</definedName>
    <definedName name="F4_Dietary_CP_Calf">'Chosen Parameters-Part II'!$E$117</definedName>
    <definedName name="F4_Dietary_CP_Calf_projected">'Step 12--Dietary Intake'!$Y$78</definedName>
    <definedName name="F4_Dietary_CP_Calf_reported">'Step 12--Dietary Intake'!$Y$76</definedName>
    <definedName name="F4_Dietary_CP_Dry_Cow">'Chosen Parameters-Part II'!$E$109</definedName>
    <definedName name="F4_Dietary_CP_Dry_Cow_projected">'Step 12--Dietary Intake'!$Y$34</definedName>
    <definedName name="F4_Dietary_CP_Dry_Cow_reported">'Step 12--Dietary Intake'!$Y$32</definedName>
    <definedName name="F4_Dietary_CP_Heifer">'Chosen Parameters-Part II'!$E$113</definedName>
    <definedName name="F4_Dietary_CP_Heifer_projected">'Step 12--Dietary Intake'!$Y$56</definedName>
    <definedName name="F4_Dietary_CP_Heifer_reported">'Step 12--Dietary Intake'!$Y$54</definedName>
    <definedName name="F4_Dietary_CP_Lact_Cow">'Chosen Parameters-Part II'!$E$105</definedName>
    <definedName name="F4_Dietary_CP_Lact_Cow_projected">'Step 12--Dietary Intake'!$Y$12</definedName>
    <definedName name="F4_Dietary_CP_Lact_Cow_reported">'Step 12--Dietary Intake'!$Y$10</definedName>
    <definedName name="F4_Dietary_K_Calf">'Chosen Parameters-Part II'!$E$119</definedName>
    <definedName name="F4_Dietary_K_Calf_projected">'Step 12--Dietary Intake'!$Y$92</definedName>
    <definedName name="F4_Dietary_K_Calf_reported">'Step 12--Dietary Intake'!$Y$90</definedName>
    <definedName name="F4_Dietary_K_Dry_Cow">'Chosen Parameters-Part II'!$E$111</definedName>
    <definedName name="F4_Dietary_K_Dry_Cow_projected">'Step 12--Dietary Intake'!$Y$48</definedName>
    <definedName name="F4_Dietary_K_Dry_Cow_reported">'Step 12--Dietary Intake'!$Y$46</definedName>
    <definedName name="F4_Dietary_K_Heifer">'Chosen Parameters-Part II'!$E$115</definedName>
    <definedName name="F4_Dietary_K_Heifer_projected">'Step 12--Dietary Intake'!$Y$70</definedName>
    <definedName name="F4_Dietary_K_Heifer_reported">'Step 12--Dietary Intake'!$Y$68</definedName>
    <definedName name="F4_Dietary_K_Lact_Cow">'Chosen Parameters-Part II'!$E$107</definedName>
    <definedName name="F4_Dietary_K_Lact_Cow_projected">'Step 12--Dietary Intake'!$Y$26</definedName>
    <definedName name="F4_Dietary_K_Lact_Cow_reported">'Step 12--Dietary Intake'!$Y$24</definedName>
    <definedName name="F4_Dietary_P_Calf">'Chosen Parameters-Part II'!$E$118</definedName>
    <definedName name="F4_Dietary_P_Calf_projected">'Step 12--Dietary Intake'!$Y$85</definedName>
    <definedName name="F4_Dietary_P_Calf_reported">'Step 12--Dietary Intake'!$Y$83</definedName>
    <definedName name="F4_Dietary_P_Dry_Cow">'Chosen Parameters-Part II'!$E$110</definedName>
    <definedName name="F4_Dietary_P_Dry_Cow_projected">'Step 12--Dietary Intake'!$Y$41</definedName>
    <definedName name="F4_Dietary_P_Dry_Cow_reported">'Step 12--Dietary Intake'!$Y$39</definedName>
    <definedName name="F4_Dietary_P_Heifer">'Chosen Parameters-Part II'!$E$114</definedName>
    <definedName name="F4_Dietary_P_Heifer_projected">'Step 12--Dietary Intake'!$Y$63</definedName>
    <definedName name="F4_Dietary_P_Heifer_reported">'Step 12--Dietary Intake'!$Y$61</definedName>
    <definedName name="F4_Dietary_P_Lact_Cow">'Chosen Parameters-Part II'!$E$106</definedName>
    <definedName name="F4_Dietary_P_Lact_Cow_projected">'Step 12--Dietary Intake'!$Y$19</definedName>
    <definedName name="F4_Dietary_P_Lact_Cow_reported">'Step 12--Dietary Intake'!$Y$17</definedName>
    <definedName name="F4_Digestible_Energy">'Chosen Parameters-Part IV'!$E$21</definedName>
    <definedName name="F4_Digestible_Energy_projected">'Step 14b-Greenhouse Gas Factors'!$O$65</definedName>
    <definedName name="F4_Digestible_Energy_reported">'Step 14b-Greenhouse Gas Factors'!$O$63</definedName>
    <definedName name="F4_DIM">'Step 3--Lactation Profile'!$AJ$11</definedName>
    <definedName name="F4_DME_Calf_Day_kg">'Chosen Parameters-Part III'!$E$26</definedName>
    <definedName name="F4_DME_Calf_projected_kg">'Step 13b--Nutrient Excretions'!$O$114</definedName>
    <definedName name="F4_DME_Calf_reported_kg">'Step 13b--Nutrient Excretions'!$O$112</definedName>
    <definedName name="F4_DME_Dry_Cow_Day_kg">'Chosen Parameters-Part III'!$E$14</definedName>
    <definedName name="F4_DME_Dry_Cow_projected_kg">'Step 13b--Nutrient Excretions'!$O$52</definedName>
    <definedName name="F4_DME_Dry_Cow_reported_kg">'Step 13b--Nutrient Excretions'!$O$50</definedName>
    <definedName name="F4_DME_Heifer_Day_kg">'Chosen Parameters-Part III'!$E$20</definedName>
    <definedName name="F4_DME_Heifer_Projected_kg">'Step 13b--Nutrient Excretions'!$O$83</definedName>
    <definedName name="F4_DME_Heifer_reported_kg">'Step 13b--Nutrient Excretions'!$O$81</definedName>
    <definedName name="F4_DME_Lact_Cow_Day_kg">'Chosen Parameters-Part III'!$E$8</definedName>
    <definedName name="F4_DME_Lact_Cow_Day_lb">'Results Table-Part III'!$X$19</definedName>
    <definedName name="F4_DME_Lact_Cow_Life_kg">'Results Table-Part III'!$AA$21</definedName>
    <definedName name="F4_DME_Lact_Cow_Life_lb">'Results Table-Part III'!$X$21</definedName>
    <definedName name="F4_DME_Lact_Cow_projected_kg">'Step 13b--Nutrient Excretions'!$O$17</definedName>
    <definedName name="F4_DME_Lact_Cow_reported_kg">'Step 13b--Nutrient Excretions'!$O$15</definedName>
    <definedName name="F4_DMI_Dry_Cow_kg">'Chosen Parameters-Part II'!$E$16</definedName>
    <definedName name="F4_DMI_Dry_Cow_lb">'Chosen Parameters-Part II'!$E$12</definedName>
    <definedName name="F4_DMI_Dry_Cow_projected_kg">'Step 6--DMI Required'!$AK$41</definedName>
    <definedName name="F4_DMI_Dry_Cow_reported_kg">'Step 6--DMI Required'!$AK$39</definedName>
    <definedName name="F4_DMI_Heifer_Calf_kg">'Chosen Parameters-Part II'!$E$18</definedName>
    <definedName name="F4_DMI_Heifer_Calf_lb">'Chosen Parameters-Part II'!$E$14</definedName>
    <definedName name="F4_DMI_Heifer_Calf_projected_kg">'Step 6--DMI Required'!$AK$55</definedName>
    <definedName name="F4_DMI_Heifer_Calf_reported_kg">'Step 6--DMI Required'!$AK$53</definedName>
    <definedName name="F4_DMI_Heifer_kg">'Chosen Parameters-Part II'!$E$17</definedName>
    <definedName name="F4_DMI_Heifer_lb">'Chosen Parameters-Part II'!$E$13</definedName>
    <definedName name="F4_DMI_Heifer_projected_kg">'Step 6--DMI Required'!$AK$48</definedName>
    <definedName name="F4_DMI_Heifer_reported_kg">'Step 6--DMI Required'!$AK$46</definedName>
    <definedName name="F4_DMI_Lact_Cow_at_Milk_Production_kg_default">'Step 6--DMI Required'!$AK$19</definedName>
    <definedName name="F4_DMI_Lact_Cow_at_Milk_Production_kg_reported">'Step 6--DMI Required'!$AK$17</definedName>
    <definedName name="F4_DMI_Lact_Cow_at_Milk_Production_lb_default">'Step 6--DMI Required'!$AH$19</definedName>
    <definedName name="F4_DMI_Lact_Cow_at_Milk_Production_lb_reported">'Step 6--DMI Required'!$AH$17</definedName>
    <definedName name="F4_DMI_Lact_Cow_kg">'Chosen Parameters-Part II'!$E$9</definedName>
    <definedName name="F4_DMI_Lact_Cow_lb">'Chosen Parameters-Part II'!$E$8</definedName>
    <definedName name="F4_Dry_Cow_Units">'Step 1 -- Herd Profile'!$AN$20</definedName>
    <definedName name="F4_Dry_Cow_Weight_default">'Step 1 -- Herd Profile'!$AK$135</definedName>
    <definedName name="F4_Dry_Cow_Weight_kg">'Chosen Parameters-Part I'!$E$23</definedName>
    <definedName name="F4_Dry_Cow_Weight_lb">'Chosen Parameters-Part I'!$E$29</definedName>
    <definedName name="F4_Dry_Cow_Weight_reported">'Step 1 -- Herd Profile'!$AK$133</definedName>
    <definedName name="F4_Dry_Cows">'Step 1 -- Herd Profile'!$AK$17</definedName>
    <definedName name="F4_Dryoff_Period">'Chosen Parameters-Part I'!$E$47</definedName>
    <definedName name="F4_Dryoff_Period_default">'Step 3--Lactation Profile'!$AK$43</definedName>
    <definedName name="F4_Dryoff_Period_reported">'Step 3--Lactation Profile'!$AK$41</definedName>
    <definedName name="F4_ECM_Production_kg_day">'Step 3--Lactation Profile'!$AN$26</definedName>
    <definedName name="F4_ECM_Production_lb_day">'Step 3--Lactation Profile'!$AJ$26</definedName>
    <definedName name="F4_ECM_Production_Life_lb">'Step 5--Total Production'!$AG$11</definedName>
    <definedName name="F4_Embryonic_Loss_Days_Cows">'Chosen Parameters-Part I'!$E$83</definedName>
    <definedName name="F4_Embryonic_Loss_Days_Cows_default">'Step 4--Breeding &amp; Health'!$AQ$74</definedName>
    <definedName name="F4_Embryonic_Loss_Days_Cows_reported">'Step 4--Breeding &amp; Health'!$AQ$72</definedName>
    <definedName name="F4_Embryonic_Loss_Days_Heifers">'Chosen Parameters-Part I'!$E$71</definedName>
    <definedName name="F4_Embryonic_Loss_Days_Heifers_default">'Step 4--Breeding &amp; Health'!$AV$74</definedName>
    <definedName name="F4_Embryonic_Loss_Days_Heifers_reported">'Step 4--Breeding &amp; Health'!$AV$72</definedName>
    <definedName name="F4_Embryonic_Loss_Rate_Cows">'Chosen Parameters-Part I'!$E$82</definedName>
    <definedName name="F4_Embryonic_Loss_Rate_Cows_default">'Step 4--Breeding &amp; Health'!$AQ$68</definedName>
    <definedName name="F4_Embryonic_Loss_Rate_Cows_reported">'Step 4--Breeding &amp; Health'!$AQ$66</definedName>
    <definedName name="F4_Embryonic_Loss_Rate_Heifers">'Chosen Parameters-Part I'!$E$70</definedName>
    <definedName name="F4_Embryonic_Loss_Rate_Heifers_default">'Step 4--Breeding &amp; Health'!$AV$68</definedName>
    <definedName name="F4_Embryonic_Loss_Rate_Heifers_reported">'Step 4--Breeding &amp; Health'!$AV$66</definedName>
    <definedName name="F4_Fat_Content_kg">'Step 3--Lactation Profile'!$AN$30</definedName>
    <definedName name="F4_Fat_Content_lb">'Step 3--Lactation Profile'!$AJ$30</definedName>
    <definedName name="F4_Gestation_Period">'Step 4--Breeding &amp; Health'!$AQ$105</definedName>
    <definedName name="F4_Gross_Energy">'Chosen Parameters-Part IV'!$E$22</definedName>
    <definedName name="F4_Gross_Energy_projected">'Step 14b-Greenhouse Gas Factors'!$O$72</definedName>
    <definedName name="F4_Gross_Energy_reported">'Step 14b-Greenhouse Gas Factors'!$O$70</definedName>
    <definedName name="F4_Grown_Calf_Weight_default">'Step 1 -- Herd Profile'!$AK$153</definedName>
    <definedName name="F4_Grown_Calf_Weight_kg">'Chosen Parameters-Part I'!$E$26</definedName>
    <definedName name="F4_Grown_Calf_Weight_lb">'Chosen Parameters-Part I'!$E$32</definedName>
    <definedName name="F4_Grown_Calf_Weight_reported">'Step 1 -- Herd Profile'!$AK$151</definedName>
    <definedName name="F4_Heifer_Breeding_Attempts">'Chosen Parameters-Part I'!$E$55</definedName>
    <definedName name="F4_Heifer_Breeding_Attempts_default">'Step 4--Breeding &amp; Health'!$AV$33</definedName>
    <definedName name="F4_Heifer_Breeding_Attempts_reported">'Step 4--Breeding &amp; Health'!$AV$31</definedName>
    <definedName name="F4_Heifer_Calf">'Step 1 -- Herd Profile'!$AK$94</definedName>
    <definedName name="F4_Heifer_Calf_Units">'Step 1 -- Herd Profile'!$AN$98</definedName>
    <definedName name="F4_Heifer_Calves_in_Life">'Step 4--Breeding &amp; Health'!$AP$128</definedName>
    <definedName name="F4_Heifer_Days_Between_Breeding_Attempts">'Chosen Parameters-Part I'!$E$56</definedName>
    <definedName name="F4_Heifer_Days_between_Breeding_Attempts_default">'Step 4--Breeding &amp; Health'!$AV$39</definedName>
    <definedName name="F4_Heifer_Days_between_Breeding_Attempts_projected">'Step 4--Breeding &amp; Health'!$AV$41</definedName>
    <definedName name="F4_Heifer_Days_between_Breeding_Attempts_reported">'Step 4--Breeding &amp; Health'!$AV$37</definedName>
    <definedName name="F4_Heifer_Failure_to_Breed_Rate">'Chosen Parameters-Part I'!$E$54</definedName>
    <definedName name="F4_Heifer_Failure_to_Breed_Rate_default">'Step 4--Breeding &amp; Health'!$AV$26</definedName>
    <definedName name="F4_Heifer_Failure_to_Breed_Rate_reported">'Step 4--Breeding &amp; Health'!$AV$24</definedName>
    <definedName name="F4_Heifer_Units">'Step 1 -- Herd Profile'!$AN$84</definedName>
    <definedName name="F4_Heifer_Weight_default">'Step 1 -- Herd Profile'!$AK$141</definedName>
    <definedName name="F4_Heifer_Weight_kg">'Chosen Parameters-Part I'!$E$24</definedName>
    <definedName name="F4_Heifer_Weight_lb">'Chosen Parameters-Part I'!$E$30</definedName>
    <definedName name="F4_Heifer_Weight_reported">'Step 1 -- Herd Profile'!$AK$139</definedName>
    <definedName name="F4_Heifers">'Step 1 -- Herd Profile'!$AK$80</definedName>
    <definedName name="F4_Heifers_to_be_Born">'Step 1 -- Herd Profile'!$AK$109</definedName>
    <definedName name="F4_Herbicide_per_Lactation_kg">'Step 11b--Inputs'!$AG$61</definedName>
    <definedName name="F4_Herbicide_per_Lactation_lb">'Step 11b--Inputs'!$AG$63</definedName>
    <definedName name="F4_Herbicides_Calf_day">'Step 11b--Inputs Detail'!$BZ$59</definedName>
    <definedName name="F4_Herbicides_Dry_Cow_day">'Step 11b--Inputs Detail'!$BJ$59</definedName>
    <definedName name="F4_Herbicides_Heifer_day">'Step 11b--Inputs Detail'!$BR$59</definedName>
    <definedName name="F4_Herbicides_Lact_Cow_day">'Step 11b--Inputs Detail'!$BB$59</definedName>
    <definedName name="F4_Insecticide_per_Lactation_kg">'Step 11b--Inputs'!$AJ$61</definedName>
    <definedName name="F4_Insecticide_per_Lactation_lb">'Step 11b--Inputs'!$AJ$63</definedName>
    <definedName name="F4_Insecticides_Calf_day">'Step 11b--Inputs Detail'!$CB$59</definedName>
    <definedName name="F4_Insecticides_Dry_Cow_day">'Step 11b--Inputs Detail'!$BL$59</definedName>
    <definedName name="F4_Insecticides_Heifer_day">'Step 11b--Inputs Detail'!$BT$59</definedName>
    <definedName name="F4_Insecticides_Lact_Cow_day">'Step 11b--Inputs Detail'!$BD$59</definedName>
    <definedName name="F4_KE_Calf_Day_kg">'Chosen Parameters-Part III'!$E$29</definedName>
    <definedName name="F4_KE_Calf_projected_kg">'Step 13b--Nutrient Excretions'!$O$132</definedName>
    <definedName name="F4_KE_Calf_reported_kg">'Step 13b--Nutrient Excretions'!$O$130</definedName>
    <definedName name="F4_KE_Dry_Cow_Day_kg">'Chosen Parameters-Part III'!$E$17</definedName>
    <definedName name="F4_KE_Dry_Cow_projected_kg">'Step 13b--Nutrient Excretions'!$O$70</definedName>
    <definedName name="F4_KE_Dry_Cow_reported_kg">'Step 13b--Nutrient Excretions'!$O$68</definedName>
    <definedName name="F4_KE_Heifer_Day_kg">'Chosen Parameters-Part III'!$E$23</definedName>
    <definedName name="F4_KE_Heifer_projected_kg">'Step 13b--Nutrient Excretions'!$O$101</definedName>
    <definedName name="F4_KE_Heifer_reported_kg">'Step 13b--Nutrient Excretions'!$O$99</definedName>
    <definedName name="F4_KE_Lact_Cow_Day_kg">'Chosen Parameters-Part III'!$E$11</definedName>
    <definedName name="F4_KE_Lact_Cow_Day_lb">'Results Table-Part III'!$X$46</definedName>
    <definedName name="F4_KE_Lact_Cow_Life_kg">'Results Table-Part III'!$AA$48</definedName>
    <definedName name="F4_KE_Lact_Cow_Life_lb">'Results Table-Part III'!$X$48</definedName>
    <definedName name="F4_KE_Lact_Cow_projected_kg">'Step 13b--Nutrient Excretions'!$O$39</definedName>
    <definedName name="F4_KE_Lact_Cow_reported_kg">'Step 13b--Nutrient Excretions'!$O$37</definedName>
    <definedName name="F4_Lact_Cow_Weight_default">'Step 1 -- Herd Profile'!$AK$129</definedName>
    <definedName name="F4_Lact_Cow_Weight_kg">'Chosen Parameters-Part I'!$E$22</definedName>
    <definedName name="F4_Lact_Cow_Weight_lb">'Chosen Parameters-Part I'!$E$28</definedName>
    <definedName name="F4_Lact_Cow_Weight_reported">'Step 1 -- Herd Profile'!$AK$127</definedName>
    <definedName name="F4_Lact_Cows">'Chosen Parameters-Part I'!$E$7</definedName>
    <definedName name="F4_Lact_Cows_projected">'Step 1 -- Herd Profile'!$AK$13</definedName>
    <definedName name="F4_Lact_Cows_reported">'Step 1 -- Herd Profile'!$AK$11</definedName>
    <definedName name="F4_Length_of_Lactation">'Chosen Parameters-Part I'!$E$46</definedName>
    <definedName name="F4_Length_of_Lactation_projected">'Step 3--Lactation Profile'!$AK$36</definedName>
    <definedName name="F4_Length_of_Lactation_reported">'Step 3--Lactation Profile'!$AK$34</definedName>
    <definedName name="F4_Market_Value_Bull_Calf">'Chosen Parameters-Part I'!$E$107</definedName>
    <definedName name="F4_Market_Value_Bull_Calf_default">'Step 5--Total Production'!$AH$109</definedName>
    <definedName name="F4_Market_Value_Bull_Calf_reported">'Step 5--Total Production'!$AH$107</definedName>
    <definedName name="F4_Market_Value_Heifer_Calf">'Chosen Parameters-Part I'!$E$106</definedName>
    <definedName name="F4_Market_Value_Heifer_Calf_default">'Step 5--Total Production'!$AH$103</definedName>
    <definedName name="F4_Market_Value_Heifer_Calf_reported">'Step 5--Total Production'!$AH$101</definedName>
    <definedName name="F4_MCF">'Chosen Parameters-Part IV'!$E$18</definedName>
    <definedName name="F4_MCF_projected">'Step 14b-Greenhouse Gas Factors'!$O$33</definedName>
    <definedName name="F4_MCF_reported">'Step 14b-Greenhouse Gas Factors'!$O$31</definedName>
    <definedName name="F4_Meat_Price_Calf">'Chosen Parameters-Part I'!$E$105</definedName>
    <definedName name="F4_Meat_Price_Calf_default">'Step 5--Total Production'!$AH$86</definedName>
    <definedName name="F4_Meat_Price_Calf_reported">'Step 5--Total Production'!$AH$84</definedName>
    <definedName name="F4_Meat_Price_Cow">'Chosen Parameters-Part I'!$E$104</definedName>
    <definedName name="F4_Meat_Price_Cow_default">'Step 5--Total Production'!$AH$80</definedName>
    <definedName name="F4_Meat_Price_Cow_reported">'Step 5--Total Production'!$AH$78</definedName>
    <definedName name="F4_Meat_Production_from_Calves">'Step 5--Total Production'!$AG$51</definedName>
    <definedName name="F4_Meat_Production_from_Cow">'Step 5--Total Production'!$AG$42</definedName>
    <definedName name="F4_Methane_Enteric_Calf_Day_kg">'Chosen Parameters-Part IV'!$E$36</definedName>
    <definedName name="F4_Methane_Enteric_Calf_Day_lb">'Results Table-Part IV'!$X$38</definedName>
    <definedName name="F4_Methane_Enteric_Dry_Cow_Day_kg">'Chosen Parameters-Part IV'!$E$30</definedName>
    <definedName name="F4_Methane_Enteric_Dry_Cow_Day_lb">'Results Table-Part IV'!$X$36</definedName>
    <definedName name="F4_Methane_Enteric_Heifer_Day_kg">'Chosen Parameters-Part IV'!$E$33</definedName>
    <definedName name="F4_Methane_Enteric_Heifer_Day_lb">'Results Table-Part IV'!$X$37</definedName>
    <definedName name="F4_Methane_Enteric_Lact_Cow_Day_kg">'Chosen Parameters-Part IV'!$E$27</definedName>
    <definedName name="F4_Methane_Enteric_Lact_Cow_Day_lb">'Results Table-Part IV'!$X$10</definedName>
    <definedName name="F4_Methane_Enteric_Lact_Cow_Life_kg">'Results Table-Part IV'!$AA$12</definedName>
    <definedName name="F4_Methane_Enteric_Lact_Cow_Life_lb">'Results Table-Part IV'!$X$12</definedName>
    <definedName name="F4_Methane_Manure_Calf_Day_kg">'Chosen Parameters-Part IV'!$E$37</definedName>
    <definedName name="F4_Methane_Manure_Calf_Day_lb">'Results Table-Part IV'!$X$44</definedName>
    <definedName name="F4_Methane_Manure_Dry_Cow_Day_kg">'Chosen Parameters-Part IV'!$E$31</definedName>
    <definedName name="F4_Methane_Manure_Dry_Cow_Day_lb">'Results Table-Part IV'!$X$42</definedName>
    <definedName name="F4_Methane_Manure_Heifer_Day_kg">'Chosen Parameters-Part IV'!$E$34</definedName>
    <definedName name="F4_Methane_Manure_Heifer_Day_lb">'Results Table-Part IV'!$X$43</definedName>
    <definedName name="F4_Methane_Manure_Lact_Cow_Day_kg">'Chosen Parameters-Part IV'!$E$28</definedName>
    <definedName name="F4_Methane_Manure_Lact_Cow_Day_lb">'Results Table-Part IV'!$X$19</definedName>
    <definedName name="F4_Methane_Manure_Lact_Cow_Life_kg">'Results Table-Part IV'!$AA$21</definedName>
    <definedName name="F4_Methane_Manure_Lact_Cow_Life_lb">'Results Table-Part IV'!$X$21</definedName>
    <definedName name="F4_Milk_Price">'Chosen Parameters-Part I'!$E$101</definedName>
    <definedName name="F4_Milk_Price_default">'Step 5--Total Production'!$AH$61</definedName>
    <definedName name="F4_Milk_Price_reported">'Step 5--Total Production'!$AH$59</definedName>
    <definedName name="F4_NE_activity">'Step 14b-Greenhouse Gas Factors'!$N$50</definedName>
    <definedName name="F4_NE_Calf_Day_kg">'Chosen Parameters-Part III'!$E$27</definedName>
    <definedName name="F4_NE_Calf_projected_kg">'Step 13b--Nutrient Excretions'!$O$120</definedName>
    <definedName name="F4_NE_Calf_reported_kg">'Step 13b--Nutrient Excretions'!$O$118</definedName>
    <definedName name="F4_NE_Dry_Cow_Day_kg">'Chosen Parameters-Part III'!$E$15</definedName>
    <definedName name="F4_NE_Dry_Cow_projected_kg">'Step 13b--Nutrient Excretions'!$O$58</definedName>
    <definedName name="F4_NE_Dry_Cow_reported_kg">'Step 13b--Nutrient Excretions'!$O$56</definedName>
    <definedName name="F4_NE_Heifer_Day_kg">'Chosen Parameters-Part III'!$E$21</definedName>
    <definedName name="F4_NE_Heifer_projected_kg">'Step 13b--Nutrient Excretions'!$O$89</definedName>
    <definedName name="F4_NE_Heifer_reported_kg">'Step 13b--Nutrient Excretions'!$O$87</definedName>
    <definedName name="F4_NE_Lact_Cow_Day_kg">'Chosen Parameters-Part III'!$E$9</definedName>
    <definedName name="F4_NE_Lact_Cow_Day_lb">'Results Table-Part III'!$X$28</definedName>
    <definedName name="F4_NE_Lact_Cow_Life_kg">'Results Table-Part III'!$AA$30</definedName>
    <definedName name="F4_NE_Lact_Cow_Life_lb">'Results Table-Part III'!$X$30</definedName>
    <definedName name="F4_NE_Lact_Cow_projected_DCP_kg">'Step 13b--Nutrient Excretions'!$O$25</definedName>
    <definedName name="F4_NE_Lact_Cow_projected_Milk_kg">'Step 13b--Nutrient Excretions'!$O$23</definedName>
    <definedName name="F4_NE_Lact_Cow_reported_kg">'Step 13b--Nutrient Excretions'!$O$21</definedName>
    <definedName name="F4_NE_lactation">'Step 14b-Greenhouse Gas Factors'!$N$52</definedName>
    <definedName name="F4_NE_maintenance">'Step 14b-Greenhouse Gas Factors'!$N$48</definedName>
    <definedName name="F4_NE_pregnancy">'Step 14b-Greenhouse Gas Factors'!$N$54</definedName>
    <definedName name="F4_Nitrogen_Calf_day">'Step 11b--Inputs Detail'!$BX$59</definedName>
    <definedName name="F4_Nitrogen_Dry_Cow_day">'Step 11b--Inputs Detail'!$BH$59</definedName>
    <definedName name="F4_Nitrogen_Heifer_day">'Step 11b--Inputs Detail'!$BP$59</definedName>
    <definedName name="F4_Nitrogen_Lact_Cow_day">'Step 11b--Inputs Detail'!$AZ$59</definedName>
    <definedName name="F4_Nitrogen_per_Lactation_kg">'Step 11b--Inputs'!$AD$61</definedName>
    <definedName name="F4_Nitrogen_per_Lactation_lb">'Step 11b--Inputs'!$AD$63</definedName>
    <definedName name="F4_Number_of_Bull_Calves_Born">'Step 4--Breeding &amp; Health'!$AP$124</definedName>
    <definedName name="F4_Number_of_Heifer_Calves_Born">'Step 4--Breeding &amp; Health'!$AP$122</definedName>
    <definedName name="F4_Number_of_Lactations">'Chosen Parameters-Part I'!$E$94</definedName>
    <definedName name="F4_Number_of_Lactations_reported">'Step 4--Breeding &amp; Health'!$AQ$152</definedName>
    <definedName name="F4_Organic">Options!$AH$24</definedName>
    <definedName name="F4_PE_Calf_Day_kg">'Chosen Parameters-Part III'!$E$28</definedName>
    <definedName name="F4_PE_Calf_projected_kg">'Step 13b--Nutrient Excretions'!$O$126</definedName>
    <definedName name="F4_PE_Calf_reported_kg">'Step 13b--Nutrient Excretions'!$O$124</definedName>
    <definedName name="F4_PE_Dry_Cow_Day_kg">'Chosen Parameters-Part III'!$E$16</definedName>
    <definedName name="F4_PE_Dry_Cow_projected_kg">'Step 13b--Nutrient Excretions'!$O$64</definedName>
    <definedName name="F4_PE_Dry_Cow_reported_kg">'Step 13b--Nutrient Excretions'!$O$62</definedName>
    <definedName name="F4_PE_Heifer_Day_kg">'Chosen Parameters-Part III'!$E$22</definedName>
    <definedName name="F4_PE_Heifer_projected_kg">'Step 13b--Nutrient Excretions'!$O$95</definedName>
    <definedName name="F4_PE_Heifer_reported_kg">'Step 13b--Nutrient Excretions'!$O$93</definedName>
    <definedName name="F4_PE_Lact_Cow_Day_kg">'Chosen Parameters-Part III'!$E$10</definedName>
    <definedName name="F4_PE_Lact_Cow_Day_lb">'Results Table-Part III'!$X$37</definedName>
    <definedName name="F4_PE_Lact_Cow_Life_kg">'Results Table-Part III'!$AA$39</definedName>
    <definedName name="F4_PE_Lact_Cow_Life_lb">'Results Table-Part III'!$X$39</definedName>
    <definedName name="F4_PE_Lact_Cow_projected_DP_kg">'Step 13b--Nutrient Excretions'!$O$33</definedName>
    <definedName name="F4_PE_Lact_Cow_projected_Milk_kg">'Step 13b--Nutrient Excretions'!$O$31</definedName>
    <definedName name="F4_PE_Lact_Cow_reported_kg">'Step 13b--Nutrient Excretions'!$O$29</definedName>
    <definedName name="F4_Percent_Bull_Calves">'Step 4--Breeding &amp; Health'!$AP$120</definedName>
    <definedName name="F4_Percent_Heifer_Calves">'Step 4--Breeding &amp; Health'!$AP$118</definedName>
    <definedName name="F4_Percent_Live_Births">'Step 4--Breeding &amp; Health'!$AP$116</definedName>
    <definedName name="F4_Percent_Milk_Fat">'Step 3--Lactation Profile'!$AJ$17</definedName>
    <definedName name="F4_Percent_Milk_Protein">'Step 3--Lactation Profile'!$AJ$15</definedName>
    <definedName name="F4_Pounds_Available_for_Slaughter">'Step 5--Total Production'!$AG$38</definedName>
    <definedName name="F4_Protein_Content_kg">'Step 3--Lactation Profile'!$AN$28</definedName>
    <definedName name="F4_Protein_Content_lb">'Step 3--Lactation Profile'!$AJ$28</definedName>
    <definedName name="F4_REM">'Step 14b-Greenhouse Gas Factors'!$N$59</definedName>
    <definedName name="F4_Replacement_Heifers">'Step 1 -- Herd Profile'!$AK$62</definedName>
    <definedName name="F4_Revenue_from_Calf_Sales_year_of_Life">'Step 5--Total Production'!$AH$118</definedName>
    <definedName name="F4_Revenue_from_ECM_Milk_year_of_life_lb">'Step 5--Total Production'!$AG$68</definedName>
    <definedName name="F4_Revenue_from_Meat_year_of_Life">'Step 5--Total Production'!$AH$96</definedName>
    <definedName name="F4_Revenue_from_Unadjusted_Milk_year_of_life_lb">'Step 5--Total Production'!$AG$66</definedName>
    <definedName name="F4_TME_Calf_Day_kg">'Chosen Parameters-Part III'!$E$25</definedName>
    <definedName name="F4_TME_Calf_projected_kg">'Step 13b--Nutrient Excretions'!$O$108</definedName>
    <definedName name="F4_TME_Calf_reported_kg">'Step 13b--Nutrient Excretions'!$O$106</definedName>
    <definedName name="F4_TME_Dry_Cow_Day_kg">'Chosen Parameters-Part III'!$E$13</definedName>
    <definedName name="F4_TME_Dry_Cow_projected_kg">'Step 13b--Nutrient Excretions'!$O$46</definedName>
    <definedName name="F4_TME_Dry_Cow_reported_kg">'Step 13b--Nutrient Excretions'!$O$44</definedName>
    <definedName name="F4_TME_Heifer_Day_kg">'Chosen Parameters-Part III'!$E$19</definedName>
    <definedName name="F4_TME_Heifer_Projected_kg">'Step 13b--Nutrient Excretions'!$O$77</definedName>
    <definedName name="F4_TME_Heifer_reported_kg">'Step 13b--Nutrient Excretions'!$O$75</definedName>
    <definedName name="F4_TME_Lact_Cow_Day_kg">'Chosen Parameters-Part III'!$E$7</definedName>
    <definedName name="F4_TME_Lact_Cow_Day_lb">'Results Table-Part III'!$X$10</definedName>
    <definedName name="F4_TME_Lact_Cow_Life_kg">'Results Table-Part III'!$AA$12</definedName>
    <definedName name="F4_TME_Lact_Cow_Life_lb">'Results Table-Part III'!$X$12</definedName>
    <definedName name="F4_TME_Lact_Cow_projected_kg">'Step 13b--Nutrient Excretions'!$O$11</definedName>
    <definedName name="F4_TME_Lact_Cow_reported_kg">'Step 13b--Nutrient Excretions'!$O$9</definedName>
    <definedName name="F4_Total_Calves_in_Life">'Step 4--Breeding &amp; Health'!$AP$132</definedName>
    <definedName name="F4_Total_DME_kg_day">'Step 13b--Nutrient Excretions'!$O$144</definedName>
    <definedName name="F4_Total_KE_kg_day">'Step 13b--Nutrient Excretions'!$O$150</definedName>
    <definedName name="F4_Total_ME_kg_day">'Step 13b--Nutrient Excretions'!$O$142</definedName>
    <definedName name="F4_Total_Meat_Production">'Step 5--Total Production'!$AG$54</definedName>
    <definedName name="F4_Total_Methane_Lact_Cow_Day_kg">'Step 15b--CH4 Emissions'!$O$26</definedName>
    <definedName name="F4_Total_Methane_Lact_Cow_Day_lb">'Step 15b--CH4 Emissions'!$M$26</definedName>
    <definedName name="F4_Total_Methane_Lact_Cow_Life_kg">'Results Table-Part IV'!$AA$30</definedName>
    <definedName name="F4_Total_Methane_Lact_Cow_Life_lb">'Results Table-Part IV'!$X$30</definedName>
    <definedName name="F4_Total_NE_kg_day">'Step 13b--Nutrient Excretions'!$O$146</definedName>
    <definedName name="F4_Total_Net_Energy">'Step 14b-Greenhouse Gas Factors'!$N$56</definedName>
    <definedName name="F4_Total_PE_kg_day">'Step 13b--Nutrient Excretions'!$O$148</definedName>
    <definedName name="F4_Unadjusted_Milk_Production_kg_day">'Chosen Parameters-Part I'!$E$44</definedName>
    <definedName name="F4_Unadjusted_Milk_Production_kg_day_default">'Step 3--Lactation Profile'!$AN$24</definedName>
    <definedName name="F4_Unadjusted_Milk_Production_kg_day_reported">'Step 3--Lactation Profile'!$AN$22</definedName>
    <definedName name="F4_Unadjusted_Milk_Production_lb_day">'Chosen Parameters-Part I'!$E$43</definedName>
    <definedName name="F4_Unadjusted_Milk_Production_lb_day_default">'Step 3--Lactation Profile'!$AK$24</definedName>
    <definedName name="F4_Unadjusted_Milk_Production_lb_day_reported">'Step 3--Lactation Profile'!$AK$22</definedName>
    <definedName name="F4_Unadjusted_Milk_Production_Life_lb">'Step 5--Total Production'!$AG$9</definedName>
    <definedName name="F4_Unsuccessful_Breeding_Cows_Days">'Chosen Parameters-Part I'!$E$79</definedName>
    <definedName name="F4_Unsuccessful_Breeding_Cows_Days_default">'Step 4--Breeding &amp; Health'!$AQ$58</definedName>
    <definedName name="F4_Unsuccessful_Breeding_Cows_Days_reported">'Step 4--Breeding &amp; Health'!$AQ$56</definedName>
    <definedName name="F4_Unsuccessful_Breeding_Cows_Percent">'Chosen Parameters-Part I'!$E$78</definedName>
    <definedName name="F4_Unsuccessful_Breeding_Cows_Percent_default">'Step 4--Breeding &amp; Health'!$AQ$52</definedName>
    <definedName name="F4_Unsuccessful_Breeding_Cows_Percent_reported">'Step 4--Breeding &amp; Health'!$AQ$50</definedName>
    <definedName name="F4_Unsuccessful_Breeding_Heifers_Days">'Chosen Parameters-Part I'!$E$67</definedName>
    <definedName name="F4_Unsuccessful_Breeding_Heifers_Days_default">'Step 4--Breeding &amp; Health'!$AV$58</definedName>
    <definedName name="F4_Unsuccessful_Breeding_Heifers_Days_reported">'Step 4--Breeding &amp; Health'!$AV$56</definedName>
    <definedName name="F4_Unsuccessful_Breeding_Heifers_Percent">'Chosen Parameters-Part I'!$E$66</definedName>
    <definedName name="F4_Unsuccessful_Breeding_Heifers_Percent_default">'Step 4--Breeding &amp; Health'!$AV$52</definedName>
    <definedName name="F4_Unsuccessful_Breeding_Heifers_Percent_reported">'Step 4--Breeding &amp; Health'!$AV$50</definedName>
    <definedName name="F4_VSP">'Chosen Parameters-Part IV'!$E$23</definedName>
    <definedName name="F4_VSP_projected">'Step 14b-Greenhouse Gas Factors'!$O$81</definedName>
    <definedName name="F4_VSP_reported">'Step 14b-Greenhouse Gas Factors'!$O$79</definedName>
    <definedName name="F4_Years_of_Productive_Life">'Step 4--Breeding &amp; Health'!$AQ$148</definedName>
    <definedName name="F4_YM">'Step 14b-Greenhouse Gas Factors'!$N$75</definedName>
    <definedName name="_xlnm.Print_Area" localSheetId="35">'App A-Formula Sources'!$A$1:$E$99</definedName>
    <definedName name="_xlnm.Print_Area" localSheetId="1">'Application Setup'!$A$1:$J$7</definedName>
    <definedName name="_xlnm.Print_Area" localSheetId="2">'Chosen Parameters-Part I'!$A$1:$J$108</definedName>
    <definedName name="_xlnm.Print_Area" localSheetId="37">Defaults!$A$1:$P$92</definedName>
    <definedName name="_xlnm.Print_Area" localSheetId="6">'Results Table-Part I'!$A$1:$AC$64</definedName>
    <definedName name="_xlnm.Print_Area" localSheetId="7">'Results Table-Part II'!$A$1:$AC$41</definedName>
    <definedName name="_xlnm.Print_Area" localSheetId="8">'Results Table-Part III'!$A$1:$AC$96</definedName>
    <definedName name="_xlnm.Print_Area" localSheetId="9">'Results Table-Part IV'!$A$1:$AC$64</definedName>
    <definedName name="_xlnm.Print_Area" localSheetId="10">'Step 1 -- Herd Profile'!$A$1:$AS$166</definedName>
    <definedName name="_xlnm.Print_Area" localSheetId="22">'Step 10a--Required Acres'!$A$1:$AF$69</definedName>
    <definedName name="_xlnm.Print_Area" localSheetId="23">'Step 10b--Required Acres'!$A$1:$AF$69</definedName>
    <definedName name="_xlnm.Print_Area" localSheetId="24">'Step 11a--Inputs'!$A$1:$AK$72</definedName>
    <definedName name="_xlnm.Print_Area" localSheetId="26">'Step 11a--Inputs Detail'!$A$1:$CC$60</definedName>
    <definedName name="_xlnm.Print_Area" localSheetId="25">'Step 11b--Inputs'!$A$1:$AK$72</definedName>
    <definedName name="_xlnm.Print_Area" localSheetId="27">'Step 11b--Inputs Detail'!$A$1:$CC$60</definedName>
    <definedName name="_xlnm.Print_Area" localSheetId="28">'Step 12--Dietary Intake'!$A$1:$AC$102</definedName>
    <definedName name="_xlnm.Print_Area" localSheetId="29">'Step 13a--Nutrient Excretions'!$A$1:$S$158</definedName>
    <definedName name="_xlnm.Print_Area" localSheetId="30">'Step 13b--Nutrient Excretions'!$A$1:$S$158</definedName>
    <definedName name="_xlnm.Print_Area" localSheetId="31">'Step 14a-Greenhouse Gas Factors'!$A$1:$W$94</definedName>
    <definedName name="_xlnm.Print_Area" localSheetId="32">'Step 14b-Greenhouse Gas Factors'!$A$1:$W$93</definedName>
    <definedName name="_xlnm.Print_Area" localSheetId="33">'Step 15a--CH4 Emissions'!$A$1:$S$97</definedName>
    <definedName name="_xlnm.Print_Area" localSheetId="34">'Step 15b--CH4 Emissions'!$A$1:$S$97</definedName>
    <definedName name="_xlnm.Print_Area" localSheetId="11">'Step 2--Cull Rates'!$A$1:$AK$71</definedName>
    <definedName name="_xlnm.Print_Area" localSheetId="12">'Step 3--Lactation Profile'!$A$1:$AS$56</definedName>
    <definedName name="_xlnm.Print_Area" localSheetId="13">'Step 4--Breeding &amp; Health'!$A$1:$BA$189</definedName>
    <definedName name="_xlnm.Print_Area" localSheetId="14">'Step 5--Total Production'!$A$1:$AO$135</definedName>
    <definedName name="_xlnm.Print_Area" localSheetId="15">'Step 6--DMI Required'!$A$1:$AO$69</definedName>
    <definedName name="_xlnm.Print_Area" localSheetId="16">'Step 7a--Feedstuff Required'!$A$1:$AS$69</definedName>
    <definedName name="_xlnm.Print_Area" localSheetId="17">'Step 7b--Feedstuff Required'!$A$1:$AS$66</definedName>
    <definedName name="_xlnm.Print_Area" localSheetId="18">'Step 8a--DMI Worksheet'!$A$1:$AC$35</definedName>
    <definedName name="_xlnm.Print_Area" localSheetId="19">'Step 8b--DMI Worksheet'!$A$1:$AC$35</definedName>
    <definedName name="_xlnm.Print_Area" localSheetId="20">'Step 9a--Daily DMI Rations'!$A$1:$BD$73</definedName>
    <definedName name="_xlnm.Print_Area" localSheetId="21">'Step 9b--Daily DMI Rations'!$A$1:$BD$73</definedName>
    <definedName name="_xlnm.Print_Area" localSheetId="0">'Title Page'!$A$1:$M$36</definedName>
  </definedNames>
  <calcPr calcId="125725"/>
</workbook>
</file>

<file path=xl/calcChain.xml><?xml version="1.0" encoding="utf-8"?>
<calcChain xmlns="http://schemas.openxmlformats.org/spreadsheetml/2006/main">
  <c r="A46" i="65"/>
  <c r="A45"/>
  <c r="A44"/>
  <c r="A40"/>
  <c r="A39"/>
  <c r="A38"/>
  <c r="A32"/>
  <c r="A31"/>
  <c r="A30"/>
  <c r="A27" i="78"/>
  <c r="U11" i="45" l="1"/>
  <c r="U9" s="1"/>
  <c r="U17"/>
  <c r="U15" s="1"/>
  <c r="U25"/>
  <c r="U33"/>
  <c r="U39"/>
  <c r="U37" s="1"/>
  <c r="U46"/>
  <c r="U44" s="1"/>
  <c r="U52"/>
  <c r="U50" s="1"/>
  <c r="U58"/>
  <c r="U56" s="1"/>
  <c r="U64"/>
  <c r="U62" s="1"/>
  <c r="U70"/>
  <c r="U68" s="1"/>
  <c r="U77"/>
  <c r="U75" s="1"/>
  <c r="U83"/>
  <c r="U81" s="1"/>
  <c r="U89"/>
  <c r="U87" s="1"/>
  <c r="U95"/>
  <c r="U93" s="1"/>
  <c r="U101"/>
  <c r="U99" s="1"/>
  <c r="U108"/>
  <c r="U106" s="1"/>
  <c r="U114"/>
  <c r="U112" s="1"/>
  <c r="U120"/>
  <c r="U118" s="1"/>
  <c r="U126"/>
  <c r="U124" s="1"/>
  <c r="U132"/>
  <c r="U130" s="1"/>
  <c r="N75" i="78" l="1"/>
  <c r="C75"/>
  <c r="N76" i="50"/>
  <c r="C76"/>
  <c r="M21" i="29" l="1"/>
  <c r="D21"/>
  <c r="AK24" i="22" l="1"/>
  <c r="E43" i="54" s="1"/>
  <c r="Z24" i="22"/>
  <c r="D43" i="54" s="1"/>
  <c r="O24" i="22"/>
  <c r="C43" i="54" s="1"/>
  <c r="D24" i="22"/>
  <c r="B43" i="54" s="1"/>
  <c r="BB111" i="23"/>
  <c r="H50" i="55"/>
  <c r="H48"/>
  <c r="H36"/>
  <c r="H34"/>
  <c r="H32"/>
  <c r="H30"/>
  <c r="H18"/>
  <c r="AC18" s="1"/>
  <c r="H12"/>
  <c r="H14"/>
  <c r="H10"/>
  <c r="H8"/>
  <c r="AE38" i="59"/>
  <c r="AE34"/>
  <c r="AE22"/>
  <c r="AE20"/>
  <c r="AE18"/>
  <c r="AE16"/>
  <c r="AE14"/>
  <c r="AE12"/>
  <c r="AE52"/>
  <c r="D52"/>
  <c r="D34"/>
  <c r="D36"/>
  <c r="D22"/>
  <c r="D20"/>
  <c r="D18"/>
  <c r="D16"/>
  <c r="D14"/>
  <c r="D12"/>
  <c r="AE34" i="57"/>
  <c r="D36"/>
  <c r="D34"/>
  <c r="D38"/>
  <c r="AE22"/>
  <c r="AE20"/>
  <c r="AE18"/>
  <c r="AE16"/>
  <c r="AE14"/>
  <c r="AE12"/>
  <c r="D20"/>
  <c r="D18"/>
  <c r="D16"/>
  <c r="D14"/>
  <c r="D22"/>
  <c r="D12"/>
  <c r="AC33" i="72"/>
  <c r="AC32"/>
  <c r="AC31"/>
  <c r="AC30"/>
  <c r="O33"/>
  <c r="O32"/>
  <c r="O31"/>
  <c r="O30"/>
  <c r="AC26"/>
  <c r="AC25"/>
  <c r="AC24"/>
  <c r="O26"/>
  <c r="O25"/>
  <c r="O24"/>
  <c r="O23"/>
  <c r="O17"/>
  <c r="O16"/>
  <c r="O15"/>
  <c r="O33" i="71"/>
  <c r="O32"/>
  <c r="O31"/>
  <c r="O30"/>
  <c r="O26"/>
  <c r="O25"/>
  <c r="O24"/>
  <c r="O23"/>
  <c r="O22"/>
  <c r="O21"/>
  <c r="O17"/>
  <c r="O16"/>
  <c r="O10"/>
  <c r="E50" i="54"/>
  <c r="D50"/>
  <c r="AH19" i="38"/>
  <c r="E8" i="65" s="1"/>
  <c r="X19" i="38"/>
  <c r="D8" i="65" s="1"/>
  <c r="N19" i="38"/>
  <c r="C8" i="65" s="1"/>
  <c r="D19" i="38"/>
  <c r="B8" i="65" s="1"/>
  <c r="N30" i="22" l="1"/>
  <c r="J19" i="34"/>
  <c r="N28" i="22"/>
  <c r="N26" s="1"/>
  <c r="AJ28"/>
  <c r="X19" i="34"/>
  <c r="AJ30" i="22"/>
  <c r="C19" i="34"/>
  <c r="C28" i="22"/>
  <c r="C30"/>
  <c r="Q19" i="34"/>
  <c r="Y30" i="22"/>
  <c r="Y28"/>
  <c r="C7" i="38"/>
  <c r="C31"/>
  <c r="M24"/>
  <c r="W24"/>
  <c r="AG24"/>
  <c r="M31"/>
  <c r="AG31"/>
  <c r="W31"/>
  <c r="M7"/>
  <c r="W7"/>
  <c r="AG7"/>
  <c r="C24"/>
  <c r="W183" i="23"/>
  <c r="W184"/>
  <c r="W185"/>
  <c r="W182"/>
  <c r="AD182" s="1"/>
  <c r="AG57" i="27"/>
  <c r="AE57"/>
  <c r="X57"/>
  <c r="V57"/>
  <c r="M57"/>
  <c r="O57"/>
  <c r="F57"/>
  <c r="D57"/>
  <c r="N32" i="72"/>
  <c r="AC18"/>
  <c r="AC31" i="71"/>
  <c r="AC32"/>
  <c r="AC33"/>
  <c r="AC30"/>
  <c r="AC22"/>
  <c r="AC23"/>
  <c r="AC24"/>
  <c r="AC25"/>
  <c r="AC26"/>
  <c r="AC21"/>
  <c r="AC16"/>
  <c r="AC17"/>
  <c r="AC15"/>
  <c r="AD183" i="23"/>
  <c r="AD185"/>
  <c r="M26" i="38" l="1"/>
  <c r="Q26" s="1"/>
  <c r="M33"/>
  <c r="Q33" s="1"/>
  <c r="Y26" i="22"/>
  <c r="C26"/>
  <c r="AJ26"/>
  <c r="AD184" i="23"/>
  <c r="S183"/>
  <c r="Q152" s="1"/>
  <c r="S184"/>
  <c r="AD152" s="1"/>
  <c r="S185"/>
  <c r="AQ152" s="1"/>
  <c r="S182"/>
  <c r="D152" s="1"/>
  <c r="W175"/>
  <c r="AQ137" s="1"/>
  <c r="W174"/>
  <c r="AD137" s="1"/>
  <c r="W173"/>
  <c r="Q137" s="1"/>
  <c r="W172"/>
  <c r="AG33" i="38" l="1"/>
  <c r="AK33" s="1"/>
  <c r="AG26"/>
  <c r="AK26" s="1"/>
  <c r="C33"/>
  <c r="G33" s="1"/>
  <c r="C26"/>
  <c r="G26" s="1"/>
  <c r="W33"/>
  <c r="AA33" s="1"/>
  <c r="W26"/>
  <c r="AA26" s="1"/>
  <c r="D137" i="23"/>
  <c r="AG33" i="27"/>
  <c r="AK32" i="30" s="1"/>
  <c r="X33" i="27"/>
  <c r="Z32" i="30" s="1"/>
  <c r="O33" i="27"/>
  <c r="O32" i="30" s="1"/>
  <c r="AG24" i="27"/>
  <c r="AK26" i="30" s="1"/>
  <c r="X24" i="27"/>
  <c r="Z26" i="30" s="1"/>
  <c r="O24" i="27"/>
  <c r="O26" i="30" s="1"/>
  <c r="AE29" i="27"/>
  <c r="AE33" s="1"/>
  <c r="AK34" i="30" s="1"/>
  <c r="AE20" i="27"/>
  <c r="AE18"/>
  <c r="AE16"/>
  <c r="AE12"/>
  <c r="AE10"/>
  <c r="AE8"/>
  <c r="V29"/>
  <c r="V33" s="1"/>
  <c r="Z34" i="30" s="1"/>
  <c r="V20" i="27"/>
  <c r="V18"/>
  <c r="V16"/>
  <c r="V12"/>
  <c r="V10"/>
  <c r="V8"/>
  <c r="M29"/>
  <c r="M33" s="1"/>
  <c r="O34" i="30" s="1"/>
  <c r="M20" i="27"/>
  <c r="M18"/>
  <c r="M16"/>
  <c r="M12"/>
  <c r="M10"/>
  <c r="M8"/>
  <c r="D29"/>
  <c r="D20"/>
  <c r="D18"/>
  <c r="D16"/>
  <c r="D12"/>
  <c r="D10"/>
  <c r="D8"/>
  <c r="F33"/>
  <c r="D32" i="30" s="1"/>
  <c r="F24" i="27"/>
  <c r="D26" i="30" s="1"/>
  <c r="D37"/>
  <c r="V81" i="48"/>
  <c r="V71"/>
  <c r="V61"/>
  <c r="V51"/>
  <c r="U51" s="1"/>
  <c r="V41"/>
  <c r="V31"/>
  <c r="U31" s="1"/>
  <c r="V21"/>
  <c r="V9"/>
  <c r="U9" s="1"/>
  <c r="U81"/>
  <c r="U71"/>
  <c r="V62"/>
  <c r="U62" s="1"/>
  <c r="U61"/>
  <c r="U41"/>
  <c r="U21"/>
  <c r="V81" i="47"/>
  <c r="V71"/>
  <c r="V61"/>
  <c r="V51"/>
  <c r="U51" s="1"/>
  <c r="V41"/>
  <c r="V31"/>
  <c r="U81"/>
  <c r="U71"/>
  <c r="U61"/>
  <c r="V62"/>
  <c r="U62" s="1"/>
  <c r="U41"/>
  <c r="U31"/>
  <c r="V21"/>
  <c r="U21" s="1"/>
  <c r="V9"/>
  <c r="U9" s="1"/>
  <c r="Y81" i="78"/>
  <c r="Y79" s="1"/>
  <c r="Y72"/>
  <c r="Y70" s="1"/>
  <c r="Y65"/>
  <c r="Y63" s="1"/>
  <c r="X33"/>
  <c r="X31" s="1"/>
  <c r="Y82" i="50"/>
  <c r="Y80" s="1"/>
  <c r="Y73"/>
  <c r="Y71" s="1"/>
  <c r="Y66"/>
  <c r="Y64" s="1"/>
  <c r="X34"/>
  <c r="X32" s="1"/>
  <c r="U132" i="29"/>
  <c r="U130" s="1"/>
  <c r="U126"/>
  <c r="U124" s="1"/>
  <c r="U120"/>
  <c r="U118" s="1"/>
  <c r="U114"/>
  <c r="U112" s="1"/>
  <c r="U108"/>
  <c r="U106" s="1"/>
  <c r="U101"/>
  <c r="U99" s="1"/>
  <c r="U95"/>
  <c r="U93" s="1"/>
  <c r="U89"/>
  <c r="U87" s="1"/>
  <c r="U83"/>
  <c r="U81" s="1"/>
  <c r="U77"/>
  <c r="U75" s="1"/>
  <c r="U70"/>
  <c r="U68" s="1"/>
  <c r="U64"/>
  <c r="U62" s="1"/>
  <c r="U58"/>
  <c r="U56" s="1"/>
  <c r="U52"/>
  <c r="U50" s="1"/>
  <c r="U46"/>
  <c r="U44" s="1"/>
  <c r="U39"/>
  <c r="U37" s="1"/>
  <c r="U33"/>
  <c r="U25"/>
  <c r="U17"/>
  <c r="U15" s="1"/>
  <c r="U11"/>
  <c r="U9" s="1"/>
  <c r="A1" i="70"/>
  <c r="AP55" i="38"/>
  <c r="AP53" s="1"/>
  <c r="AP48"/>
  <c r="AP46" s="1"/>
  <c r="AP41"/>
  <c r="AP39" s="1"/>
  <c r="BB145" i="23"/>
  <c r="BB143" s="1"/>
  <c r="BB39"/>
  <c r="BB37" s="1"/>
  <c r="AT36" i="22"/>
  <c r="AT34" s="1"/>
  <c r="M24" i="27" l="1"/>
  <c r="O28" i="30" s="1"/>
  <c r="AE24" i="27"/>
  <c r="AK28" i="30" s="1"/>
  <c r="V24" i="27"/>
  <c r="Z28" i="30" s="1"/>
  <c r="E10" i="54"/>
  <c r="D10"/>
  <c r="C10"/>
  <c r="BB102" i="23"/>
  <c r="BB100" s="1"/>
  <c r="AT13" i="30"/>
  <c r="AT11" s="1"/>
  <c r="D70"/>
  <c r="AK70"/>
  <c r="E15" i="54" s="1"/>
  <c r="Z70" i="30"/>
  <c r="O70"/>
  <c r="D15" i="54"/>
  <c r="C15"/>
  <c r="B15"/>
  <c r="AK49" i="30"/>
  <c r="E12" i="54" s="1"/>
  <c r="Z49" i="30"/>
  <c r="D12" i="54" s="1"/>
  <c r="O49" i="30"/>
  <c r="C12" i="54" s="1"/>
  <c r="D49" i="30"/>
  <c r="B12" i="54" s="1"/>
  <c r="AK54" i="30"/>
  <c r="E13" i="54" s="1"/>
  <c r="Z54" i="30"/>
  <c r="D13" i="54" s="1"/>
  <c r="O54" i="30"/>
  <c r="C13" i="54" s="1"/>
  <c r="D54" i="30"/>
  <c r="B13" i="54"/>
  <c r="O42" i="78" l="1"/>
  <c r="D42"/>
  <c r="O43" i="50"/>
  <c r="D43"/>
  <c r="Q12" i="78"/>
  <c r="F12"/>
  <c r="Q10"/>
  <c r="F10"/>
  <c r="Q13" i="50"/>
  <c r="Q11"/>
  <c r="F13"/>
  <c r="E6" i="64"/>
  <c r="D6"/>
  <c r="C6"/>
  <c r="B6"/>
  <c r="F11" i="50"/>
  <c r="D9" i="73" l="1"/>
  <c r="N9"/>
  <c r="O9"/>
  <c r="N12"/>
  <c r="O12"/>
  <c r="O14"/>
  <c r="C38"/>
  <c r="AQ139" i="23"/>
  <c r="Q139"/>
  <c r="AD139"/>
  <c r="D139"/>
  <c r="A54" i="76"/>
  <c r="A52"/>
  <c r="A50"/>
  <c r="A41"/>
  <c r="A39"/>
  <c r="A37"/>
  <c r="A24"/>
  <c r="A22"/>
  <c r="A20"/>
  <c r="A54" i="62"/>
  <c r="A52"/>
  <c r="A50"/>
  <c r="A41"/>
  <c r="A39"/>
  <c r="A37"/>
  <c r="A24"/>
  <c r="A22"/>
  <c r="A20"/>
  <c r="A56" i="75"/>
  <c r="A54"/>
  <c r="A52"/>
  <c r="A56" i="61"/>
  <c r="A54"/>
  <c r="A52"/>
  <c r="A42" i="75"/>
  <c r="A40"/>
  <c r="A38"/>
  <c r="A42" i="61"/>
  <c r="A40"/>
  <c r="A38"/>
  <c r="A24" i="75"/>
  <c r="A22"/>
  <c r="A20"/>
  <c r="A24" i="61"/>
  <c r="A22"/>
  <c r="A20"/>
  <c r="A53" i="60"/>
  <c r="A51"/>
  <c r="A49"/>
  <c r="A40"/>
  <c r="A38"/>
  <c r="A36"/>
  <c r="A23"/>
  <c r="A21"/>
  <c r="A19"/>
  <c r="A53" i="13"/>
  <c r="A51"/>
  <c r="A49"/>
  <c r="A40"/>
  <c r="A38"/>
  <c r="A36"/>
  <c r="A23"/>
  <c r="A21"/>
  <c r="A19"/>
  <c r="A60" i="59"/>
  <c r="A58"/>
  <c r="A56"/>
  <c r="A46"/>
  <c r="A44"/>
  <c r="A42"/>
  <c r="A42" i="57"/>
  <c r="A28" i="59"/>
  <c r="A26"/>
  <c r="A24"/>
  <c r="B56" i="55"/>
  <c r="B54"/>
  <c r="B52"/>
  <c r="B42"/>
  <c r="B40"/>
  <c r="B38"/>
  <c r="B22"/>
  <c r="B24"/>
  <c r="A17" i="72" s="1"/>
  <c r="B20" i="55"/>
  <c r="A24" i="57"/>
  <c r="A60"/>
  <c r="A58"/>
  <c r="A56"/>
  <c r="A44"/>
  <c r="A46"/>
  <c r="A28"/>
  <c r="A26"/>
  <c r="A26" i="72"/>
  <c r="A25"/>
  <c r="A24"/>
  <c r="A16"/>
  <c r="A15"/>
  <c r="A33" i="71"/>
  <c r="A32"/>
  <c r="A31"/>
  <c r="A26"/>
  <c r="A25"/>
  <c r="A24"/>
  <c r="A17"/>
  <c r="A16"/>
  <c r="A15"/>
  <c r="B4"/>
  <c r="A1" i="64"/>
  <c r="A1" i="66"/>
  <c r="A1" i="65"/>
  <c r="A1" i="54"/>
  <c r="N36" i="78"/>
  <c r="C36"/>
  <c r="AB30" i="72"/>
  <c r="AB31"/>
  <c r="AB32"/>
  <c r="AB33"/>
  <c r="AB21"/>
  <c r="AB22"/>
  <c r="AB23"/>
  <c r="AB24"/>
  <c r="AB25"/>
  <c r="AB26"/>
  <c r="AB10"/>
  <c r="AB11"/>
  <c r="AB12"/>
  <c r="AB13"/>
  <c r="AB14"/>
  <c r="AB15"/>
  <c r="AB16"/>
  <c r="AB17"/>
  <c r="AB29"/>
  <c r="AB20"/>
  <c r="AB9"/>
  <c r="N30"/>
  <c r="N31"/>
  <c r="N33"/>
  <c r="N29"/>
  <c r="N21"/>
  <c r="N22"/>
  <c r="N23"/>
  <c r="N24"/>
  <c r="N25"/>
  <c r="N26"/>
  <c r="N20"/>
  <c r="N10"/>
  <c r="N11"/>
  <c r="N12"/>
  <c r="N13"/>
  <c r="N14"/>
  <c r="N15"/>
  <c r="N16"/>
  <c r="N17"/>
  <c r="N9"/>
  <c r="AB30" i="71"/>
  <c r="AB31"/>
  <c r="AB32"/>
  <c r="AB33"/>
  <c r="AB29"/>
  <c r="AB21"/>
  <c r="AB22"/>
  <c r="AB23"/>
  <c r="AB24"/>
  <c r="AB25"/>
  <c r="AB26"/>
  <c r="AB20"/>
  <c r="AB10"/>
  <c r="AB11"/>
  <c r="AB12"/>
  <c r="AB13"/>
  <c r="AB14"/>
  <c r="AB15"/>
  <c r="AB16"/>
  <c r="AB17"/>
  <c r="AB9"/>
  <c r="N30"/>
  <c r="N31"/>
  <c r="N32"/>
  <c r="N33"/>
  <c r="N29"/>
  <c r="N21"/>
  <c r="N22"/>
  <c r="N23"/>
  <c r="N24"/>
  <c r="N25"/>
  <c r="N26"/>
  <c r="N20"/>
  <c r="N10"/>
  <c r="N11"/>
  <c r="N12"/>
  <c r="N13"/>
  <c r="N14"/>
  <c r="N15"/>
  <c r="N16"/>
  <c r="N17"/>
  <c r="N9"/>
  <c r="D105" i="23"/>
  <c r="AK43" i="22"/>
  <c r="Z43"/>
  <c r="O43"/>
  <c r="D43"/>
  <c r="AK106" i="30"/>
  <c r="Z106"/>
  <c r="O106"/>
  <c r="D106"/>
  <c r="AK91"/>
  <c r="Z91"/>
  <c r="O91"/>
  <c r="D91"/>
  <c r="E94" i="54"/>
  <c r="D94"/>
  <c r="C94"/>
  <c r="B94"/>
  <c r="D111" i="23"/>
  <c r="AC22" i="22" l="1"/>
  <c r="G22"/>
  <c r="Q17" i="38"/>
  <c r="AN22" i="22"/>
  <c r="R22"/>
  <c r="AA17" i="38"/>
  <c r="Q24"/>
  <c r="AK24"/>
  <c r="AA19"/>
  <c r="G19"/>
  <c r="AA24"/>
  <c r="Q19"/>
  <c r="AK19"/>
  <c r="D33" i="27"/>
  <c r="D34" i="30" s="1"/>
  <c r="B10" i="54" s="1"/>
  <c r="E16" i="64"/>
  <c r="E15"/>
  <c r="E14"/>
  <c r="E13"/>
  <c r="E12"/>
  <c r="D16"/>
  <c r="D15"/>
  <c r="D14"/>
  <c r="D13"/>
  <c r="D12"/>
  <c r="E11"/>
  <c r="D11"/>
  <c r="E10"/>
  <c r="D10"/>
  <c r="E9"/>
  <c r="D9"/>
  <c r="B4" i="78"/>
  <c r="M4"/>
  <c r="M3"/>
  <c r="B3"/>
  <c r="N27"/>
  <c r="C27"/>
  <c r="S12"/>
  <c r="H12"/>
  <c r="S10"/>
  <c r="H10"/>
  <c r="A1"/>
  <c r="C9" i="65" l="1"/>
  <c r="D9"/>
  <c r="D9" i="47"/>
  <c r="H11" i="50"/>
  <c r="N30" i="14"/>
  <c r="N48"/>
  <c r="D20" i="23"/>
  <c r="D21" i="47" l="1"/>
  <c r="C37" i="50"/>
  <c r="D9" i="48"/>
  <c r="Y4" i="55" l="1"/>
  <c r="D4"/>
  <c r="AP4" i="76"/>
  <c r="AP3"/>
  <c r="B4"/>
  <c r="B3"/>
  <c r="A1"/>
  <c r="Z4" i="75"/>
  <c r="Z3"/>
  <c r="N4"/>
  <c r="N3"/>
  <c r="A1"/>
  <c r="N37" i="50"/>
  <c r="K4" i="48"/>
  <c r="B4"/>
  <c r="K4" i="45"/>
  <c r="B4"/>
  <c r="W4" i="43"/>
  <c r="P4"/>
  <c r="P3"/>
  <c r="W3"/>
  <c r="R4" i="60"/>
  <c r="C4"/>
  <c r="R4" i="13"/>
  <c r="C4"/>
  <c r="AD4" i="57"/>
  <c r="C4"/>
  <c r="AD4" i="59"/>
  <c r="C4"/>
  <c r="E16" i="54"/>
  <c r="D16"/>
  <c r="AF4" i="38"/>
  <c r="AF3"/>
  <c r="V4"/>
  <c r="V3"/>
  <c r="E92" i="54"/>
  <c r="X46" i="34" s="1"/>
  <c r="D92" i="54"/>
  <c r="Q46" i="34" s="1"/>
  <c r="C92" i="54"/>
  <c r="J46" i="34" s="1"/>
  <c r="B92" i="54"/>
  <c r="C46" i="34" s="1"/>
  <c r="X80" i="31"/>
  <c r="AH109"/>
  <c r="E107" i="54" s="1"/>
  <c r="X109" i="31"/>
  <c r="N109"/>
  <c r="D109"/>
  <c r="AH103"/>
  <c r="X103"/>
  <c r="N103"/>
  <c r="C106" i="54" s="1"/>
  <c r="D103" i="31"/>
  <c r="B106" i="54" s="1"/>
  <c r="AH86" i="31"/>
  <c r="X86"/>
  <c r="D86"/>
  <c r="B105" i="54" s="1"/>
  <c r="AH80" i="31"/>
  <c r="N80"/>
  <c r="C104" i="54" s="1"/>
  <c r="X61" i="31"/>
  <c r="AH61"/>
  <c r="D61"/>
  <c r="AF4"/>
  <c r="AF3"/>
  <c r="V4"/>
  <c r="V3"/>
  <c r="AL153" i="30"/>
  <c r="AL151"/>
  <c r="AL147"/>
  <c r="AL145"/>
  <c r="AL141"/>
  <c r="AL139"/>
  <c r="AL135"/>
  <c r="AL133"/>
  <c r="AL129"/>
  <c r="AL127"/>
  <c r="AA153"/>
  <c r="AA151"/>
  <c r="AA147"/>
  <c r="AA145"/>
  <c r="AA141"/>
  <c r="AA139"/>
  <c r="AA135"/>
  <c r="AA133"/>
  <c r="AA129"/>
  <c r="AA127"/>
  <c r="AC4" i="27"/>
  <c r="AC3"/>
  <c r="T4"/>
  <c r="T3"/>
  <c r="AK37" i="30"/>
  <c r="AK39"/>
  <c r="Z37"/>
  <c r="Z39"/>
  <c r="AP120" i="23"/>
  <c r="AC120"/>
  <c r="P120"/>
  <c r="AP118"/>
  <c r="AC118"/>
  <c r="P118"/>
  <c r="E42" i="54"/>
  <c r="E41"/>
  <c r="D42"/>
  <c r="D41"/>
  <c r="C42"/>
  <c r="C41"/>
  <c r="B42"/>
  <c r="B41"/>
  <c r="C120" i="23"/>
  <c r="C118"/>
  <c r="AQ111"/>
  <c r="AD111"/>
  <c r="Q111"/>
  <c r="AQ20"/>
  <c r="AD20"/>
  <c r="Q20"/>
  <c r="AQ105"/>
  <c r="AD105"/>
  <c r="Q105"/>
  <c r="AO4"/>
  <c r="AB4"/>
  <c r="AO3"/>
  <c r="AB3"/>
  <c r="E103" i="54"/>
  <c r="D103"/>
  <c r="C103"/>
  <c r="B103"/>
  <c r="E105"/>
  <c r="D105"/>
  <c r="E104"/>
  <c r="D104"/>
  <c r="N86" i="31"/>
  <c r="C105" i="54" s="1"/>
  <c r="D80" i="31"/>
  <c r="B104" i="54" s="1"/>
  <c r="B4" i="22"/>
  <c r="AI4"/>
  <c r="X4"/>
  <c r="M4"/>
  <c r="AI3"/>
  <c r="X3"/>
  <c r="AK147" i="30"/>
  <c r="E31" i="54" s="1"/>
  <c r="Z147" i="30"/>
  <c r="D31" i="54" s="1"/>
  <c r="D147" i="30"/>
  <c r="AK141"/>
  <c r="E30" i="54" s="1"/>
  <c r="Z141" i="30"/>
  <c r="D30" i="54" s="1"/>
  <c r="D141" i="30"/>
  <c r="AK153"/>
  <c r="Z153"/>
  <c r="D32" i="54" s="1"/>
  <c r="D153" i="30"/>
  <c r="AK135"/>
  <c r="E29" i="54" s="1"/>
  <c r="Z135" i="30"/>
  <c r="D29" i="54" s="1"/>
  <c r="D135" i="30"/>
  <c r="O129"/>
  <c r="Z129"/>
  <c r="AK129"/>
  <c r="AI4"/>
  <c r="AI3"/>
  <c r="X3"/>
  <c r="X4"/>
  <c r="E32" i="54"/>
  <c r="E106"/>
  <c r="D106"/>
  <c r="D107"/>
  <c r="E101"/>
  <c r="D101"/>
  <c r="C107"/>
  <c r="B107"/>
  <c r="N61" i="31"/>
  <c r="C101" i="54" s="1"/>
  <c r="B101"/>
  <c r="AG47" i="31" l="1"/>
  <c r="AK47" s="1"/>
  <c r="AG51"/>
  <c r="W47"/>
  <c r="AA47" s="1"/>
  <c r="W51"/>
  <c r="D11" i="54"/>
  <c r="W36" i="31" s="1"/>
  <c r="E11" i="54"/>
  <c r="AG36" i="31" s="1"/>
  <c r="B29" i="54"/>
  <c r="B30"/>
  <c r="B31"/>
  <c r="O153" i="30"/>
  <c r="P153"/>
  <c r="E153"/>
  <c r="P151"/>
  <c r="E151"/>
  <c r="E17" i="54"/>
  <c r="D17"/>
  <c r="C17"/>
  <c r="B17"/>
  <c r="W9" i="38" l="1"/>
  <c r="Q20" i="34"/>
  <c r="AG9" i="38"/>
  <c r="X20" i="34"/>
  <c r="B32" i="54"/>
  <c r="C32"/>
  <c r="E9"/>
  <c r="AK42" i="30" s="1"/>
  <c r="D9" i="54"/>
  <c r="Z42" i="30" s="1"/>
  <c r="C9" i="54"/>
  <c r="O37" i="30"/>
  <c r="O39"/>
  <c r="D39"/>
  <c r="M51" i="31" l="1"/>
  <c r="C51"/>
  <c r="AK53" i="38"/>
  <c r="AA53"/>
  <c r="AK46"/>
  <c r="AA46"/>
  <c r="AK39"/>
  <c r="AA39"/>
  <c r="AK9"/>
  <c r="AA9"/>
  <c r="AK7"/>
  <c r="AA7"/>
  <c r="D26" i="54"/>
  <c r="E22"/>
  <c r="N48" i="78" s="1"/>
  <c r="N50" s="1"/>
  <c r="D22" i="54"/>
  <c r="C48" i="78" s="1"/>
  <c r="C50" s="1"/>
  <c r="C22" i="54"/>
  <c r="B23"/>
  <c r="G41" i="38" s="1"/>
  <c r="D41" s="1"/>
  <c r="B26" i="54"/>
  <c r="E26"/>
  <c r="B24"/>
  <c r="G48" i="38" s="1"/>
  <c r="D48" s="1"/>
  <c r="B25" i="54"/>
  <c r="G55" i="38" s="1"/>
  <c r="D55" s="1"/>
  <c r="E23" i="54"/>
  <c r="AK41" i="38" s="1"/>
  <c r="AH41" s="1"/>
  <c r="E12" i="65" s="1"/>
  <c r="E24" i="54"/>
  <c r="AK48" i="38" s="1"/>
  <c r="AH48" s="1"/>
  <c r="E13" i="65" s="1"/>
  <c r="E25" i="54"/>
  <c r="AK55" i="38" s="1"/>
  <c r="AH55" s="1"/>
  <c r="E14" i="65" s="1"/>
  <c r="D23" i="54"/>
  <c r="AA41" i="38" s="1"/>
  <c r="X41" s="1"/>
  <c r="D12" i="65" s="1"/>
  <c r="D24" i="54"/>
  <c r="AA48" i="38" s="1"/>
  <c r="X48" s="1"/>
  <c r="D13" i="65" s="1"/>
  <c r="D25" i="54"/>
  <c r="AA55" i="38" s="1"/>
  <c r="X55" s="1"/>
  <c r="D14" i="65" s="1"/>
  <c r="C26" i="54"/>
  <c r="M47" i="31"/>
  <c r="Q47" s="1"/>
  <c r="AN24" i="22"/>
  <c r="E44" i="54" s="1"/>
  <c r="AA19" i="34" s="1"/>
  <c r="AC24" i="22"/>
  <c r="D44" i="54" s="1"/>
  <c r="T19" i="34" s="1"/>
  <c r="AC28" i="22"/>
  <c r="AN28"/>
  <c r="AC30"/>
  <c r="AN30"/>
  <c r="C47" i="31"/>
  <c r="G47" s="1"/>
  <c r="O147" i="30"/>
  <c r="O141"/>
  <c r="O135"/>
  <c r="C23" i="54" s="1"/>
  <c r="Q41" i="38" s="1"/>
  <c r="N41" s="1"/>
  <c r="D129" i="30"/>
  <c r="P147"/>
  <c r="P145"/>
  <c r="P141"/>
  <c r="P139"/>
  <c r="P135"/>
  <c r="P133"/>
  <c r="P129"/>
  <c r="P127"/>
  <c r="E147"/>
  <c r="E145"/>
  <c r="E141"/>
  <c r="E139"/>
  <c r="E135"/>
  <c r="E133"/>
  <c r="E129"/>
  <c r="E127"/>
  <c r="F11" i="48" l="1"/>
  <c r="F31" i="45"/>
  <c r="D31" s="1"/>
  <c r="O11" i="48"/>
  <c r="O31" i="45"/>
  <c r="M31" s="1"/>
  <c r="C54" i="78"/>
  <c r="N54"/>
  <c r="B28" i="54"/>
  <c r="B22"/>
  <c r="C29"/>
  <c r="C30"/>
  <c r="C24"/>
  <c r="Q48" i="38" s="1"/>
  <c r="N48" s="1"/>
  <c r="C31" i="54"/>
  <c r="C25"/>
  <c r="Q55" i="38" s="1"/>
  <c r="N55" s="1"/>
  <c r="N49" i="50"/>
  <c r="N51" s="1"/>
  <c r="C49" l="1"/>
  <c r="C51" s="1"/>
  <c r="E28" i="54"/>
  <c r="AG38" i="31" s="1"/>
  <c r="D28" i="54"/>
  <c r="W38" i="31" s="1"/>
  <c r="C28" i="54"/>
  <c r="C19"/>
  <c r="D19"/>
  <c r="E19"/>
  <c r="B19"/>
  <c r="C16"/>
  <c r="B16"/>
  <c r="C11"/>
  <c r="B11"/>
  <c r="C36" i="31" s="1"/>
  <c r="O42" i="30" l="1"/>
  <c r="M36" i="31"/>
  <c r="W42"/>
  <c r="AA38"/>
  <c r="AG42"/>
  <c r="AK38"/>
  <c r="M38"/>
  <c r="C38"/>
  <c r="C55" i="50"/>
  <c r="M81" i="48"/>
  <c r="D81"/>
  <c r="M71"/>
  <c r="D71"/>
  <c r="M61"/>
  <c r="D61"/>
  <c r="M51"/>
  <c r="D51"/>
  <c r="M41"/>
  <c r="D41"/>
  <c r="M31"/>
  <c r="D31"/>
  <c r="C42" i="31" l="1"/>
  <c r="G38"/>
  <c r="M42"/>
  <c r="Q38"/>
  <c r="AK42"/>
  <c r="AA42"/>
  <c r="M21" i="48"/>
  <c r="D21"/>
  <c r="M9" l="1"/>
  <c r="K3"/>
  <c r="B3"/>
  <c r="A1"/>
  <c r="M81" i="47"/>
  <c r="D81"/>
  <c r="M71"/>
  <c r="D71"/>
  <c r="M61"/>
  <c r="D61"/>
  <c r="M51" l="1"/>
  <c r="D51"/>
  <c r="M41"/>
  <c r="D41"/>
  <c r="M31"/>
  <c r="D31"/>
  <c r="M21"/>
  <c r="M9" l="1"/>
  <c r="K3"/>
  <c r="B3"/>
  <c r="A1"/>
  <c r="N28" i="50" l="1"/>
  <c r="C28"/>
  <c r="A28" l="1"/>
  <c r="S13"/>
  <c r="H13"/>
  <c r="S11"/>
  <c r="M3"/>
  <c r="B3"/>
  <c r="A1"/>
  <c r="M130" i="45"/>
  <c r="D130"/>
  <c r="M124"/>
  <c r="D124"/>
  <c r="M118"/>
  <c r="D118"/>
  <c r="M112"/>
  <c r="D112"/>
  <c r="M106"/>
  <c r="D106"/>
  <c r="M99"/>
  <c r="D99"/>
  <c r="M93"/>
  <c r="D93"/>
  <c r="M87"/>
  <c r="D87"/>
  <c r="M81"/>
  <c r="D81"/>
  <c r="M75"/>
  <c r="D75"/>
  <c r="M68"/>
  <c r="D68"/>
  <c r="M62"/>
  <c r="D62"/>
  <c r="M56"/>
  <c r="D56"/>
  <c r="M50"/>
  <c r="D50"/>
  <c r="M44"/>
  <c r="D44"/>
  <c r="M37"/>
  <c r="D37"/>
  <c r="M29"/>
  <c r="M21"/>
  <c r="M15"/>
  <c r="D15"/>
  <c r="M9"/>
  <c r="D9"/>
  <c r="K3"/>
  <c r="B3"/>
  <c r="A1"/>
  <c r="M130" i="29"/>
  <c r="D130"/>
  <c r="M124"/>
  <c r="D124"/>
  <c r="M118"/>
  <c r="D118"/>
  <c r="M112"/>
  <c r="D112"/>
  <c r="M106"/>
  <c r="D106"/>
  <c r="M99"/>
  <c r="D99"/>
  <c r="M93"/>
  <c r="D93"/>
  <c r="M87"/>
  <c r="D87"/>
  <c r="M81"/>
  <c r="D81"/>
  <c r="M75"/>
  <c r="D75"/>
  <c r="M68"/>
  <c r="D68"/>
  <c r="M62"/>
  <c r="D62"/>
  <c r="M56"/>
  <c r="D56"/>
  <c r="M50"/>
  <c r="D50"/>
  <c r="M44"/>
  <c r="D44"/>
  <c r="M37"/>
  <c r="D37"/>
  <c r="M15"/>
  <c r="D15"/>
  <c r="M9"/>
  <c r="D9"/>
  <c r="K3"/>
  <c r="B3"/>
  <c r="A1"/>
  <c r="I3" i="43"/>
  <c r="B3"/>
  <c r="A1"/>
  <c r="AP3" i="62"/>
  <c r="B3"/>
  <c r="A1"/>
  <c r="Z3" i="61" l="1"/>
  <c r="N3"/>
  <c r="A1"/>
  <c r="Y53" i="60"/>
  <c r="U53"/>
  <c r="J53"/>
  <c r="F53"/>
  <c r="Y51"/>
  <c r="U51"/>
  <c r="J51"/>
  <c r="F51"/>
  <c r="Y49"/>
  <c r="H51" l="1"/>
  <c r="W51"/>
  <c r="H53"/>
  <c r="W53"/>
  <c r="U49"/>
  <c r="J49"/>
  <c r="F49"/>
  <c r="Y40"/>
  <c r="U40"/>
  <c r="J40"/>
  <c r="F40"/>
  <c r="J39"/>
  <c r="Y38"/>
  <c r="H40" l="1"/>
  <c r="W40"/>
  <c r="H49"/>
  <c r="W49"/>
  <c r="U38"/>
  <c r="J38"/>
  <c r="F38"/>
  <c r="Y36"/>
  <c r="H38" l="1"/>
  <c r="W38"/>
  <c r="U36"/>
  <c r="J36"/>
  <c r="F36"/>
  <c r="Y23"/>
  <c r="U23"/>
  <c r="J23"/>
  <c r="F23"/>
  <c r="Y21"/>
  <c r="U21"/>
  <c r="J21"/>
  <c r="F21"/>
  <c r="Y19"/>
  <c r="U19"/>
  <c r="J19"/>
  <c r="F19"/>
  <c r="R3"/>
  <c r="C3"/>
  <c r="A1"/>
  <c r="Y53" i="13"/>
  <c r="U53"/>
  <c r="J53"/>
  <c r="W53" l="1"/>
  <c r="H19" i="60"/>
  <c r="W19"/>
  <c r="H21"/>
  <c r="W21"/>
  <c r="H23"/>
  <c r="W23"/>
  <c r="H36"/>
  <c r="W36"/>
  <c r="F53" i="13"/>
  <c r="H53" s="1"/>
  <c r="Y51"/>
  <c r="U51"/>
  <c r="J51"/>
  <c r="W51" l="1"/>
  <c r="F51"/>
  <c r="H51" s="1"/>
  <c r="Y49"/>
  <c r="U49"/>
  <c r="J49"/>
  <c r="W49" l="1"/>
  <c r="F49"/>
  <c r="H49" s="1"/>
  <c r="Y40"/>
  <c r="U40"/>
  <c r="J40"/>
  <c r="F40"/>
  <c r="H40" s="1"/>
  <c r="J39"/>
  <c r="Y38"/>
  <c r="U38"/>
  <c r="J38"/>
  <c r="F38"/>
  <c r="H38" s="1"/>
  <c r="Y36"/>
  <c r="U36"/>
  <c r="J36"/>
  <c r="F36"/>
  <c r="H36" s="1"/>
  <c r="Y23"/>
  <c r="U23"/>
  <c r="J23"/>
  <c r="F23"/>
  <c r="H23" s="1"/>
  <c r="Y21"/>
  <c r="U21"/>
  <c r="J21"/>
  <c r="F21"/>
  <c r="H21" s="1"/>
  <c r="Y19"/>
  <c r="U19"/>
  <c r="J19"/>
  <c r="F19"/>
  <c r="H19" s="1"/>
  <c r="W19" l="1"/>
  <c r="W21"/>
  <c r="W23"/>
  <c r="W36"/>
  <c r="W38"/>
  <c r="W40"/>
  <c r="R3"/>
  <c r="C3"/>
  <c r="A1"/>
  <c r="AW62" i="59"/>
  <c r="AQ62"/>
  <c r="AK62"/>
  <c r="V62"/>
  <c r="P62"/>
  <c r="J62"/>
  <c r="AE60"/>
  <c r="D60" l="1"/>
  <c r="AE58"/>
  <c r="D58"/>
  <c r="AE56"/>
  <c r="D56"/>
  <c r="AE54"/>
  <c r="D54"/>
  <c r="AE62"/>
  <c r="AW48"/>
  <c r="AQ48"/>
  <c r="AK48"/>
  <c r="V48"/>
  <c r="P48"/>
  <c r="J48"/>
  <c r="AE46"/>
  <c r="D46"/>
  <c r="AE44"/>
  <c r="D44"/>
  <c r="AE42"/>
  <c r="D42"/>
  <c r="AE40"/>
  <c r="D40"/>
  <c r="D38"/>
  <c r="AE36"/>
  <c r="AW30"/>
  <c r="AW64" s="1"/>
  <c r="AX64" s="1"/>
  <c r="AQ30"/>
  <c r="AQ64" s="1"/>
  <c r="AR64" s="1"/>
  <c r="AK30"/>
  <c r="AK64" s="1"/>
  <c r="AL64" s="1"/>
  <c r="V30"/>
  <c r="V64" s="1"/>
  <c r="W64" s="1"/>
  <c r="P30"/>
  <c r="P64" s="1"/>
  <c r="Q64" s="1"/>
  <c r="J30"/>
  <c r="J64" s="1"/>
  <c r="K64" s="1"/>
  <c r="AE48" l="1"/>
  <c r="D62"/>
  <c r="D48"/>
  <c r="AE28"/>
  <c r="D28"/>
  <c r="AE26"/>
  <c r="D26"/>
  <c r="AE24"/>
  <c r="D24"/>
  <c r="AE30"/>
  <c r="AD3"/>
  <c r="C3"/>
  <c r="A1"/>
  <c r="AW62" i="57"/>
  <c r="AQ62"/>
  <c r="V62"/>
  <c r="P62"/>
  <c r="J62"/>
  <c r="AE60"/>
  <c r="D60"/>
  <c r="AE58"/>
  <c r="D58"/>
  <c r="AE56"/>
  <c r="D56"/>
  <c r="AE54"/>
  <c r="D54"/>
  <c r="AE52"/>
  <c r="D52"/>
  <c r="AW48"/>
  <c r="AQ48"/>
  <c r="V48"/>
  <c r="P48"/>
  <c r="J48"/>
  <c r="AE46"/>
  <c r="D46"/>
  <c r="AE44"/>
  <c r="D44"/>
  <c r="AE42"/>
  <c r="D42"/>
  <c r="AE40"/>
  <c r="D40"/>
  <c r="AE38"/>
  <c r="AE36"/>
  <c r="AE48" s="1"/>
  <c r="AW30"/>
  <c r="AW64" s="1"/>
  <c r="AX64" s="1"/>
  <c r="AQ30"/>
  <c r="V30"/>
  <c r="P30"/>
  <c r="J30"/>
  <c r="AE28"/>
  <c r="D28"/>
  <c r="AE26"/>
  <c r="D26"/>
  <c r="AE24"/>
  <c r="D24"/>
  <c r="D30" s="1"/>
  <c r="AD3"/>
  <c r="C3"/>
  <c r="A1"/>
  <c r="AC34" i="72"/>
  <c r="AB34" s="1"/>
  <c r="AA34"/>
  <c r="Z34"/>
  <c r="Y34"/>
  <c r="X34"/>
  <c r="W34"/>
  <c r="V34"/>
  <c r="U34"/>
  <c r="T34"/>
  <c r="S34"/>
  <c r="R34"/>
  <c r="Q34"/>
  <c r="P34"/>
  <c r="O34"/>
  <c r="N34" s="1"/>
  <c r="M34"/>
  <c r="L34"/>
  <c r="K34"/>
  <c r="J34"/>
  <c r="I34"/>
  <c r="H34"/>
  <c r="G34"/>
  <c r="F34"/>
  <c r="E34"/>
  <c r="D34"/>
  <c r="C34"/>
  <c r="B34"/>
  <c r="AC27"/>
  <c r="AB27" s="1"/>
  <c r="AA27"/>
  <c r="Z27"/>
  <c r="Y27"/>
  <c r="X27"/>
  <c r="W27"/>
  <c r="V27"/>
  <c r="U27"/>
  <c r="T27"/>
  <c r="S27"/>
  <c r="R27"/>
  <c r="Q27"/>
  <c r="P27"/>
  <c r="O27"/>
  <c r="N27" s="1"/>
  <c r="M27"/>
  <c r="L27"/>
  <c r="K27"/>
  <c r="J27"/>
  <c r="I27"/>
  <c r="H27"/>
  <c r="G27"/>
  <c r="F27"/>
  <c r="E27"/>
  <c r="D27"/>
  <c r="C27"/>
  <c r="B27"/>
  <c r="AB18"/>
  <c r="AA18"/>
  <c r="Z18"/>
  <c r="Y18"/>
  <c r="X18"/>
  <c r="W18"/>
  <c r="V18"/>
  <c r="U18"/>
  <c r="T18"/>
  <c r="S18"/>
  <c r="R18"/>
  <c r="Q18"/>
  <c r="P18"/>
  <c r="O18"/>
  <c r="M18"/>
  <c r="L18"/>
  <c r="K18"/>
  <c r="J18"/>
  <c r="I18"/>
  <c r="H18"/>
  <c r="G18"/>
  <c r="F18"/>
  <c r="E18"/>
  <c r="D18"/>
  <c r="C18"/>
  <c r="B18"/>
  <c r="P4"/>
  <c r="B4"/>
  <c r="P3"/>
  <c r="B3"/>
  <c r="A1"/>
  <c r="AC34" i="71"/>
  <c r="AB34"/>
  <c r="AA34"/>
  <c r="Z34"/>
  <c r="Y34"/>
  <c r="X34"/>
  <c r="W34"/>
  <c r="V34"/>
  <c r="U34"/>
  <c r="T34"/>
  <c r="S34"/>
  <c r="R34"/>
  <c r="Q34"/>
  <c r="P34"/>
  <c r="O34"/>
  <c r="N34"/>
  <c r="M34"/>
  <c r="L34"/>
  <c r="K34"/>
  <c r="J34"/>
  <c r="I34"/>
  <c r="H34"/>
  <c r="G34"/>
  <c r="F34"/>
  <c r="E34"/>
  <c r="D34"/>
  <c r="C34"/>
  <c r="B34"/>
  <c r="AC27"/>
  <c r="AB27"/>
  <c r="AA27"/>
  <c r="Z27"/>
  <c r="Y27"/>
  <c r="X27"/>
  <c r="W27"/>
  <c r="V27"/>
  <c r="U27"/>
  <c r="T27"/>
  <c r="S27"/>
  <c r="R27"/>
  <c r="Q27"/>
  <c r="P27"/>
  <c r="O27"/>
  <c r="M27"/>
  <c r="L27"/>
  <c r="K27"/>
  <c r="J27"/>
  <c r="I27"/>
  <c r="H27"/>
  <c r="G27"/>
  <c r="F27"/>
  <c r="E27"/>
  <c r="D27"/>
  <c r="C27"/>
  <c r="B27"/>
  <c r="N27"/>
  <c r="AC18"/>
  <c r="AB18"/>
  <c r="AA18"/>
  <c r="Z18"/>
  <c r="Y18"/>
  <c r="X18"/>
  <c r="W18"/>
  <c r="V18"/>
  <c r="U18"/>
  <c r="T18"/>
  <c r="S18"/>
  <c r="R18"/>
  <c r="Q18"/>
  <c r="P18"/>
  <c r="O18"/>
  <c r="M18"/>
  <c r="L18"/>
  <c r="K18"/>
  <c r="J18"/>
  <c r="I18"/>
  <c r="H18"/>
  <c r="G18"/>
  <c r="F18"/>
  <c r="E18"/>
  <c r="D18"/>
  <c r="C18"/>
  <c r="B18"/>
  <c r="P4"/>
  <c r="P3"/>
  <c r="B3"/>
  <c r="A1"/>
  <c r="N48" i="55"/>
  <c r="N36"/>
  <c r="N34"/>
  <c r="N32"/>
  <c r="N30"/>
  <c r="N14"/>
  <c r="N12"/>
  <c r="N10"/>
  <c r="Y3"/>
  <c r="D3"/>
  <c r="A1"/>
  <c r="AC50" i="14"/>
  <c r="AI50" s="1"/>
  <c r="H50"/>
  <c r="N50" i="55" s="1"/>
  <c r="AI48" i="14"/>
  <c r="AI36"/>
  <c r="N36"/>
  <c r="AI34"/>
  <c r="N34"/>
  <c r="AI32"/>
  <c r="N32"/>
  <c r="AI30"/>
  <c r="AI18"/>
  <c r="N18" i="55"/>
  <c r="AI16" i="14"/>
  <c r="N16" i="55"/>
  <c r="AI14" i="14"/>
  <c r="N14"/>
  <c r="AI12"/>
  <c r="N12"/>
  <c r="AI10"/>
  <c r="N10"/>
  <c r="AI8"/>
  <c r="N8"/>
  <c r="Y3"/>
  <c r="D3"/>
  <c r="A1"/>
  <c r="AE64" i="59" l="1"/>
  <c r="AF64" s="1"/>
  <c r="AE30" i="57"/>
  <c r="A33" i="72"/>
  <c r="A32"/>
  <c r="A31"/>
  <c r="AE62" i="57"/>
  <c r="AE64" s="1"/>
  <c r="AF64" s="1"/>
  <c r="N16" i="14"/>
  <c r="N18"/>
  <c r="N50"/>
  <c r="N18" i="71"/>
  <c r="N18" i="72"/>
  <c r="N35"/>
  <c r="M35" s="1"/>
  <c r="L35" s="1"/>
  <c r="K35" s="1"/>
  <c r="J35" s="1"/>
  <c r="I35" s="1"/>
  <c r="H35" s="1"/>
  <c r="G35" s="1"/>
  <c r="F35" s="1"/>
  <c r="E35" s="1"/>
  <c r="D35" s="1"/>
  <c r="C35" s="1"/>
  <c r="B35" s="1"/>
  <c r="F15" i="47"/>
  <c r="D15" s="1"/>
  <c r="O15"/>
  <c r="M15" s="1"/>
  <c r="O15" i="48"/>
  <c r="M15" s="1"/>
  <c r="N8" i="55"/>
  <c r="D48" i="57"/>
  <c r="D62"/>
  <c r="D30" i="59"/>
  <c r="D64" i="57" l="1"/>
  <c r="E64" s="1"/>
  <c r="F15" i="48"/>
  <c r="D15" s="1"/>
  <c r="D64" i="59"/>
  <c r="E64" s="1"/>
  <c r="AK62" i="57"/>
  <c r="AK48"/>
  <c r="AK30"/>
  <c r="L3" i="38"/>
  <c r="B3"/>
  <c r="A1"/>
  <c r="L3" i="31"/>
  <c r="B3"/>
  <c r="A1"/>
  <c r="O3" i="23"/>
  <c r="B3"/>
  <c r="A1"/>
  <c r="M3" i="22" l="1"/>
  <c r="B3"/>
  <c r="A1"/>
  <c r="AC26" l="1"/>
  <c r="AN26"/>
  <c r="J20" i="34" l="1"/>
  <c r="AA20"/>
  <c r="C20"/>
  <c r="T20"/>
  <c r="M9" i="38"/>
  <c r="C9"/>
  <c r="D24" i="27"/>
  <c r="D28" i="30" s="1"/>
  <c r="B9" i="54" s="1"/>
  <c r="D42" i="30" s="1"/>
  <c r="K3" i="27"/>
  <c r="B3"/>
  <c r="A1"/>
  <c r="M4" i="30"/>
  <c r="B4"/>
  <c r="M3"/>
  <c r="B3"/>
  <c r="A1"/>
  <c r="E99" i="54"/>
  <c r="D99"/>
  <c r="C99"/>
  <c r="B99"/>
  <c r="E98"/>
  <c r="D98"/>
  <c r="C98"/>
  <c r="B98"/>
  <c r="C52" i="78" l="1"/>
  <c r="C56" s="1"/>
  <c r="N52"/>
  <c r="N56" s="1"/>
  <c r="O33" i="48"/>
  <c r="M33" s="1"/>
  <c r="Q53" i="38"/>
  <c r="G53"/>
  <c r="Q46"/>
  <c r="G46"/>
  <c r="Q39"/>
  <c r="G39"/>
  <c r="G7"/>
  <c r="Q7"/>
  <c r="R24" i="22"/>
  <c r="C44" i="54" s="1"/>
  <c r="M19" i="34" s="1"/>
  <c r="G24" i="22"/>
  <c r="B44" i="54" s="1"/>
  <c r="F19" i="34" s="1"/>
  <c r="G28" i="22"/>
  <c r="R28"/>
  <c r="G30"/>
  <c r="R30"/>
  <c r="G26"/>
  <c r="F20" i="34" s="1"/>
  <c r="R26" i="22"/>
  <c r="G9" i="38"/>
  <c r="Q9"/>
  <c r="B4" i="47"/>
  <c r="B4" i="50"/>
  <c r="B4" i="29"/>
  <c r="B4" i="43"/>
  <c r="B4" i="62"/>
  <c r="N4" i="61"/>
  <c r="D4" i="14"/>
  <c r="B4" i="38"/>
  <c r="B4" i="31"/>
  <c r="B4" i="23"/>
  <c r="K4" i="47"/>
  <c r="M4" i="50"/>
  <c r="K4" i="29"/>
  <c r="I4" i="43"/>
  <c r="AP4" i="62"/>
  <c r="Z4" i="61"/>
  <c r="Y4" i="14"/>
  <c r="L4" i="38"/>
  <c r="L4" i="31"/>
  <c r="O4" i="23"/>
  <c r="B4" i="27"/>
  <c r="K4"/>
  <c r="E59" i="54"/>
  <c r="D59"/>
  <c r="C59"/>
  <c r="B59"/>
  <c r="C50"/>
  <c r="B50"/>
  <c r="E47"/>
  <c r="D47"/>
  <c r="C47"/>
  <c r="B47"/>
  <c r="E39"/>
  <c r="D39"/>
  <c r="C39"/>
  <c r="B39"/>
  <c r="E38"/>
  <c r="D38"/>
  <c r="C38"/>
  <c r="B38"/>
  <c r="E37"/>
  <c r="D37"/>
  <c r="C37"/>
  <c r="B37"/>
  <c r="F11" i="47" l="1"/>
  <c r="F23" i="45"/>
  <c r="D23" s="1"/>
  <c r="F23" i="29"/>
  <c r="F31"/>
  <c r="D31" s="1"/>
  <c r="O31"/>
  <c r="M31" s="1"/>
  <c r="O23" i="45"/>
  <c r="M23" s="1"/>
  <c r="O23" i="29"/>
  <c r="O11" i="47"/>
  <c r="M20" i="34"/>
  <c r="M11" i="47"/>
  <c r="D11"/>
  <c r="D11" i="48"/>
  <c r="M11"/>
  <c r="I26" i="23"/>
  <c r="D26"/>
  <c r="V26"/>
  <c r="Q26"/>
  <c r="AV26"/>
  <c r="AQ26"/>
  <c r="AD26"/>
  <c r="AI26"/>
  <c r="C53" i="50"/>
  <c r="I52" i="23"/>
  <c r="I13"/>
  <c r="B53" i="54" s="1"/>
  <c r="Z116" i="30"/>
  <c r="D18" i="54" s="1"/>
  <c r="Z120" i="30" s="1"/>
  <c r="AK116"/>
  <c r="E18" i="54" s="1"/>
  <c r="AK120" i="30" s="1"/>
  <c r="AN120" s="1"/>
  <c r="I39" i="23"/>
  <c r="D39"/>
  <c r="V13"/>
  <c r="C53" i="54" s="1"/>
  <c r="V39" i="23"/>
  <c r="AC120" i="30"/>
  <c r="AC116" i="23"/>
  <c r="AI88"/>
  <c r="D74" i="54" s="1"/>
  <c r="AD88" i="23"/>
  <c r="D86" i="54" s="1"/>
  <c r="AI82" i="23"/>
  <c r="D73" i="54" s="1"/>
  <c r="Z76" i="30" s="1"/>
  <c r="AD82" i="23"/>
  <c r="D85" i="54" s="1"/>
  <c r="AI74" i="23"/>
  <c r="D71" i="54" s="1"/>
  <c r="AD74" i="23"/>
  <c r="D83" i="54" s="1"/>
  <c r="AI68" i="23"/>
  <c r="D70" i="54" s="1"/>
  <c r="AI93" i="23" s="1"/>
  <c r="AI95" s="1"/>
  <c r="AD68"/>
  <c r="D82" i="54" s="1"/>
  <c r="AD93" i="23" s="1"/>
  <c r="AD95" s="1"/>
  <c r="AI58"/>
  <c r="D67" i="54" s="1"/>
  <c r="AD58" i="23"/>
  <c r="D79" i="54" s="1"/>
  <c r="AI52" i="23"/>
  <c r="D66" i="54" s="1"/>
  <c r="AI41" i="23" s="1"/>
  <c r="AD52"/>
  <c r="D78" i="54" s="1"/>
  <c r="AI39" i="23"/>
  <c r="AD39"/>
  <c r="AD33"/>
  <c r="D54" i="54"/>
  <c r="Z73" i="30" s="1"/>
  <c r="D60" i="54"/>
  <c r="AI13" i="23"/>
  <c r="D53" i="54" s="1"/>
  <c r="AR118" i="23"/>
  <c r="AP116"/>
  <c r="AV88"/>
  <c r="E74" i="54" s="1"/>
  <c r="AQ88" i="23"/>
  <c r="E86" i="54" s="1"/>
  <c r="AV82" i="23"/>
  <c r="E73" i="54" s="1"/>
  <c r="AK76" i="30" s="1"/>
  <c r="AQ82" i="23"/>
  <c r="E85" i="54" s="1"/>
  <c r="AV74" i="23"/>
  <c r="E71" i="54" s="1"/>
  <c r="AQ74" i="23"/>
  <c r="E83" i="54" s="1"/>
  <c r="AV68" i="23"/>
  <c r="AQ68"/>
  <c r="AV58"/>
  <c r="E67" i="54" s="1"/>
  <c r="AQ58" i="23"/>
  <c r="E79" i="54" s="1"/>
  <c r="AV52" i="23"/>
  <c r="E66" i="54" s="1"/>
  <c r="AQ52" i="23"/>
  <c r="E78" i="54" s="1"/>
  <c r="AV39" i="23"/>
  <c r="AQ39"/>
  <c r="AV33"/>
  <c r="AQ33"/>
  <c r="AI33"/>
  <c r="E54" i="54"/>
  <c r="AK73" i="30" s="1"/>
  <c r="E60" i="54"/>
  <c r="AV13" i="23"/>
  <c r="E53" i="54" s="1"/>
  <c r="AE118" i="23"/>
  <c r="I68"/>
  <c r="B70" i="54" s="1"/>
  <c r="I33" i="23"/>
  <c r="I88"/>
  <c r="B74" i="54" s="1"/>
  <c r="D88" i="23"/>
  <c r="B86" i="54" s="1"/>
  <c r="D74" i="23"/>
  <c r="B83" i="54" s="1"/>
  <c r="I82" i="23"/>
  <c r="B73" i="54" s="1"/>
  <c r="I74" i="23"/>
  <c r="B71" i="54" s="1"/>
  <c r="D58" i="23"/>
  <c r="B79" i="54" s="1"/>
  <c r="I58" i="23"/>
  <c r="B67" i="54" s="1"/>
  <c r="B66"/>
  <c r="D52" i="23"/>
  <c r="B78" i="54" s="1"/>
  <c r="V33" i="23"/>
  <c r="V88"/>
  <c r="C74" i="54" s="1"/>
  <c r="Q88" i="23"/>
  <c r="C86" i="54" s="1"/>
  <c r="V82" i="23"/>
  <c r="C73" i="54" s="1"/>
  <c r="V74" i="23"/>
  <c r="C71" i="54" s="1"/>
  <c r="Q74" i="23"/>
  <c r="C83" i="54" s="1"/>
  <c r="V68" i="23"/>
  <c r="V58"/>
  <c r="C67" i="54" s="1"/>
  <c r="Q58" i="23"/>
  <c r="C79" i="54" s="1"/>
  <c r="V52" i="23"/>
  <c r="C66" i="54" s="1"/>
  <c r="Q52" i="23"/>
  <c r="C78" i="54" s="1"/>
  <c r="D82" i="23"/>
  <c r="B85" i="54" s="1"/>
  <c r="O116" i="30"/>
  <c r="C18" i="54" s="1"/>
  <c r="O120" i="30" s="1"/>
  <c r="D116"/>
  <c r="P116" i="23"/>
  <c r="Q82"/>
  <c r="C85" i="54" s="1"/>
  <c r="Q68" i="23"/>
  <c r="C82" i="54" s="1"/>
  <c r="C116" i="23"/>
  <c r="D68"/>
  <c r="B82" i="54" s="1"/>
  <c r="B60"/>
  <c r="Q39" i="23"/>
  <c r="C60" i="54"/>
  <c r="D33" i="23"/>
  <c r="Q33"/>
  <c r="C54" i="54"/>
  <c r="O73" i="30" s="1"/>
  <c r="D29" i="45"/>
  <c r="D21"/>
  <c r="D29" i="29"/>
  <c r="D23"/>
  <c r="M29"/>
  <c r="M23"/>
  <c r="AD41" i="23" l="1"/>
  <c r="D62" i="54" s="1"/>
  <c r="Q93" i="23"/>
  <c r="Q95" s="1"/>
  <c r="R120" i="30"/>
  <c r="N53" i="50"/>
  <c r="I93" i="23"/>
  <c r="I95" s="1"/>
  <c r="I41" s="1"/>
  <c r="B56" i="54" s="1"/>
  <c r="Q41" i="23"/>
  <c r="C62" i="54" s="1"/>
  <c r="AK31" i="38"/>
  <c r="AK17"/>
  <c r="E9" i="65" s="1"/>
  <c r="AA31" i="38"/>
  <c r="E55" i="54"/>
  <c r="E61"/>
  <c r="D55"/>
  <c r="D61"/>
  <c r="D93" i="23"/>
  <c r="Z36" i="22"/>
  <c r="D46" i="54" s="1"/>
  <c r="C124" i="23"/>
  <c r="C130" s="1"/>
  <c r="C122"/>
  <c r="C128" s="1"/>
  <c r="P124"/>
  <c r="P130" s="1"/>
  <c r="P122"/>
  <c r="P128" s="1"/>
  <c r="E82" i="54"/>
  <c r="AQ93" i="23" s="1"/>
  <c r="AQ95" s="1"/>
  <c r="E70" i="54"/>
  <c r="AV93" i="23" s="1"/>
  <c r="AV95" s="1"/>
  <c r="AP124"/>
  <c r="AP130" s="1"/>
  <c r="AP122"/>
  <c r="AP128" s="1"/>
  <c r="AC124"/>
  <c r="AC130" s="1"/>
  <c r="AC122"/>
  <c r="AC128" s="1"/>
  <c r="D56" i="54"/>
  <c r="O76" i="30"/>
  <c r="D76"/>
  <c r="C70" i="54"/>
  <c r="V93" i="23" s="1"/>
  <c r="V95" s="1"/>
  <c r="C61" i="54"/>
  <c r="C55"/>
  <c r="B61"/>
  <c r="B55"/>
  <c r="B54"/>
  <c r="D73" i="30" s="1"/>
  <c r="B18" i="54"/>
  <c r="D120" i="30" s="1"/>
  <c r="G120" s="1"/>
  <c r="R118" i="23"/>
  <c r="E118"/>
  <c r="Q31" i="38"/>
  <c r="N55" i="50"/>
  <c r="G24" i="38"/>
  <c r="G17"/>
  <c r="B9" i="65" s="1"/>
  <c r="C57" i="50"/>
  <c r="W9" i="31" l="1"/>
  <c r="Q21" i="34"/>
  <c r="W11" i="31"/>
  <c r="N57" i="50"/>
  <c r="O36" i="22"/>
  <c r="C46" i="54" s="1"/>
  <c r="D113" i="23"/>
  <c r="B90" i="54" s="1"/>
  <c r="G31" i="38"/>
  <c r="T21" i="34"/>
  <c r="D95" i="23"/>
  <c r="Q22" i="34"/>
  <c r="AD102" i="23"/>
  <c r="AD113"/>
  <c r="D90" i="54" s="1"/>
  <c r="AD145" i="23" s="1"/>
  <c r="AV41"/>
  <c r="E56" i="54" s="1"/>
  <c r="AQ113" i="23" s="1"/>
  <c r="E90" i="54" s="1"/>
  <c r="AQ41" i="23"/>
  <c r="E62" i="54" s="1"/>
  <c r="AK36" i="22" s="1"/>
  <c r="E46" i="54" s="1"/>
  <c r="V41" i="23"/>
  <c r="C56" i="54" s="1"/>
  <c r="Q113" i="23" s="1"/>
  <c r="C90" i="54" s="1"/>
  <c r="P5" i="60"/>
  <c r="N5"/>
  <c r="N51"/>
  <c r="O54" i="75" s="1"/>
  <c r="N53" i="60"/>
  <c r="O56" i="75" s="1"/>
  <c r="N40" i="60"/>
  <c r="N49"/>
  <c r="O52" i="75" s="1"/>
  <c r="N38" i="60"/>
  <c r="N19"/>
  <c r="O20" i="75" s="1"/>
  <c r="N21" i="60"/>
  <c r="N23"/>
  <c r="N36"/>
  <c r="O38" i="75" s="1"/>
  <c r="AG9" i="31" l="1"/>
  <c r="X21" i="34"/>
  <c r="AG11" i="31"/>
  <c r="AC19" i="13"/>
  <c r="M9" i="31"/>
  <c r="J21" i="34"/>
  <c r="M11" i="31"/>
  <c r="AC53" i="60"/>
  <c r="AC19"/>
  <c r="AA20" i="75" s="1"/>
  <c r="AC23" i="60"/>
  <c r="AA24" i="75" s="1"/>
  <c r="AC49" i="60"/>
  <c r="AA52" i="75" s="1"/>
  <c r="AC40" i="60"/>
  <c r="AA42" i="75" s="1"/>
  <c r="AC21" i="60"/>
  <c r="AA22" i="75" s="1"/>
  <c r="AC36" i="60"/>
  <c r="AA38" i="75" s="1"/>
  <c r="AC38" i="60"/>
  <c r="AA40" i="75" s="1"/>
  <c r="AC51" i="60"/>
  <c r="AA54" i="75" s="1"/>
  <c r="AC38" i="13"/>
  <c r="AA40" i="61" s="1"/>
  <c r="J22" i="34"/>
  <c r="M21"/>
  <c r="AA21"/>
  <c r="D41" i="23"/>
  <c r="B62" i="54" s="1"/>
  <c r="D36" i="22" s="1"/>
  <c r="X22" i="34"/>
  <c r="AC53" i="13"/>
  <c r="AA56" i="61" s="1"/>
  <c r="AJ24" i="75"/>
  <c r="AG24"/>
  <c r="AD24"/>
  <c r="AJ22"/>
  <c r="AG22"/>
  <c r="AD22"/>
  <c r="AJ20"/>
  <c r="AG20"/>
  <c r="AD20"/>
  <c r="AJ38"/>
  <c r="AG38"/>
  <c r="AD38"/>
  <c r="AJ42"/>
  <c r="AG42"/>
  <c r="AD42"/>
  <c r="AJ40"/>
  <c r="AG40"/>
  <c r="AD40"/>
  <c r="AJ54"/>
  <c r="AG54"/>
  <c r="AD54"/>
  <c r="AJ52"/>
  <c r="AG52"/>
  <c r="AD52"/>
  <c r="X38"/>
  <c r="U38"/>
  <c r="R38"/>
  <c r="X20"/>
  <c r="U20"/>
  <c r="R20"/>
  <c r="X52"/>
  <c r="U52"/>
  <c r="R52"/>
  <c r="X56"/>
  <c r="U56"/>
  <c r="R56"/>
  <c r="X54"/>
  <c r="U54"/>
  <c r="R54"/>
  <c r="Q102" i="23"/>
  <c r="AC23" i="13"/>
  <c r="AE23" s="1"/>
  <c r="AC51"/>
  <c r="AA54" i="61" s="1"/>
  <c r="AC40" i="13"/>
  <c r="AA42" i="61" s="1"/>
  <c r="AC36" i="13"/>
  <c r="AE36" s="1"/>
  <c r="AC21"/>
  <c r="AA22" i="61" s="1"/>
  <c r="AC49" i="13"/>
  <c r="AE49" s="1"/>
  <c r="L23" i="60"/>
  <c r="O24" i="75"/>
  <c r="L21" i="60"/>
  <c r="O22" i="75"/>
  <c r="L38" i="60"/>
  <c r="O40" i="75"/>
  <c r="L40" i="60"/>
  <c r="O42" i="75"/>
  <c r="AA53" i="60"/>
  <c r="AA56" i="75"/>
  <c r="AE5" i="13"/>
  <c r="AC5"/>
  <c r="AE5" i="60"/>
  <c r="AC5"/>
  <c r="AQ102" i="23"/>
  <c r="E89" i="54" s="1"/>
  <c r="L36" i="60"/>
  <c r="P36"/>
  <c r="L19"/>
  <c r="P19"/>
  <c r="L49"/>
  <c r="P49"/>
  <c r="L53"/>
  <c r="P53"/>
  <c r="L51"/>
  <c r="P51"/>
  <c r="AA23"/>
  <c r="AA21"/>
  <c r="AA19"/>
  <c r="AA36"/>
  <c r="AE36"/>
  <c r="AA40"/>
  <c r="AE40"/>
  <c r="AA38"/>
  <c r="AA51"/>
  <c r="AA49"/>
  <c r="L40" i="13"/>
  <c r="L38"/>
  <c r="L36"/>
  <c r="L23"/>
  <c r="L21"/>
  <c r="L19"/>
  <c r="L49"/>
  <c r="L51"/>
  <c r="L53"/>
  <c r="AA40"/>
  <c r="AA38"/>
  <c r="AE38"/>
  <c r="AA36"/>
  <c r="AA23"/>
  <c r="AA21"/>
  <c r="AA19"/>
  <c r="AA20" i="61"/>
  <c r="AE19" i="13"/>
  <c r="AA49"/>
  <c r="AA51"/>
  <c r="AA53"/>
  <c r="D89" i="54"/>
  <c r="W4" i="69"/>
  <c r="P4"/>
  <c r="I4"/>
  <c r="B4"/>
  <c r="W3"/>
  <c r="P3"/>
  <c r="I3"/>
  <c r="B3"/>
  <c r="A1"/>
  <c r="W4" i="68"/>
  <c r="P4"/>
  <c r="I4"/>
  <c r="B4"/>
  <c r="W3"/>
  <c r="P3"/>
  <c r="I3"/>
  <c r="B3"/>
  <c r="A1"/>
  <c r="AE51" i="60" l="1"/>
  <c r="AE49"/>
  <c r="AE38"/>
  <c r="AE19"/>
  <c r="AE21"/>
  <c r="AA38" i="61"/>
  <c r="AJ38" s="1"/>
  <c r="AE23" i="60"/>
  <c r="AE53" i="13"/>
  <c r="AE51"/>
  <c r="AA52" i="61"/>
  <c r="AJ52" s="1"/>
  <c r="AE21" i="13"/>
  <c r="AA24" i="61"/>
  <c r="AG24" s="1"/>
  <c r="AE40" i="13"/>
  <c r="AJ56" i="75"/>
  <c r="AG56"/>
  <c r="AD56"/>
  <c r="X42"/>
  <c r="U42"/>
  <c r="R42"/>
  <c r="X40"/>
  <c r="U40"/>
  <c r="R40"/>
  <c r="X22"/>
  <c r="U22"/>
  <c r="R22"/>
  <c r="X24"/>
  <c r="U24"/>
  <c r="R24"/>
  <c r="AJ56" i="61"/>
  <c r="AG56"/>
  <c r="AD56"/>
  <c r="AJ54"/>
  <c r="AG54"/>
  <c r="AD54"/>
  <c r="AJ20"/>
  <c r="AG20"/>
  <c r="AD20"/>
  <c r="AJ22"/>
  <c r="AG22"/>
  <c r="AD22"/>
  <c r="AJ40"/>
  <c r="AG40"/>
  <c r="AD40"/>
  <c r="AJ42"/>
  <c r="AG42"/>
  <c r="AD42"/>
  <c r="AK13" i="30"/>
  <c r="AK17" s="1"/>
  <c r="AK57" s="1"/>
  <c r="AK62" s="1"/>
  <c r="C89" i="54"/>
  <c r="O13" i="30" s="1"/>
  <c r="O17" s="1"/>
  <c r="O57" s="1"/>
  <c r="O62" s="1"/>
  <c r="Z13"/>
  <c r="Z17" s="1"/>
  <c r="Z57" s="1"/>
  <c r="Z62" s="1"/>
  <c r="B46" i="54"/>
  <c r="C9" i="31" l="1"/>
  <c r="C21" i="34"/>
  <c r="C11" i="31"/>
  <c r="AG38" i="61"/>
  <c r="AD38"/>
  <c r="AJ24"/>
  <c r="AG52"/>
  <c r="AD52"/>
  <c r="C22" i="34"/>
  <c r="F21"/>
  <c r="AD24" i="61"/>
  <c r="D102" i="23"/>
  <c r="E7" i="54"/>
  <c r="P5" i="13"/>
  <c r="N5"/>
  <c r="D7" i="54"/>
  <c r="AN20" i="30"/>
  <c r="C7" i="54"/>
  <c r="O137" i="45" l="1"/>
  <c r="AA56" i="69"/>
  <c r="AA85" i="68"/>
  <c r="X8" i="34"/>
  <c r="AK80" i="30"/>
  <c r="AK94" s="1"/>
  <c r="AC20"/>
  <c r="W4" i="67"/>
  <c r="P4"/>
  <c r="I4"/>
  <c r="B4"/>
  <c r="W3"/>
  <c r="P3"/>
  <c r="I3"/>
  <c r="B3"/>
  <c r="A1"/>
  <c r="X15" i="34"/>
  <c r="Q15"/>
  <c r="J15"/>
  <c r="W4"/>
  <c r="P4"/>
  <c r="I4"/>
  <c r="B4"/>
  <c r="W3"/>
  <c r="P3"/>
  <c r="I3"/>
  <c r="B3"/>
  <c r="A1"/>
  <c r="F137" i="45" l="1"/>
  <c r="T56" i="69"/>
  <c r="T85" i="68"/>
  <c r="Q8" i="34"/>
  <c r="AN84" i="30"/>
  <c r="Z80"/>
  <c r="AC84" s="1"/>
  <c r="AK109"/>
  <c r="X9" i="34" s="1"/>
  <c r="AN98" i="30"/>
  <c r="R20"/>
  <c r="O139" i="45" l="1"/>
  <c r="AA58" i="69"/>
  <c r="AA87" i="68"/>
  <c r="O138" i="45"/>
  <c r="AA57" i="69"/>
  <c r="AA86" i="68"/>
  <c r="O137" i="29"/>
  <c r="M56" i="69"/>
  <c r="M85" i="68"/>
  <c r="F138" i="45"/>
  <c r="T86" i="68"/>
  <c r="T57" i="69"/>
  <c r="AK6" i="57"/>
  <c r="Z94" i="30"/>
  <c r="AY60" i="59"/>
  <c r="BV54" i="76" s="1"/>
  <c r="AY58" i="59"/>
  <c r="BV52" i="76" s="1"/>
  <c r="AY56" i="59"/>
  <c r="BV50" i="76" s="1"/>
  <c r="AY54" i="59"/>
  <c r="AY52"/>
  <c r="AY46"/>
  <c r="BV41" i="76" s="1"/>
  <c r="AY44" i="59"/>
  <c r="BV39" i="76" s="1"/>
  <c r="AY42" i="59"/>
  <c r="BV37" i="76" s="1"/>
  <c r="AY40" i="59"/>
  <c r="AY38"/>
  <c r="AY36"/>
  <c r="AY34"/>
  <c r="AY28"/>
  <c r="BV24" i="76" s="1"/>
  <c r="AY26" i="59"/>
  <c r="BV22" i="76" s="1"/>
  <c r="AY24" i="59"/>
  <c r="BV20" i="76" s="1"/>
  <c r="AY22" i="59"/>
  <c r="AY20"/>
  <c r="AY18"/>
  <c r="AY16"/>
  <c r="AY14"/>
  <c r="AY12"/>
  <c r="AK6"/>
  <c r="E19" i="64"/>
  <c r="N59" i="78" s="1"/>
  <c r="D19" i="64"/>
  <c r="C19"/>
  <c r="B19"/>
  <c r="C16"/>
  <c r="B16"/>
  <c r="C15"/>
  <c r="B15"/>
  <c r="C14"/>
  <c r="B14"/>
  <c r="C13"/>
  <c r="B13"/>
  <c r="C12"/>
  <c r="B12"/>
  <c r="C11"/>
  <c r="B11"/>
  <c r="C10"/>
  <c r="B10"/>
  <c r="C9"/>
  <c r="B9"/>
  <c r="E7"/>
  <c r="D7"/>
  <c r="C7"/>
  <c r="B7"/>
  <c r="E101" i="65"/>
  <c r="D101"/>
  <c r="C101"/>
  <c r="B101"/>
  <c r="E100"/>
  <c r="D100"/>
  <c r="C100"/>
  <c r="B100"/>
  <c r="E99"/>
  <c r="D99"/>
  <c r="C99"/>
  <c r="B99"/>
  <c r="E97"/>
  <c r="D97"/>
  <c r="C97"/>
  <c r="B97"/>
  <c r="E96"/>
  <c r="D96"/>
  <c r="C96"/>
  <c r="B96"/>
  <c r="E95"/>
  <c r="D95"/>
  <c r="C95"/>
  <c r="B95"/>
  <c r="E94"/>
  <c r="D94"/>
  <c r="C94"/>
  <c r="B94"/>
  <c r="E92"/>
  <c r="D92"/>
  <c r="C92"/>
  <c r="B92"/>
  <c r="E91"/>
  <c r="D91"/>
  <c r="C91"/>
  <c r="B91"/>
  <c r="E90"/>
  <c r="D90"/>
  <c r="C90"/>
  <c r="B90"/>
  <c r="E89"/>
  <c r="D89"/>
  <c r="C89"/>
  <c r="B89"/>
  <c r="E88"/>
  <c r="D88"/>
  <c r="C88"/>
  <c r="B88"/>
  <c r="E87"/>
  <c r="D87"/>
  <c r="C87"/>
  <c r="B87"/>
  <c r="E83"/>
  <c r="D83"/>
  <c r="C83"/>
  <c r="B83"/>
  <c r="E82"/>
  <c r="D82"/>
  <c r="C82"/>
  <c r="B82"/>
  <c r="E81"/>
  <c r="D81"/>
  <c r="C81"/>
  <c r="B81"/>
  <c r="E79"/>
  <c r="D79"/>
  <c r="C79"/>
  <c r="B79"/>
  <c r="E78"/>
  <c r="D78"/>
  <c r="C78"/>
  <c r="B78"/>
  <c r="E77"/>
  <c r="D77"/>
  <c r="C77"/>
  <c r="B77"/>
  <c r="E76"/>
  <c r="D76"/>
  <c r="C76"/>
  <c r="B76"/>
  <c r="E74"/>
  <c r="D74"/>
  <c r="C74"/>
  <c r="B74"/>
  <c r="E73"/>
  <c r="D73"/>
  <c r="C73"/>
  <c r="B73"/>
  <c r="E72"/>
  <c r="D72"/>
  <c r="C72"/>
  <c r="B72"/>
  <c r="E71"/>
  <c r="D71"/>
  <c r="C71"/>
  <c r="B71"/>
  <c r="E70"/>
  <c r="D70"/>
  <c r="C70"/>
  <c r="B70"/>
  <c r="E69"/>
  <c r="D69"/>
  <c r="C69"/>
  <c r="B69"/>
  <c r="E65"/>
  <c r="D65"/>
  <c r="C65"/>
  <c r="B65"/>
  <c r="E64"/>
  <c r="D64"/>
  <c r="C64"/>
  <c r="B64"/>
  <c r="E63"/>
  <c r="D63"/>
  <c r="C63" s="1"/>
  <c r="B63"/>
  <c r="E61"/>
  <c r="D61"/>
  <c r="C61"/>
  <c r="B61"/>
  <c r="E60"/>
  <c r="D60"/>
  <c r="C60"/>
  <c r="B60"/>
  <c r="E59"/>
  <c r="D59"/>
  <c r="C59"/>
  <c r="B59"/>
  <c r="E58"/>
  <c r="D58"/>
  <c r="C58" s="1"/>
  <c r="B58"/>
  <c r="E56"/>
  <c r="D56"/>
  <c r="C56" s="1"/>
  <c r="B56"/>
  <c r="E55"/>
  <c r="D55"/>
  <c r="C55"/>
  <c r="B55"/>
  <c r="E54"/>
  <c r="D54"/>
  <c r="C54"/>
  <c r="B54"/>
  <c r="E53"/>
  <c r="D53"/>
  <c r="C53" s="1"/>
  <c r="B53"/>
  <c r="E52"/>
  <c r="D52"/>
  <c r="C52"/>
  <c r="B52"/>
  <c r="E51"/>
  <c r="D51"/>
  <c r="C51" s="1"/>
  <c r="B51"/>
  <c r="E46"/>
  <c r="D46"/>
  <c r="C46"/>
  <c r="B46"/>
  <c r="E45"/>
  <c r="D45"/>
  <c r="C45"/>
  <c r="B45"/>
  <c r="E44"/>
  <c r="D44"/>
  <c r="C44"/>
  <c r="B44"/>
  <c r="E43"/>
  <c r="D43"/>
  <c r="C43"/>
  <c r="B43"/>
  <c r="E42"/>
  <c r="D42"/>
  <c r="C42"/>
  <c r="B42"/>
  <c r="E40"/>
  <c r="D40"/>
  <c r="C40"/>
  <c r="B40"/>
  <c r="E39"/>
  <c r="D39"/>
  <c r="C39"/>
  <c r="B39"/>
  <c r="E38"/>
  <c r="D38"/>
  <c r="C38"/>
  <c r="B38"/>
  <c r="E37"/>
  <c r="D37"/>
  <c r="C37"/>
  <c r="B37"/>
  <c r="E36"/>
  <c r="D36"/>
  <c r="C36"/>
  <c r="B36"/>
  <c r="E35"/>
  <c r="D35"/>
  <c r="C35"/>
  <c r="B35"/>
  <c r="E34"/>
  <c r="D34"/>
  <c r="C34"/>
  <c r="B34"/>
  <c r="E32"/>
  <c r="D32"/>
  <c r="C32"/>
  <c r="B32"/>
  <c r="E31"/>
  <c r="D31"/>
  <c r="C31"/>
  <c r="B31"/>
  <c r="E30"/>
  <c r="D30"/>
  <c r="C30"/>
  <c r="B30"/>
  <c r="E29"/>
  <c r="D29"/>
  <c r="C29"/>
  <c r="B29"/>
  <c r="E28"/>
  <c r="D28"/>
  <c r="C28"/>
  <c r="B28"/>
  <c r="E27"/>
  <c r="D27"/>
  <c r="C27"/>
  <c r="B27"/>
  <c r="E26"/>
  <c r="D26"/>
  <c r="C26"/>
  <c r="B26"/>
  <c r="E25"/>
  <c r="D25"/>
  <c r="C25"/>
  <c r="B25"/>
  <c r="E24"/>
  <c r="D24"/>
  <c r="C24"/>
  <c r="B24"/>
  <c r="E18" s="1"/>
  <c r="C18"/>
  <c r="E16"/>
  <c r="C14"/>
  <c r="B14"/>
  <c r="C13"/>
  <c r="B13"/>
  <c r="B12"/>
  <c r="Q25" i="78" l="1"/>
  <c r="Q23"/>
  <c r="Q21"/>
  <c r="Q19"/>
  <c r="Q17"/>
  <c r="Q15"/>
  <c r="F15"/>
  <c r="F25"/>
  <c r="F23"/>
  <c r="F21"/>
  <c r="F19"/>
  <c r="F17"/>
  <c r="CB20" i="76"/>
  <c r="BX20"/>
  <c r="BZ20"/>
  <c r="CB22"/>
  <c r="BX22"/>
  <c r="BZ22"/>
  <c r="CB24"/>
  <c r="BX24"/>
  <c r="BZ24"/>
  <c r="CB37"/>
  <c r="BX37"/>
  <c r="BZ37"/>
  <c r="CB39"/>
  <c r="BX39"/>
  <c r="BZ39"/>
  <c r="CB41"/>
  <c r="BX41"/>
  <c r="BZ41"/>
  <c r="CB50"/>
  <c r="BX50"/>
  <c r="BZ50"/>
  <c r="CB52"/>
  <c r="BX52"/>
  <c r="BZ52"/>
  <c r="CB54"/>
  <c r="BX54"/>
  <c r="BZ54"/>
  <c r="O80" i="30"/>
  <c r="J8" i="34"/>
  <c r="Z109" i="30"/>
  <c r="Q9" i="34" s="1"/>
  <c r="AC98" i="30"/>
  <c r="D26" i="43"/>
  <c r="B107" i="65" s="1"/>
  <c r="F39" i="29" s="1"/>
  <c r="B11" i="66" s="1"/>
  <c r="F45" i="68" s="1"/>
  <c r="D19" i="43"/>
  <c r="B106" i="65" s="1"/>
  <c r="D12" i="43"/>
  <c r="B105" i="65" s="1"/>
  <c r="F25" i="29" s="1"/>
  <c r="B9" i="66" s="1"/>
  <c r="F27" i="68" s="1"/>
  <c r="K26" i="43"/>
  <c r="C107" i="65" s="1"/>
  <c r="K19" i="43"/>
  <c r="C106" i="65" s="1"/>
  <c r="O33" i="29" s="1"/>
  <c r="C10" i="66" s="1"/>
  <c r="M36" i="68" s="1"/>
  <c r="K12" i="43"/>
  <c r="C105" i="65" s="1"/>
  <c r="O25" i="29" s="1"/>
  <c r="C9" i="66" s="1"/>
  <c r="M27" i="68" s="1"/>
  <c r="Y48" i="43"/>
  <c r="E111" i="65" s="1"/>
  <c r="Y41" i="43"/>
  <c r="E110" i="65" s="1"/>
  <c r="Y34" i="43"/>
  <c r="E109" i="65" s="1"/>
  <c r="O58" i="45" s="1"/>
  <c r="M58" s="1"/>
  <c r="K92" i="43"/>
  <c r="C119" i="65" s="1"/>
  <c r="O132" i="29" s="1"/>
  <c r="M132" s="1"/>
  <c r="K85" i="43"/>
  <c r="C118" i="65" s="1"/>
  <c r="O126" i="29" s="1"/>
  <c r="M126" s="1"/>
  <c r="K78" i="43"/>
  <c r="C117" i="65" s="1"/>
  <c r="Y92" i="43"/>
  <c r="E119" i="65" s="1"/>
  <c r="Y85" i="43"/>
  <c r="E118" i="65" s="1"/>
  <c r="O126" i="45" s="1"/>
  <c r="M126" s="1"/>
  <c r="Y78" i="43"/>
  <c r="E117" i="65" s="1"/>
  <c r="C59" i="78"/>
  <c r="D65" s="1"/>
  <c r="O72"/>
  <c r="O65"/>
  <c r="H25"/>
  <c r="H23"/>
  <c r="H21"/>
  <c r="H19"/>
  <c r="H17"/>
  <c r="H15"/>
  <c r="S25"/>
  <c r="S23"/>
  <c r="S21"/>
  <c r="S19"/>
  <c r="S17"/>
  <c r="S15"/>
  <c r="C60" i="50"/>
  <c r="D73" s="1"/>
  <c r="B22" i="64" s="1"/>
  <c r="F37" i="47" s="1"/>
  <c r="N60" i="50"/>
  <c r="D66"/>
  <c r="F12" i="57"/>
  <c r="F16"/>
  <c r="F33" i="29"/>
  <c r="B10" i="66" s="1"/>
  <c r="F36" i="68" s="1"/>
  <c r="F17" i="29"/>
  <c r="B8" i="66" s="1"/>
  <c r="F18" i="68" s="1"/>
  <c r="F11" i="29"/>
  <c r="D11" s="1"/>
  <c r="F13" i="47"/>
  <c r="D13" s="1"/>
  <c r="F14" i="57"/>
  <c r="J10" i="62" s="1"/>
  <c r="J12"/>
  <c r="F18" i="57"/>
  <c r="J14" i="62" s="1"/>
  <c r="F20" i="57"/>
  <c r="J16" i="62" s="1"/>
  <c r="F22" i="57"/>
  <c r="J18" i="62" s="1"/>
  <c r="F24" i="57"/>
  <c r="J20" i="62" s="1"/>
  <c r="F26" i="57"/>
  <c r="J22" i="62" s="1"/>
  <c r="F28" i="57"/>
  <c r="J24" i="62" s="1"/>
  <c r="F36" i="57"/>
  <c r="J31" i="62" s="1"/>
  <c r="F38" i="57"/>
  <c r="J33" i="62" s="1"/>
  <c r="F40" i="57"/>
  <c r="J35" i="62" s="1"/>
  <c r="F42" i="57"/>
  <c r="J37" i="62" s="1"/>
  <c r="F44" i="57"/>
  <c r="J39" i="62" s="1"/>
  <c r="F46" i="57"/>
  <c r="J41" i="62" s="1"/>
  <c r="F54" i="57"/>
  <c r="J48" i="62" s="1"/>
  <c r="F56" i="57"/>
  <c r="J50" i="62" s="1"/>
  <c r="F58" i="57"/>
  <c r="J52" i="62" s="1"/>
  <c r="F60" i="57"/>
  <c r="J54" i="62" s="1"/>
  <c r="F34" i="57"/>
  <c r="J29" i="62" s="1"/>
  <c r="F52" i="57"/>
  <c r="J46" i="62" s="1"/>
  <c r="AG14" i="57"/>
  <c r="AX10" i="62" s="1"/>
  <c r="AG18" i="57"/>
  <c r="AX14" i="62" s="1"/>
  <c r="AG20" i="57"/>
  <c r="AX16" i="62" s="1"/>
  <c r="AG24" i="57"/>
  <c r="AX20" i="62" s="1"/>
  <c r="AG26" i="57"/>
  <c r="AX22" i="62" s="1"/>
  <c r="AG28" i="57"/>
  <c r="AX24" i="62" s="1"/>
  <c r="AG36" i="57"/>
  <c r="AX31" i="62" s="1"/>
  <c r="AG38" i="57"/>
  <c r="AX33" i="62" s="1"/>
  <c r="AG40" i="57"/>
  <c r="AX35" i="62" s="1"/>
  <c r="AG42" i="57"/>
  <c r="AX37" i="62" s="1"/>
  <c r="AG44" i="57"/>
  <c r="AX39" i="62" s="1"/>
  <c r="AG46" i="57"/>
  <c r="AX41" i="62" s="1"/>
  <c r="AG54" i="57"/>
  <c r="AX48" i="62" s="1"/>
  <c r="AG56" i="57"/>
  <c r="AX50" i="62" s="1"/>
  <c r="AG58" i="57"/>
  <c r="AX52" i="62" s="1"/>
  <c r="AG60" i="57"/>
  <c r="AX54" i="62" s="1"/>
  <c r="AG12" i="57"/>
  <c r="AG16"/>
  <c r="AX12" i="62" s="1"/>
  <c r="AG22" i="57"/>
  <c r="AX18" i="62" s="1"/>
  <c r="AG34" i="57"/>
  <c r="AX29" i="62" s="1"/>
  <c r="AG52" i="57"/>
  <c r="AX46" i="62" s="1"/>
  <c r="F36" i="59"/>
  <c r="J31" i="76" s="1"/>
  <c r="F38" i="59"/>
  <c r="J33" i="76" s="1"/>
  <c r="F40" i="59"/>
  <c r="J35" i="76" s="1"/>
  <c r="F42" i="59"/>
  <c r="J37" i="76" s="1"/>
  <c r="F44" i="59"/>
  <c r="J39" i="76" s="1"/>
  <c r="F46" i="59"/>
  <c r="J41" i="76" s="1"/>
  <c r="F54" i="59"/>
  <c r="J48" i="76" s="1"/>
  <c r="F56" i="59"/>
  <c r="J50" i="76" s="1"/>
  <c r="F58" i="59"/>
  <c r="J52" i="76" s="1"/>
  <c r="F34" i="59"/>
  <c r="J29" i="76" s="1"/>
  <c r="F52" i="59"/>
  <c r="J46" i="76" s="1"/>
  <c r="F60" i="59"/>
  <c r="J54" i="76" s="1"/>
  <c r="F14" i="59"/>
  <c r="J10" i="76" s="1"/>
  <c r="F16" i="59"/>
  <c r="J12" i="76" s="1"/>
  <c r="F18" i="59"/>
  <c r="J14" i="76" s="1"/>
  <c r="F20" i="59"/>
  <c r="J16" i="76" s="1"/>
  <c r="F22" i="59"/>
  <c r="J18" i="76" s="1"/>
  <c r="F24" i="59"/>
  <c r="J20" i="76" s="1"/>
  <c r="F26" i="59"/>
  <c r="J22" i="76" s="1"/>
  <c r="F28" i="59"/>
  <c r="J24" i="76" s="1"/>
  <c r="F12" i="59"/>
  <c r="J8" i="76" s="1"/>
  <c r="AG60" i="59"/>
  <c r="AX54" i="76" s="1"/>
  <c r="AG36" i="59"/>
  <c r="AG38"/>
  <c r="AG40"/>
  <c r="AG42"/>
  <c r="AX37" i="76" s="1"/>
  <c r="AG44" i="59"/>
  <c r="AX39" i="76" s="1"/>
  <c r="AG46" i="59"/>
  <c r="AX41" i="76" s="1"/>
  <c r="AG54" i="59"/>
  <c r="AG56"/>
  <c r="AX50" i="76" s="1"/>
  <c r="AG58" i="59"/>
  <c r="AX52" i="76" s="1"/>
  <c r="AG34" i="59"/>
  <c r="AG52"/>
  <c r="AG14"/>
  <c r="AG16"/>
  <c r="AG18"/>
  <c r="AG20"/>
  <c r="AG22"/>
  <c r="AG24"/>
  <c r="AX20" i="76" s="1"/>
  <c r="AG26" i="59"/>
  <c r="AX22" i="76" s="1"/>
  <c r="AG28" i="59"/>
  <c r="AX24" i="76" s="1"/>
  <c r="AG12" i="59"/>
  <c r="L58"/>
  <c r="R52" i="76" s="1"/>
  <c r="L56" i="59"/>
  <c r="R50" i="76" s="1"/>
  <c r="L54" i="59"/>
  <c r="R48" i="76" s="1"/>
  <c r="L52" i="59"/>
  <c r="R46" i="76" s="1"/>
  <c r="L46" i="59"/>
  <c r="R41" i="76" s="1"/>
  <c r="L44" i="59"/>
  <c r="R39" i="76" s="1"/>
  <c r="L42" i="59"/>
  <c r="R37" i="76" s="1"/>
  <c r="L40" i="59"/>
  <c r="R35" i="76" s="1"/>
  <c r="L38" i="59"/>
  <c r="R33" i="76" s="1"/>
  <c r="L36" i="59"/>
  <c r="R31" i="76" s="1"/>
  <c r="L34" i="59"/>
  <c r="R29" i="76" s="1"/>
  <c r="L28" i="59"/>
  <c r="R24" i="76" s="1"/>
  <c r="L26" i="59"/>
  <c r="R22" i="76" s="1"/>
  <c r="L24" i="59"/>
  <c r="R20" i="76" s="1"/>
  <c r="L22" i="59"/>
  <c r="R18" i="76" s="1"/>
  <c r="L20" i="59"/>
  <c r="R16" i="76" s="1"/>
  <c r="L18" i="59"/>
  <c r="R14" i="76" s="1"/>
  <c r="L16" i="59"/>
  <c r="R12" i="76" s="1"/>
  <c r="L14" i="59"/>
  <c r="R10" i="76" s="1"/>
  <c r="L12" i="59"/>
  <c r="AM58"/>
  <c r="BF52" i="76" s="1"/>
  <c r="AM56" i="59"/>
  <c r="BF50" i="76" s="1"/>
  <c r="AM54" i="59"/>
  <c r="AM52"/>
  <c r="AM46"/>
  <c r="BF41" i="76" s="1"/>
  <c r="AM44" i="59"/>
  <c r="BF39" i="76" s="1"/>
  <c r="AM42" i="59"/>
  <c r="BF37" i="76" s="1"/>
  <c r="AM40" i="59"/>
  <c r="AM38"/>
  <c r="AM36"/>
  <c r="AM34"/>
  <c r="AM28"/>
  <c r="BF24" i="76" s="1"/>
  <c r="AM26" i="59"/>
  <c r="BF22" i="76" s="1"/>
  <c r="AM24" i="59"/>
  <c r="BF20" i="76" s="1"/>
  <c r="AM22" i="59"/>
  <c r="AM20"/>
  <c r="AM18"/>
  <c r="AM16"/>
  <c r="AM14"/>
  <c r="AM12"/>
  <c r="R60"/>
  <c r="Z54" i="76" s="1"/>
  <c r="R58" i="59"/>
  <c r="Z52" i="76" s="1"/>
  <c r="R56" i="59"/>
  <c r="Z50" i="76" s="1"/>
  <c r="R54" i="59"/>
  <c r="Z48" i="76" s="1"/>
  <c r="R52" i="59"/>
  <c r="Z46" i="76" s="1"/>
  <c r="R46" i="59"/>
  <c r="Z41" i="76" s="1"/>
  <c r="R44" i="59"/>
  <c r="Z39" i="76" s="1"/>
  <c r="R42" i="59"/>
  <c r="Z37" i="76" s="1"/>
  <c r="R40" i="59"/>
  <c r="Z35" i="76" s="1"/>
  <c r="R38" i="59"/>
  <c r="Z33" i="76" s="1"/>
  <c r="R36" i="59"/>
  <c r="Z31" i="76" s="1"/>
  <c r="R34" i="59"/>
  <c r="Z29" i="76" s="1"/>
  <c r="R28" i="59"/>
  <c r="Z24" i="76" s="1"/>
  <c r="R26" i="59"/>
  <c r="Z22" i="76" s="1"/>
  <c r="R24" i="59"/>
  <c r="Z20" i="76" s="1"/>
  <c r="R22" i="59"/>
  <c r="Z18" i="76" s="1"/>
  <c r="R20" i="59"/>
  <c r="Z16" i="76" s="1"/>
  <c r="R18" i="59"/>
  <c r="Z14" i="76" s="1"/>
  <c r="R16" i="59"/>
  <c r="Z12" i="76" s="1"/>
  <c r="R14" i="59"/>
  <c r="Z10" i="76" s="1"/>
  <c r="R12" i="59"/>
  <c r="AS60"/>
  <c r="BN54" i="76" s="1"/>
  <c r="AS58" i="59"/>
  <c r="BN52" i="76" s="1"/>
  <c r="AS56" i="59"/>
  <c r="BN50" i="76" s="1"/>
  <c r="AS54" i="59"/>
  <c r="AS52"/>
  <c r="AS46"/>
  <c r="BN41" i="76" s="1"/>
  <c r="AS44" i="59"/>
  <c r="BN39" i="76" s="1"/>
  <c r="AS42" i="59"/>
  <c r="BN37" i="76" s="1"/>
  <c r="AS40" i="59"/>
  <c r="AS38"/>
  <c r="AS36"/>
  <c r="AS34"/>
  <c r="AS28"/>
  <c r="BN24" i="76" s="1"/>
  <c r="AS26" i="59"/>
  <c r="BN22" i="76" s="1"/>
  <c r="AS24" i="59"/>
  <c r="BN20" i="76" s="1"/>
  <c r="AS22" i="59"/>
  <c r="AS20"/>
  <c r="AS18"/>
  <c r="AS16"/>
  <c r="AS14"/>
  <c r="AS12"/>
  <c r="AY62"/>
  <c r="AY48"/>
  <c r="AY30"/>
  <c r="D17" i="29"/>
  <c r="O13" i="47"/>
  <c r="M13" s="1"/>
  <c r="O39" i="29"/>
  <c r="O17"/>
  <c r="O11"/>
  <c r="D16" i="65"/>
  <c r="O35" i="48"/>
  <c r="M35" s="1"/>
  <c r="O70" i="45"/>
  <c r="O64"/>
  <c r="M64" s="1"/>
  <c r="O52"/>
  <c r="M52" s="1"/>
  <c r="O46"/>
  <c r="M46" s="1"/>
  <c r="B18" i="65"/>
  <c r="O73" i="47"/>
  <c r="M73" s="1"/>
  <c r="O120" i="29"/>
  <c r="M120" s="1"/>
  <c r="O114"/>
  <c r="M114" s="1"/>
  <c r="O108"/>
  <c r="M108" s="1"/>
  <c r="D18" i="65"/>
  <c r="O75" i="48"/>
  <c r="M75" s="1"/>
  <c r="O73"/>
  <c r="O132" i="45"/>
  <c r="M132" s="1"/>
  <c r="O120"/>
  <c r="M120" s="1"/>
  <c r="O114"/>
  <c r="M114" s="1"/>
  <c r="O108"/>
  <c r="M108" s="1"/>
  <c r="F26" i="50"/>
  <c r="F24"/>
  <c r="F22"/>
  <c r="F20"/>
  <c r="F18"/>
  <c r="F16"/>
  <c r="Q26"/>
  <c r="Q24"/>
  <c r="Q22"/>
  <c r="H22" s="1"/>
  <c r="Q20"/>
  <c r="H20" s="1"/>
  <c r="Q18"/>
  <c r="H18" s="1"/>
  <c r="Q16"/>
  <c r="O73"/>
  <c r="O66"/>
  <c r="E29" i="66" l="1"/>
  <c r="F139" i="45"/>
  <c r="T58" i="69"/>
  <c r="T87" i="68"/>
  <c r="S27" i="78"/>
  <c r="O33" s="1"/>
  <c r="H27"/>
  <c r="D33" s="1"/>
  <c r="BD24" i="76"/>
  <c r="AZ24"/>
  <c r="BB24"/>
  <c r="BD22"/>
  <c r="AZ22"/>
  <c r="BB22"/>
  <c r="BD20"/>
  <c r="AZ20"/>
  <c r="BB20"/>
  <c r="BD52"/>
  <c r="AZ52"/>
  <c r="BB52"/>
  <c r="BD50"/>
  <c r="AZ50"/>
  <c r="BB50"/>
  <c r="BD41"/>
  <c r="AZ41"/>
  <c r="BB41"/>
  <c r="BD39"/>
  <c r="AZ39"/>
  <c r="BB39"/>
  <c r="BD37"/>
  <c r="AZ37"/>
  <c r="BB37"/>
  <c r="BD54"/>
  <c r="AZ54"/>
  <c r="BB54"/>
  <c r="P8"/>
  <c r="N8"/>
  <c r="L8"/>
  <c r="P24"/>
  <c r="L24"/>
  <c r="N24"/>
  <c r="P22"/>
  <c r="L22"/>
  <c r="N22"/>
  <c r="P20"/>
  <c r="L20"/>
  <c r="N20"/>
  <c r="P18"/>
  <c r="L18"/>
  <c r="N18"/>
  <c r="P16"/>
  <c r="L16"/>
  <c r="N16"/>
  <c r="P14"/>
  <c r="L14"/>
  <c r="N14"/>
  <c r="P12"/>
  <c r="L12"/>
  <c r="N12"/>
  <c r="P10"/>
  <c r="L10"/>
  <c r="N10"/>
  <c r="P54"/>
  <c r="L54"/>
  <c r="N54"/>
  <c r="P46"/>
  <c r="L46"/>
  <c r="N46"/>
  <c r="P29"/>
  <c r="L29"/>
  <c r="N29"/>
  <c r="P52"/>
  <c r="L52"/>
  <c r="N52"/>
  <c r="P50"/>
  <c r="L50"/>
  <c r="N50"/>
  <c r="P48"/>
  <c r="L48"/>
  <c r="N48"/>
  <c r="P41"/>
  <c r="L41"/>
  <c r="N41"/>
  <c r="P39"/>
  <c r="L39"/>
  <c r="N39"/>
  <c r="P37"/>
  <c r="L37"/>
  <c r="N37"/>
  <c r="P35"/>
  <c r="L35"/>
  <c r="N35"/>
  <c r="P33"/>
  <c r="L33"/>
  <c r="N33"/>
  <c r="P31"/>
  <c r="L31"/>
  <c r="N31"/>
  <c r="O94" i="30"/>
  <c r="R84"/>
  <c r="X60" i="59"/>
  <c r="AH54" i="76" s="1"/>
  <c r="X58" i="59"/>
  <c r="AH52" i="76" s="1"/>
  <c r="X56" i="59"/>
  <c r="AH50" i="76" s="1"/>
  <c r="X54" i="59"/>
  <c r="AH48" i="76" s="1"/>
  <c r="X52" i="59"/>
  <c r="AB52" s="1"/>
  <c r="X46"/>
  <c r="AH41" i="76" s="1"/>
  <c r="X44" i="59"/>
  <c r="AH39" i="76" s="1"/>
  <c r="X42" i="59"/>
  <c r="AH37" i="76" s="1"/>
  <c r="X40" i="59"/>
  <c r="AH35" i="76" s="1"/>
  <c r="X38" i="59"/>
  <c r="AH33" i="76" s="1"/>
  <c r="X36" i="59"/>
  <c r="AH31" i="76" s="1"/>
  <c r="X34" i="59"/>
  <c r="X28"/>
  <c r="AH24" i="76" s="1"/>
  <c r="X26" i="59"/>
  <c r="AH22" i="76" s="1"/>
  <c r="X24" i="59"/>
  <c r="AH20" i="76" s="1"/>
  <c r="X22" i="59"/>
  <c r="AH18" i="76" s="1"/>
  <c r="X20" i="59"/>
  <c r="AH16" i="76" s="1"/>
  <c r="X18" i="59"/>
  <c r="AH14" i="76" s="1"/>
  <c r="X16" i="59"/>
  <c r="AH12" i="76" s="1"/>
  <c r="X14" i="59"/>
  <c r="AH10" i="76" s="1"/>
  <c r="X12" i="59"/>
  <c r="AB12" s="1"/>
  <c r="M25" i="29"/>
  <c r="F77" i="47"/>
  <c r="D77" s="1"/>
  <c r="F57"/>
  <c r="D57" s="1"/>
  <c r="D37"/>
  <c r="R92" i="43"/>
  <c r="D119" i="65" s="1"/>
  <c r="R85" i="43"/>
  <c r="D118" i="65" s="1"/>
  <c r="R78" i="43"/>
  <c r="D117" i="65" s="1"/>
  <c r="D92" i="43"/>
  <c r="B119" i="65" s="1"/>
  <c r="D85" i="43"/>
  <c r="B118" i="65" s="1"/>
  <c r="D78" i="43"/>
  <c r="B117" i="65" s="1"/>
  <c r="R48" i="43"/>
  <c r="D111" i="65" s="1"/>
  <c r="R41" i="43"/>
  <c r="D110" i="65" s="1"/>
  <c r="R34" i="43"/>
  <c r="D109" i="65" s="1"/>
  <c r="F58" i="45" s="1"/>
  <c r="D58" s="1"/>
  <c r="D72" i="78"/>
  <c r="BT20" i="76"/>
  <c r="BP20"/>
  <c r="BR20"/>
  <c r="BT22"/>
  <c r="BP22"/>
  <c r="BR22"/>
  <c r="BT24"/>
  <c r="BP24"/>
  <c r="BR24"/>
  <c r="BT37"/>
  <c r="BP37"/>
  <c r="BR37"/>
  <c r="BT39"/>
  <c r="BP39"/>
  <c r="BR39"/>
  <c r="BT41"/>
  <c r="BP41"/>
  <c r="BR41"/>
  <c r="BT50"/>
  <c r="BP50"/>
  <c r="BR50"/>
  <c r="BT52"/>
  <c r="BP52"/>
  <c r="BR52"/>
  <c r="BT54"/>
  <c r="BP54"/>
  <c r="BR54"/>
  <c r="BL20"/>
  <c r="BH20"/>
  <c r="BJ20"/>
  <c r="BL22"/>
  <c r="BH22"/>
  <c r="BJ22"/>
  <c r="BL24"/>
  <c r="BH24"/>
  <c r="BJ24"/>
  <c r="BL37"/>
  <c r="BH37"/>
  <c r="BJ37"/>
  <c r="BL39"/>
  <c r="BH39"/>
  <c r="BJ39"/>
  <c r="BL41"/>
  <c r="BH41"/>
  <c r="BJ41"/>
  <c r="BL50"/>
  <c r="BH50"/>
  <c r="BJ50"/>
  <c r="BL52"/>
  <c r="BH52"/>
  <c r="BJ52"/>
  <c r="AF10"/>
  <c r="AB10"/>
  <c r="AD10"/>
  <c r="AF12"/>
  <c r="AB12"/>
  <c r="AD12"/>
  <c r="AF14"/>
  <c r="AB14"/>
  <c r="AD14"/>
  <c r="AF16"/>
  <c r="AB16"/>
  <c r="AD16"/>
  <c r="AF18"/>
  <c r="AB18"/>
  <c r="AD18"/>
  <c r="AF20"/>
  <c r="AB20"/>
  <c r="AD20"/>
  <c r="AF22"/>
  <c r="AB22"/>
  <c r="AD22"/>
  <c r="AF24"/>
  <c r="AB24"/>
  <c r="AD24"/>
  <c r="AF29"/>
  <c r="AB29"/>
  <c r="AD29"/>
  <c r="AF31"/>
  <c r="AB31"/>
  <c r="AD31"/>
  <c r="AF33"/>
  <c r="AB33"/>
  <c r="AD33"/>
  <c r="AF35"/>
  <c r="AB35"/>
  <c r="AD35"/>
  <c r="AF37"/>
  <c r="AB37"/>
  <c r="AD37"/>
  <c r="AF39"/>
  <c r="AB39"/>
  <c r="AD39"/>
  <c r="AF41"/>
  <c r="AB41"/>
  <c r="AD41"/>
  <c r="AF46"/>
  <c r="AB46"/>
  <c r="AD46"/>
  <c r="AF48"/>
  <c r="AB48"/>
  <c r="AD48"/>
  <c r="AF50"/>
  <c r="AB50"/>
  <c r="AD50"/>
  <c r="AF52"/>
  <c r="AB52"/>
  <c r="AD52"/>
  <c r="AF54"/>
  <c r="AB54"/>
  <c r="AD54"/>
  <c r="X10"/>
  <c r="T10"/>
  <c r="V10"/>
  <c r="X12"/>
  <c r="T12"/>
  <c r="V12"/>
  <c r="X14"/>
  <c r="T14"/>
  <c r="V14"/>
  <c r="X16"/>
  <c r="T16"/>
  <c r="V16"/>
  <c r="X18"/>
  <c r="T18"/>
  <c r="V18"/>
  <c r="X20"/>
  <c r="T20"/>
  <c r="V20"/>
  <c r="X22"/>
  <c r="T22"/>
  <c r="V22"/>
  <c r="X24"/>
  <c r="T24"/>
  <c r="V24"/>
  <c r="X29"/>
  <c r="T29"/>
  <c r="V29"/>
  <c r="X31"/>
  <c r="T31"/>
  <c r="V31"/>
  <c r="X33"/>
  <c r="T33"/>
  <c r="V33"/>
  <c r="X35"/>
  <c r="T35"/>
  <c r="V35"/>
  <c r="X37"/>
  <c r="T37"/>
  <c r="V37"/>
  <c r="X39"/>
  <c r="T39"/>
  <c r="V39"/>
  <c r="X41"/>
  <c r="T41"/>
  <c r="V41"/>
  <c r="X46"/>
  <c r="T46"/>
  <c r="V46"/>
  <c r="X48"/>
  <c r="T48"/>
  <c r="V48"/>
  <c r="X50"/>
  <c r="T50"/>
  <c r="V50"/>
  <c r="X52"/>
  <c r="T52"/>
  <c r="V52"/>
  <c r="F17" i="47"/>
  <c r="H16" i="50"/>
  <c r="H24"/>
  <c r="BD46" i="62"/>
  <c r="AZ46"/>
  <c r="BB46"/>
  <c r="BD29"/>
  <c r="AZ29"/>
  <c r="BB29"/>
  <c r="BD18"/>
  <c r="AZ18"/>
  <c r="BB18"/>
  <c r="BD12"/>
  <c r="AZ12"/>
  <c r="BB12"/>
  <c r="BD54"/>
  <c r="AZ54"/>
  <c r="BB54"/>
  <c r="BD52"/>
  <c r="AZ52"/>
  <c r="BB52"/>
  <c r="BD50"/>
  <c r="AZ50"/>
  <c r="BB50"/>
  <c r="BD48"/>
  <c r="AZ48"/>
  <c r="BB48"/>
  <c r="BD41"/>
  <c r="AZ41"/>
  <c r="BB41"/>
  <c r="BD39"/>
  <c r="AZ39"/>
  <c r="BB39"/>
  <c r="BD37"/>
  <c r="AZ37"/>
  <c r="BB37"/>
  <c r="BD35"/>
  <c r="AZ35"/>
  <c r="BB35"/>
  <c r="BD33"/>
  <c r="AZ33"/>
  <c r="BB33"/>
  <c r="BD31"/>
  <c r="AZ31"/>
  <c r="BB31"/>
  <c r="BD24"/>
  <c r="AZ24"/>
  <c r="BB24"/>
  <c r="BD22"/>
  <c r="AZ22"/>
  <c r="BB22"/>
  <c r="BD20"/>
  <c r="AZ20"/>
  <c r="BB20"/>
  <c r="BD16"/>
  <c r="AZ16"/>
  <c r="BB16"/>
  <c r="BD14"/>
  <c r="AZ14"/>
  <c r="BB14"/>
  <c r="BD10"/>
  <c r="AZ10"/>
  <c r="BB10"/>
  <c r="P46"/>
  <c r="N46"/>
  <c r="L46"/>
  <c r="P29"/>
  <c r="N29"/>
  <c r="L29"/>
  <c r="P54"/>
  <c r="N54"/>
  <c r="L54"/>
  <c r="P52"/>
  <c r="N52"/>
  <c r="L52"/>
  <c r="P50"/>
  <c r="N50"/>
  <c r="L50"/>
  <c r="P48"/>
  <c r="N48"/>
  <c r="L48"/>
  <c r="P41"/>
  <c r="N41"/>
  <c r="L41"/>
  <c r="P39"/>
  <c r="N39"/>
  <c r="L39"/>
  <c r="P37"/>
  <c r="N37"/>
  <c r="L37"/>
  <c r="P35"/>
  <c r="N35"/>
  <c r="L35"/>
  <c r="P33"/>
  <c r="N33"/>
  <c r="L33"/>
  <c r="P31"/>
  <c r="N31"/>
  <c r="L31"/>
  <c r="P24"/>
  <c r="N24"/>
  <c r="L24"/>
  <c r="P22"/>
  <c r="N22"/>
  <c r="L22"/>
  <c r="P20"/>
  <c r="N20"/>
  <c r="L20"/>
  <c r="P18"/>
  <c r="N18"/>
  <c r="L18"/>
  <c r="P16"/>
  <c r="N16"/>
  <c r="L16"/>
  <c r="P14"/>
  <c r="N14"/>
  <c r="L14"/>
  <c r="P12"/>
  <c r="N12"/>
  <c r="L12"/>
  <c r="P10"/>
  <c r="N10"/>
  <c r="L10"/>
  <c r="AS30" i="59"/>
  <c r="AS48"/>
  <c r="AS62"/>
  <c r="AM60"/>
  <c r="BF54" i="76" s="1"/>
  <c r="R30" i="59"/>
  <c r="Z8" i="76"/>
  <c r="R48" i="59"/>
  <c r="R62"/>
  <c r="L60"/>
  <c r="R54" i="76" s="1"/>
  <c r="AM30" i="59"/>
  <c r="AM48"/>
  <c r="L30"/>
  <c r="R8" i="76"/>
  <c r="L48" i="59"/>
  <c r="J56" i="76"/>
  <c r="J43"/>
  <c r="J26"/>
  <c r="M17" i="29"/>
  <c r="C8" i="66"/>
  <c r="M18" i="68" s="1"/>
  <c r="M33" i="29"/>
  <c r="M39"/>
  <c r="C11" i="66"/>
  <c r="M45" i="68" s="1"/>
  <c r="D25" i="29"/>
  <c r="D33"/>
  <c r="M70" i="45"/>
  <c r="E17" i="66"/>
  <c r="M11" i="29"/>
  <c r="C7" i="66"/>
  <c r="H26" i="50"/>
  <c r="S26"/>
  <c r="AA80" i="68"/>
  <c r="X80" s="1"/>
  <c r="F19"/>
  <c r="C19"/>
  <c r="F17"/>
  <c r="M73" i="48"/>
  <c r="F75"/>
  <c r="D75" s="1"/>
  <c r="F73"/>
  <c r="D73" s="1"/>
  <c r="F132" i="45"/>
  <c r="D132" s="1"/>
  <c r="F126"/>
  <c r="D126" s="1"/>
  <c r="F120"/>
  <c r="D120" s="1"/>
  <c r="F114"/>
  <c r="D114" s="1"/>
  <c r="F108"/>
  <c r="D108" s="1"/>
  <c r="E17" i="65"/>
  <c r="O75" i="47"/>
  <c r="M75" s="1"/>
  <c r="F75"/>
  <c r="D75" s="1"/>
  <c r="F73"/>
  <c r="D73" s="1"/>
  <c r="F132" i="29"/>
  <c r="D132" s="1"/>
  <c r="F126"/>
  <c r="F120"/>
  <c r="F114"/>
  <c r="F108"/>
  <c r="F35" i="48"/>
  <c r="D35" s="1"/>
  <c r="F33"/>
  <c r="F70" i="45"/>
  <c r="F64"/>
  <c r="D64" s="1"/>
  <c r="F52"/>
  <c r="D52" s="1"/>
  <c r="F46"/>
  <c r="D46" s="1"/>
  <c r="D39" i="29"/>
  <c r="AG30" i="59"/>
  <c r="BC12"/>
  <c r="AG62"/>
  <c r="BC52"/>
  <c r="BC34"/>
  <c r="AG48"/>
  <c r="F30"/>
  <c r="F62"/>
  <c r="F48"/>
  <c r="AB34"/>
  <c r="AG62" i="57"/>
  <c r="AG48"/>
  <c r="AX8" i="62"/>
  <c r="AG30" i="57"/>
  <c r="F62"/>
  <c r="F48"/>
  <c r="J8" i="62"/>
  <c r="F30" i="57"/>
  <c r="H28" i="50"/>
  <c r="D34" s="1"/>
  <c r="S16"/>
  <c r="S18"/>
  <c r="S20"/>
  <c r="S22"/>
  <c r="S24"/>
  <c r="AM62" i="59"/>
  <c r="BC28"/>
  <c r="S23" i="60" s="1"/>
  <c r="P23" s="1"/>
  <c r="BC26" i="59"/>
  <c r="S21" i="60" s="1"/>
  <c r="P21" s="1"/>
  <c r="BC24" i="59"/>
  <c r="S19" i="60" s="1"/>
  <c r="BC22" i="59"/>
  <c r="BC20"/>
  <c r="BC18"/>
  <c r="BC16"/>
  <c r="BC14"/>
  <c r="BC58"/>
  <c r="S51" i="60" s="1"/>
  <c r="BC56" i="59"/>
  <c r="S49" i="60" s="1"/>
  <c r="BC54" i="59"/>
  <c r="BC46"/>
  <c r="S40" i="60" s="1"/>
  <c r="P40" s="1"/>
  <c r="BC44" i="59"/>
  <c r="S38" i="60" s="1"/>
  <c r="P38" s="1"/>
  <c r="BC42" i="59"/>
  <c r="S36" i="60" s="1"/>
  <c r="BC40" i="59"/>
  <c r="BC38"/>
  <c r="BC36"/>
  <c r="BC60"/>
  <c r="S53" i="60" s="1"/>
  <c r="AB28" i="59"/>
  <c r="AB26"/>
  <c r="AB24"/>
  <c r="AB22"/>
  <c r="AB20"/>
  <c r="AB18"/>
  <c r="AB16"/>
  <c r="AB14"/>
  <c r="AB60"/>
  <c r="AB58"/>
  <c r="AB56"/>
  <c r="AB54"/>
  <c r="AB42"/>
  <c r="M9" i="68" l="1"/>
  <c r="M8"/>
  <c r="L62" i="59"/>
  <c r="BC30"/>
  <c r="M57" i="69"/>
  <c r="O138" i="29"/>
  <c r="M86" i="68"/>
  <c r="BC48" i="59"/>
  <c r="AB38"/>
  <c r="AB46"/>
  <c r="AP41" i="76" s="1"/>
  <c r="AB36" i="59"/>
  <c r="AB40"/>
  <c r="AB44"/>
  <c r="AN10" i="76"/>
  <c r="AJ10"/>
  <c r="AL10"/>
  <c r="AN12"/>
  <c r="AJ12"/>
  <c r="AL12"/>
  <c r="AN14"/>
  <c r="AJ14"/>
  <c r="AL14"/>
  <c r="AN16"/>
  <c r="AJ16"/>
  <c r="AL16"/>
  <c r="AN18"/>
  <c r="AJ18"/>
  <c r="AL18"/>
  <c r="AN20"/>
  <c r="AJ20"/>
  <c r="AL20"/>
  <c r="AN22"/>
  <c r="AJ22"/>
  <c r="AL22"/>
  <c r="AN24"/>
  <c r="AJ24"/>
  <c r="AL24"/>
  <c r="AN31"/>
  <c r="AJ31"/>
  <c r="AL31"/>
  <c r="AN33"/>
  <c r="AJ33"/>
  <c r="AL33"/>
  <c r="AN35"/>
  <c r="AJ35"/>
  <c r="AL35"/>
  <c r="AN37"/>
  <c r="AJ37"/>
  <c r="AL37"/>
  <c r="AN39"/>
  <c r="AJ39"/>
  <c r="AL39"/>
  <c r="AN41"/>
  <c r="AJ41"/>
  <c r="AL41"/>
  <c r="AN48"/>
  <c r="AJ48"/>
  <c r="AL48"/>
  <c r="AN50"/>
  <c r="AJ50"/>
  <c r="AL50"/>
  <c r="AN52"/>
  <c r="AJ52"/>
  <c r="AL52"/>
  <c r="AN54"/>
  <c r="AJ54"/>
  <c r="AL54"/>
  <c r="AQ6" i="59"/>
  <c r="AQ6" i="57"/>
  <c r="AS60"/>
  <c r="BN54" i="62" s="1"/>
  <c r="AS58" i="57"/>
  <c r="BN52" i="62" s="1"/>
  <c r="AS56" i="57"/>
  <c r="BN50" i="62" s="1"/>
  <c r="AS54" i="57"/>
  <c r="BN48" i="62" s="1"/>
  <c r="AS52" i="57"/>
  <c r="AS46"/>
  <c r="BN41" i="62" s="1"/>
  <c r="AS44" i="57"/>
  <c r="BN39" i="62" s="1"/>
  <c r="AS42" i="57"/>
  <c r="BN37" i="62" s="1"/>
  <c r="AS40" i="57"/>
  <c r="BN35" i="62" s="1"/>
  <c r="AS38" i="57"/>
  <c r="BN33" i="62" s="1"/>
  <c r="AS36" i="57"/>
  <c r="BN31" i="62" s="1"/>
  <c r="AS34" i="57"/>
  <c r="AS28"/>
  <c r="BN24" i="62" s="1"/>
  <c r="AS26" i="57"/>
  <c r="BN22" i="62" s="1"/>
  <c r="AS24" i="57"/>
  <c r="BN20" i="62" s="1"/>
  <c r="AS22" i="57"/>
  <c r="BN18" i="62" s="1"/>
  <c r="AS20" i="57"/>
  <c r="BN16" i="62" s="1"/>
  <c r="AS18" i="57"/>
  <c r="BN14" i="62" s="1"/>
  <c r="AS16" i="57"/>
  <c r="BN12" i="62" s="1"/>
  <c r="AS14" i="57"/>
  <c r="BN10" i="62" s="1"/>
  <c r="AS12" i="57"/>
  <c r="O109" i="30"/>
  <c r="J9" i="34" s="1"/>
  <c r="R98" i="30"/>
  <c r="J59" i="76"/>
  <c r="AH8"/>
  <c r="X30" i="59"/>
  <c r="AB30" s="1"/>
  <c r="AH29" i="76"/>
  <c r="X48" i="59"/>
  <c r="AB48" s="1"/>
  <c r="AH46" i="76"/>
  <c r="X62" i="59"/>
  <c r="O77" i="45"/>
  <c r="Y70" i="43"/>
  <c r="E115" i="65" s="1"/>
  <c r="O101" i="45" s="1"/>
  <c r="Y63" i="43"/>
  <c r="E114" i="65" s="1"/>
  <c r="Y56" i="43"/>
  <c r="E113" i="65" s="1"/>
  <c r="O89" i="45" s="1"/>
  <c r="M89" s="1"/>
  <c r="M29" i="68"/>
  <c r="M28"/>
  <c r="J28"/>
  <c r="J29" s="1"/>
  <c r="M26"/>
  <c r="BL54" i="76"/>
  <c r="BH54"/>
  <c r="BJ54"/>
  <c r="X8"/>
  <c r="V8"/>
  <c r="T8"/>
  <c r="X54"/>
  <c r="T54"/>
  <c r="V54"/>
  <c r="AF8"/>
  <c r="AD8"/>
  <c r="AB8"/>
  <c r="P8" i="62"/>
  <c r="N8"/>
  <c r="L8"/>
  <c r="AZ8"/>
  <c r="BD8"/>
  <c r="BB8"/>
  <c r="D36" i="60"/>
  <c r="B37" i="76" s="1"/>
  <c r="AP37"/>
  <c r="D38" i="60"/>
  <c r="B39" i="76" s="1"/>
  <c r="AP39"/>
  <c r="D40" i="60"/>
  <c r="B41" i="76" s="1"/>
  <c r="D49" i="60"/>
  <c r="B50" i="76" s="1"/>
  <c r="AP50"/>
  <c r="D51" i="60"/>
  <c r="B52" i="76" s="1"/>
  <c r="AP52"/>
  <c r="D53" i="60"/>
  <c r="B54" i="76" s="1"/>
  <c r="AP54"/>
  <c r="D19" i="60"/>
  <c r="B20" i="76" s="1"/>
  <c r="AP20"/>
  <c r="D21" i="60"/>
  <c r="B22" i="76" s="1"/>
  <c r="AP22"/>
  <c r="D23" i="60"/>
  <c r="B24" i="76" s="1"/>
  <c r="AP24"/>
  <c r="L26"/>
  <c r="N26"/>
  <c r="P26"/>
  <c r="L43"/>
  <c r="N43"/>
  <c r="P43"/>
  <c r="L56"/>
  <c r="N56"/>
  <c r="P56"/>
  <c r="F37" i="68"/>
  <c r="C37"/>
  <c r="F35"/>
  <c r="F28"/>
  <c r="C28"/>
  <c r="F26"/>
  <c r="M47"/>
  <c r="M46"/>
  <c r="J46"/>
  <c r="M44"/>
  <c r="M38"/>
  <c r="M37"/>
  <c r="J37"/>
  <c r="M35"/>
  <c r="M20"/>
  <c r="M19"/>
  <c r="J19"/>
  <c r="M17"/>
  <c r="D70" i="45"/>
  <c r="D17" i="66"/>
  <c r="J26" i="62"/>
  <c r="J43"/>
  <c r="J56"/>
  <c r="AX26"/>
  <c r="AX43"/>
  <c r="AX56"/>
  <c r="F46" i="68"/>
  <c r="C46"/>
  <c r="F44"/>
  <c r="D33" i="48"/>
  <c r="B16" i="65"/>
  <c r="D108" i="29"/>
  <c r="B25" i="66"/>
  <c r="D114" i="29"/>
  <c r="B26" i="66"/>
  <c r="E25" s="1"/>
  <c r="D25" s="1"/>
  <c r="C25" s="1"/>
  <c r="D120" i="29"/>
  <c r="B27" i="66"/>
  <c r="E26" s="1"/>
  <c r="D26" s="1"/>
  <c r="C26" s="1"/>
  <c r="M62" i="68" s="1"/>
  <c r="J62" s="1"/>
  <c r="F62" s="1"/>
  <c r="C62" s="1"/>
  <c r="D126" i="29"/>
  <c r="B28" i="66"/>
  <c r="E27" s="1"/>
  <c r="D27" s="1"/>
  <c r="C27" s="1"/>
  <c r="M68" i="68" s="1"/>
  <c r="J68" s="1"/>
  <c r="F68" s="1"/>
  <c r="C68" s="1"/>
  <c r="D17" i="65"/>
  <c r="O55" i="48"/>
  <c r="M55" s="1"/>
  <c r="O53"/>
  <c r="O95" i="45"/>
  <c r="M95" s="1"/>
  <c r="O83"/>
  <c r="M83" s="1"/>
  <c r="M77"/>
  <c r="S28" i="50"/>
  <c r="O34" s="1"/>
  <c r="AB62" i="59"/>
  <c r="BC62"/>
  <c r="D29" i="66"/>
  <c r="C29" s="1"/>
  <c r="O139" i="29" l="1"/>
  <c r="M58" i="69"/>
  <c r="M87" i="68"/>
  <c r="AN46" i="76"/>
  <c r="AJ46"/>
  <c r="AL46"/>
  <c r="AN29"/>
  <c r="AJ29"/>
  <c r="AL29"/>
  <c r="AN8"/>
  <c r="AL8"/>
  <c r="AJ8"/>
  <c r="AY60" i="57"/>
  <c r="BV54" i="62" s="1"/>
  <c r="AY58" i="57"/>
  <c r="BV52" i="62" s="1"/>
  <c r="AY56" i="57"/>
  <c r="BV50" i="62" s="1"/>
  <c r="AY54" i="57"/>
  <c r="BV48" i="62" s="1"/>
  <c r="AY52" i="57"/>
  <c r="AY46"/>
  <c r="BV41" i="62" s="1"/>
  <c r="AY44" i="57"/>
  <c r="BV39" i="62" s="1"/>
  <c r="AY42" i="57"/>
  <c r="BV37" i="62" s="1"/>
  <c r="AY40" i="57"/>
  <c r="BV35" i="62" s="1"/>
  <c r="AY38" i="57"/>
  <c r="BV33" i="62" s="1"/>
  <c r="AY36" i="57"/>
  <c r="BV31" i="62" s="1"/>
  <c r="AY34" i="57"/>
  <c r="AY28"/>
  <c r="BV24" i="62" s="1"/>
  <c r="AY26" i="57"/>
  <c r="BV22" i="62" s="1"/>
  <c r="AY24" i="57"/>
  <c r="BV20" i="62" s="1"/>
  <c r="AY22" i="57"/>
  <c r="BV18" i="62" s="1"/>
  <c r="AY20" i="57"/>
  <c r="BV16" i="62" s="1"/>
  <c r="AY18" i="57"/>
  <c r="BV14" i="62" s="1"/>
  <c r="AY16" i="57"/>
  <c r="BV12" i="62" s="1"/>
  <c r="AY14" i="57"/>
  <c r="BV10" i="62" s="1"/>
  <c r="AY12" i="57"/>
  <c r="AW6" i="59"/>
  <c r="AW6" i="57"/>
  <c r="BN8" i="62"/>
  <c r="AS30" i="57"/>
  <c r="BT10" i="62"/>
  <c r="BP10"/>
  <c r="BR10"/>
  <c r="BT12"/>
  <c r="BP12"/>
  <c r="BR12"/>
  <c r="BT14"/>
  <c r="BP14"/>
  <c r="BR14"/>
  <c r="BT16"/>
  <c r="BP16"/>
  <c r="BR16"/>
  <c r="BT18"/>
  <c r="BP18"/>
  <c r="BR18"/>
  <c r="BT20"/>
  <c r="BP20"/>
  <c r="BR20"/>
  <c r="BT22"/>
  <c r="BP22"/>
  <c r="BR22"/>
  <c r="BT24"/>
  <c r="BP24"/>
  <c r="BR24"/>
  <c r="BN29"/>
  <c r="AS48" i="57"/>
  <c r="BT31" i="62"/>
  <c r="BP31"/>
  <c r="BR31"/>
  <c r="BT33"/>
  <c r="BP33"/>
  <c r="BR33"/>
  <c r="BT35"/>
  <c r="BP35"/>
  <c r="BR35"/>
  <c r="BT37"/>
  <c r="BP37"/>
  <c r="BR37"/>
  <c r="BT39"/>
  <c r="BP39"/>
  <c r="BR39"/>
  <c r="BT41"/>
  <c r="BP41"/>
  <c r="BR41"/>
  <c r="BN46"/>
  <c r="AS62" i="57"/>
  <c r="BT48" i="62"/>
  <c r="BP48"/>
  <c r="BR48"/>
  <c r="BT50"/>
  <c r="BP50"/>
  <c r="BR50"/>
  <c r="BT52"/>
  <c r="BP52"/>
  <c r="BR52"/>
  <c r="BT54"/>
  <c r="BP54"/>
  <c r="BR54"/>
  <c r="F55" i="48"/>
  <c r="D55" s="1"/>
  <c r="F77" i="45"/>
  <c r="D77" s="1"/>
  <c r="R70" i="43"/>
  <c r="D115" i="65" s="1"/>
  <c r="R63" i="43"/>
  <c r="D114" i="65" s="1"/>
  <c r="R56" i="43"/>
  <c r="D113" i="65" s="1"/>
  <c r="D48" i="43"/>
  <c r="B111" i="65" s="1"/>
  <c r="F70" i="29" s="1"/>
  <c r="D41" i="43"/>
  <c r="B110" i="65" s="1"/>
  <c r="D34" i="43"/>
  <c r="B109" i="65" s="1"/>
  <c r="F58" i="29" s="1"/>
  <c r="AV24" i="76"/>
  <c r="AT24"/>
  <c r="AR24"/>
  <c r="D24"/>
  <c r="H24"/>
  <c r="F24"/>
  <c r="AV22"/>
  <c r="AT22"/>
  <c r="AR22"/>
  <c r="D22"/>
  <c r="H22"/>
  <c r="F22"/>
  <c r="AV20"/>
  <c r="AT20"/>
  <c r="AR20"/>
  <c r="D20"/>
  <c r="H20"/>
  <c r="F20"/>
  <c r="AV54"/>
  <c r="AT54"/>
  <c r="AR54"/>
  <c r="D54"/>
  <c r="H54"/>
  <c r="F54"/>
  <c r="AV52"/>
  <c r="AT52"/>
  <c r="AR52"/>
  <c r="D52"/>
  <c r="H52"/>
  <c r="F52"/>
  <c r="AV50"/>
  <c r="AT50"/>
  <c r="AR50"/>
  <c r="D50"/>
  <c r="H50"/>
  <c r="F50"/>
  <c r="AV41"/>
  <c r="AT41"/>
  <c r="AR41"/>
  <c r="D41"/>
  <c r="H41"/>
  <c r="F41"/>
  <c r="AV39"/>
  <c r="AT39"/>
  <c r="AR39"/>
  <c r="D39"/>
  <c r="H39"/>
  <c r="F39"/>
  <c r="AV37"/>
  <c r="AT37"/>
  <c r="AR37"/>
  <c r="D37"/>
  <c r="H37"/>
  <c r="F37"/>
  <c r="J20" i="68"/>
  <c r="J38"/>
  <c r="J47"/>
  <c r="P59" i="76"/>
  <c r="N59"/>
  <c r="L59"/>
  <c r="M101" i="45"/>
  <c r="E23" i="66"/>
  <c r="B29"/>
  <c r="E28" s="1"/>
  <c r="D28" s="1"/>
  <c r="C28" s="1"/>
  <c r="M74" i="68" s="1"/>
  <c r="J74" s="1"/>
  <c r="F74" s="1"/>
  <c r="C74" s="1"/>
  <c r="M80"/>
  <c r="J80" s="1"/>
  <c r="E18" i="64"/>
  <c r="D18" s="1"/>
  <c r="C18" s="1"/>
  <c r="B18" s="1"/>
  <c r="M53" i="48"/>
  <c r="C17" i="65"/>
  <c r="F53" i="48"/>
  <c r="D53" s="1"/>
  <c r="F101" i="45"/>
  <c r="F95"/>
  <c r="D95" s="1"/>
  <c r="F89"/>
  <c r="D89" s="1"/>
  <c r="F83"/>
  <c r="D83" s="1"/>
  <c r="F35" i="47"/>
  <c r="D35" s="1"/>
  <c r="F33"/>
  <c r="F64" i="29"/>
  <c r="D64" s="1"/>
  <c r="F52"/>
  <c r="D52" s="1"/>
  <c r="F46"/>
  <c r="D46" s="1"/>
  <c r="BD26" i="62"/>
  <c r="BB26" s="1"/>
  <c r="AZ26" s="1"/>
  <c r="P26"/>
  <c r="N26" s="1"/>
  <c r="L26" s="1"/>
  <c r="T80" i="68"/>
  <c r="Q80" s="1"/>
  <c r="BT46" i="62" l="1"/>
  <c r="BT56" s="1"/>
  <c r="BP46"/>
  <c r="BP56" s="1"/>
  <c r="BR46"/>
  <c r="BR56" s="1"/>
  <c r="BN56"/>
  <c r="BT29"/>
  <c r="BT43" s="1"/>
  <c r="BP29"/>
  <c r="BP43" s="1"/>
  <c r="BR29"/>
  <c r="BR43" s="1"/>
  <c r="BN43"/>
  <c r="BT8"/>
  <c r="BT26" s="1"/>
  <c r="BT59" s="1"/>
  <c r="BR8"/>
  <c r="BR26" s="1"/>
  <c r="BP8"/>
  <c r="BP26" s="1"/>
  <c r="BN26"/>
  <c r="BN59" s="1"/>
  <c r="BV8"/>
  <c r="AY30" i="57"/>
  <c r="CB10" i="62"/>
  <c r="BX10"/>
  <c r="BZ10"/>
  <c r="CB12"/>
  <c r="BX12"/>
  <c r="BZ12"/>
  <c r="CB14"/>
  <c r="BX14"/>
  <c r="BZ14"/>
  <c r="CB16"/>
  <c r="BX16"/>
  <c r="BZ16"/>
  <c r="CB18"/>
  <c r="BX18"/>
  <c r="BZ18"/>
  <c r="CB20"/>
  <c r="BX20"/>
  <c r="BZ20"/>
  <c r="CB22"/>
  <c r="BX22"/>
  <c r="BZ22"/>
  <c r="CB24"/>
  <c r="BX24"/>
  <c r="BZ24"/>
  <c r="BV29"/>
  <c r="AY48" i="57"/>
  <c r="CB31" i="62"/>
  <c r="BX31"/>
  <c r="BZ31"/>
  <c r="CB33"/>
  <c r="BX33"/>
  <c r="BZ33"/>
  <c r="CB35"/>
  <c r="BX35"/>
  <c r="BZ35"/>
  <c r="CB37"/>
  <c r="BX37"/>
  <c r="BZ37"/>
  <c r="CB39"/>
  <c r="BX39"/>
  <c r="BZ39"/>
  <c r="CB41"/>
  <c r="BX41"/>
  <c r="BZ41"/>
  <c r="BV46"/>
  <c r="AY62" i="57"/>
  <c r="CB48" i="62"/>
  <c r="BX48"/>
  <c r="BZ48"/>
  <c r="CB50"/>
  <c r="BX50"/>
  <c r="BZ50"/>
  <c r="CB52"/>
  <c r="BX52"/>
  <c r="BZ52"/>
  <c r="CB54"/>
  <c r="BX54"/>
  <c r="BZ54"/>
  <c r="F80" i="68"/>
  <c r="C80" s="1"/>
  <c r="Y26" i="43"/>
  <c r="E107" i="65" s="1"/>
  <c r="O39" i="45" s="1"/>
  <c r="M39" s="1"/>
  <c r="Y19" i="43"/>
  <c r="E106" i="65" s="1"/>
  <c r="Y12" i="43"/>
  <c r="E105" i="65" s="1"/>
  <c r="O25" i="45" s="1"/>
  <c r="E9" i="66" s="1"/>
  <c r="AA27" i="68" s="1"/>
  <c r="O77" i="29"/>
  <c r="M77" s="1"/>
  <c r="K70" i="43"/>
  <c r="C115" i="65" s="1"/>
  <c r="O101" i="29" s="1"/>
  <c r="K63" i="43"/>
  <c r="C114" i="65" s="1"/>
  <c r="K56" i="43"/>
  <c r="C113" i="65" s="1"/>
  <c r="O89" i="29" s="1"/>
  <c r="M89" s="1"/>
  <c r="D70"/>
  <c r="B17" i="66"/>
  <c r="D101" i="45"/>
  <c r="D23" i="66"/>
  <c r="D58" i="29"/>
  <c r="B15" i="66"/>
  <c r="D33" i="47"/>
  <c r="C30" i="64"/>
  <c r="B30"/>
  <c r="O13" i="48"/>
  <c r="M13" s="1"/>
  <c r="O33" i="45"/>
  <c r="E10" i="66" s="1"/>
  <c r="AA36" i="68" s="1"/>
  <c r="O17" i="45"/>
  <c r="O11"/>
  <c r="B17" i="65"/>
  <c r="O55" i="47"/>
  <c r="M55" s="1"/>
  <c r="O53"/>
  <c r="M53" s="1"/>
  <c r="O95" i="29"/>
  <c r="M95" s="1"/>
  <c r="O83"/>
  <c r="M83" s="1"/>
  <c r="B36" i="64"/>
  <c r="AA79" i="68"/>
  <c r="X79" s="1"/>
  <c r="T79" l="1"/>
  <c r="Q79" s="1"/>
  <c r="CB46" i="62"/>
  <c r="CB56" s="1"/>
  <c r="BX46"/>
  <c r="BX56" s="1"/>
  <c r="BZ46"/>
  <c r="BZ56" s="1"/>
  <c r="BV56"/>
  <c r="CB29"/>
  <c r="CB43" s="1"/>
  <c r="BX29"/>
  <c r="BX43" s="1"/>
  <c r="BZ29"/>
  <c r="BZ43" s="1"/>
  <c r="BV43"/>
  <c r="CB8"/>
  <c r="CB26" s="1"/>
  <c r="BZ8"/>
  <c r="BZ26" s="1"/>
  <c r="BX8"/>
  <c r="BX26" s="1"/>
  <c r="BV26"/>
  <c r="BV59" s="1"/>
  <c r="BR59"/>
  <c r="BP59" s="1"/>
  <c r="F77" i="29"/>
  <c r="D70" i="43"/>
  <c r="B115" i="65" s="1"/>
  <c r="F101" i="29" s="1"/>
  <c r="D63" i="43"/>
  <c r="B114" i="65" s="1"/>
  <c r="D56" i="43"/>
  <c r="B113" i="65" s="1"/>
  <c r="F89" i="29" s="1"/>
  <c r="B21" i="66" s="1"/>
  <c r="E20" s="1"/>
  <c r="R26" i="43"/>
  <c r="D107" i="65" s="1"/>
  <c r="R19" i="43"/>
  <c r="D106" i="65" s="1"/>
  <c r="F33" i="45" s="1"/>
  <c r="R12" i="43"/>
  <c r="D105" i="65" s="1"/>
  <c r="M101" i="29"/>
  <c r="C23" i="66"/>
  <c r="F38" i="69"/>
  <c r="C38"/>
  <c r="F55" i="47"/>
  <c r="D55" s="1"/>
  <c r="F53"/>
  <c r="D53" s="1"/>
  <c r="F95" i="29"/>
  <c r="D95" s="1"/>
  <c r="F83"/>
  <c r="D83" s="1"/>
  <c r="D77"/>
  <c r="M11" i="45"/>
  <c r="E7" i="66"/>
  <c r="M17" i="45"/>
  <c r="E8" i="66"/>
  <c r="AA18" i="68" s="1"/>
  <c r="M25" i="45"/>
  <c r="M33"/>
  <c r="F13" i="48"/>
  <c r="D13" s="1"/>
  <c r="F39" i="45"/>
  <c r="F25"/>
  <c r="D9" i="66" s="1"/>
  <c r="T27" i="68" s="1"/>
  <c r="F17" i="45"/>
  <c r="D17" s="1"/>
  <c r="F11"/>
  <c r="D11" s="1"/>
  <c r="F36" i="69"/>
  <c r="C36"/>
  <c r="M36"/>
  <c r="J36"/>
  <c r="E14" i="66"/>
  <c r="D14" s="1"/>
  <c r="F66" i="68"/>
  <c r="E22" i="66"/>
  <c r="AA9" i="68" l="1"/>
  <c r="AA8"/>
  <c r="CB59" i="62"/>
  <c r="BZ59"/>
  <c r="D89" i="29"/>
  <c r="D39" i="45"/>
  <c r="D11" i="66"/>
  <c r="T45" i="68" s="1"/>
  <c r="D33" i="45"/>
  <c r="D10" i="66"/>
  <c r="T36" i="68" s="1"/>
  <c r="BX59" i="62"/>
  <c r="M79" i="68"/>
  <c r="J79" s="1"/>
  <c r="O144" i="45"/>
  <c r="AA21" i="68"/>
  <c r="F30"/>
  <c r="C66"/>
  <c r="D25" i="45"/>
  <c r="D101" i="29"/>
  <c r="B23" i="66"/>
  <c r="F79" i="68" s="1"/>
  <c r="C79" s="1"/>
  <c r="AA78" s="1"/>
  <c r="D22" i="66"/>
  <c r="C22" s="1"/>
  <c r="B22" s="1"/>
  <c r="E21" s="1"/>
  <c r="AA73" i="68"/>
  <c r="X73" s="1"/>
  <c r="B14" i="66"/>
  <c r="AA38" i="68"/>
  <c r="AA37"/>
  <c r="X37"/>
  <c r="AA35"/>
  <c r="AA29"/>
  <c r="AA28"/>
  <c r="X28"/>
  <c r="AA26"/>
  <c r="D8" i="66"/>
  <c r="T18" i="68" s="1"/>
  <c r="AA20"/>
  <c r="AA19"/>
  <c r="X19"/>
  <c r="AA17"/>
  <c r="D7" i="66"/>
  <c r="AA11" i="68"/>
  <c r="AA10"/>
  <c r="X10"/>
  <c r="D20" i="66"/>
  <c r="C20" s="1"/>
  <c r="B20" s="1"/>
  <c r="E19" s="1"/>
  <c r="D19" s="1"/>
  <c r="C19" s="1"/>
  <c r="AA61" i="68"/>
  <c r="X61" s="1"/>
  <c r="B33" i="64"/>
  <c r="T9" i="68" l="1"/>
  <c r="T8"/>
  <c r="AA90"/>
  <c r="X90" s="1"/>
  <c r="M144" i="45"/>
  <c r="T61" i="68"/>
  <c r="Q61" s="1"/>
  <c r="M61" s="1"/>
  <c r="J61" s="1"/>
  <c r="F61" s="1"/>
  <c r="C61" s="1"/>
  <c r="AA60" s="1"/>
  <c r="T73"/>
  <c r="Q73" s="1"/>
  <c r="M73" s="1"/>
  <c r="J73" s="1"/>
  <c r="F73" s="1"/>
  <c r="C73" s="1"/>
  <c r="F144" i="45"/>
  <c r="F48" i="68"/>
  <c r="T21"/>
  <c r="F21"/>
  <c r="B19" i="66"/>
  <c r="X78" i="68"/>
  <c r="X60"/>
  <c r="AA62"/>
  <c r="X62" s="1"/>
  <c r="T62" s="1"/>
  <c r="Q62" s="1"/>
  <c r="T29"/>
  <c r="T28"/>
  <c r="Q28"/>
  <c r="T26"/>
  <c r="F37" i="69"/>
  <c r="C37"/>
  <c r="T11" i="68"/>
  <c r="T10"/>
  <c r="Q10"/>
  <c r="T20"/>
  <c r="T19"/>
  <c r="Q19"/>
  <c r="T17"/>
  <c r="T38"/>
  <c r="T37"/>
  <c r="Q37"/>
  <c r="T35"/>
  <c r="E13" i="66"/>
  <c r="O142" i="45" s="1"/>
  <c r="D21" i="66"/>
  <c r="C21" s="1"/>
  <c r="AA67" i="68"/>
  <c r="X67" s="1"/>
  <c r="F78"/>
  <c r="AA54"/>
  <c r="X54" s="1"/>
  <c r="X11"/>
  <c r="X20"/>
  <c r="X29"/>
  <c r="X38"/>
  <c r="AA89" l="1"/>
  <c r="X89" s="1"/>
  <c r="M142" i="45"/>
  <c r="D144"/>
  <c r="T90" i="68"/>
  <c r="Q90" s="1"/>
  <c r="T67"/>
  <c r="Q67" s="1"/>
  <c r="M67" s="1"/>
  <c r="J67" s="1"/>
  <c r="F67" s="1"/>
  <c r="C67" s="1"/>
  <c r="AA12"/>
  <c r="Q29"/>
  <c r="C78"/>
  <c r="T60"/>
  <c r="T78"/>
  <c r="D13" i="66"/>
  <c r="F142" i="45" s="1"/>
  <c r="B7" i="66"/>
  <c r="M11" i="68"/>
  <c r="M10"/>
  <c r="J10"/>
  <c r="E16" i="66"/>
  <c r="O148" i="45" s="1"/>
  <c r="Q38" i="68"/>
  <c r="Q20"/>
  <c r="Q11"/>
  <c r="F9" l="1"/>
  <c r="F8"/>
  <c r="AA92"/>
  <c r="X92" s="1"/>
  <c r="M148" i="45"/>
  <c r="D142"/>
  <c r="T89" i="68"/>
  <c r="Q89" s="1"/>
  <c r="T54"/>
  <c r="Q54" s="1"/>
  <c r="AA39"/>
  <c r="T12"/>
  <c r="Q78"/>
  <c r="Q60"/>
  <c r="AA74"/>
  <c r="X74" s="1"/>
  <c r="T74" s="1"/>
  <c r="Q74" s="1"/>
  <c r="D16" i="66"/>
  <c r="F148" i="45" s="1"/>
  <c r="AA72" i="68"/>
  <c r="F10"/>
  <c r="C10"/>
  <c r="J11"/>
  <c r="D148" i="45" l="1"/>
  <c r="T92" i="68"/>
  <c r="Q92" s="1"/>
  <c r="T39"/>
  <c r="X72"/>
  <c r="B13" i="66"/>
  <c r="F54" i="68" s="1"/>
  <c r="C54" s="1"/>
  <c r="F12" l="1"/>
  <c r="T72"/>
  <c r="B16" i="66"/>
  <c r="E11"/>
  <c r="AA45" i="68" s="1"/>
  <c r="AA48" l="1"/>
  <c r="O150" i="45"/>
  <c r="F39" i="68"/>
  <c r="Q72"/>
  <c r="F60"/>
  <c r="AA47"/>
  <c r="AA46"/>
  <c r="X46"/>
  <c r="AA44"/>
  <c r="E15" i="66"/>
  <c r="O146" i="45" s="1"/>
  <c r="F72" i="68"/>
  <c r="AA93" l="1"/>
  <c r="X93" s="1"/>
  <c r="M150" i="45"/>
  <c r="AA91" i="68"/>
  <c r="X91" s="1"/>
  <c r="M146" i="45"/>
  <c r="T48" i="68"/>
  <c r="F150" i="45"/>
  <c r="AA30" i="68"/>
  <c r="C72"/>
  <c r="C60"/>
  <c r="D15" i="66"/>
  <c r="F146" i="45" s="1"/>
  <c r="AA66" i="68"/>
  <c r="T47"/>
  <c r="T46"/>
  <c r="Q46"/>
  <c r="T44"/>
  <c r="X47"/>
  <c r="D146" i="45" l="1"/>
  <c r="T91" i="68"/>
  <c r="Q91" s="1"/>
  <c r="D150" i="45"/>
  <c r="T93" i="68"/>
  <c r="Q93" s="1"/>
  <c r="T30"/>
  <c r="AA56"/>
  <c r="X56" s="1"/>
  <c r="T56" s="1"/>
  <c r="Q56" s="1"/>
  <c r="M56" s="1"/>
  <c r="J56" s="1"/>
  <c r="F56" s="1"/>
  <c r="C56" s="1"/>
  <c r="AA55" s="1"/>
  <c r="AA68"/>
  <c r="X68" s="1"/>
  <c r="T68" s="1"/>
  <c r="Q68" s="1"/>
  <c r="X66"/>
  <c r="T66"/>
  <c r="Q47"/>
  <c r="X55" l="1"/>
  <c r="AA95"/>
  <c r="Q66"/>
  <c r="T55" l="1"/>
  <c r="X95"/>
  <c r="Q55" l="1"/>
  <c r="T95"/>
  <c r="C22" i="64"/>
  <c r="O37" i="47" s="1"/>
  <c r="C21" i="64"/>
  <c r="B27"/>
  <c r="F9" i="69" s="1"/>
  <c r="B21" i="64"/>
  <c r="J33" i="34"/>
  <c r="M33" s="1"/>
  <c r="Q33"/>
  <c r="T33" s="1"/>
  <c r="X33"/>
  <c r="AA33" s="1"/>
  <c r="AC30" i="55"/>
  <c r="AI30" s="1"/>
  <c r="S28" i="60"/>
  <c r="U28" s="1"/>
  <c r="AC32" i="55"/>
  <c r="AI32" s="1"/>
  <c r="S30" i="60"/>
  <c r="U30" s="1"/>
  <c r="W30" s="1"/>
  <c r="AC34" i="55"/>
  <c r="AI34" s="1"/>
  <c r="S32" i="60"/>
  <c r="U32" s="1"/>
  <c r="W32" s="1"/>
  <c r="AC36" i="55"/>
  <c r="AI36" s="1"/>
  <c r="S34" i="60"/>
  <c r="U34" s="1"/>
  <c r="W34" s="1"/>
  <c r="D28"/>
  <c r="B29" i="76" s="1"/>
  <c r="D30" i="60"/>
  <c r="B31" i="76" s="1"/>
  <c r="D32" i="60"/>
  <c r="B33" i="76" s="1"/>
  <c r="D34" i="60"/>
  <c r="B35" i="76" s="1"/>
  <c r="D45" i="60"/>
  <c r="B46" i="76" s="1"/>
  <c r="D47" i="60"/>
  <c r="B48" i="76" s="1"/>
  <c r="AC48" i="55"/>
  <c r="AI48" s="1"/>
  <c r="S45" i="60"/>
  <c r="U45" s="1"/>
  <c r="AC50" i="55"/>
  <c r="AI50" s="1"/>
  <c r="S47" i="60"/>
  <c r="U47" s="1"/>
  <c r="W47" s="1"/>
  <c r="D7"/>
  <c r="B8" i="76" s="1"/>
  <c r="D9" i="60"/>
  <c r="B10" i="76" s="1"/>
  <c r="D11" i="60"/>
  <c r="B12" i="76" s="1"/>
  <c r="D13" i="60"/>
  <c r="B14" i="76" s="1"/>
  <c r="D15" i="60"/>
  <c r="B16" i="76" s="1"/>
  <c r="D17" i="60"/>
  <c r="B18" i="76" s="1"/>
  <c r="AC8" i="55"/>
  <c r="AI8" s="1"/>
  <c r="S7" i="60"/>
  <c r="U7" s="1"/>
  <c r="AC10" i="55"/>
  <c r="AI10" s="1"/>
  <c r="S9" i="60"/>
  <c r="U9" s="1"/>
  <c r="W9" s="1"/>
  <c r="AC12" i="55"/>
  <c r="AI12" s="1"/>
  <c r="S11" i="60"/>
  <c r="U11" s="1"/>
  <c r="W11" s="1"/>
  <c r="AC14" i="55"/>
  <c r="AI14" s="1"/>
  <c r="S13" i="60"/>
  <c r="U13" s="1"/>
  <c r="W13" s="1"/>
  <c r="AI16" i="55"/>
  <c r="S15" i="60"/>
  <c r="U15" s="1"/>
  <c r="W15" s="1"/>
  <c r="AI18" i="55"/>
  <c r="S17" i="60"/>
  <c r="U17" s="1"/>
  <c r="W17" s="1"/>
  <c r="G42" i="31"/>
  <c r="Q42"/>
  <c r="AK64" i="57"/>
  <c r="AL64" s="1"/>
  <c r="AE53" i="60"/>
  <c r="D17" i="47"/>
  <c r="F12" i="69" l="1"/>
  <c r="S55" i="60"/>
  <c r="D55"/>
  <c r="O82" i="50"/>
  <c r="C23" i="64" s="1"/>
  <c r="O43" i="47" s="1"/>
  <c r="S42" i="60"/>
  <c r="O23" i="47"/>
  <c r="C28" i="64" s="1"/>
  <c r="M18" i="69" s="1"/>
  <c r="O77" i="47"/>
  <c r="O57"/>
  <c r="M37"/>
  <c r="Y32" i="60"/>
  <c r="AC32" s="1"/>
  <c r="Y34"/>
  <c r="AA34" s="1"/>
  <c r="Y30"/>
  <c r="AC30" s="1"/>
  <c r="C33" i="34"/>
  <c r="F33" s="1"/>
  <c r="D18" i="76"/>
  <c r="H18"/>
  <c r="F18"/>
  <c r="D16"/>
  <c r="H16"/>
  <c r="F16"/>
  <c r="D14"/>
  <c r="H14"/>
  <c r="F14"/>
  <c r="D12"/>
  <c r="H12"/>
  <c r="F12"/>
  <c r="D10"/>
  <c r="H10"/>
  <c r="F10"/>
  <c r="D8"/>
  <c r="H8"/>
  <c r="F8"/>
  <c r="D48"/>
  <c r="H48"/>
  <c r="F48"/>
  <c r="D46"/>
  <c r="H46"/>
  <c r="F46"/>
  <c r="D35"/>
  <c r="H35"/>
  <c r="F35"/>
  <c r="D33"/>
  <c r="H33"/>
  <c r="F33"/>
  <c r="D31"/>
  <c r="H31"/>
  <c r="F31"/>
  <c r="D29"/>
  <c r="H29"/>
  <c r="F29"/>
  <c r="C10" i="69"/>
  <c r="D82" i="50"/>
  <c r="B23" i="64" s="1"/>
  <c r="F43" i="47" s="1"/>
  <c r="O17"/>
  <c r="M17" s="1"/>
  <c r="W28" i="60"/>
  <c r="Y28" s="1"/>
  <c r="U42"/>
  <c r="D25"/>
  <c r="D42"/>
  <c r="F17"/>
  <c r="H17" s="1"/>
  <c r="J17" s="1"/>
  <c r="N17" s="1"/>
  <c r="F15"/>
  <c r="H15" s="1"/>
  <c r="J15" s="1"/>
  <c r="L15" s="1"/>
  <c r="F13"/>
  <c r="H13" s="1"/>
  <c r="J13" s="1"/>
  <c r="N13" s="1"/>
  <c r="F11"/>
  <c r="H11" s="1"/>
  <c r="J11" s="1"/>
  <c r="N11" s="1"/>
  <c r="F9"/>
  <c r="H9" s="1"/>
  <c r="J9" s="1"/>
  <c r="N9" s="1"/>
  <c r="F7"/>
  <c r="H7" s="1"/>
  <c r="Y17"/>
  <c r="AA17" s="1"/>
  <c r="Y13"/>
  <c r="AA13" s="1"/>
  <c r="S25"/>
  <c r="Y15"/>
  <c r="AA15" s="1"/>
  <c r="Y11"/>
  <c r="AA11" s="1"/>
  <c r="Y9"/>
  <c r="AA9" s="1"/>
  <c r="Y47"/>
  <c r="AA47" s="1"/>
  <c r="F8" i="69"/>
  <c r="W45" i="60"/>
  <c r="Y45" s="1"/>
  <c r="U55"/>
  <c r="F47"/>
  <c r="H47" s="1"/>
  <c r="J47" s="1"/>
  <c r="L47" s="1"/>
  <c r="F45"/>
  <c r="D22" i="64"/>
  <c r="F17" i="48" s="1"/>
  <c r="E22" i="64"/>
  <c r="O37" i="48" s="1"/>
  <c r="E30" i="64" s="1"/>
  <c r="F10" i="69"/>
  <c r="W7" i="60"/>
  <c r="U25"/>
  <c r="M23" i="47"/>
  <c r="F34" i="60"/>
  <c r="H34" s="1"/>
  <c r="J34" s="1"/>
  <c r="F32"/>
  <c r="H32" s="1"/>
  <c r="J32" s="1"/>
  <c r="F30"/>
  <c r="H30" s="1"/>
  <c r="J30" s="1"/>
  <c r="F28"/>
  <c r="D21" i="64"/>
  <c r="E21"/>
  <c r="BV18" i="76"/>
  <c r="BN18"/>
  <c r="BF18"/>
  <c r="AX18"/>
  <c r="BV16"/>
  <c r="BN16"/>
  <c r="BF16"/>
  <c r="AX16"/>
  <c r="BV14"/>
  <c r="BN14"/>
  <c r="BF14"/>
  <c r="AX14"/>
  <c r="BV12"/>
  <c r="BN12"/>
  <c r="BF12"/>
  <c r="AX12"/>
  <c r="BV10"/>
  <c r="BN10"/>
  <c r="BF10"/>
  <c r="AX10"/>
  <c r="BV48"/>
  <c r="BN48"/>
  <c r="BF48"/>
  <c r="AX48"/>
  <c r="BV46"/>
  <c r="BN46"/>
  <c r="BF46"/>
  <c r="AX46"/>
  <c r="BV35"/>
  <c r="BN35"/>
  <c r="BF35"/>
  <c r="AX35"/>
  <c r="BV33"/>
  <c r="BN33"/>
  <c r="BF33"/>
  <c r="AX33"/>
  <c r="BV31"/>
  <c r="BN31"/>
  <c r="BF31"/>
  <c r="AX31"/>
  <c r="BV29"/>
  <c r="BN29"/>
  <c r="BF29"/>
  <c r="AX29"/>
  <c r="AP18"/>
  <c r="AP16"/>
  <c r="AP14"/>
  <c r="AP12"/>
  <c r="AP10"/>
  <c r="BV8"/>
  <c r="AX8"/>
  <c r="BN8"/>
  <c r="BF8"/>
  <c r="AP8"/>
  <c r="AP48"/>
  <c r="AP46"/>
  <c r="AP35"/>
  <c r="AP33"/>
  <c r="AP31"/>
  <c r="AP29"/>
  <c r="M55" i="68"/>
  <c r="Q95"/>
  <c r="J59" i="62"/>
  <c r="P43"/>
  <c r="N43"/>
  <c r="L43"/>
  <c r="P56"/>
  <c r="N56"/>
  <c r="L56"/>
  <c r="M19" i="69" l="1"/>
  <c r="AA30" i="60"/>
  <c r="N47"/>
  <c r="W42"/>
  <c r="AC34"/>
  <c r="AE34" s="1"/>
  <c r="AA36" i="69"/>
  <c r="X36"/>
  <c r="M57" i="47"/>
  <c r="C33" i="64"/>
  <c r="M77" i="47"/>
  <c r="C36" i="64"/>
  <c r="BD8" i="76"/>
  <c r="BB8"/>
  <c r="AZ8"/>
  <c r="BD29"/>
  <c r="AZ29"/>
  <c r="BB29"/>
  <c r="BD31"/>
  <c r="AZ31"/>
  <c r="BB31"/>
  <c r="BD33"/>
  <c r="AZ33"/>
  <c r="BB33"/>
  <c r="BD35"/>
  <c r="AZ35"/>
  <c r="BB35"/>
  <c r="BD46"/>
  <c r="AZ46"/>
  <c r="BB46"/>
  <c r="BD48"/>
  <c r="AZ48"/>
  <c r="BB48"/>
  <c r="BD10"/>
  <c r="AZ10"/>
  <c r="BB10"/>
  <c r="BD12"/>
  <c r="AZ12"/>
  <c r="BB12"/>
  <c r="BD14"/>
  <c r="AZ14"/>
  <c r="BB14"/>
  <c r="BD16"/>
  <c r="AZ16"/>
  <c r="BB16"/>
  <c r="BD18"/>
  <c r="AZ18"/>
  <c r="BB18"/>
  <c r="L9" i="60"/>
  <c r="L17"/>
  <c r="AC17"/>
  <c r="AE17" s="1"/>
  <c r="L13"/>
  <c r="H25"/>
  <c r="O63" i="47"/>
  <c r="M63" s="1"/>
  <c r="J7" i="60"/>
  <c r="J25" s="1"/>
  <c r="AA32"/>
  <c r="AC13"/>
  <c r="AA14" i="75" s="1"/>
  <c r="AC9" i="60"/>
  <c r="AA10" i="75" s="1"/>
  <c r="AC15" i="60"/>
  <c r="AA16" i="75" s="1"/>
  <c r="S60" i="60"/>
  <c r="S58" s="1"/>
  <c r="N15"/>
  <c r="O16" i="75" s="1"/>
  <c r="L11" i="60"/>
  <c r="F25"/>
  <c r="C27" i="64"/>
  <c r="M9" i="69" s="1"/>
  <c r="O83" i="47"/>
  <c r="C37" i="64" s="1"/>
  <c r="J10" i="69"/>
  <c r="D60" i="60"/>
  <c r="D58" s="1"/>
  <c r="M11" i="69"/>
  <c r="O17" i="48"/>
  <c r="E27" i="64" s="1"/>
  <c r="AA9" i="69" s="1"/>
  <c r="M10"/>
  <c r="AC47" i="60"/>
  <c r="AA50" i="75" s="1"/>
  <c r="F57" i="48"/>
  <c r="D33" i="64" s="1"/>
  <c r="F37" i="48"/>
  <c r="D30" i="64" s="1"/>
  <c r="O77" i="48"/>
  <c r="O57"/>
  <c r="M37"/>
  <c r="F77"/>
  <c r="D57"/>
  <c r="D37"/>
  <c r="F23" i="47"/>
  <c r="F83"/>
  <c r="F63"/>
  <c r="M43"/>
  <c r="C31" i="64"/>
  <c r="M83" i="47"/>
  <c r="O81" i="78"/>
  <c r="E23" i="64" s="1"/>
  <c r="O43" i="48" s="1"/>
  <c r="D81" i="78"/>
  <c r="D23" i="64" s="1"/>
  <c r="F43" i="48" s="1"/>
  <c r="BL8" i="76"/>
  <c r="BJ8"/>
  <c r="BH8"/>
  <c r="BT8"/>
  <c r="BR8"/>
  <c r="BP8"/>
  <c r="BL29"/>
  <c r="BH29"/>
  <c r="BJ29"/>
  <c r="BT29"/>
  <c r="BP29"/>
  <c r="BR29"/>
  <c r="BL31"/>
  <c r="BH31"/>
  <c r="BJ31"/>
  <c r="BT31"/>
  <c r="BP31"/>
  <c r="BR31"/>
  <c r="BL33"/>
  <c r="BH33"/>
  <c r="BJ33"/>
  <c r="BT33"/>
  <c r="BP33"/>
  <c r="BR33"/>
  <c r="BL35"/>
  <c r="BH35"/>
  <c r="BJ35"/>
  <c r="BT35"/>
  <c r="BP35"/>
  <c r="BR35"/>
  <c r="BL46"/>
  <c r="BH46"/>
  <c r="BJ46"/>
  <c r="BT46"/>
  <c r="BP46"/>
  <c r="BR46"/>
  <c r="BL48"/>
  <c r="BH48"/>
  <c r="BJ48"/>
  <c r="BT48"/>
  <c r="BP48"/>
  <c r="BR48"/>
  <c r="BL10"/>
  <c r="BH10"/>
  <c r="BJ10"/>
  <c r="BT10"/>
  <c r="BP10"/>
  <c r="BR10"/>
  <c r="BL12"/>
  <c r="BH12"/>
  <c r="BJ12"/>
  <c r="BT12"/>
  <c r="BP12"/>
  <c r="BR12"/>
  <c r="BL14"/>
  <c r="BH14"/>
  <c r="BJ14"/>
  <c r="BT14"/>
  <c r="BP14"/>
  <c r="BR14"/>
  <c r="BL16"/>
  <c r="BH16"/>
  <c r="BJ16"/>
  <c r="BT16"/>
  <c r="BP16"/>
  <c r="BR16"/>
  <c r="BL18"/>
  <c r="BH18"/>
  <c r="BJ18"/>
  <c r="BT18"/>
  <c r="BP18"/>
  <c r="BR18"/>
  <c r="CB8"/>
  <c r="BZ8"/>
  <c r="BX8"/>
  <c r="CB29"/>
  <c r="BX29"/>
  <c r="BZ29"/>
  <c r="CB31"/>
  <c r="BX31"/>
  <c r="BZ31"/>
  <c r="CB33"/>
  <c r="BX33"/>
  <c r="BZ33"/>
  <c r="CB35"/>
  <c r="BX35"/>
  <c r="BZ35"/>
  <c r="CB46"/>
  <c r="BX46"/>
  <c r="BZ46"/>
  <c r="CB48"/>
  <c r="BX48"/>
  <c r="BZ48"/>
  <c r="CB10"/>
  <c r="BX10"/>
  <c r="BZ10"/>
  <c r="CB12"/>
  <c r="BX12"/>
  <c r="BZ12"/>
  <c r="CB14"/>
  <c r="BX14"/>
  <c r="BZ14"/>
  <c r="CB16"/>
  <c r="BX16"/>
  <c r="BZ16"/>
  <c r="CB18"/>
  <c r="BX18"/>
  <c r="BZ18"/>
  <c r="AV29"/>
  <c r="AT29"/>
  <c r="AR29"/>
  <c r="AV31"/>
  <c r="AT31"/>
  <c r="AR31"/>
  <c r="AV33"/>
  <c r="AT33"/>
  <c r="AR33"/>
  <c r="AV35"/>
  <c r="AT35"/>
  <c r="AR35"/>
  <c r="AV46"/>
  <c r="AT46"/>
  <c r="AR46"/>
  <c r="AV48"/>
  <c r="AT48"/>
  <c r="AR48"/>
  <c r="AV8"/>
  <c r="AT8"/>
  <c r="AR8"/>
  <c r="AV10"/>
  <c r="AT10"/>
  <c r="AR10"/>
  <c r="AV12"/>
  <c r="AT12"/>
  <c r="AR12"/>
  <c r="AV14"/>
  <c r="AT14"/>
  <c r="AR14"/>
  <c r="AV16"/>
  <c r="AT16"/>
  <c r="AR16"/>
  <c r="AV18"/>
  <c r="AT18"/>
  <c r="AR18"/>
  <c r="W55" i="60"/>
  <c r="AC11"/>
  <c r="AA12" i="75" s="1"/>
  <c r="H45" i="60"/>
  <c r="F55"/>
  <c r="L30"/>
  <c r="N30"/>
  <c r="L34"/>
  <c r="N34"/>
  <c r="AC28"/>
  <c r="Y42"/>
  <c r="X9" i="67" s="1"/>
  <c r="AA28" i="60"/>
  <c r="N7"/>
  <c r="AA18" i="75"/>
  <c r="M17" i="48"/>
  <c r="D27" i="64"/>
  <c r="T9" i="69" s="1"/>
  <c r="D17" i="48"/>
  <c r="Y55" i="60"/>
  <c r="X10" i="67" s="1"/>
  <c r="AA45" i="60"/>
  <c r="AA55" s="1"/>
  <c r="Y10" i="67" s="1"/>
  <c r="AC45" i="60"/>
  <c r="Y7"/>
  <c r="W25"/>
  <c r="H28"/>
  <c r="F42"/>
  <c r="L32"/>
  <c r="N32"/>
  <c r="J19" i="69"/>
  <c r="M20"/>
  <c r="M17"/>
  <c r="AA32" i="75"/>
  <c r="AE30" i="60"/>
  <c r="AA34" i="75"/>
  <c r="AE32" i="60"/>
  <c r="AA36" i="75"/>
  <c r="O10"/>
  <c r="P9" i="60"/>
  <c r="O12" i="75"/>
  <c r="P11" i="60"/>
  <c r="O14" i="75"/>
  <c r="P13" i="60"/>
  <c r="P15"/>
  <c r="O18" i="75"/>
  <c r="P17" i="60"/>
  <c r="AE9"/>
  <c r="AE13"/>
  <c r="O50" i="75"/>
  <c r="P47" i="60"/>
  <c r="J55" i="68"/>
  <c r="BF43" i="76"/>
  <c r="BN43"/>
  <c r="AX43"/>
  <c r="BV43"/>
  <c r="BN56"/>
  <c r="AX56"/>
  <c r="BF56"/>
  <c r="BV56"/>
  <c r="BF26"/>
  <c r="BF59" s="1"/>
  <c r="BN26"/>
  <c r="AX26"/>
  <c r="BV26"/>
  <c r="BV59" s="1"/>
  <c r="L59" i="62"/>
  <c r="N59"/>
  <c r="P59"/>
  <c r="C15" i="34"/>
  <c r="F29" i="68"/>
  <c r="F38"/>
  <c r="F20"/>
  <c r="C38"/>
  <c r="C29"/>
  <c r="F47"/>
  <c r="C20"/>
  <c r="C47"/>
  <c r="F11"/>
  <c r="C11"/>
  <c r="F11" i="69"/>
  <c r="C11"/>
  <c r="N53" i="13"/>
  <c r="N51"/>
  <c r="N49"/>
  <c r="N19"/>
  <c r="N21"/>
  <c r="N23"/>
  <c r="N36"/>
  <c r="N38"/>
  <c r="N40"/>
  <c r="B89" i="54"/>
  <c r="D13" i="30" s="1"/>
  <c r="D17" s="1"/>
  <c r="D57" s="1"/>
  <c r="AE11" i="60" l="1"/>
  <c r="L7"/>
  <c r="L25" s="1"/>
  <c r="R8" i="67" s="1"/>
  <c r="J11" i="69"/>
  <c r="M12"/>
  <c r="M60"/>
  <c r="AE15" i="60"/>
  <c r="AE47"/>
  <c r="W60"/>
  <c r="W58" s="1"/>
  <c r="AA42"/>
  <c r="Y9" i="67" s="1"/>
  <c r="AA9" s="1"/>
  <c r="C34" i="64"/>
  <c r="M61" i="69" s="1"/>
  <c r="M57" i="48"/>
  <c r="E33" i="64"/>
  <c r="M77" i="48"/>
  <c r="E36" i="64"/>
  <c r="M38" i="69"/>
  <c r="J38"/>
  <c r="M37"/>
  <c r="J37"/>
  <c r="J60" s="1"/>
  <c r="D77" i="48"/>
  <c r="D36" i="64"/>
  <c r="T12" i="69" s="1"/>
  <c r="T36"/>
  <c r="Q36"/>
  <c r="T37"/>
  <c r="Q37"/>
  <c r="M26" i="47"/>
  <c r="O26"/>
  <c r="M27" i="69" s="1"/>
  <c r="M8"/>
  <c r="F23" i="48"/>
  <c r="D23" s="1"/>
  <c r="F83"/>
  <c r="F63"/>
  <c r="O23"/>
  <c r="M23" s="1"/>
  <c r="O83"/>
  <c r="O63"/>
  <c r="J44" i="69"/>
  <c r="M44"/>
  <c r="M50" s="1"/>
  <c r="O86" i="47"/>
  <c r="M86" s="1"/>
  <c r="J42" i="69"/>
  <c r="J48" s="1"/>
  <c r="M42"/>
  <c r="M48" s="1"/>
  <c r="O46" i="47"/>
  <c r="M46" s="1"/>
  <c r="D43"/>
  <c r="B31" i="64"/>
  <c r="D63" i="47"/>
  <c r="B34" i="64"/>
  <c r="D83" i="47"/>
  <c r="B37" i="64"/>
  <c r="D23" i="47"/>
  <c r="B28" i="64"/>
  <c r="F18" i="69" s="1"/>
  <c r="AJ16" i="75"/>
  <c r="AG16"/>
  <c r="AD16"/>
  <c r="AJ12"/>
  <c r="AG12"/>
  <c r="AD12"/>
  <c r="AJ50"/>
  <c r="AG50"/>
  <c r="AD50"/>
  <c r="AJ14"/>
  <c r="AG14"/>
  <c r="AD14"/>
  <c r="AJ10"/>
  <c r="AG10"/>
  <c r="AD10"/>
  <c r="AJ36"/>
  <c r="AG36"/>
  <c r="AD36"/>
  <c r="AJ34"/>
  <c r="AG34"/>
  <c r="AD34"/>
  <c r="AJ32"/>
  <c r="AG32"/>
  <c r="AD32"/>
  <c r="AJ18"/>
  <c r="AG18"/>
  <c r="AD18"/>
  <c r="X50"/>
  <c r="U50"/>
  <c r="R50"/>
  <c r="X18"/>
  <c r="U18"/>
  <c r="R18"/>
  <c r="X16"/>
  <c r="U16"/>
  <c r="R16"/>
  <c r="X14"/>
  <c r="U14"/>
  <c r="R14"/>
  <c r="X12"/>
  <c r="U12"/>
  <c r="R12"/>
  <c r="X10"/>
  <c r="U10"/>
  <c r="R10"/>
  <c r="AX59" i="76"/>
  <c r="H55" i="60"/>
  <c r="J45"/>
  <c r="J20" i="69"/>
  <c r="O34" i="75"/>
  <c r="P32" i="60"/>
  <c r="AA48" i="75"/>
  <c r="AE45" i="60"/>
  <c r="AE55" s="1"/>
  <c r="AC55"/>
  <c r="Q8" i="67"/>
  <c r="AA30" i="75"/>
  <c r="AC42" i="60"/>
  <c r="AE28"/>
  <c r="AE42" s="1"/>
  <c r="BN59" i="76"/>
  <c r="AA10" i="67"/>
  <c r="H42" i="60"/>
  <c r="J28"/>
  <c r="Y25"/>
  <c r="AA7"/>
  <c r="AA25" s="1"/>
  <c r="AC7"/>
  <c r="Q10" i="69"/>
  <c r="T10"/>
  <c r="T8"/>
  <c r="T11"/>
  <c r="X10"/>
  <c r="AA8"/>
  <c r="AA11"/>
  <c r="AA10"/>
  <c r="O8" i="75"/>
  <c r="N25" i="60"/>
  <c r="P7"/>
  <c r="P25" s="1"/>
  <c r="O36" i="75"/>
  <c r="P34" i="60"/>
  <c r="O32" i="75"/>
  <c r="P30" i="60"/>
  <c r="F55" i="68"/>
  <c r="BX26" i="76"/>
  <c r="BZ26"/>
  <c r="CB26"/>
  <c r="AZ26"/>
  <c r="BB26"/>
  <c r="BD26"/>
  <c r="BP26"/>
  <c r="BR26"/>
  <c r="BT26"/>
  <c r="BH26"/>
  <c r="BJ26"/>
  <c r="BL26"/>
  <c r="BZ56"/>
  <c r="BX56"/>
  <c r="CB56"/>
  <c r="BJ56"/>
  <c r="BH56"/>
  <c r="BL56"/>
  <c r="BB56"/>
  <c r="AZ56"/>
  <c r="BD56"/>
  <c r="BR56"/>
  <c r="BP56"/>
  <c r="BT56"/>
  <c r="BZ43"/>
  <c r="BX43"/>
  <c r="CB43"/>
  <c r="BB43"/>
  <c r="AZ43"/>
  <c r="BD43"/>
  <c r="BR43"/>
  <c r="BP43"/>
  <c r="BT43"/>
  <c r="BJ43"/>
  <c r="BH43"/>
  <c r="BL43"/>
  <c r="B7" i="54"/>
  <c r="G20" i="30" s="1"/>
  <c r="P40" i="13"/>
  <c r="O42" i="61"/>
  <c r="P38" i="13"/>
  <c r="O40" i="61"/>
  <c r="P36" i="13"/>
  <c r="O38" i="61"/>
  <c r="P23" i="13"/>
  <c r="O24" i="61"/>
  <c r="P21" i="13"/>
  <c r="O22" i="61"/>
  <c r="P19" i="13"/>
  <c r="O20" i="61"/>
  <c r="P49" i="13"/>
  <c r="O52" i="61"/>
  <c r="P51" i="13"/>
  <c r="O54" i="61"/>
  <c r="P53" i="13"/>
  <c r="O56" i="61"/>
  <c r="J29" i="69" l="1"/>
  <c r="J28"/>
  <c r="F56"/>
  <c r="F137" i="29"/>
  <c r="F85" i="68"/>
  <c r="J43" i="69"/>
  <c r="J49" s="1"/>
  <c r="O66" i="47"/>
  <c r="M66" s="1"/>
  <c r="M43" i="69"/>
  <c r="M49" s="1"/>
  <c r="M21"/>
  <c r="AA60"/>
  <c r="T60"/>
  <c r="J61"/>
  <c r="J63" s="1"/>
  <c r="F19"/>
  <c r="AA12"/>
  <c r="D28" i="64"/>
  <c r="J50" i="69"/>
  <c r="D62" i="30"/>
  <c r="C8" i="34" s="1"/>
  <c r="AA38" i="69"/>
  <c r="X38"/>
  <c r="AA37"/>
  <c r="X37"/>
  <c r="X60" s="1"/>
  <c r="T38"/>
  <c r="Q38"/>
  <c r="Q60" s="1"/>
  <c r="H60" i="60"/>
  <c r="H58" s="1"/>
  <c r="E28" i="64"/>
  <c r="M26" i="69"/>
  <c r="M28"/>
  <c r="M29"/>
  <c r="M63"/>
  <c r="F26" i="47"/>
  <c r="F27" i="69" s="1"/>
  <c r="F21"/>
  <c r="F17"/>
  <c r="C19"/>
  <c r="F20"/>
  <c r="C44"/>
  <c r="F44"/>
  <c r="F50" s="1"/>
  <c r="F86" i="47"/>
  <c r="D86" s="1"/>
  <c r="C43" i="69"/>
  <c r="F43"/>
  <c r="F49" s="1"/>
  <c r="F66" i="47"/>
  <c r="D66" s="1"/>
  <c r="C42" i="69"/>
  <c r="C48" s="1"/>
  <c r="F42"/>
  <c r="F48" s="1"/>
  <c r="F46" i="47"/>
  <c r="D46" s="1"/>
  <c r="M43" i="48"/>
  <c r="E31" i="64"/>
  <c r="M63" i="48"/>
  <c r="E34" i="64"/>
  <c r="M83" i="48"/>
  <c r="E37" i="64"/>
  <c r="D43" i="48"/>
  <c r="D31" i="64"/>
  <c r="D63" i="48"/>
  <c r="D34" i="64"/>
  <c r="D83" i="48"/>
  <c r="D37" i="64"/>
  <c r="AA44" i="75"/>
  <c r="AJ30"/>
  <c r="AJ44" s="1"/>
  <c r="AG30"/>
  <c r="AG44" s="1"/>
  <c r="AD30"/>
  <c r="AD44" s="1"/>
  <c r="AA58"/>
  <c r="AJ48"/>
  <c r="AJ58" s="1"/>
  <c r="AG48"/>
  <c r="AG58" s="1"/>
  <c r="AD48"/>
  <c r="AD58" s="1"/>
  <c r="X32"/>
  <c r="U32"/>
  <c r="R32"/>
  <c r="X36"/>
  <c r="U36"/>
  <c r="R36"/>
  <c r="X8"/>
  <c r="U8"/>
  <c r="R8"/>
  <c r="X34"/>
  <c r="U34"/>
  <c r="R34"/>
  <c r="J55" i="60"/>
  <c r="Q10" i="67" s="1"/>
  <c r="N45" i="60"/>
  <c r="L45"/>
  <c r="L55" s="1"/>
  <c r="R10" i="67" s="1"/>
  <c r="AA8" i="75"/>
  <c r="AC25" i="60"/>
  <c r="AC62" s="1"/>
  <c r="AE7"/>
  <c r="AE25" s="1"/>
  <c r="AE62" s="1"/>
  <c r="Y62"/>
  <c r="X8" i="67"/>
  <c r="T8"/>
  <c r="X11" i="69"/>
  <c r="Q11"/>
  <c r="Y8" i="67"/>
  <c r="Y13" s="1"/>
  <c r="AA62" i="60"/>
  <c r="J42"/>
  <c r="L28"/>
  <c r="L42" s="1"/>
  <c r="N28"/>
  <c r="X56" i="61"/>
  <c r="U56"/>
  <c r="R56"/>
  <c r="X54"/>
  <c r="U54"/>
  <c r="R54"/>
  <c r="X52"/>
  <c r="U52"/>
  <c r="R52"/>
  <c r="X20"/>
  <c r="U20"/>
  <c r="R20"/>
  <c r="X22"/>
  <c r="U22"/>
  <c r="R22"/>
  <c r="X24"/>
  <c r="U24"/>
  <c r="R24"/>
  <c r="X38"/>
  <c r="U38"/>
  <c r="R38"/>
  <c r="X40"/>
  <c r="U40"/>
  <c r="R40"/>
  <c r="X42"/>
  <c r="U42"/>
  <c r="R42"/>
  <c r="C55" i="68"/>
  <c r="BL59" i="76"/>
  <c r="BJ59"/>
  <c r="BH59"/>
  <c r="BT59"/>
  <c r="BR59"/>
  <c r="BP59"/>
  <c r="BD59"/>
  <c r="BB59"/>
  <c r="AZ59"/>
  <c r="CB59"/>
  <c r="BZ59"/>
  <c r="BX59"/>
  <c r="AA18" i="69" l="1"/>
  <c r="AA61"/>
  <c r="AA63" s="1"/>
  <c r="T19"/>
  <c r="T18"/>
  <c r="D80" i="30"/>
  <c r="AA19" i="69"/>
  <c r="Q19"/>
  <c r="Q20" s="1"/>
  <c r="T61"/>
  <c r="T63" s="1"/>
  <c r="T17"/>
  <c r="T20"/>
  <c r="F26" i="48"/>
  <c r="T27" i="69" s="1"/>
  <c r="AA20"/>
  <c r="O26" i="48"/>
  <c r="AA27" i="69" s="1"/>
  <c r="X19"/>
  <c r="AA17"/>
  <c r="T21"/>
  <c r="AA21"/>
  <c r="T44"/>
  <c r="F86" i="48"/>
  <c r="T43" i="69"/>
  <c r="F66" i="48"/>
  <c r="T42" i="69"/>
  <c r="F46" i="48"/>
  <c r="X44" i="69"/>
  <c r="O86" i="48"/>
  <c r="AA44" i="69"/>
  <c r="AA50" s="1"/>
  <c r="X43"/>
  <c r="O66" i="48"/>
  <c r="X42" i="69"/>
  <c r="O46" i="48"/>
  <c r="AA42" i="69"/>
  <c r="AA48" s="1"/>
  <c r="C49"/>
  <c r="AA43"/>
  <c r="AA49" s="1"/>
  <c r="C50"/>
  <c r="C20"/>
  <c r="D26" i="47"/>
  <c r="F29" i="69"/>
  <c r="F26"/>
  <c r="F28"/>
  <c r="L12" i="57"/>
  <c r="J6" i="59"/>
  <c r="AA26" i="75"/>
  <c r="AJ8"/>
  <c r="AJ26" s="1"/>
  <c r="AJ63" s="1"/>
  <c r="AG8"/>
  <c r="AG26" s="1"/>
  <c r="AG63" s="1"/>
  <c r="AD8"/>
  <c r="AD26" s="1"/>
  <c r="AD63" s="1"/>
  <c r="T10" i="67"/>
  <c r="P45" i="60"/>
  <c r="P55" s="1"/>
  <c r="O48" i="75"/>
  <c r="N55" i="60"/>
  <c r="O30" i="75"/>
  <c r="P28" i="60"/>
  <c r="P42" s="1"/>
  <c r="N42"/>
  <c r="Q9" i="67"/>
  <c r="J62" i="60"/>
  <c r="Y15" i="67"/>
  <c r="Y14"/>
  <c r="AA8"/>
  <c r="AA13" s="1"/>
  <c r="X13"/>
  <c r="R9"/>
  <c r="R13" s="1"/>
  <c r="L62" i="60"/>
  <c r="J6" i="57"/>
  <c r="L60"/>
  <c r="R54" i="62" s="1"/>
  <c r="L58" i="57"/>
  <c r="R52" i="62" s="1"/>
  <c r="L56" i="57"/>
  <c r="R50" i="62" s="1"/>
  <c r="L46" i="57"/>
  <c r="R41" i="62" s="1"/>
  <c r="L44" i="57"/>
  <c r="R39" i="62" s="1"/>
  <c r="L42" i="57"/>
  <c r="R37" i="62" s="1"/>
  <c r="L28" i="57"/>
  <c r="R24" i="62" s="1"/>
  <c r="L26" i="57"/>
  <c r="R22" i="62" s="1"/>
  <c r="L24" i="57"/>
  <c r="R20" i="62" s="1"/>
  <c r="L14" i="57"/>
  <c r="R10" i="62" s="1"/>
  <c r="L16" i="57"/>
  <c r="R12" i="62" s="1"/>
  <c r="L18" i="57"/>
  <c r="R14" i="62" s="1"/>
  <c r="L20" i="57"/>
  <c r="R16" i="62" s="1"/>
  <c r="L22" i="57"/>
  <c r="R18" i="62" s="1"/>
  <c r="L36" i="57"/>
  <c r="R31" i="62" s="1"/>
  <c r="L38" i="57"/>
  <c r="R33" i="62" s="1"/>
  <c r="L40" i="57"/>
  <c r="R35" i="62" s="1"/>
  <c r="L54" i="57"/>
  <c r="R48" i="62" s="1"/>
  <c r="L34" i="57"/>
  <c r="R29" i="62" s="1"/>
  <c r="L52" i="57"/>
  <c r="R46" i="62" s="1"/>
  <c r="C29" i="69" l="1"/>
  <c r="C28"/>
  <c r="D26" i="48"/>
  <c r="D94" i="30"/>
  <c r="G84"/>
  <c r="X61" i="69"/>
  <c r="T26"/>
  <c r="T28"/>
  <c r="T29"/>
  <c r="P62" i="60"/>
  <c r="X21" i="67"/>
  <c r="X20" i="69"/>
  <c r="M26" i="48"/>
  <c r="AA26" i="69"/>
  <c r="AA28"/>
  <c r="AA29"/>
  <c r="N62" i="60"/>
  <c r="M46" i="48"/>
  <c r="X48" i="69"/>
  <c r="X63"/>
  <c r="M66" i="48"/>
  <c r="X49" i="69"/>
  <c r="M86" i="48"/>
  <c r="X50" i="69"/>
  <c r="Q42"/>
  <c r="T48"/>
  <c r="Q43"/>
  <c r="T49"/>
  <c r="Q44"/>
  <c r="T50"/>
  <c r="AD61" i="75"/>
  <c r="X22" i="67"/>
  <c r="AG61" i="75"/>
  <c r="AA30" i="67" s="1"/>
  <c r="AA29" s="1"/>
  <c r="X30"/>
  <c r="X29" s="1"/>
  <c r="AJ61" i="75"/>
  <c r="AA38" i="67" s="1"/>
  <c r="AA37" s="1"/>
  <c r="X38"/>
  <c r="X37" s="1"/>
  <c r="X30" i="75"/>
  <c r="U30"/>
  <c r="R30"/>
  <c r="X48"/>
  <c r="U48"/>
  <c r="R48"/>
  <c r="X15" i="67"/>
  <c r="X14"/>
  <c r="R15"/>
  <c r="R14"/>
  <c r="AA15"/>
  <c r="AA14"/>
  <c r="T9"/>
  <c r="T13" s="1"/>
  <c r="Q13"/>
  <c r="X46" i="62"/>
  <c r="V46"/>
  <c r="T46"/>
  <c r="X29"/>
  <c r="V29"/>
  <c r="T29"/>
  <c r="X48"/>
  <c r="V48"/>
  <c r="T48"/>
  <c r="X35"/>
  <c r="V35"/>
  <c r="T35"/>
  <c r="X33"/>
  <c r="V33"/>
  <c r="T33"/>
  <c r="X31"/>
  <c r="V31"/>
  <c r="T31"/>
  <c r="X18"/>
  <c r="V18"/>
  <c r="T18"/>
  <c r="X16"/>
  <c r="V16"/>
  <c r="T16"/>
  <c r="X14"/>
  <c r="V14"/>
  <c r="T14"/>
  <c r="X12"/>
  <c r="V12"/>
  <c r="T12"/>
  <c r="X10"/>
  <c r="V10"/>
  <c r="T10"/>
  <c r="X20"/>
  <c r="V20"/>
  <c r="T20"/>
  <c r="X22"/>
  <c r="V22"/>
  <c r="T22"/>
  <c r="X24"/>
  <c r="V24"/>
  <c r="T24"/>
  <c r="X37"/>
  <c r="V37"/>
  <c r="T37"/>
  <c r="X39"/>
  <c r="V39"/>
  <c r="T39"/>
  <c r="X41"/>
  <c r="V41"/>
  <c r="T41"/>
  <c r="X50"/>
  <c r="V50"/>
  <c r="T50"/>
  <c r="X52"/>
  <c r="V52"/>
  <c r="T52"/>
  <c r="X54"/>
  <c r="V54"/>
  <c r="T54"/>
  <c r="R56" i="76"/>
  <c r="R43"/>
  <c r="L30" i="57"/>
  <c r="R8" i="62"/>
  <c r="L62" i="57"/>
  <c r="L48"/>
  <c r="X29" i="69" l="1"/>
  <c r="X28"/>
  <c r="Q29"/>
  <c r="Q28"/>
  <c r="X40" i="67"/>
  <c r="AA36"/>
  <c r="AA40"/>
  <c r="X32"/>
  <c r="AA28"/>
  <c r="AA32"/>
  <c r="X24"/>
  <c r="F86" i="68"/>
  <c r="F138" i="29"/>
  <c r="F57" i="69"/>
  <c r="D109" i="30"/>
  <c r="C9" i="34" s="1"/>
  <c r="G98" i="30"/>
  <c r="R14" i="57"/>
  <c r="Z10" i="62" s="1"/>
  <c r="R18" i="57"/>
  <c r="R22"/>
  <c r="Z18" i="62" s="1"/>
  <c r="R26" i="57"/>
  <c r="R36"/>
  <c r="R40"/>
  <c r="R44"/>
  <c r="Z39" i="62" s="1"/>
  <c r="R54" i="57"/>
  <c r="R58"/>
  <c r="Z52" i="62" s="1"/>
  <c r="R52" i="57"/>
  <c r="R12"/>
  <c r="P6" i="59"/>
  <c r="P6" i="57"/>
  <c r="R16"/>
  <c r="R20"/>
  <c r="Z16" i="62" s="1"/>
  <c r="R24" i="57"/>
  <c r="R28"/>
  <c r="R38"/>
  <c r="R42"/>
  <c r="Z37" i="62" s="1"/>
  <c r="R46" i="57"/>
  <c r="R56"/>
  <c r="Z50" i="62" s="1"/>
  <c r="R60" i="57"/>
  <c r="R34"/>
  <c r="Q61" i="69"/>
  <c r="Q63" s="1"/>
  <c r="AA22" i="67"/>
  <c r="AA21"/>
  <c r="D86" i="48"/>
  <c r="Q50" i="69"/>
  <c r="D66" i="48"/>
  <c r="Q49" i="69"/>
  <c r="D46" i="48"/>
  <c r="Q48" i="69"/>
  <c r="Q15" i="67"/>
  <c r="Q14"/>
  <c r="T15"/>
  <c r="T14"/>
  <c r="X8" i="62"/>
  <c r="V8"/>
  <c r="T8"/>
  <c r="AP43" i="76"/>
  <c r="AV43"/>
  <c r="AT43"/>
  <c r="AR43"/>
  <c r="AP56"/>
  <c r="AV56"/>
  <c r="AT56"/>
  <c r="AR56"/>
  <c r="R26"/>
  <c r="R59" s="1"/>
  <c r="X26"/>
  <c r="V26"/>
  <c r="T26"/>
  <c r="AP26"/>
  <c r="AP59" s="1"/>
  <c r="AV26"/>
  <c r="AV59" s="1"/>
  <c r="AT26"/>
  <c r="AT59" s="1"/>
  <c r="AR26"/>
  <c r="AR59" s="1"/>
  <c r="AJ56"/>
  <c r="AL56"/>
  <c r="AN56"/>
  <c r="AH56"/>
  <c r="AJ43"/>
  <c r="AL43"/>
  <c r="AN43"/>
  <c r="AH43"/>
  <c r="AJ26"/>
  <c r="AJ59" s="1"/>
  <c r="AL26"/>
  <c r="AL59" s="1"/>
  <c r="AN26"/>
  <c r="AN59" s="1"/>
  <c r="AH26"/>
  <c r="AB56"/>
  <c r="AD56"/>
  <c r="AF56"/>
  <c r="Z56"/>
  <c r="AB43"/>
  <c r="AD43"/>
  <c r="AF43"/>
  <c r="Z43"/>
  <c r="AB26"/>
  <c r="AB59" s="1"/>
  <c r="AD26"/>
  <c r="AD59" s="1"/>
  <c r="AF26"/>
  <c r="AF59" s="1"/>
  <c r="Z26"/>
  <c r="Z59" s="1"/>
  <c r="T43"/>
  <c r="V43"/>
  <c r="X43"/>
  <c r="T56"/>
  <c r="V56"/>
  <c r="X56"/>
  <c r="R43" i="62"/>
  <c r="X43"/>
  <c r="V43"/>
  <c r="T43"/>
  <c r="R56"/>
  <c r="T56"/>
  <c r="V56"/>
  <c r="X56"/>
  <c r="R26"/>
  <c r="T26"/>
  <c r="V26"/>
  <c r="X26"/>
  <c r="AA24" i="67" l="1"/>
  <c r="C60" i="69"/>
  <c r="F58"/>
  <c r="F139" i="29"/>
  <c r="F87" i="68"/>
  <c r="C61" i="69"/>
  <c r="C63" s="1"/>
  <c r="F60"/>
  <c r="Z54" i="62"/>
  <c r="Z41"/>
  <c r="Z33"/>
  <c r="Z20"/>
  <c r="Z12"/>
  <c r="Z46"/>
  <c r="R62" i="57"/>
  <c r="Z48" i="62"/>
  <c r="Z35"/>
  <c r="Z22"/>
  <c r="Z14"/>
  <c r="F148" i="29"/>
  <c r="F61" i="69"/>
  <c r="Z29" i="62"/>
  <c r="R48" i="57"/>
  <c r="AD50" i="62"/>
  <c r="AF50"/>
  <c r="AB50"/>
  <c r="AD37"/>
  <c r="AF37"/>
  <c r="AB37"/>
  <c r="Z24"/>
  <c r="AD16"/>
  <c r="AF16"/>
  <c r="AB16"/>
  <c r="Z8"/>
  <c r="R30" i="57"/>
  <c r="AF52" i="62"/>
  <c r="AB52"/>
  <c r="AD52"/>
  <c r="AF39"/>
  <c r="AB39"/>
  <c r="AD39"/>
  <c r="Z31"/>
  <c r="AF18"/>
  <c r="AB18"/>
  <c r="AD18"/>
  <c r="AF10"/>
  <c r="AB10"/>
  <c r="AD10"/>
  <c r="V6" i="59"/>
  <c r="X60" i="57"/>
  <c r="AH54" i="62" s="1"/>
  <c r="X16" i="57"/>
  <c r="AH12" i="62" s="1"/>
  <c r="X24" i="57"/>
  <c r="AH20" i="62" s="1"/>
  <c r="X36" i="57"/>
  <c r="AH31" i="62" s="1"/>
  <c r="X40" i="57"/>
  <c r="AH35" i="62" s="1"/>
  <c r="X52" i="57"/>
  <c r="V6"/>
  <c r="X18"/>
  <c r="AH14" i="62" s="1"/>
  <c r="X26" i="57"/>
  <c r="AH22" i="62" s="1"/>
  <c r="X38" i="57"/>
  <c r="AH33" i="62" s="1"/>
  <c r="X46" i="57"/>
  <c r="AH41" i="62" s="1"/>
  <c r="X54" i="57"/>
  <c r="AH48" i="62" s="1"/>
  <c r="F142" i="29"/>
  <c r="F146"/>
  <c r="X12" i="57"/>
  <c r="X20"/>
  <c r="X28"/>
  <c r="AH24" i="62" s="1"/>
  <c r="X44" i="57"/>
  <c r="AH39" i="62" s="1"/>
  <c r="X14" i="57"/>
  <c r="X22"/>
  <c r="X34"/>
  <c r="X42"/>
  <c r="X56"/>
  <c r="X58"/>
  <c r="AH52" i="62" s="1"/>
  <c r="F144" i="29"/>
  <c r="F150"/>
  <c r="AH59" i="76"/>
  <c r="AA20" i="67"/>
  <c r="X59" i="62"/>
  <c r="V59"/>
  <c r="R59"/>
  <c r="T59"/>
  <c r="T59" i="76"/>
  <c r="V59"/>
  <c r="X59"/>
  <c r="F63" i="69" l="1"/>
  <c r="D144" i="29"/>
  <c r="F90" i="68"/>
  <c r="C90" s="1"/>
  <c r="AH50" i="62"/>
  <c r="AB56" i="57"/>
  <c r="AH29" i="62"/>
  <c r="X48" i="57"/>
  <c r="AB48" s="1"/>
  <c r="AH10" i="62"/>
  <c r="AB14" i="57"/>
  <c r="AN24" i="62"/>
  <c r="AL24"/>
  <c r="AJ24"/>
  <c r="AB12" i="57"/>
  <c r="AH8" i="62"/>
  <c r="X30" i="57"/>
  <c r="AB30" s="1"/>
  <c r="F89" i="68"/>
  <c r="D142" i="29"/>
  <c r="AN41" i="62"/>
  <c r="AJ41"/>
  <c r="AL41"/>
  <c r="AN22"/>
  <c r="AJ22"/>
  <c r="AL22"/>
  <c r="AL35"/>
  <c r="AN35"/>
  <c r="AJ35"/>
  <c r="AL20"/>
  <c r="AN20"/>
  <c r="AJ20"/>
  <c r="AN54"/>
  <c r="AJ54"/>
  <c r="AL54"/>
  <c r="AD24"/>
  <c r="AF24"/>
  <c r="AB24"/>
  <c r="AF46"/>
  <c r="AB46"/>
  <c r="AD46"/>
  <c r="Z56"/>
  <c r="AD12"/>
  <c r="AF12"/>
  <c r="AB12"/>
  <c r="AD20"/>
  <c r="AF20"/>
  <c r="AB20"/>
  <c r="AD33"/>
  <c r="AF33"/>
  <c r="AB33"/>
  <c r="AD41"/>
  <c r="AF41"/>
  <c r="AB41"/>
  <c r="AD54"/>
  <c r="AF54"/>
  <c r="AB54"/>
  <c r="AB36" i="57"/>
  <c r="AB34"/>
  <c r="AB44"/>
  <c r="AB18"/>
  <c r="AB26"/>
  <c r="AB40"/>
  <c r="AB54"/>
  <c r="D150" i="29"/>
  <c r="F93" i="68"/>
  <c r="C93" s="1"/>
  <c r="AL52" i="62"/>
  <c r="AN52"/>
  <c r="AJ52"/>
  <c r="AH37"/>
  <c r="AB42" i="57"/>
  <c r="AH18" i="62"/>
  <c r="AB22" i="57"/>
  <c r="AN39" i="62"/>
  <c r="AL39"/>
  <c r="AJ39"/>
  <c r="AH16"/>
  <c r="AB20" i="57"/>
  <c r="F91" i="68"/>
  <c r="C91" s="1"/>
  <c r="D146" i="29"/>
  <c r="AN48" i="62"/>
  <c r="AJ48"/>
  <c r="AL48"/>
  <c r="AN33"/>
  <c r="AJ33"/>
  <c r="AL33"/>
  <c r="AL14"/>
  <c r="AN14"/>
  <c r="AJ14"/>
  <c r="AH46"/>
  <c r="X62" i="57"/>
  <c r="AB62" s="1"/>
  <c r="AL31" i="62"/>
  <c r="AN31"/>
  <c r="AJ31"/>
  <c r="AN12"/>
  <c r="AJ12"/>
  <c r="AL12"/>
  <c r="AF31"/>
  <c r="AB31"/>
  <c r="AD31"/>
  <c r="AF8"/>
  <c r="AB8"/>
  <c r="AD8"/>
  <c r="Z26"/>
  <c r="AD29"/>
  <c r="AF29"/>
  <c r="AB29"/>
  <c r="Z43"/>
  <c r="F92" i="68"/>
  <c r="C92" s="1"/>
  <c r="D148" i="29"/>
  <c r="AF14" i="62"/>
  <c r="AB14"/>
  <c r="AD14"/>
  <c r="AF22"/>
  <c r="AB22"/>
  <c r="AD22"/>
  <c r="AF35"/>
  <c r="AB35"/>
  <c r="AD35"/>
  <c r="AF48"/>
  <c r="AB48"/>
  <c r="AD48"/>
  <c r="AB28" i="57"/>
  <c r="AB58"/>
  <c r="AB52"/>
  <c r="AB16"/>
  <c r="AB24"/>
  <c r="AB38"/>
  <c r="AB46"/>
  <c r="AB60"/>
  <c r="D43" i="76"/>
  <c r="F43"/>
  <c r="H43"/>
  <c r="B43"/>
  <c r="D56"/>
  <c r="F56"/>
  <c r="H56"/>
  <c r="B56"/>
  <c r="D26"/>
  <c r="F26"/>
  <c r="F59" s="1"/>
  <c r="H26"/>
  <c r="B26"/>
  <c r="B59" s="1"/>
  <c r="AB43" i="62" l="1"/>
  <c r="D53" i="13"/>
  <c r="B54" i="62" s="1"/>
  <c r="AP54"/>
  <c r="D32" i="13"/>
  <c r="AP33" i="62"/>
  <c r="AP12"/>
  <c r="D11" i="13"/>
  <c r="AP52" i="62"/>
  <c r="D51" i="13"/>
  <c r="B52" i="62" s="1"/>
  <c r="AL46"/>
  <c r="AN46"/>
  <c r="AJ46"/>
  <c r="AH56"/>
  <c r="AP16"/>
  <c r="D15" i="13"/>
  <c r="AL18" i="62"/>
  <c r="AJ18"/>
  <c r="AN18"/>
  <c r="AL37"/>
  <c r="AJ37"/>
  <c r="AN37"/>
  <c r="D34" i="13"/>
  <c r="AP35" i="62"/>
  <c r="D13" i="13"/>
  <c r="AP14" i="62"/>
  <c r="D28" i="13"/>
  <c r="AP29" i="62"/>
  <c r="C89" i="68"/>
  <c r="C95" s="1"/>
  <c r="F95"/>
  <c r="AN8" i="62"/>
  <c r="AJ8"/>
  <c r="AH26"/>
  <c r="AL8"/>
  <c r="AL10"/>
  <c r="AN10"/>
  <c r="AJ10"/>
  <c r="AL29"/>
  <c r="AL43" s="1"/>
  <c r="AN29"/>
  <c r="AJ29"/>
  <c r="AH43"/>
  <c r="AN50"/>
  <c r="AJ50"/>
  <c r="AL50"/>
  <c r="AF43"/>
  <c r="Z59"/>
  <c r="AB26"/>
  <c r="AD56"/>
  <c r="AF56"/>
  <c r="AP41"/>
  <c r="D40" i="13"/>
  <c r="B41" i="62" s="1"/>
  <c r="AP20"/>
  <c r="D19" i="13"/>
  <c r="B20" i="62" s="1"/>
  <c r="D45" i="13"/>
  <c r="AP46" i="62"/>
  <c r="D23" i="13"/>
  <c r="B24" i="62" s="1"/>
  <c r="AP24"/>
  <c r="AL16"/>
  <c r="AN16"/>
  <c r="AJ16"/>
  <c r="AP18"/>
  <c r="D17" i="13"/>
  <c r="D36"/>
  <c r="B37" i="62" s="1"/>
  <c r="AP37"/>
  <c r="AP48"/>
  <c r="D47" i="13"/>
  <c r="AP22" i="62"/>
  <c r="D21" i="13"/>
  <c r="B22" i="62" s="1"/>
  <c r="AP39"/>
  <c r="D38" i="13"/>
  <c r="B39" i="62" s="1"/>
  <c r="AP31"/>
  <c r="D30" i="13"/>
  <c r="D7"/>
  <c r="AP8" i="62"/>
  <c r="AP10"/>
  <c r="D9" i="13"/>
  <c r="D49"/>
  <c r="B50" i="62" s="1"/>
  <c r="AP50"/>
  <c r="AD43"/>
  <c r="AD26"/>
  <c r="AF26"/>
  <c r="AF59" s="1"/>
  <c r="AB56"/>
  <c r="H59" i="76"/>
  <c r="D59"/>
  <c r="AD59" i="62" l="1"/>
  <c r="AJ43"/>
  <c r="AN43"/>
  <c r="AV8"/>
  <c r="AR8"/>
  <c r="AT8"/>
  <c r="AP26"/>
  <c r="F50"/>
  <c r="H50"/>
  <c r="D50"/>
  <c r="AV10"/>
  <c r="AR10"/>
  <c r="AT10"/>
  <c r="F7" i="13"/>
  <c r="B8" i="62"/>
  <c r="D25" i="13"/>
  <c r="AV31" i="62"/>
  <c r="AR31"/>
  <c r="AT31"/>
  <c r="AV39"/>
  <c r="AR39"/>
  <c r="AT39"/>
  <c r="AT22"/>
  <c r="AV22"/>
  <c r="AR22"/>
  <c r="AT48"/>
  <c r="AV48"/>
  <c r="AR48"/>
  <c r="H37"/>
  <c r="D37"/>
  <c r="F37"/>
  <c r="AV18"/>
  <c r="AR18"/>
  <c r="AT18"/>
  <c r="AV24"/>
  <c r="AR24"/>
  <c r="AT24"/>
  <c r="AT46"/>
  <c r="AV46"/>
  <c r="AR46"/>
  <c r="AP56"/>
  <c r="H20"/>
  <c r="D20"/>
  <c r="F20"/>
  <c r="H41"/>
  <c r="D41"/>
  <c r="F41"/>
  <c r="B29"/>
  <c r="D42" i="13"/>
  <c r="F28"/>
  <c r="B14" i="62"/>
  <c r="F13" i="13"/>
  <c r="H13" s="1"/>
  <c r="J13" s="1"/>
  <c r="F34"/>
  <c r="H34" s="1"/>
  <c r="J34" s="1"/>
  <c r="B35" i="62"/>
  <c r="AV16"/>
  <c r="AR16"/>
  <c r="AT16"/>
  <c r="AV52"/>
  <c r="AR52"/>
  <c r="AT52"/>
  <c r="AV12"/>
  <c r="AR12"/>
  <c r="AT12"/>
  <c r="B33"/>
  <c r="F32" i="13"/>
  <c r="H32" s="1"/>
  <c r="J32" s="1"/>
  <c r="F54" i="62"/>
  <c r="H54"/>
  <c r="D54"/>
  <c r="AB59"/>
  <c r="AJ26"/>
  <c r="AH59"/>
  <c r="AN26"/>
  <c r="AJ56"/>
  <c r="AL56"/>
  <c r="AV50"/>
  <c r="AR50"/>
  <c r="AT50"/>
  <c r="B10"/>
  <c r="F9" i="13"/>
  <c r="H9" s="1"/>
  <c r="J9" s="1"/>
  <c r="F30"/>
  <c r="H30" s="1"/>
  <c r="J30" s="1"/>
  <c r="B31" i="62"/>
  <c r="F39"/>
  <c r="H39"/>
  <c r="D39"/>
  <c r="H22"/>
  <c r="F22"/>
  <c r="D22"/>
  <c r="B48"/>
  <c r="F47" i="13"/>
  <c r="H47" s="1"/>
  <c r="J47" s="1"/>
  <c r="AT37" i="62"/>
  <c r="AV37"/>
  <c r="AR37"/>
  <c r="B18"/>
  <c r="F17" i="13"/>
  <c r="H17" s="1"/>
  <c r="J17" s="1"/>
  <c r="F24" i="62"/>
  <c r="H24"/>
  <c r="D24"/>
  <c r="F45" i="13"/>
  <c r="B46" i="62"/>
  <c r="D55" i="13"/>
  <c r="AT20" i="62"/>
  <c r="AV20"/>
  <c r="AR20"/>
  <c r="AV41"/>
  <c r="AR41"/>
  <c r="AT41"/>
  <c r="AV29"/>
  <c r="AR29"/>
  <c r="AT29"/>
  <c r="AP43"/>
  <c r="AV14"/>
  <c r="AR14"/>
  <c r="AT14"/>
  <c r="AV35"/>
  <c r="AR35"/>
  <c r="AT35"/>
  <c r="B16"/>
  <c r="F15" i="13"/>
  <c r="H15" s="1"/>
  <c r="J15" s="1"/>
  <c r="H52" i="62"/>
  <c r="D52"/>
  <c r="F52"/>
  <c r="B12"/>
  <c r="F11" i="13"/>
  <c r="H11" s="1"/>
  <c r="J11" s="1"/>
  <c r="AT33" i="62"/>
  <c r="AV33"/>
  <c r="AR33"/>
  <c r="AV54"/>
  <c r="AT54"/>
  <c r="AR54"/>
  <c r="AL26"/>
  <c r="AL59" s="1"/>
  <c r="AN56"/>
  <c r="AT43" l="1"/>
  <c r="F12"/>
  <c r="H12"/>
  <c r="D12"/>
  <c r="L15" i="13"/>
  <c r="N15"/>
  <c r="H45"/>
  <c r="F55"/>
  <c r="N17"/>
  <c r="L17"/>
  <c r="H48" i="62"/>
  <c r="D48"/>
  <c r="F48"/>
  <c r="L30" i="13"/>
  <c r="N30"/>
  <c r="F10" i="62"/>
  <c r="H10"/>
  <c r="D10"/>
  <c r="H33"/>
  <c r="D33"/>
  <c r="F33"/>
  <c r="F35"/>
  <c r="H35"/>
  <c r="D35"/>
  <c r="L13" i="13"/>
  <c r="N13"/>
  <c r="F42"/>
  <c r="H28"/>
  <c r="F29" i="62"/>
  <c r="H29"/>
  <c r="D29"/>
  <c r="B43"/>
  <c r="H7" i="13"/>
  <c r="F25"/>
  <c r="AR43" i="62"/>
  <c r="AN59"/>
  <c r="AJ59"/>
  <c r="AR56"/>
  <c r="AT56"/>
  <c r="D60" i="13"/>
  <c r="D58" s="1"/>
  <c r="AT26" i="62"/>
  <c r="AT59" s="1"/>
  <c r="AV26"/>
  <c r="L11" i="13"/>
  <c r="N11"/>
  <c r="F16" i="62"/>
  <c r="H16"/>
  <c r="D16"/>
  <c r="H46"/>
  <c r="D46"/>
  <c r="B56"/>
  <c r="F46"/>
  <c r="F56" s="1"/>
  <c r="F18"/>
  <c r="H18"/>
  <c r="D18"/>
  <c r="N47" i="13"/>
  <c r="L47"/>
  <c r="F31" i="62"/>
  <c r="H31"/>
  <c r="D31"/>
  <c r="L9" i="13"/>
  <c r="N9"/>
  <c r="L32"/>
  <c r="N32"/>
  <c r="L34"/>
  <c r="N34"/>
  <c r="F14" i="62"/>
  <c r="H14"/>
  <c r="D14"/>
  <c r="F8"/>
  <c r="H8"/>
  <c r="D8"/>
  <c r="B26"/>
  <c r="B59" s="1"/>
  <c r="AV43"/>
  <c r="AV56"/>
  <c r="AP59"/>
  <c r="AR26"/>
  <c r="O26" i="75"/>
  <c r="X26"/>
  <c r="U26"/>
  <c r="R26"/>
  <c r="O58"/>
  <c r="X58"/>
  <c r="U58"/>
  <c r="R58"/>
  <c r="O44"/>
  <c r="X44"/>
  <c r="U44"/>
  <c r="R44"/>
  <c r="D26" i="62" l="1"/>
  <c r="F26"/>
  <c r="D56"/>
  <c r="P32" i="13"/>
  <c r="O34" i="61"/>
  <c r="P11" i="13"/>
  <c r="O12" i="61"/>
  <c r="J28" i="13"/>
  <c r="H42"/>
  <c r="O14" i="61"/>
  <c r="P13" i="13"/>
  <c r="P15"/>
  <c r="O16" i="61"/>
  <c r="AR59" i="62"/>
  <c r="H26"/>
  <c r="H56"/>
  <c r="AV59"/>
  <c r="H43"/>
  <c r="P34" i="13"/>
  <c r="O36" i="61"/>
  <c r="P9" i="13"/>
  <c r="O10" i="61"/>
  <c r="P47" i="13"/>
  <c r="O50" i="61"/>
  <c r="J7" i="13"/>
  <c r="H25"/>
  <c r="O32" i="61"/>
  <c r="P30" i="13"/>
  <c r="P17"/>
  <c r="O18" i="61"/>
  <c r="H55" i="13"/>
  <c r="J45"/>
  <c r="D43" i="62"/>
  <c r="D59" s="1"/>
  <c r="F43"/>
  <c r="F59" s="1"/>
  <c r="R63" i="75"/>
  <c r="U63"/>
  <c r="X63"/>
  <c r="H60" i="13" l="1"/>
  <c r="H58" s="1"/>
  <c r="R10" i="61"/>
  <c r="U10"/>
  <c r="X10"/>
  <c r="X36"/>
  <c r="U36"/>
  <c r="R36"/>
  <c r="R32"/>
  <c r="U32"/>
  <c r="X32"/>
  <c r="N7" i="13"/>
  <c r="L7"/>
  <c r="L25" s="1"/>
  <c r="J25"/>
  <c r="X14" i="61"/>
  <c r="R14"/>
  <c r="U14"/>
  <c r="J42" i="13"/>
  <c r="C9" i="67" s="1"/>
  <c r="L28" i="13"/>
  <c r="L42" s="1"/>
  <c r="D9" i="67" s="1"/>
  <c r="N28" i="13"/>
  <c r="H59" i="62"/>
  <c r="J55" i="13"/>
  <c r="C10" i="67" s="1"/>
  <c r="L45" i="13"/>
  <c r="L55" s="1"/>
  <c r="D10" i="67" s="1"/>
  <c r="N45" i="13"/>
  <c r="U18" i="61"/>
  <c r="X18"/>
  <c r="R18"/>
  <c r="U50"/>
  <c r="X50"/>
  <c r="R50"/>
  <c r="X16"/>
  <c r="U16"/>
  <c r="R16"/>
  <c r="R12"/>
  <c r="X12"/>
  <c r="U12"/>
  <c r="X34"/>
  <c r="R34"/>
  <c r="U34"/>
  <c r="Q21" i="67"/>
  <c r="X61" i="75"/>
  <c r="T38" i="67" s="1"/>
  <c r="T37" s="1"/>
  <c r="Q38"/>
  <c r="Q37" s="1"/>
  <c r="U61" i="75"/>
  <c r="T30" i="67" s="1"/>
  <c r="T29" s="1"/>
  <c r="Q30"/>
  <c r="Q29" s="1"/>
  <c r="R61" i="75"/>
  <c r="Q22" i="67"/>
  <c r="Q32" l="1"/>
  <c r="T32"/>
  <c r="Q40"/>
  <c r="T40"/>
  <c r="Q24"/>
  <c r="F10"/>
  <c r="F9"/>
  <c r="D8"/>
  <c r="D13" s="1"/>
  <c r="L62" i="13"/>
  <c r="N55"/>
  <c r="P55" s="1"/>
  <c r="O48" i="61"/>
  <c r="P45" i="13"/>
  <c r="N42"/>
  <c r="P28"/>
  <c r="P42" s="1"/>
  <c r="O30" i="61"/>
  <c r="J62" i="13"/>
  <c r="C8" i="67"/>
  <c r="P7" i="13"/>
  <c r="P25" s="1"/>
  <c r="P62" s="1"/>
  <c r="O8" i="61"/>
  <c r="N25" i="13"/>
  <c r="T22" i="67"/>
  <c r="T21"/>
  <c r="T28"/>
  <c r="T36"/>
  <c r="T24" l="1"/>
  <c r="R8" i="61"/>
  <c r="R26" s="1"/>
  <c r="X8"/>
  <c r="X26" s="1"/>
  <c r="U8"/>
  <c r="U26" s="1"/>
  <c r="O26"/>
  <c r="C13" i="67"/>
  <c r="F8"/>
  <c r="F13" s="1"/>
  <c r="X48" i="61"/>
  <c r="X58" s="1"/>
  <c r="R48"/>
  <c r="R58" s="1"/>
  <c r="O58"/>
  <c r="U48"/>
  <c r="U58" s="1"/>
  <c r="D14" i="67"/>
  <c r="D15"/>
  <c r="N62" i="13"/>
  <c r="R30" i="61"/>
  <c r="R44" s="1"/>
  <c r="U30"/>
  <c r="U44" s="1"/>
  <c r="X30"/>
  <c r="X44" s="1"/>
  <c r="O44"/>
  <c r="T20" i="67"/>
  <c r="D145" i="23"/>
  <c r="F14" i="67" l="1"/>
  <c r="F15"/>
  <c r="C14"/>
  <c r="C15"/>
  <c r="X63" i="61"/>
  <c r="U63"/>
  <c r="R63"/>
  <c r="C14" i="34"/>
  <c r="U61" i="61" l="1"/>
  <c r="C30" i="67"/>
  <c r="C29"/>
  <c r="C21"/>
  <c r="R61" i="61"/>
  <c r="C22" i="67"/>
  <c r="C37"/>
  <c r="C38"/>
  <c r="X61" i="61"/>
  <c r="G11" i="31"/>
  <c r="G9"/>
  <c r="C40" i="67" l="1"/>
  <c r="C24"/>
  <c r="C32"/>
  <c r="F37"/>
  <c r="F38"/>
  <c r="F21"/>
  <c r="F22"/>
  <c r="F30"/>
  <c r="F29"/>
  <c r="C12" i="69"/>
  <c r="F30"/>
  <c r="C30" i="68"/>
  <c r="C21"/>
  <c r="C48"/>
  <c r="C12"/>
  <c r="C39"/>
  <c r="C21" i="69"/>
  <c r="B93" i="54"/>
  <c r="C39" i="67" s="1"/>
  <c r="F22" i="34"/>
  <c r="C31" i="67" l="1"/>
  <c r="C23"/>
  <c r="X31"/>
  <c r="X39"/>
  <c r="F28"/>
  <c r="F32"/>
  <c r="F31"/>
  <c r="F20"/>
  <c r="F24"/>
  <c r="F23"/>
  <c r="F36"/>
  <c r="F39"/>
  <c r="F40"/>
  <c r="D90" i="31"/>
  <c r="C68"/>
  <c r="C66"/>
  <c r="D92"/>
  <c r="D148" i="23"/>
  <c r="C23" i="34"/>
  <c r="F23" s="1"/>
  <c r="C14" i="31"/>
  <c r="C13" i="34"/>
  <c r="C21" i="31"/>
  <c r="C19"/>
  <c r="C13" i="69"/>
  <c r="C30"/>
  <c r="C31" s="1"/>
  <c r="C22"/>
  <c r="F22"/>
  <c r="C40" i="68"/>
  <c r="F40"/>
  <c r="C13"/>
  <c r="F13"/>
  <c r="C49"/>
  <c r="F49"/>
  <c r="C22"/>
  <c r="F22"/>
  <c r="C31"/>
  <c r="F31"/>
  <c r="F31" i="69"/>
  <c r="F13"/>
  <c r="C51" i="34" l="1"/>
  <c r="C50"/>
  <c r="C29" i="31"/>
  <c r="D116" s="1"/>
  <c r="C27"/>
  <c r="G19"/>
  <c r="G21"/>
  <c r="C31" l="1"/>
  <c r="C28" i="34" s="1"/>
  <c r="AR145" i="23"/>
  <c r="AE145"/>
  <c r="E145"/>
  <c r="R145"/>
  <c r="C132"/>
  <c r="D114" i="31"/>
  <c r="D118" s="1"/>
  <c r="C59" i="34" l="1"/>
  <c r="C58" s="1"/>
  <c r="C54" i="31"/>
  <c r="C37" i="34"/>
  <c r="C36"/>
  <c r="D94" i="31"/>
  <c r="D96" s="1"/>
  <c r="C55" i="34" s="1"/>
  <c r="C27"/>
  <c r="O35" i="71"/>
  <c r="AC35"/>
  <c r="AB35"/>
  <c r="AA35"/>
  <c r="Z35"/>
  <c r="Y35"/>
  <c r="X35"/>
  <c r="W35"/>
  <c r="V35"/>
  <c r="U35"/>
  <c r="T35"/>
  <c r="S35"/>
  <c r="R35"/>
  <c r="Q35"/>
  <c r="P35"/>
  <c r="N35"/>
  <c r="M35"/>
  <c r="L35"/>
  <c r="K35"/>
  <c r="J35"/>
  <c r="I35"/>
  <c r="H35"/>
  <c r="G35"/>
  <c r="F35"/>
  <c r="E35"/>
  <c r="D35"/>
  <c r="C35"/>
  <c r="B35"/>
  <c r="C54" i="34" l="1"/>
  <c r="C62" s="1"/>
  <c r="D121" i="31"/>
  <c r="C63" i="34"/>
  <c r="G51" i="31" l="1"/>
  <c r="F37" i="34"/>
  <c r="G54" i="31"/>
  <c r="F36" i="34" l="1"/>
  <c r="C40"/>
  <c r="F40" l="1"/>
  <c r="C41"/>
  <c r="F41" s="1"/>
  <c r="V64" i="57" l="1"/>
  <c r="W64" s="1"/>
  <c r="P64"/>
  <c r="Q64" s="1"/>
  <c r="J64"/>
  <c r="K64" s="1"/>
  <c r="AQ64"/>
  <c r="AR64" s="1"/>
  <c r="O35" i="72"/>
  <c r="AC35"/>
  <c r="AB35"/>
  <c r="AA35"/>
  <c r="Z35"/>
  <c r="Y35"/>
  <c r="X35"/>
  <c r="W35"/>
  <c r="V35"/>
  <c r="U35"/>
  <c r="T35"/>
  <c r="S35"/>
  <c r="R35"/>
  <c r="Q35"/>
  <c r="P35"/>
  <c r="Q145" i="23" l="1"/>
  <c r="C93" i="54" s="1"/>
  <c r="M22" i="34"/>
  <c r="J12" i="69"/>
  <c r="Q9" i="31"/>
  <c r="J14" i="34"/>
  <c r="Q14"/>
  <c r="AQ145" i="23"/>
  <c r="E93" i="54" s="1"/>
  <c r="AK11" i="31"/>
  <c r="AK9"/>
  <c r="X21" i="69"/>
  <c r="X12"/>
  <c r="X30" i="68"/>
  <c r="X48"/>
  <c r="X39"/>
  <c r="X12"/>
  <c r="X21"/>
  <c r="AA22" i="34"/>
  <c r="X14"/>
  <c r="AA39" i="67" l="1"/>
  <c r="AA31"/>
  <c r="X23"/>
  <c r="AA23"/>
  <c r="AH90" i="31"/>
  <c r="AG68"/>
  <c r="AG66"/>
  <c r="N90"/>
  <c r="M68"/>
  <c r="M66"/>
  <c r="AH92"/>
  <c r="N92"/>
  <c r="Q11"/>
  <c r="AA11"/>
  <c r="D93" i="54"/>
  <c r="Q30" i="68"/>
  <c r="Q21"/>
  <c r="Q22" s="1"/>
  <c r="Q39"/>
  <c r="Q12"/>
  <c r="Q13" s="1"/>
  <c r="Q48"/>
  <c r="Q21" i="69"/>
  <c r="Q22" s="1"/>
  <c r="AA9" i="31"/>
  <c r="J21" i="69"/>
  <c r="J22" s="1"/>
  <c r="AG21" i="31"/>
  <c r="AG19"/>
  <c r="AA13" i="69"/>
  <c r="AA31" i="68"/>
  <c r="AA40"/>
  <c r="AA22"/>
  <c r="AQ148" i="23"/>
  <c r="X13" i="34"/>
  <c r="X23"/>
  <c r="AA23" s="1"/>
  <c r="AG14" i="31"/>
  <c r="Q148" i="23"/>
  <c r="M21" i="31"/>
  <c r="M19"/>
  <c r="J13" i="34"/>
  <c r="J23"/>
  <c r="M23" s="1"/>
  <c r="M14" i="31"/>
  <c r="T49" i="68"/>
  <c r="T22"/>
  <c r="Q13" i="34"/>
  <c r="AD148" i="23"/>
  <c r="W14" i="31"/>
  <c r="X40" i="68"/>
  <c r="X22"/>
  <c r="X13"/>
  <c r="X49"/>
  <c r="T13"/>
  <c r="T31"/>
  <c r="T13" i="69"/>
  <c r="T22"/>
  <c r="X31" i="68"/>
  <c r="X22" i="69"/>
  <c r="AA30"/>
  <c r="AA31" s="1"/>
  <c r="T40" i="68"/>
  <c r="M13" i="69"/>
  <c r="M22"/>
  <c r="X30"/>
  <c r="X31" s="1"/>
  <c r="X13"/>
  <c r="J13"/>
  <c r="AA13" i="68"/>
  <c r="AA49"/>
  <c r="AA22" i="69"/>
  <c r="Q31" i="67" l="1"/>
  <c r="T31"/>
  <c r="Q39"/>
  <c r="T39"/>
  <c r="Q23"/>
  <c r="T23"/>
  <c r="X90" i="31"/>
  <c r="W68"/>
  <c r="W66"/>
  <c r="Q49" i="68"/>
  <c r="Q40"/>
  <c r="X92" i="31"/>
  <c r="J51" i="34"/>
  <c r="J50"/>
  <c r="X51"/>
  <c r="X50"/>
  <c r="W21" i="31"/>
  <c r="AA21" s="1"/>
  <c r="J30" i="69"/>
  <c r="J31" s="1"/>
  <c r="W19" i="31"/>
  <c r="Q31" i="68"/>
  <c r="M30" i="69"/>
  <c r="M31" s="1"/>
  <c r="Q12"/>
  <c r="T30"/>
  <c r="T31" s="1"/>
  <c r="T22" i="34"/>
  <c r="Q23"/>
  <c r="T23" s="1"/>
  <c r="W29" i="31"/>
  <c r="X116" s="1"/>
  <c r="Q19"/>
  <c r="Q21"/>
  <c r="AG29"/>
  <c r="AH116" s="1"/>
  <c r="AK21"/>
  <c r="M29"/>
  <c r="N116" s="1"/>
  <c r="AK19"/>
  <c r="AA19" l="1"/>
  <c r="Q30" i="69"/>
  <c r="Q31" s="1"/>
  <c r="Q13"/>
  <c r="AP132" i="23"/>
  <c r="AG27" i="31"/>
  <c r="AC132" i="23"/>
  <c r="W27" i="31"/>
  <c r="M27"/>
  <c r="P132" i="23"/>
  <c r="M54" i="31" l="1"/>
  <c r="J37" i="34"/>
  <c r="J36"/>
  <c r="W54" i="31"/>
  <c r="Q37" i="34"/>
  <c r="Q36"/>
  <c r="AG54" i="31"/>
  <c r="X37" i="34"/>
  <c r="X36"/>
  <c r="Q51"/>
  <c r="Q50"/>
  <c r="N114" i="31"/>
  <c r="N118" s="1"/>
  <c r="J59" i="34" s="1"/>
  <c r="M31" i="31"/>
  <c r="X114"/>
  <c r="X118" s="1"/>
  <c r="Q59" i="34" s="1"/>
  <c r="W31" i="31"/>
  <c r="AH114"/>
  <c r="AH118" s="1"/>
  <c r="X59" i="34" s="1"/>
  <c r="AG31" i="31"/>
  <c r="J27" i="34"/>
  <c r="Q27"/>
  <c r="X27"/>
  <c r="AH94" i="31" l="1"/>
  <c r="AH96" s="1"/>
  <c r="X94"/>
  <c r="X96" s="1"/>
  <c r="N94"/>
  <c r="N96" s="1"/>
  <c r="X58" i="34"/>
  <c r="Q58"/>
  <c r="J58"/>
  <c r="X28"/>
  <c r="Q28"/>
  <c r="J28"/>
  <c r="J55" l="1"/>
  <c r="N121" i="31"/>
  <c r="X55" i="34"/>
  <c r="AH121" i="31"/>
  <c r="X121"/>
  <c r="Q55" i="34"/>
  <c r="Q51" i="31"/>
  <c r="Q54"/>
  <c r="M37" i="34"/>
  <c r="AA54" i="31"/>
  <c r="AA51"/>
  <c r="T37" i="34"/>
  <c r="AK54" i="31"/>
  <c r="AA37" i="34"/>
  <c r="AK51" i="31"/>
  <c r="X54" i="34" l="1"/>
  <c r="X62" s="1"/>
  <c r="X63"/>
  <c r="Q54"/>
  <c r="Q62" s="1"/>
  <c r="Q63"/>
  <c r="J54"/>
  <c r="J62" s="1"/>
  <c r="J63"/>
  <c r="AA36"/>
  <c r="X40"/>
  <c r="Q40"/>
  <c r="T36"/>
  <c r="J40"/>
  <c r="M36"/>
  <c r="X41" l="1"/>
  <c r="AA41" s="1"/>
  <c r="AA40"/>
  <c r="M40"/>
  <c r="J41"/>
  <c r="M41" s="1"/>
  <c r="T40"/>
  <c r="Q41"/>
  <c r="T41" s="1"/>
  <c r="BD56" i="62"/>
  <c r="BB56"/>
  <c r="AZ56"/>
  <c r="BD43"/>
  <c r="BB43"/>
  <c r="AZ43"/>
  <c r="C12" i="65"/>
  <c r="C16"/>
  <c r="O46" i="29" s="1"/>
  <c r="BD59" i="62" l="1"/>
  <c r="M46" i="29"/>
  <c r="C13" i="66"/>
  <c r="M54" i="68" s="1"/>
  <c r="K48" i="43"/>
  <c r="C111" i="65" s="1"/>
  <c r="K41" i="43"/>
  <c r="C110" i="65" s="1"/>
  <c r="O64" i="29" s="1"/>
  <c r="K34" i="43"/>
  <c r="C109" i="65" s="1"/>
  <c r="O58" i="29" s="1"/>
  <c r="BB59" i="62"/>
  <c r="AZ59" s="1"/>
  <c r="AX59" s="1"/>
  <c r="AM58" i="57"/>
  <c r="AM56"/>
  <c r="AM46"/>
  <c r="AM44"/>
  <c r="AM42"/>
  <c r="AM28"/>
  <c r="AM26"/>
  <c r="AM24"/>
  <c r="AM60"/>
  <c r="AM40"/>
  <c r="AM22"/>
  <c r="AM54"/>
  <c r="AM38"/>
  <c r="AM20"/>
  <c r="AM16"/>
  <c r="AM36"/>
  <c r="AM18"/>
  <c r="AM14"/>
  <c r="AM34"/>
  <c r="AM52"/>
  <c r="AM12"/>
  <c r="O33" i="47"/>
  <c r="M33" s="1"/>
  <c r="O35"/>
  <c r="M35" s="1"/>
  <c r="O52" i="29"/>
  <c r="O70"/>
  <c r="O142" l="1"/>
  <c r="M12" i="68"/>
  <c r="J54"/>
  <c r="M64" i="29"/>
  <c r="C16" i="66"/>
  <c r="M58" i="29"/>
  <c r="C15" i="66"/>
  <c r="M70" i="29"/>
  <c r="C17" i="66"/>
  <c r="M52" i="29"/>
  <c r="C14" i="66"/>
  <c r="AM30" i="57"/>
  <c r="BC30" s="1"/>
  <c r="BF8" i="62"/>
  <c r="BC12" i="57"/>
  <c r="S7" i="13" s="1"/>
  <c r="AM62" i="57"/>
  <c r="BC62" s="1"/>
  <c r="BF46" i="62"/>
  <c r="BC52" i="57"/>
  <c r="S45" i="13" s="1"/>
  <c r="AM48" i="57"/>
  <c r="BC48" s="1"/>
  <c r="BF29" i="62"/>
  <c r="BC34" i="57"/>
  <c r="S28" i="13" s="1"/>
  <c r="BF10" i="62"/>
  <c r="BC14" i="57"/>
  <c r="S9" i="13" s="1"/>
  <c r="U9" s="1"/>
  <c r="W9" s="1"/>
  <c r="Y9" s="1"/>
  <c r="BF14" i="62"/>
  <c r="BC18" i="57"/>
  <c r="S13" i="13" s="1"/>
  <c r="U13" s="1"/>
  <c r="W13" s="1"/>
  <c r="Y13" s="1"/>
  <c r="BF31" i="62"/>
  <c r="BC36" i="57"/>
  <c r="S30" i="13" s="1"/>
  <c r="U30" s="1"/>
  <c r="W30" s="1"/>
  <c r="Y30" s="1"/>
  <c r="BF12" i="62"/>
  <c r="BC16" i="57"/>
  <c r="S11" i="13" s="1"/>
  <c r="U11" s="1"/>
  <c r="W11" s="1"/>
  <c r="Y11" s="1"/>
  <c r="BF16" i="62"/>
  <c r="BC20" i="57"/>
  <c r="S15" i="13" s="1"/>
  <c r="U15" s="1"/>
  <c r="W15" s="1"/>
  <c r="Y15" s="1"/>
  <c r="BF33" i="62"/>
  <c r="BC38" i="57"/>
  <c r="S32" i="13" s="1"/>
  <c r="U32" s="1"/>
  <c r="W32" s="1"/>
  <c r="Y32" s="1"/>
  <c r="BF48" i="62"/>
  <c r="BC54" i="57"/>
  <c r="S47" i="13" s="1"/>
  <c r="U47" s="1"/>
  <c r="W47" s="1"/>
  <c r="Y47" s="1"/>
  <c r="BF18" i="62"/>
  <c r="BC22" i="57"/>
  <c r="S17" i="13" s="1"/>
  <c r="U17" s="1"/>
  <c r="W17" s="1"/>
  <c r="Y17" s="1"/>
  <c r="BF35" i="62"/>
  <c r="BC40" i="57"/>
  <c r="S34" i="13" s="1"/>
  <c r="U34" s="1"/>
  <c r="W34" s="1"/>
  <c r="Y34" s="1"/>
  <c r="BC60" i="57"/>
  <c r="S53" i="13" s="1"/>
  <c r="BF54" i="62"/>
  <c r="BF20"/>
  <c r="BC24" i="57"/>
  <c r="S19" i="13" s="1"/>
  <c r="BF22" i="62"/>
  <c r="BC26" i="57"/>
  <c r="S21" i="13" s="1"/>
  <c r="BF24" i="62"/>
  <c r="BC28" i="57"/>
  <c r="S23" i="13" s="1"/>
  <c r="BF37" i="62"/>
  <c r="BC42" i="57"/>
  <c r="S36" i="13" s="1"/>
  <c r="BF39" i="62"/>
  <c r="BC44" i="57"/>
  <c r="S38" i="13" s="1"/>
  <c r="BF41" i="62"/>
  <c r="BC46" i="57"/>
  <c r="S40" i="13" s="1"/>
  <c r="BF50" i="62"/>
  <c r="BC56" i="57"/>
  <c r="S49" i="13" s="1"/>
  <c r="BF52" i="62"/>
  <c r="BC58" i="57"/>
  <c r="S51" i="13" s="1"/>
  <c r="M142" i="29" l="1"/>
  <c r="M89" i="68"/>
  <c r="J89" s="1"/>
  <c r="M13"/>
  <c r="J12"/>
  <c r="J13" s="1"/>
  <c r="BL52" i="62"/>
  <c r="BH52"/>
  <c r="BJ52"/>
  <c r="BL50"/>
  <c r="BH50"/>
  <c r="BJ50"/>
  <c r="BL41"/>
  <c r="BH41"/>
  <c r="BJ41"/>
  <c r="BL39"/>
  <c r="BH39"/>
  <c r="BJ39"/>
  <c r="BL37"/>
  <c r="BH37"/>
  <c r="BJ37"/>
  <c r="BL24"/>
  <c r="BH24"/>
  <c r="BJ24"/>
  <c r="BL22"/>
  <c r="BH22"/>
  <c r="BJ22"/>
  <c r="BL20"/>
  <c r="BH20"/>
  <c r="BJ20"/>
  <c r="BL54"/>
  <c r="BH54"/>
  <c r="BJ54"/>
  <c r="AA34" i="13"/>
  <c r="AC34"/>
  <c r="BL35" i="62"/>
  <c r="BH35"/>
  <c r="BJ35"/>
  <c r="AA17" i="13"/>
  <c r="AC17"/>
  <c r="BL18" i="62"/>
  <c r="BH18"/>
  <c r="BJ18"/>
  <c r="AA47" i="13"/>
  <c r="AC47"/>
  <c r="BL48" i="62"/>
  <c r="BH48"/>
  <c r="BJ48"/>
  <c r="AA32" i="13"/>
  <c r="AC32"/>
  <c r="BL33" i="62"/>
  <c r="BH33"/>
  <c r="BJ33"/>
  <c r="AA15" i="13"/>
  <c r="AC15"/>
  <c r="BL16" i="62"/>
  <c r="BH16"/>
  <c r="BJ16"/>
  <c r="AA11" i="13"/>
  <c r="AC11"/>
  <c r="BL12" i="62"/>
  <c r="BH12"/>
  <c r="BJ12"/>
  <c r="AA30" i="13"/>
  <c r="AC30"/>
  <c r="BL31" i="62"/>
  <c r="BH31"/>
  <c r="BJ31"/>
  <c r="AA13" i="13"/>
  <c r="AC13"/>
  <c r="BL14" i="62"/>
  <c r="BH14"/>
  <c r="BJ14"/>
  <c r="AA9" i="13"/>
  <c r="AC9"/>
  <c r="BL10" i="62"/>
  <c r="BH10"/>
  <c r="BJ10"/>
  <c r="S42" i="13"/>
  <c r="U28"/>
  <c r="BF43" i="62"/>
  <c r="BL29"/>
  <c r="BJ29"/>
  <c r="BH29"/>
  <c r="S55" i="13"/>
  <c r="U45"/>
  <c r="BF56" i="62"/>
  <c r="BH46"/>
  <c r="BJ46"/>
  <c r="BL46"/>
  <c r="S25" i="13"/>
  <c r="S60" s="1"/>
  <c r="S58" s="1"/>
  <c r="U7"/>
  <c r="BF26" i="62"/>
  <c r="BF59" s="1"/>
  <c r="BL8"/>
  <c r="BH8"/>
  <c r="BJ8"/>
  <c r="O144" i="29"/>
  <c r="M60" i="68"/>
  <c r="M21"/>
  <c r="O150" i="29"/>
  <c r="M78" i="68"/>
  <c r="M48"/>
  <c r="O146" i="29"/>
  <c r="M66" i="68"/>
  <c r="M30"/>
  <c r="O148" i="29"/>
  <c r="M72" i="68"/>
  <c r="M39"/>
  <c r="BL56" i="62" l="1"/>
  <c r="M148" i="29"/>
  <c r="M92" i="68"/>
  <c r="J92" s="1"/>
  <c r="M146" i="29"/>
  <c r="M91" i="68"/>
  <c r="J91" s="1"/>
  <c r="M150" i="29"/>
  <c r="M93" i="68"/>
  <c r="J93" s="1"/>
  <c r="M144" i="29"/>
  <c r="M90" i="68"/>
  <c r="J90" s="1"/>
  <c r="BJ56" i="62"/>
  <c r="BH26"/>
  <c r="BJ26"/>
  <c r="BL26"/>
  <c r="BH56"/>
  <c r="BH43"/>
  <c r="BL43"/>
  <c r="BJ43"/>
  <c r="M40" i="68"/>
  <c r="J39"/>
  <c r="J40" s="1"/>
  <c r="J72"/>
  <c r="M31"/>
  <c r="J30"/>
  <c r="J31" s="1"/>
  <c r="J66"/>
  <c r="M49"/>
  <c r="J48"/>
  <c r="J49" s="1"/>
  <c r="J78"/>
  <c r="M22"/>
  <c r="J21"/>
  <c r="J22" s="1"/>
  <c r="J60"/>
  <c r="U25" i="13"/>
  <c r="W7"/>
  <c r="U55"/>
  <c r="W45"/>
  <c r="U42"/>
  <c r="W28"/>
  <c r="AE9"/>
  <c r="AA10" i="61"/>
  <c r="AE13" i="13"/>
  <c r="AA14" i="61"/>
  <c r="AE30" i="13"/>
  <c r="AA32" i="61"/>
  <c r="AE11" i="13"/>
  <c r="AA12" i="61"/>
  <c r="AE15" i="13"/>
  <c r="AA16" i="61"/>
  <c r="AE32" i="13"/>
  <c r="AA34" i="61"/>
  <c r="AE47" i="13"/>
  <c r="AA50" i="61"/>
  <c r="AE17" i="13"/>
  <c r="AA18" i="61"/>
  <c r="AE34" i="13"/>
  <c r="AA36" i="61"/>
  <c r="M95" i="68" l="1"/>
  <c r="J95"/>
  <c r="BH59" i="62"/>
  <c r="BJ59"/>
  <c r="BL59"/>
  <c r="AJ36" i="61"/>
  <c r="AD36"/>
  <c r="AG36"/>
  <c r="AD18"/>
  <c r="AG18"/>
  <c r="AJ18"/>
  <c r="AG50"/>
  <c r="AJ50"/>
  <c r="AD50"/>
  <c r="AG34"/>
  <c r="AJ34"/>
  <c r="AD34"/>
  <c r="AG16"/>
  <c r="AJ16"/>
  <c r="AD16"/>
  <c r="AG12"/>
  <c r="AJ12"/>
  <c r="AD12"/>
  <c r="AJ32"/>
  <c r="AD32"/>
  <c r="AG32"/>
  <c r="AJ14"/>
  <c r="AD14"/>
  <c r="AG14"/>
  <c r="AJ10"/>
  <c r="AD10"/>
  <c r="AG10"/>
  <c r="W42" i="13"/>
  <c r="Y28"/>
  <c r="W55"/>
  <c r="Y45"/>
  <c r="W25"/>
  <c r="W60" s="1"/>
  <c r="W58" s="1"/>
  <c r="Y7"/>
  <c r="AA7" l="1"/>
  <c r="AA25" s="1"/>
  <c r="Y25"/>
  <c r="AC7"/>
  <c r="AA45"/>
  <c r="AA55" s="1"/>
  <c r="K10" i="67" s="1"/>
  <c r="AC45" i="13"/>
  <c r="Y55"/>
  <c r="AA28"/>
  <c r="AA42" s="1"/>
  <c r="K9" i="67" s="1"/>
  <c r="Y42" i="13"/>
  <c r="J9" i="67" s="1"/>
  <c r="AC28" i="13"/>
  <c r="M9" i="67" l="1"/>
  <c r="AC42" i="13"/>
  <c r="AE28"/>
  <c r="AE42" s="1"/>
  <c r="AA30" i="61"/>
  <c r="J10" i="67"/>
  <c r="AE45" i="13"/>
  <c r="AE55" s="1"/>
  <c r="AC55"/>
  <c r="AA48" i="61"/>
  <c r="AC25" i="13"/>
  <c r="AE7"/>
  <c r="AE25" s="1"/>
  <c r="AE62" s="1"/>
  <c r="AA8" i="61"/>
  <c r="Y62" i="13"/>
  <c r="J8" i="67"/>
  <c r="AA62" i="13"/>
  <c r="K8" i="67"/>
  <c r="AC62" i="13" l="1"/>
  <c r="K13" i="67"/>
  <c r="K14" s="1"/>
  <c r="M10"/>
  <c r="K15"/>
  <c r="J13"/>
  <c r="M8"/>
  <c r="AA26" i="61"/>
  <c r="AJ8"/>
  <c r="AJ26" s="1"/>
  <c r="AD8"/>
  <c r="AD26" s="1"/>
  <c r="AG8"/>
  <c r="AG26" s="1"/>
  <c r="AA58"/>
  <c r="AG48"/>
  <c r="AG58" s="1"/>
  <c r="AJ48"/>
  <c r="AJ58" s="1"/>
  <c r="AD48"/>
  <c r="AD58" s="1"/>
  <c r="AA44"/>
  <c r="AG30"/>
  <c r="AG44" s="1"/>
  <c r="AJ30"/>
  <c r="AJ44" s="1"/>
  <c r="AD30"/>
  <c r="AD44" s="1"/>
  <c r="M13" i="67" l="1"/>
  <c r="M15" s="1"/>
  <c r="J15"/>
  <c r="J14"/>
  <c r="AG63" i="61"/>
  <c r="AD63"/>
  <c r="AJ63"/>
  <c r="M14" i="67" l="1"/>
  <c r="J37"/>
  <c r="J38"/>
  <c r="AJ61" i="61"/>
  <c r="J21" i="67"/>
  <c r="J22"/>
  <c r="AD61" i="61"/>
  <c r="J30" i="67"/>
  <c r="J29"/>
  <c r="AG61" i="61"/>
  <c r="J40" i="67" l="1"/>
  <c r="J39"/>
  <c r="J31"/>
  <c r="J32"/>
  <c r="J24"/>
  <c r="J23"/>
  <c r="M30"/>
  <c r="M29"/>
  <c r="M22"/>
  <c r="M21"/>
  <c r="M38"/>
  <c r="M37"/>
  <c r="M36" l="1"/>
  <c r="M39"/>
  <c r="M40"/>
  <c r="M20"/>
  <c r="M23"/>
  <c r="M24"/>
  <c r="M28"/>
  <c r="M31"/>
  <c r="M32"/>
</calcChain>
</file>

<file path=xl/sharedStrings.xml><?xml version="1.0" encoding="utf-8"?>
<sst xmlns="http://schemas.openxmlformats.org/spreadsheetml/2006/main" count="7727" uniqueCount="1662">
  <si>
    <t>Crop</t>
  </si>
  <si>
    <t>Notes</t>
  </si>
  <si>
    <t>Units</t>
  </si>
  <si>
    <t>Corn silage</t>
  </si>
  <si>
    <t>Total Forages</t>
  </si>
  <si>
    <t>Total Grain</t>
  </si>
  <si>
    <t>Protein Supplements</t>
  </si>
  <si>
    <t>Soybeans</t>
  </si>
  <si>
    <t>Other protein sources</t>
  </si>
  <si>
    <t>Total Protein Supplements</t>
  </si>
  <si>
    <t>Pounds per Acre</t>
  </si>
  <si>
    <t>Tons</t>
  </si>
  <si>
    <t xml:space="preserve">Corn  </t>
  </si>
  <si>
    <t>Bushels</t>
  </si>
  <si>
    <t>Other protein</t>
  </si>
  <si>
    <t>Yield per Acre</t>
  </si>
  <si>
    <t>Percent Dry Matter</t>
  </si>
  <si>
    <t xml:space="preserve">DMI to Pounds of Raw Feed Conversion </t>
  </si>
  <si>
    <t>Acres Required to Produce Feed per Day</t>
  </si>
  <si>
    <t>Pasture</t>
  </si>
  <si>
    <t>Sources:</t>
  </si>
  <si>
    <t>Other</t>
  </si>
  <si>
    <t>Barley</t>
  </si>
  <si>
    <t>USDA, 2003</t>
  </si>
  <si>
    <t>USDA, 2005</t>
  </si>
  <si>
    <t>Oats</t>
  </si>
  <si>
    <t>USDA, 2006</t>
  </si>
  <si>
    <t>Wheat</t>
  </si>
  <si>
    <t xml:space="preserve">Dry hay </t>
  </si>
  <si>
    <t>Hay silage or baleage</t>
  </si>
  <si>
    <t>Other Dry Hay</t>
  </si>
  <si>
    <t>Greenchop</t>
  </si>
  <si>
    <t>Bushel Conversion</t>
  </si>
  <si>
    <t xml:space="preserve">Corn </t>
  </si>
  <si>
    <t xml:space="preserve">Dry alfallfa hay </t>
  </si>
  <si>
    <t>Other dry hay</t>
  </si>
  <si>
    <t>kgs</t>
  </si>
  <si>
    <t>kg/day</t>
  </si>
  <si>
    <t>kg/year</t>
  </si>
  <si>
    <t>Calving Interval</t>
  </si>
  <si>
    <t>kilogram</t>
  </si>
  <si>
    <t>pounds</t>
  </si>
  <si>
    <t>pound</t>
  </si>
  <si>
    <t>Body Weight (kg)</t>
  </si>
  <si>
    <t>Milk Production (kg)</t>
  </si>
  <si>
    <t>DMI (kg)</t>
  </si>
  <si>
    <t>Heifer</t>
  </si>
  <si>
    <t>Calf</t>
  </si>
  <si>
    <t>Lactating Cow</t>
  </si>
  <si>
    <t>Lactating Cow w/ mineral info</t>
  </si>
  <si>
    <t>Early Lactating Cow</t>
  </si>
  <si>
    <t>Dry Cow</t>
  </si>
  <si>
    <t>DIM (kg)</t>
  </si>
  <si>
    <t>One Lactating Cow</t>
  </si>
  <si>
    <t>Dietary CP (Crude Protein) (g/g of DM)</t>
  </si>
  <si>
    <t>Dietary P (Phosphorpous) (g/g of DM)</t>
  </si>
  <si>
    <t>Total Calves</t>
  </si>
  <si>
    <t>Current Lactation</t>
  </si>
  <si>
    <t>kg</t>
  </si>
  <si>
    <t>Reported</t>
  </si>
  <si>
    <t>Percent of Conceptions that are Live Births</t>
  </si>
  <si>
    <t>Lameness</t>
  </si>
  <si>
    <t>Respiratory Problems</t>
  </si>
  <si>
    <t>Dietary P &amp; K assume same as Mineral Cow</t>
  </si>
  <si>
    <t>Dietary K assume same as Heifer</t>
  </si>
  <si>
    <t>Equation</t>
  </si>
  <si>
    <t>Conversion Factors</t>
  </si>
  <si>
    <t>kilograms to pounds</t>
  </si>
  <si>
    <t>pounds to kilograms</t>
  </si>
  <si>
    <t>Jersey</t>
  </si>
  <si>
    <t>Holstein</t>
  </si>
  <si>
    <t>Breed</t>
  </si>
  <si>
    <t>Lactation Number</t>
  </si>
  <si>
    <t>First</t>
  </si>
  <si>
    <t>Second</t>
  </si>
  <si>
    <t>- Protein Content</t>
  </si>
  <si>
    <t>- Fat Content</t>
  </si>
  <si>
    <t>(DMI x 2.63) + 9.4</t>
  </si>
  <si>
    <t>(DMI x 0.356) + .80</t>
  </si>
  <si>
    <t>((DMI x Dietary CP x 84.1) + (BW x 0.196)) / 1000</t>
  </si>
  <si>
    <t>((DMI x Dietary P x 560.7) + 21.1) / 1000</t>
  </si>
  <si>
    <t>((DMI x 7.21) + (Dietary K x 15944) - 164.5) / 1000</t>
  </si>
  <si>
    <t>Crossbreed</t>
  </si>
  <si>
    <t>Source No.</t>
  </si>
  <si>
    <t>Farm 1</t>
  </si>
  <si>
    <t>Farm 2</t>
  </si>
  <si>
    <t>Multiparous</t>
  </si>
  <si>
    <t>Breed:</t>
  </si>
  <si>
    <t>(ECM-Energy Corrected Milk)</t>
  </si>
  <si>
    <t>Radio Option</t>
  </si>
  <si>
    <t>Milk Production</t>
  </si>
  <si>
    <t>ECM</t>
  </si>
  <si>
    <t xml:space="preserve"> List Box Option</t>
  </si>
  <si>
    <t>Bull</t>
  </si>
  <si>
    <t>Converted Values</t>
  </si>
  <si>
    <t>Method of Breeding:</t>
  </si>
  <si>
    <t>Projected</t>
  </si>
  <si>
    <t>%</t>
  </si>
  <si>
    <t xml:space="preserve">5. </t>
  </si>
  <si>
    <t xml:space="preserve">4. </t>
  </si>
  <si>
    <t xml:space="preserve">3. </t>
  </si>
  <si>
    <t>Grains</t>
  </si>
  <si>
    <t>[add forage crop here]</t>
  </si>
  <si>
    <t>[add grain crop here]</t>
  </si>
  <si>
    <t>Dry alfalfa hay</t>
  </si>
  <si>
    <t>Mastitis/Udder Issues</t>
  </si>
  <si>
    <t>Sum of Percents by Type of Feed (Value should equal 100%)</t>
  </si>
  <si>
    <t>AI with Sync</t>
  </si>
  <si>
    <t>hectacres to acres</t>
  </si>
  <si>
    <t>acres</t>
  </si>
  <si>
    <t>ha</t>
  </si>
  <si>
    <t>acres to hectacres</t>
  </si>
  <si>
    <t>acre</t>
  </si>
  <si>
    <t>kg protein</t>
  </si>
  <si>
    <t>kg fat</t>
  </si>
  <si>
    <t>Length of Lactation</t>
  </si>
  <si>
    <t>Length of Lactation:</t>
  </si>
  <si>
    <t>Default</t>
  </si>
  <si>
    <t>Choose one:</t>
  </si>
  <si>
    <t xml:space="preserve">6. </t>
  </si>
  <si>
    <t xml:space="preserve">7. </t>
  </si>
  <si>
    <t xml:space="preserve">8. </t>
  </si>
  <si>
    <t>Days in Diverted Milk</t>
  </si>
  <si>
    <t>Calving Interval:</t>
  </si>
  <si>
    <t>Lactation Period:</t>
  </si>
  <si>
    <t>Days in Milk (DIM):</t>
  </si>
  <si>
    <t>Days in Lactation with Diverted Milk:</t>
  </si>
  <si>
    <t>Heifer &gt;1</t>
  </si>
  <si>
    <t>day in lactation</t>
  </si>
  <si>
    <t>Percent of Conceptions that Produce Bull Calves</t>
  </si>
  <si>
    <t>Number of Bull Calves</t>
  </si>
  <si>
    <t>Number of Heifer Calves</t>
  </si>
  <si>
    <t>Total Number of Calves</t>
  </si>
  <si>
    <t>Age of Cow at EOLife</t>
  </si>
  <si>
    <t>heifer calves</t>
  </si>
  <si>
    <t>bull calves</t>
  </si>
  <si>
    <t>Age at 1st Birthing</t>
  </si>
  <si>
    <t>Number of Days between Breeding Attempts:</t>
  </si>
  <si>
    <t>Days from Calf to 1st Attempt</t>
  </si>
  <si>
    <t>total</t>
  </si>
  <si>
    <t>Percent of Conceptions that Produce Heifer Calves</t>
  </si>
  <si>
    <t>Total Milk Production in a Cow's Productive Life:</t>
  </si>
  <si>
    <t xml:space="preserve">Source No. </t>
  </si>
  <si>
    <t>calves/year</t>
  </si>
  <si>
    <t>heifers/year</t>
  </si>
  <si>
    <t>bulls/year</t>
  </si>
  <si>
    <t>1. Value equals the unadjusted/energy corrected milk production times the length of lactation times the number of lactations in the cow's productive life.</t>
  </si>
  <si>
    <t>2. Value equals the unadjusted/energy corrected milk production divided by the age of the cow at the end of its productive life.</t>
  </si>
  <si>
    <t>3  Value equals the number of heifer/bull cavles that a cow has had in its productive life times the age of the cow at the end of its productive life.</t>
  </si>
  <si>
    <t>Number of Lactations</t>
  </si>
  <si>
    <t>Length of Lactations</t>
  </si>
  <si>
    <t>Meat Production</t>
  </si>
  <si>
    <t>Farm 3</t>
  </si>
  <si>
    <t>Farm 4</t>
  </si>
  <si>
    <t>N/A</t>
  </si>
  <si>
    <t>Dryoff Period</t>
  </si>
  <si>
    <t>years</t>
  </si>
  <si>
    <t>Age of Cow at End of Productive Life (years):</t>
  </si>
  <si>
    <t>Unadjusted Milk Production</t>
  </si>
  <si>
    <t>Energy Corrected Milk Production</t>
  </si>
  <si>
    <t>Cow's Productive Life</t>
  </si>
  <si>
    <t>Lifetime</t>
  </si>
  <si>
    <t>days</t>
  </si>
  <si>
    <t>lactations</t>
  </si>
  <si>
    <t>calves</t>
  </si>
  <si>
    <t>kgs/day</t>
  </si>
  <si>
    <t>per kg</t>
  </si>
  <si>
    <t>Source/Notes</t>
  </si>
  <si>
    <r>
      <rPr>
        <b/>
        <sz val="10"/>
        <rFont val="Arial"/>
        <family val="2"/>
      </rPr>
      <t xml:space="preserve">Notes: </t>
    </r>
    <r>
      <rPr>
        <sz val="10"/>
        <rFont val="Arial"/>
        <family val="2"/>
      </rPr>
      <t xml:space="preserve"> </t>
    </r>
  </si>
  <si>
    <t>Feed Required per Day (pounds)</t>
  </si>
  <si>
    <t>Dry Matter Intake Required for Dry Cow per Day:</t>
  </si>
  <si>
    <t>c</t>
  </si>
  <si>
    <t>Calf Production in Productive Life:</t>
  </si>
  <si>
    <t>Nitrogen Excretion (NE):</t>
  </si>
  <si>
    <t>Phosphorus Excretion (PE):</t>
  </si>
  <si>
    <t>Potassium Excretion (KE):</t>
  </si>
  <si>
    <t>Step 1. Animal Inventory Profile page</t>
  </si>
  <si>
    <t>Step 5. Total Production</t>
  </si>
  <si>
    <t>Step 6. DMI page</t>
  </si>
  <si>
    <t>Total Manure Excretion</t>
  </si>
  <si>
    <t>DM Excretion</t>
  </si>
  <si>
    <t>Potassium Excretion</t>
  </si>
  <si>
    <t>Phosphorus Excretion</t>
  </si>
  <si>
    <t>Nitrogen  Excretion</t>
  </si>
  <si>
    <t>DMI for Dry Cows</t>
  </si>
  <si>
    <t>DMI for Heifer &gt;1</t>
  </si>
  <si>
    <t>4.</t>
  </si>
  <si>
    <t>5.</t>
  </si>
  <si>
    <t>6.</t>
  </si>
  <si>
    <t>7 .</t>
  </si>
  <si>
    <t>g/g of DM</t>
  </si>
  <si>
    <t>Dry Matter Intake Required for Heifers &gt; 1 per Day:</t>
  </si>
  <si>
    <t>Dietary CP</t>
  </si>
  <si>
    <t>Dietary P</t>
  </si>
  <si>
    <t>Dietary K</t>
  </si>
  <si>
    <t>DMI</t>
  </si>
  <si>
    <t>% Forage</t>
  </si>
  <si>
    <t>Dietary Crude Protien (CP):</t>
  </si>
  <si>
    <t>Dietary Phosphorus (P):</t>
  </si>
  <si>
    <t>Heifer &gt; 1</t>
  </si>
  <si>
    <t>Calves</t>
  </si>
  <si>
    <t>Dietary Potassium (K):</t>
  </si>
  <si>
    <t>Dietary K (Potassium) (g/g of DM)</t>
  </si>
  <si>
    <t>Equation Used</t>
  </si>
  <si>
    <t>Methane (CH4): (Enteric only)</t>
  </si>
  <si>
    <t>- Unadjusted Milk Production</t>
  </si>
  <si>
    <t>Daily Milk Production:</t>
  </si>
  <si>
    <t>Step 2</t>
  </si>
  <si>
    <t>Average Milk Production per Year of Life:</t>
  </si>
  <si>
    <t>Heifer Cow &gt; 1</t>
  </si>
  <si>
    <t>(DMI x 4.158) - (BW x .0246)</t>
  </si>
  <si>
    <t>(DMI x 3.45)</t>
  </si>
  <si>
    <t>(DMI x .393)</t>
  </si>
  <si>
    <t>(DMI x Dietary P x 622.03)</t>
  </si>
  <si>
    <t>((DMI x Dietary CP x 78.39) + 51.4)/1000</t>
  </si>
  <si>
    <t>lbs/day</t>
  </si>
  <si>
    <t>DMI for Calves</t>
  </si>
  <si>
    <t>(DMI x Dietary CP x 112.55)/1000</t>
  </si>
  <si>
    <t>Cow Dressing Rate</t>
  </si>
  <si>
    <t>Meat Production from Cow at Slaughter:</t>
  </si>
  <si>
    <t>Meat from Calves</t>
  </si>
  <si>
    <t>Meat from Cow at Slaughter</t>
  </si>
  <si>
    <t>Calf Production</t>
  </si>
  <si>
    <t>Total Meat Production</t>
  </si>
  <si>
    <t>Solid Storage</t>
  </si>
  <si>
    <t>Liquid/Slurry</t>
  </si>
  <si>
    <t>Anaerobic Lagoon</t>
  </si>
  <si>
    <t>Deep Pit</t>
  </si>
  <si>
    <t>Drop Down List</t>
  </si>
  <si>
    <t>Daily spread</t>
  </si>
  <si>
    <t>Dry Lot</t>
  </si>
  <si>
    <t>Methane (CH4): (Manure only)</t>
  </si>
  <si>
    <t>Total Methane from Lactating Cow:</t>
  </si>
  <si>
    <t>EPA</t>
  </si>
  <si>
    <t>Methane Enteric only</t>
  </si>
  <si>
    <t>Methane Manure only</t>
  </si>
  <si>
    <t>Per Year of Life</t>
  </si>
  <si>
    <t>Per Lactation</t>
  </si>
  <si>
    <t>Per Kg of Milk</t>
  </si>
  <si>
    <t xml:space="preserve">kg/kg of Milk </t>
  </si>
  <si>
    <t>kg/lactation</t>
  </si>
  <si>
    <t>Total Methane (CH4)</t>
  </si>
  <si>
    <t>Milking Frequency:</t>
  </si>
  <si>
    <t>2-X</t>
  </si>
  <si>
    <t>Milking Frequency</t>
  </si>
  <si>
    <t>3-X</t>
  </si>
  <si>
    <t>Seasonal</t>
  </si>
  <si>
    <t>Milk Quality:</t>
  </si>
  <si>
    <t>- Percent Milk Protein</t>
  </si>
  <si>
    <t>- Percent Milk Fat:</t>
  </si>
  <si>
    <t>Per Day</t>
  </si>
  <si>
    <t>lbs protein</t>
  </si>
  <si>
    <t>lbs fat</t>
  </si>
  <si>
    <t>Breeding Attempts</t>
  </si>
  <si>
    <t>Days Between Breeding Attempts</t>
  </si>
  <si>
    <t>kg/life</t>
  </si>
  <si>
    <t xml:space="preserve">kg/kg of milk </t>
  </si>
  <si>
    <t>lbs</t>
  </si>
  <si>
    <t>lb/life</t>
  </si>
  <si>
    <t>lb/day</t>
  </si>
  <si>
    <t>lb/lactation</t>
  </si>
  <si>
    <t>lb/year</t>
  </si>
  <si>
    <t>Methane (Enteric Only)</t>
  </si>
  <si>
    <t>Methane (Manure Only)</t>
  </si>
  <si>
    <t xml:space="preserve">3. Yield Values came from NASS as of 2008. </t>
  </si>
  <si>
    <t>4. Hay silage and baleage yield is calculated as 250% of Other Dry Hay.</t>
  </si>
  <si>
    <t>Storage &amp; Feeding Loss Adj. Factor</t>
  </si>
  <si>
    <t>Climate</t>
  </si>
  <si>
    <t>Composting Intensive</t>
  </si>
  <si>
    <t>Cold</t>
  </si>
  <si>
    <t>Hot</t>
  </si>
  <si>
    <t>Wet Systems:</t>
  </si>
  <si>
    <t>Dry Systems:</t>
  </si>
  <si>
    <t>Scenario 1</t>
  </si>
  <si>
    <t>Scenario 2</t>
  </si>
  <si>
    <t>Scenario 3</t>
  </si>
  <si>
    <t>Scenario 4</t>
  </si>
  <si>
    <t>lbs.</t>
  </si>
  <si>
    <t>% DMI</t>
  </si>
  <si>
    <t>Total Daily DMI per Crop</t>
  </si>
  <si>
    <t>DMI per Day for All Animal Types (pounds)</t>
  </si>
  <si>
    <t>Heifers &gt; 1</t>
  </si>
  <si>
    <t>Variable Name</t>
  </si>
  <si>
    <t>Step 6 - DMI Required</t>
  </si>
  <si>
    <t>P1</t>
  </si>
  <si>
    <t>HA</t>
  </si>
  <si>
    <t>Total Protein</t>
  </si>
  <si>
    <t>7. Other protein sources is calculated to be the same as Soybeans.</t>
  </si>
  <si>
    <t>5. Pasture yield is calculated as 70% of Other Dry Hay.</t>
  </si>
  <si>
    <t>6. Greenchop yield is calculated to be the same as Other Dry Hay.</t>
  </si>
  <si>
    <t>Crop Bushel Conversions</t>
  </si>
  <si>
    <t>Source</t>
  </si>
  <si>
    <t>Source:</t>
  </si>
  <si>
    <t>Step 11. Dietary Intake page</t>
  </si>
  <si>
    <t>Acres Required per Lactation</t>
  </si>
  <si>
    <t>Total Kgs/Day:</t>
  </si>
  <si>
    <t>Total Pounds/Day:</t>
  </si>
  <si>
    <t>Total Acres/Hectares Required:</t>
  </si>
  <si>
    <t>Total Crop Inputs (kgs/Lactation):</t>
  </si>
  <si>
    <t>Total Crop Inputs (lbs/Lactation):</t>
  </si>
  <si>
    <t>Herbicides Used</t>
  </si>
  <si>
    <t>Insecticides Used</t>
  </si>
  <si>
    <t>for Maintenance NE(m)</t>
  </si>
  <si>
    <t>Total Net Energy:</t>
  </si>
  <si>
    <t>Net Energy:</t>
  </si>
  <si>
    <t>Volaltile Solids</t>
  </si>
  <si>
    <t>Digestible Energy</t>
  </si>
  <si>
    <t>Digestible Energy (DE):</t>
  </si>
  <si>
    <t>Digestible Energy (DE) (kg/day)</t>
  </si>
  <si>
    <t>DMI_Dry_Cow_kg</t>
  </si>
  <si>
    <t>DMI_Heifer_kg</t>
  </si>
  <si>
    <t>Age at End of Life</t>
  </si>
  <si>
    <t>Age_at_EOL</t>
  </si>
  <si>
    <t>Calving_Interval</t>
  </si>
  <si>
    <t>Dryoff_Period</t>
  </si>
  <si>
    <t>Number_of_Lactations</t>
  </si>
  <si>
    <t>Dietary_CP_Lact_Cow</t>
  </si>
  <si>
    <t>Dietary CP (g/g of DM)</t>
  </si>
  <si>
    <t>Dietary K (g/g of DM)</t>
  </si>
  <si>
    <t>Dietary P (g/g of DM)</t>
  </si>
  <si>
    <t>Dietary_P_Lact_Cow</t>
  </si>
  <si>
    <t>Dietary_K_Lact_Cow</t>
  </si>
  <si>
    <t>Dietary_CP_Dry_Cow</t>
  </si>
  <si>
    <t>Dietary_P_Dry_Cow</t>
  </si>
  <si>
    <t>Dietary_K_Dry_Cow</t>
  </si>
  <si>
    <t>Dietary_CP_Heifer</t>
  </si>
  <si>
    <t>Dietary_P_Heifer</t>
  </si>
  <si>
    <t>Dietary_K_Heifer</t>
  </si>
  <si>
    <t>Dietary_CP_Calf</t>
  </si>
  <si>
    <t>Dietary_P_Calf</t>
  </si>
  <si>
    <t>Dietary_K_Calf</t>
  </si>
  <si>
    <t>Nitrogen Excretion (kg/day)</t>
  </si>
  <si>
    <t>Dry Matter Excretion (kg/day)</t>
  </si>
  <si>
    <t>Phosphorus Excretion (kg/day)</t>
  </si>
  <si>
    <t>Potassium Excretion (kg/day)</t>
  </si>
  <si>
    <t>TME_Lact_Cow_Day_kg</t>
  </si>
  <si>
    <t>DME_Lact_Cow_Day_kg</t>
  </si>
  <si>
    <t>NE_Lact_Cow_Day_kg</t>
  </si>
  <si>
    <t>PE_Lact_Cow_Day_kg</t>
  </si>
  <si>
    <t>KE_Lact_Cow_Day_kg</t>
  </si>
  <si>
    <t>TME_Dry_Cow_Day_kg</t>
  </si>
  <si>
    <t>DME_Dry_Cow_Day_kg</t>
  </si>
  <si>
    <t>NE_Dry_Cow_Day_kg</t>
  </si>
  <si>
    <t>PE_Dry_Cow_Day_kg</t>
  </si>
  <si>
    <t>KE_Dry_Cow_Day_kg</t>
  </si>
  <si>
    <t>TME_Heifer_Day_kg</t>
  </si>
  <si>
    <t>DME_Heifer_Day_kg</t>
  </si>
  <si>
    <t>NE_Heifer_Day_kg</t>
  </si>
  <si>
    <t>PE_Heifer_Day_kg</t>
  </si>
  <si>
    <t>KE_Heifer_Day_kg</t>
  </si>
  <si>
    <t>TME_Calf_Day_kg</t>
  </si>
  <si>
    <t>DME_Calf_Day_kg</t>
  </si>
  <si>
    <t>NE_Calf_Day_kg</t>
  </si>
  <si>
    <t>PE_Calf_Day_kg</t>
  </si>
  <si>
    <t>KE_Calf_Day_kg</t>
  </si>
  <si>
    <t>Age_at_1st_Birthing</t>
  </si>
  <si>
    <t>Calving_at_1st_Breeding_Attempt</t>
  </si>
  <si>
    <t>for Activity NE(a)</t>
  </si>
  <si>
    <t>for Pregnancy NE(p)</t>
  </si>
  <si>
    <t>for Lactation NE(l)</t>
  </si>
  <si>
    <t>Percent Milk Protein</t>
  </si>
  <si>
    <t>Percent Milk Fat</t>
  </si>
  <si>
    <t>Percent_Milk_Protein</t>
  </si>
  <si>
    <t>Percent_Milk_Fat</t>
  </si>
  <si>
    <t>Totals for all Crops (lbs)</t>
  </si>
  <si>
    <t>Prime Row</t>
  </si>
  <si>
    <t>Percent of Conceptions Failing to go to Term:</t>
  </si>
  <si>
    <t>Total Lost Conceptions</t>
  </si>
  <si>
    <t>Average Days Between Breeding Attempts:</t>
  </si>
  <si>
    <t>Unsuccessful Breeding Attempts:</t>
  </si>
  <si>
    <t>Successful Breeding Attempts Leading to Embryonic Loss or Abortion:</t>
  </si>
  <si>
    <t>Prime Row Crop</t>
  </si>
  <si>
    <t>Acres of Prime Row Crop Required per Day</t>
  </si>
  <si>
    <t>Acres Required for Feed Production</t>
  </si>
  <si>
    <t>Total</t>
  </si>
  <si>
    <t>Total Acres</t>
  </si>
  <si>
    <t>acres/day</t>
  </si>
  <si>
    <t>acres/lactation</t>
  </si>
  <si>
    <t xml:space="preserve">Forages </t>
  </si>
  <si>
    <t xml:space="preserve">Grains </t>
  </si>
  <si>
    <t xml:space="preserve">Protein Supplements </t>
  </si>
  <si>
    <t>Dry Cow Per Day</t>
  </si>
  <si>
    <t>Heifer Per Day</t>
  </si>
  <si>
    <t>Calf Per Day</t>
  </si>
  <si>
    <t>Name of Application:</t>
  </si>
  <si>
    <t>Description of Scenario 1:</t>
  </si>
  <si>
    <t>Description of Scenario 2:</t>
  </si>
  <si>
    <t>Description of Scenario 3:</t>
  </si>
  <si>
    <t>Description of Scenario 4:</t>
  </si>
  <si>
    <t>Update Parameters to</t>
  </si>
  <si>
    <t>Alternative Scenario 1</t>
  </si>
  <si>
    <t>Alternative Scenario 2</t>
  </si>
  <si>
    <t>Alternative Scenario 3</t>
  </si>
  <si>
    <t>Alternative Scenario 4</t>
  </si>
  <si>
    <t>Dry Cows (kg)</t>
  </si>
  <si>
    <t>Heifers &gt; 1 (kg)</t>
  </si>
  <si>
    <t>Calves (kg)</t>
  </si>
  <si>
    <t>Scenario 1 Title:</t>
  </si>
  <si>
    <t>Scenario 2 Title:</t>
  </si>
  <si>
    <t>Scenario 3 Title:</t>
  </si>
  <si>
    <t>Scenario 4 Title:</t>
  </si>
  <si>
    <t>Lactation Period</t>
  </si>
  <si>
    <t>DIM</t>
  </si>
  <si>
    <t>Method of Breeding</t>
  </si>
  <si>
    <t>AI w/o Sync</t>
  </si>
  <si>
    <t>Heifers</t>
  </si>
  <si>
    <t>Corn</t>
  </si>
  <si>
    <t>Methane Conversion Factor</t>
  </si>
  <si>
    <t>Diet Digestibility</t>
  </si>
  <si>
    <t>MCF</t>
  </si>
  <si>
    <t>Bo</t>
  </si>
  <si>
    <t>Digestible_Energy</t>
  </si>
  <si>
    <t>REM</t>
  </si>
  <si>
    <t>Methane from EF (kg/day)</t>
  </si>
  <si>
    <t>Methane from Manure (kg/day)</t>
  </si>
  <si>
    <t>Methane_Enteric_Lact_Cow_Day_kg</t>
  </si>
  <si>
    <t>Methane_Manure_Lact_Cow_Day_kg</t>
  </si>
  <si>
    <t>Methane_Enteric_Dry_Cow_Day_kg</t>
  </si>
  <si>
    <t>Methane_Enteric_Heifer_Day_kg</t>
  </si>
  <si>
    <t>Methane_Enteric_Calf_Day_kg</t>
  </si>
  <si>
    <t>Methane_Manure_Calf_Day_kg</t>
  </si>
  <si>
    <t>Methane_Manure_Dry_Cow_Day_kg</t>
  </si>
  <si>
    <t>Methane_Manure_Heifer_Day_kg</t>
  </si>
  <si>
    <t>Total Methane from Dry Cow:</t>
  </si>
  <si>
    <t>Formula Name</t>
  </si>
  <si>
    <t>Step Formula Used In</t>
  </si>
  <si>
    <t>Narrative Explanation</t>
  </si>
  <si>
    <t>Source of Equation</t>
  </si>
  <si>
    <t>Parameter Abbreviation</t>
  </si>
  <si>
    <t>Definition</t>
  </si>
  <si>
    <t>Unadjusted_Milk_Production * Percent_Milk_Protein / 100</t>
  </si>
  <si>
    <t>Protein Content of Milk</t>
  </si>
  <si>
    <t>The Protein Content of Milk is calculated by taking the percent of protein found in milk and multiplying it by the unadjusted milk production.</t>
  </si>
  <si>
    <t>Fat Content of Milk</t>
  </si>
  <si>
    <t>Unadjusted_Milk_Production * Percent_Milk_Fat / 100</t>
  </si>
  <si>
    <t>Energy Correct Milk Production</t>
  </si>
  <si>
    <t>The Fat Content of Milk is calculated by taking the percent of fat found in milk and multiplying it by the unadjusted milk production.</t>
  </si>
  <si>
    <t xml:space="preserve">Energy Corrected Milk </t>
  </si>
  <si>
    <t>The Length of Lactation starts with the number of days from the birth of the first calf til the first breeding attempt plus the number of breeding attempts times the number of days between breeding attempts, plus the gestation period minus the dryoff period.</t>
  </si>
  <si>
    <t>Average was 13.2 months (396 days) in 2006, "Dairy 2007: Part I," p. 27.</t>
  </si>
  <si>
    <t>Age of Cow at End of Life</t>
  </si>
  <si>
    <t>Calving_to_1st_Breeding_Attempt+((Breeding_Attempts-1) * Days_Between_Breeding_Attempts) + Gestation_Period - Dryoff_Period</t>
  </si>
  <si>
    <t>EOL</t>
  </si>
  <si>
    <t>End of Life</t>
  </si>
  <si>
    <t>Full Grown Calf Dressing Rate</t>
  </si>
  <si>
    <t>Step 5 - Total Production</t>
  </si>
  <si>
    <t>Cow_Dressing_Rate</t>
  </si>
  <si>
    <t>Calf_Dressing_Rate</t>
  </si>
  <si>
    <t>Meat Productioin from Calves in a Cow's Productive Life</t>
  </si>
  <si>
    <t>The Meat Production from Calves in a Cow's Productive Life is the body weight of the full grown calf times the calf's dressing rate.</t>
  </si>
  <si>
    <t>Total Meat Production in a Cow's Productive Life</t>
  </si>
  <si>
    <t xml:space="preserve">Dry Matter Intake </t>
  </si>
  <si>
    <t>Daily Dry Matter Intake per Crop per Animal Type</t>
  </si>
  <si>
    <t>Percent of Daily DMI of Feedstuff * DMI for Animal Type * Percent of Animal unit</t>
  </si>
  <si>
    <t>BW</t>
  </si>
  <si>
    <t>Body Weight of Cow</t>
  </si>
  <si>
    <t>The Daily DMI per Day equals the daily ration of a particular feedstuff (expressed as a percent of the total daily feed) times the DMI required to maintain unadjusted/ECM milk production per day times the percent of each animal type that supports the milking cow.  This is calculated for each Animal Type.  For example: there are 14% dry cows for every 1 milking cow in the herd.</t>
  </si>
  <si>
    <t>Daily DMI for Lactating Cow + Daily DMI for Dry Cow + Daily DMI for Heifer + Daily DMI for Calf</t>
  </si>
  <si>
    <t>The Total Daily DMI per Crop is the sum of the daily DMI rations for each cow type in the herd for each crop.</t>
  </si>
  <si>
    <t>DMI to Pounds of Raw Feed Conversion</t>
  </si>
  <si>
    <t>Total Daily DMI per Crop / % Dry Matter</t>
  </si>
  <si>
    <t>The DMI to Pounds of Raw Feed Conversion is the total daily DMI per crop divided by the percent of dry matter for that crop.  This removes the moisture content of each feedstuff.</t>
  </si>
  <si>
    <t>Feed Required per Day</t>
  </si>
  <si>
    <t>DMI of Raw Feed * Storage Adjustment Factor</t>
  </si>
  <si>
    <t>Feed Required per Day / Pounds of Feed per Acre (Yeild)</t>
  </si>
  <si>
    <t>Part I - Parameters Related to Production</t>
  </si>
  <si>
    <t>Part II - Parameters Related to Inputs</t>
  </si>
  <si>
    <t>Part III - Parameters Related to Nutrient Excretions</t>
  </si>
  <si>
    <t>Part IV - Parameters Related to Greenhouse Gas Emissions</t>
  </si>
  <si>
    <t>(Day in Lactation used to compare systems; default value is the 150th day)</t>
  </si>
  <si>
    <t>Days in Milk (see notes)</t>
  </si>
  <si>
    <t>Synthetic Nitrogen Fertilizer</t>
  </si>
  <si>
    <t>Crop Inputs for One Lactating Cow plus Supporting Animals</t>
  </si>
  <si>
    <t>Nutrient Excretions for One Lactating Cow</t>
  </si>
  <si>
    <t>Nutrient Excretions for Other Animals</t>
  </si>
  <si>
    <t>Methane Emissions for One Lactating Cow</t>
  </si>
  <si>
    <t>Methane Emissions for Other Animals</t>
  </si>
  <si>
    <t>Energy Corrected Milk (ECM) Production</t>
  </si>
  <si>
    <t>Step 3</t>
  </si>
  <si>
    <t>Age of Cow at End of Productive Life:</t>
  </si>
  <si>
    <t>Month of the Year</t>
  </si>
  <si>
    <t>Feb</t>
  </si>
  <si>
    <t>March</t>
  </si>
  <si>
    <t>April</t>
  </si>
  <si>
    <t xml:space="preserve">May </t>
  </si>
  <si>
    <t>June</t>
  </si>
  <si>
    <t>July</t>
  </si>
  <si>
    <t>August</t>
  </si>
  <si>
    <t>Sept</t>
  </si>
  <si>
    <t>Oct</t>
  </si>
  <si>
    <t>Nov</t>
  </si>
  <si>
    <t>Dec</t>
  </si>
  <si>
    <t>Percent of DMI for One Lactating Cow</t>
  </si>
  <si>
    <t>Total All Feeds (must equal 100%)</t>
  </si>
  <si>
    <t>[add protein source here]</t>
  </si>
  <si>
    <t>Step 1</t>
  </si>
  <si>
    <t xml:space="preserve">University of Kentucky, Grain Crops Extension </t>
  </si>
  <si>
    <t>Synthetic Nitrogen per Acre</t>
  </si>
  <si>
    <t>Dry Matter Excretion (DME):</t>
  </si>
  <si>
    <t>Ratio of Energy for Maintenance (REM):</t>
  </si>
  <si>
    <t xml:space="preserve">Step 8b. Worksheet for Calculation of Average Annual Share of Dry Matter Intake by Feed based on Monthly Ration Formulation </t>
  </si>
  <si>
    <t>Jan</t>
  </si>
  <si>
    <t>Aug</t>
  </si>
  <si>
    <t>Mar</t>
  </si>
  <si>
    <t>The Feed Required per Day accounts for any storage and feeding loss by multiplying the pounds of raw feed by a storage and feed loss adjustment factor for each feedstuff (set in step 7 &amp; 7b)</t>
  </si>
  <si>
    <t>Acres of Prime Row Crop</t>
  </si>
  <si>
    <t>Acres Required * Percent of Prime Row Crop</t>
  </si>
  <si>
    <t>The Acres of Prime Row Crop Required per Day takes the acres required to produce feedstuff times the percent of the crop that is cultivated from high-production row crop land.</t>
  </si>
  <si>
    <t>Acres Required * Length_of_Lactation</t>
  </si>
  <si>
    <t>Acres Required per Lactation is the acres required to produce feed per day times the length of lactation.</t>
  </si>
  <si>
    <t>The Acres Required to Produce Feed per Day takes the pounds of feed required per day divided by the yeild (pounds) per acres of each particular feedstuff</t>
  </si>
  <si>
    <t>Synthetic Nitrogen               (pounds N) per Lactation</t>
  </si>
  <si>
    <t>Herbicides        (pounds a.i.) per Lactation</t>
  </si>
  <si>
    <t>Insecticides                         (pounds a.i.) per Lactation</t>
  </si>
  <si>
    <t>Synthetic Nitrogen per Lactation</t>
  </si>
  <si>
    <t>Herbicides per Lactation</t>
  </si>
  <si>
    <t>Acres per Lactation * Pounds of Herbicides per Acre</t>
  </si>
  <si>
    <t>Acres per Lactation * Pounds of Synthetic Nitrogen per Acre</t>
  </si>
  <si>
    <t>The total pounds of Herbicides applied to the acres required per lactation for all animal types equals the acres required to produce feed for those animals per lactation times the pounds of herbicides applied to those crop acres.</t>
  </si>
  <si>
    <t>The total pounds of Synthetic Nitrogen applied to the acres required per lactation for all animal types equals the acres required to produce feed for those animals per lactation times the pounds of  synthetic nitrogen applied to those crop acres.</t>
  </si>
  <si>
    <t>The total pounds of insecticides applied to the acres required per lactation for all animal types equals the acres required to produce feed per lactation times the pounds of insecticides applied to those crop acres.</t>
  </si>
  <si>
    <t>Acres per Lactation * Pounds of Insecticides per Acre</t>
  </si>
  <si>
    <t>Insecticides per Lactation</t>
  </si>
  <si>
    <t>Synthetic Nitrogen per Day</t>
  </si>
  <si>
    <t>Acres Required per Day</t>
  </si>
  <si>
    <t>Herbicides per Day</t>
  </si>
  <si>
    <t>Insecticides per Day</t>
  </si>
  <si>
    <t>(DMI_Heifer_kg x 4.158) - (Heifer_Weight x .0246)</t>
  </si>
  <si>
    <t>DMI_Calf_kg * 3.45</t>
  </si>
  <si>
    <t>DMI_Calf_kg * 0.393</t>
  </si>
  <si>
    <t>(DMI (kg) x 0.356) + .80</t>
  </si>
  <si>
    <t>(DMI_Heifer_kg * Dietary_CP_Heifer * 78.39) + 51.4) / 1000</t>
  </si>
  <si>
    <t>DMI_Calf_kg * (Dietary_CP_Calf * 112.55) / 1000</t>
  </si>
  <si>
    <t xml:space="preserve">Unadjusted_Milk_Production_kg * 5.67(g/day) / 1000)   </t>
  </si>
  <si>
    <t>Unadjusted_Milk_Production_kg * 2.98 (g/day)/1000</t>
  </si>
  <si>
    <t>DMI_Lact_Cow_kg * Dietary_P_Lact_Cow * 560.7) + 21.1) / 1000</t>
  </si>
  <si>
    <t>DMI_Calf_kg * Dietary_P_Calf * 622.03) / 1000</t>
  </si>
  <si>
    <t>DMI_Lact_Cow_kg * 7.21) + (Dietary_K_Lact_Cow * 15944) - 164.5) /1000</t>
  </si>
  <si>
    <t>Ratio of Energy for maintenance</t>
  </si>
  <si>
    <t>VSP</t>
  </si>
  <si>
    <t>Volatile Solids Produced</t>
  </si>
  <si>
    <t>Net Energy for Maintenance (NE(m))</t>
  </si>
  <si>
    <t>Net Energy for Activity (NE(a))</t>
  </si>
  <si>
    <t>Net Energy for Lactation (NE(l))</t>
  </si>
  <si>
    <t>DMI_Lact_Cow_kg * 0.81) + 3.23) /55.65</t>
  </si>
  <si>
    <t xml:space="preserve">(% of Forgage DMI * 0.14 + 8.56) / 55.65 </t>
  </si>
  <si>
    <t>Ch4 producing potential of waste</t>
  </si>
  <si>
    <t>NE</t>
  </si>
  <si>
    <t>GE (m)</t>
  </si>
  <si>
    <t>Gross Energy from manure</t>
  </si>
  <si>
    <t>GE (ef)</t>
  </si>
  <si>
    <t>Gross Energy from enteric fermentation</t>
  </si>
  <si>
    <t>NE (m)</t>
  </si>
  <si>
    <t>Net Energy for maintenance</t>
  </si>
  <si>
    <t>NE (a)</t>
  </si>
  <si>
    <t>Net Energy for activity</t>
  </si>
  <si>
    <t>NE (l)</t>
  </si>
  <si>
    <t>Net Energy for lactation</t>
  </si>
  <si>
    <t>NE (p)</t>
  </si>
  <si>
    <t>Net Energy for pregnancy</t>
  </si>
  <si>
    <t>Step 2 &amp; 2b</t>
  </si>
  <si>
    <t>Step 3 &amp; 3b</t>
  </si>
  <si>
    <t>Step 6 &amp; 6b</t>
  </si>
  <si>
    <t>Step 1,1b,2 &amp; 2b</t>
  </si>
  <si>
    <t>Step 14 &amp; 14b</t>
  </si>
  <si>
    <t>Step 12 &amp; 12b</t>
  </si>
  <si>
    <t>Step 13 &amp; 13b</t>
  </si>
  <si>
    <t>Nitrogen Excreted</t>
  </si>
  <si>
    <t>Dry Matter Excreted</t>
  </si>
  <si>
    <t>DME</t>
  </si>
  <si>
    <t>PE</t>
  </si>
  <si>
    <t>KE</t>
  </si>
  <si>
    <t>Phosphorus Excreted</t>
  </si>
  <si>
    <t>Potassium Excreted</t>
  </si>
  <si>
    <t>Step Initiated in</t>
  </si>
  <si>
    <t>8.</t>
  </si>
  <si>
    <t xml:space="preserve">9. </t>
  </si>
  <si>
    <t>10.</t>
  </si>
  <si>
    <t xml:space="preserve">11. </t>
  </si>
  <si>
    <t>(1/(% Unsuccessful Breedings + %Lost Conceptions) * (% Unsuccessful Breedings * Days Between Attempts) + (% Lost Conceptions * Days Between Attempts)</t>
  </si>
  <si>
    <t xml:space="preserve">The Number of Days Between Breeding Attempts calculated, takes into consideration the complexity of the issue of unsuccessful breeding attempts and successful breeding attempts, but fail to go full term.  The percent of unsuccessful breedings and percent of lost conceptions are added and divided into 1 to get the reciprocal value.  Then it is multiplied by the percent of unsuccessful breedings times the associated days between breeding attempts, plus the percent of lost conceptions times the associated days between breeding attempts.  </t>
  </si>
  <si>
    <t>Total Net Energy /REM</t>
  </si>
  <si>
    <t>Gross Energy Intake (GE):</t>
  </si>
  <si>
    <t>mj/day</t>
  </si>
  <si>
    <t xml:space="preserve">Gross Energy </t>
  </si>
  <si>
    <t>Gross_Energy</t>
  </si>
  <si>
    <t>Waste Mgmt System</t>
  </si>
  <si>
    <t>Composting - Static Pile</t>
  </si>
  <si>
    <t>Composting - Intensive</t>
  </si>
  <si>
    <t>Daily Spread</t>
  </si>
  <si>
    <t>Temperate</t>
  </si>
  <si>
    <t>Percent of Manure</t>
  </si>
  <si>
    <t>above</t>
  </si>
  <si>
    <t>Volatile Solids Produced (VSP)</t>
  </si>
  <si>
    <t>Volatile Solids Produced (VSP):</t>
  </si>
  <si>
    <t>Step 15 - GHG Emissions</t>
  </si>
  <si>
    <t>Step 13 - Nutrient Excretions</t>
  </si>
  <si>
    <t>Step 13. Manure &amp; Nutrient Excretions page</t>
  </si>
  <si>
    <t>Step 9 - Daily Rations of DMI</t>
  </si>
  <si>
    <t>Step 12 - Dietary Intake</t>
  </si>
  <si>
    <t>Diet_Digestibility</t>
  </si>
  <si>
    <t>(Milk(kg/day) * 24.9 (g/day) /1000) *75%</t>
  </si>
  <si>
    <t>CH4 Producing Potential of Waste (Bo):</t>
  </si>
  <si>
    <t>Digestible Energy is the total net energy divided by the ratio of energy needed for maintenance.</t>
  </si>
  <si>
    <t>Gross Energy Intake (GE))</t>
  </si>
  <si>
    <t>Total_Net_Energy / REM / Diet_Digestibility</t>
  </si>
  <si>
    <t>Gross Energy Intake is the total net energy divided by the percent of diet digestibility divided by the ratio of energy required for maintenance.</t>
  </si>
  <si>
    <t>Gross Energy - Digestible_Energy + (0.02 * Gross_Energy)) /20.1</t>
  </si>
  <si>
    <t>Gross_Energy * YM / 55.65</t>
  </si>
  <si>
    <t>VSP * Bo * MCF * 0.662</t>
  </si>
  <si>
    <t>1. "DMI per Cow Equivalent per Day" -- Calculated value based on "Percent of Daily DMI" for a given feedstuff, multiplied by the total DMI required per day to sustain a milking cow.</t>
  </si>
  <si>
    <t xml:space="preserve">2. "DMI to Pounds of Raw Feed Conversion" -- Conversion of the pounds of DMI required per day of a given feedstuff, to actual pounds of the feedtsuff, taking into account the percent of dry matter  in a pound of feedtsuff (Step 7).  </t>
  </si>
  <si>
    <t>3. "Pounds Feed Required per Day" --  Calculated value (pounds raw feed needed, multiplied by storage and feeding loss adjustment factor).</t>
  </si>
  <si>
    <t>4. "Acres Required to Produce Feed per Day" -- Calculated value (pounds feed required per day divided by yield per acre).</t>
  </si>
  <si>
    <t>5. "Acres Required per Milking Cow per Lactation" -- Calculated value (acres required to produce feed per day, multiplied by milking days per lactation).</t>
  </si>
  <si>
    <t>Total Net Energy</t>
  </si>
  <si>
    <t>Net Energy for Pregnancy (NE(p))</t>
  </si>
  <si>
    <t>NE_Maintenance * 10%</t>
  </si>
  <si>
    <t>Net Energy for Pregnancy is calculated as 10% of net energy used for maintenance.</t>
  </si>
  <si>
    <t>Total Net Energy is the total of net energy for maintenance, activity, lactation and pregnancy.</t>
  </si>
  <si>
    <t>NE_Maintenance + NE_Activity + NE_Lactation + NE_Pregnancy</t>
  </si>
  <si>
    <t>Y(m)</t>
  </si>
  <si>
    <t>Net Energy for Maintenance is based on the body weight of a lactating cow to the power of .75 times a coefficient of 0.386 which is specific to dairy cows.</t>
  </si>
  <si>
    <t>Step 14. Greenhouse Gas Inputs page</t>
  </si>
  <si>
    <t>Step 15. Methane Emissions page</t>
  </si>
  <si>
    <t>Portion of GE converted to CH4 (Ym):</t>
  </si>
  <si>
    <t>VSp, kg = (GE-DE+ (.02*GE))/20.1</t>
  </si>
  <si>
    <t xml:space="preserve">Weighted MCF </t>
  </si>
  <si>
    <t>Weighted MCF</t>
  </si>
  <si>
    <t xml:space="preserve">Step 5. Total Milk and Meat Production of a Lactating Cow </t>
  </si>
  <si>
    <t>Step 13b. Manure and Nutrient Excretion Predictions from Dairy Cattle per Day</t>
  </si>
  <si>
    <t>- Default</t>
  </si>
  <si>
    <t>Poor Production</t>
  </si>
  <si>
    <t>Aggressiveness or Belligerence (kickers)</t>
  </si>
  <si>
    <t>Reproductive Problems</t>
  </si>
  <si>
    <t>Other Diseases</t>
  </si>
  <si>
    <t>Other Reasons</t>
  </si>
  <si>
    <t>Death Rates (Unweaned)</t>
  </si>
  <si>
    <t>Lactating Cows</t>
  </si>
  <si>
    <t>Heifer Abortion Rate:</t>
  </si>
  <si>
    <t>Death_Rate_Weaned_Heifers</t>
  </si>
  <si>
    <t>Percent of One Lactating Cow</t>
  </si>
  <si>
    <t>Lact_Cows</t>
  </si>
  <si>
    <t>Breed of Herd</t>
  </si>
  <si>
    <t>Choose Breed:</t>
  </si>
  <si>
    <t>Breed of Herd:</t>
  </si>
  <si>
    <t>Units of Measure:</t>
  </si>
  <si>
    <t>Body Weight Units of Meas.</t>
  </si>
  <si>
    <t xml:space="preserve">Lactating Cow Weight </t>
  </si>
  <si>
    <t>Dry Cow Weight</t>
  </si>
  <si>
    <t>`</t>
  </si>
  <si>
    <t>Lactating Cow Weight</t>
  </si>
  <si>
    <t>Heifer &gt;1 Weight</t>
  </si>
  <si>
    <t>Calf Weight</t>
  </si>
  <si>
    <t>Heifer &gt; 1 Weight (at 18 mos.)</t>
  </si>
  <si>
    <t>Calf Weight (at 7 mos.)</t>
  </si>
  <si>
    <t>Lactating Cows (kg)</t>
  </si>
  <si>
    <t>Lact_Cow_Weight_kg</t>
  </si>
  <si>
    <t>Body Weight in kgs:</t>
  </si>
  <si>
    <t>Body Weight in lbs:</t>
  </si>
  <si>
    <t>Lact_Cow_Weight_lb</t>
  </si>
  <si>
    <t>Lactating Cows (lb)</t>
  </si>
  <si>
    <t>Dry Cows (lb)</t>
  </si>
  <si>
    <t>Heifers &gt; 1 (lb)</t>
  </si>
  <si>
    <t>Calves (lb)</t>
  </si>
  <si>
    <t>Dry_Cow_Weight_lb</t>
  </si>
  <si>
    <t>Dry_Cow_Weight_kg</t>
  </si>
  <si>
    <t>Heifer_Weight_kg</t>
  </si>
  <si>
    <t>Calf_Weight_kg</t>
  </si>
  <si>
    <t>Heifer_Weight_lb</t>
  </si>
  <si>
    <t>Calf_Weight_lb</t>
  </si>
  <si>
    <t>Digestive Problems</t>
  </si>
  <si>
    <t>Poison</t>
  </si>
  <si>
    <t>Unknown Reasons</t>
  </si>
  <si>
    <t>Calving Problems</t>
  </si>
  <si>
    <t>Other Known Reasons</t>
  </si>
  <si>
    <t>Breeding_Method</t>
  </si>
  <si>
    <t>Breeeding Method</t>
  </si>
  <si>
    <t>Heifers &lt; 1</t>
  </si>
  <si>
    <t>Breeding Method:</t>
  </si>
  <si>
    <t>AI wo/ Sync</t>
  </si>
  <si>
    <t>Number of days between attempted Breedings</t>
  </si>
  <si>
    <t>months</t>
  </si>
  <si>
    <t>1.</t>
  </si>
  <si>
    <t>2.</t>
  </si>
  <si>
    <t>3.</t>
  </si>
  <si>
    <t>Market Value of Bull Calves:</t>
  </si>
  <si>
    <t>Market Value of Heifer Calves:</t>
  </si>
  <si>
    <t>- Heifers</t>
  </si>
  <si>
    <t>- Bulls</t>
  </si>
  <si>
    <t>Price per Pound of Milk:</t>
  </si>
  <si>
    <t>Milk Revenue per Year of Life:</t>
  </si>
  <si>
    <t>Meat Revenue per Year of Life:</t>
  </si>
  <si>
    <t xml:space="preserve">Number of Replacement Heifers </t>
  </si>
  <si>
    <t>Years of Life</t>
  </si>
  <si>
    <t>Needed to Sustain Herd:</t>
  </si>
  <si>
    <t>Number of Heifers &lt; 1 Year Needed:</t>
  </si>
  <si>
    <t>Heifers &gt; 1 Year as a Percent of One</t>
  </si>
  <si>
    <t>Dry Cows as a Percent of One Lactating Cow:</t>
  </si>
  <si>
    <t>Step 1. Herd Profile</t>
  </si>
  <si>
    <t>Step 1 - Herd Profile</t>
  </si>
  <si>
    <t>Annual Calf Production during a Cow's Life:</t>
  </si>
  <si>
    <t>- User Reported</t>
  </si>
  <si>
    <t xml:space="preserve">Number of Heifers &gt; 1 Year Needed to Produce </t>
  </si>
  <si>
    <t>Replacements:</t>
  </si>
  <si>
    <t>Number of Years Cow is Productive:</t>
  </si>
  <si>
    <t>Average Weight of Grown Calf at Slaughter</t>
  </si>
  <si>
    <t>Death_Rate_Unweaned_Heifers</t>
  </si>
  <si>
    <t>Death Rate for Unweaned Heifers:</t>
  </si>
  <si>
    <t>Number of Heifers that Need to be Born:</t>
  </si>
  <si>
    <t>Heifer &lt; 1</t>
  </si>
  <si>
    <t>Failure to Breed Rate:</t>
  </si>
  <si>
    <t>- Internally Calculated</t>
  </si>
  <si>
    <t xml:space="preserve">Number of Cows One Bull can Impregnate </t>
  </si>
  <si>
    <t>Bulls Needed:</t>
  </si>
  <si>
    <t>Bulls can Impregnate</t>
  </si>
  <si>
    <t>Adult Cows</t>
  </si>
  <si>
    <t>(1st time breeders)</t>
  </si>
  <si>
    <t>Cow</t>
  </si>
  <si>
    <t>Failure to Breed Rate</t>
  </si>
  <si>
    <t xml:space="preserve">Breeding Attempts </t>
  </si>
  <si>
    <t>Days between Breeding Attempts</t>
  </si>
  <si>
    <t>Heifer Failure to Breed Rate:</t>
  </si>
  <si>
    <t>Cow_Days_Between_Breeding_Attempts</t>
  </si>
  <si>
    <t>Heifer_Days_Between_Breeding_Attempts</t>
  </si>
  <si>
    <t>Heifer_Failure_to_Breed_Rate</t>
  </si>
  <si>
    <t>Heifer_Breeding_Attempts</t>
  </si>
  <si>
    <t>Cow_Breeding_Attempts</t>
  </si>
  <si>
    <t>Cow_Failure_to_Breed_Rate</t>
  </si>
  <si>
    <t>Heifer Breeding Parameters:</t>
  </si>
  <si>
    <t>Cow Breeding Parameters:</t>
  </si>
  <si>
    <t>Unsuccessful Breeding Attempts for Cows</t>
  </si>
  <si>
    <t>Unsuccessful Breeding Attempts for Heifers</t>
  </si>
  <si>
    <t>Adult Cow Defaults</t>
  </si>
  <si>
    <t>Heifer Defaults</t>
  </si>
  <si>
    <t>Bull_Can_Impregnate</t>
  </si>
  <si>
    <t xml:space="preserve">Unsuccessful Breeding Attempts % </t>
  </si>
  <si>
    <t xml:space="preserve">Unsuccessful Breeding-Days to next Breeding </t>
  </si>
  <si>
    <t>Unsuccessful_Breeding_Cows_Percent</t>
  </si>
  <si>
    <t>Unsuccessful_Breeding_Cows_Days</t>
  </si>
  <si>
    <t>Embryonic Loss-Days to next Breeding</t>
  </si>
  <si>
    <t>Embryonic Loss Rate (1-40 days)</t>
  </si>
  <si>
    <t>Spontaneous Abortion Rate (41 - 260 days)</t>
  </si>
  <si>
    <t>Embryonic Loss Rate</t>
  </si>
  <si>
    <t>Spontaneous Abortion Rate</t>
  </si>
  <si>
    <t>Spontaneous Abortion Rate (41-260 days)</t>
  </si>
  <si>
    <t>Unsuccessful_Breeding_Heifers_Percent</t>
  </si>
  <si>
    <t>Unsuccessful_Breeding_Heifers_Days</t>
  </si>
  <si>
    <t>Percent Heifers Served</t>
  </si>
  <si>
    <t>Embryonic_Loss_Rate_Cows</t>
  </si>
  <si>
    <t>Embryonic_Loss_Days_Cows</t>
  </si>
  <si>
    <t>Embryonic_Loss_Rate_Heifers</t>
  </si>
  <si>
    <t>Embryonic_Loss_Days_Heifers</t>
  </si>
  <si>
    <t xml:space="preserve">Abortion Rate </t>
  </si>
  <si>
    <t xml:space="preserve">Embryonic Loss Rate </t>
  </si>
  <si>
    <t>Abortion Rate-Days to next Breeding</t>
  </si>
  <si>
    <t>Abortion_Days_Cows</t>
  </si>
  <si>
    <t>Abortion_Rate_Cows</t>
  </si>
  <si>
    <t>Abortion_Days_Heifers</t>
  </si>
  <si>
    <t>Abortion_Rate_Heifers</t>
  </si>
  <si>
    <t>Age at First Breeding</t>
  </si>
  <si>
    <t>Age of Heifer at 1st Breeding Attempt</t>
  </si>
  <si>
    <t>Market Value for Bull Calf</t>
  </si>
  <si>
    <t>Market Value for Heifer Calf</t>
  </si>
  <si>
    <t>Price Defaults (Step 5)</t>
  </si>
  <si>
    <t>Milk Price per pound</t>
  </si>
  <si>
    <t>Market Value of Heifer Calf</t>
  </si>
  <si>
    <t>Market Value of Bull Calf</t>
  </si>
  <si>
    <t>USDA's Class I Milk Price Average for June 2009</t>
  </si>
  <si>
    <t>Milk Price per Pound</t>
  </si>
  <si>
    <t>Sell Calves at Birth or Raise to Slaughter</t>
  </si>
  <si>
    <t>Market Value of Heifer Calves</t>
  </si>
  <si>
    <t>Market Value of Bull Calves</t>
  </si>
  <si>
    <t>Milk_Price</t>
  </si>
  <si>
    <t>Market_Value_Heifer_Calf</t>
  </si>
  <si>
    <t>Market_Value_Bull_Calf</t>
  </si>
  <si>
    <t>Birth</t>
  </si>
  <si>
    <t>Slaughter</t>
  </si>
  <si>
    <t>- Cow</t>
  </si>
  <si>
    <t>Total Revenue from Meat</t>
  </si>
  <si>
    <t>Dry Matter Intake Required for Heifer &lt; 1 per Day:</t>
  </si>
  <si>
    <t xml:space="preserve">Number of Cows per Bull </t>
  </si>
  <si>
    <t>Revenue from Calf Sales</t>
  </si>
  <si>
    <t>- Bull and Heifer Calves</t>
  </si>
  <si>
    <t>Grown Calf Weight</t>
  </si>
  <si>
    <t xml:space="preserve">Full Grown Calf Weight </t>
  </si>
  <si>
    <t>Full Grown Calf (kg)</t>
  </si>
  <si>
    <t>Full Grown Calf (lb)</t>
  </si>
  <si>
    <t>Grown_Calf_Weight_lb</t>
  </si>
  <si>
    <t>Grown_Calf_Weight_kg</t>
  </si>
  <si>
    <t xml:space="preserve">Heifer &lt;1 </t>
  </si>
  <si>
    <t>Unsuccessful Breeding Attempts Rate</t>
  </si>
  <si>
    <t>Unsuccessful Breeding Attempts (Days between attempts)</t>
  </si>
  <si>
    <t>Embryonic Loss (Days between attempts)</t>
  </si>
  <si>
    <t>Spontaneous Abortion (Days between attempts)</t>
  </si>
  <si>
    <t>Percent of Cows that have Live Births</t>
  </si>
  <si>
    <t>Percent of Cows that Produce Heifer Calves</t>
  </si>
  <si>
    <t>Percent of Cows that Produce Bull Calves</t>
  </si>
  <si>
    <t>Price per Pound for Cow (live weight):</t>
  </si>
  <si>
    <t>Price per Pound for Calf (live weight):</t>
  </si>
  <si>
    <t>Meat Price for Cows (live weight)(lb)</t>
  </si>
  <si>
    <t>Meat Price for Calfs (live weight)(lb)</t>
  </si>
  <si>
    <t>Calfs (Birth or Slaughter)</t>
  </si>
  <si>
    <t>Meat Price for Cow (lb)</t>
  </si>
  <si>
    <t>Meat Price for Calf (lb)</t>
  </si>
  <si>
    <t>Meat_Price_Cow</t>
  </si>
  <si>
    <t>Meat_Price_Calf</t>
  </si>
  <si>
    <t>Gestation Period</t>
  </si>
  <si>
    <t>Source: EPA; Annex 3.1 Methodology for Estimating Emissions of CH4, N2O, and Indirect Greenhouse Gases from Stationary Combustion.  Table A-174: Methane Conversion Factors for Dry Systems</t>
  </si>
  <si>
    <t>Days from Calving to First Breeding Attempt</t>
  </si>
  <si>
    <t>Breeding attempts from conception to term</t>
  </si>
  <si>
    <t>Age at First Birthing</t>
  </si>
  <si>
    <t>Days in Lactation with Diverted Milk</t>
  </si>
  <si>
    <t>Days from Calving to 1st Breeding Attempt</t>
  </si>
  <si>
    <t>Number of Days from Calving to First Breeding</t>
  </si>
  <si>
    <t>Attempt:</t>
  </si>
  <si>
    <t>to Term:</t>
  </si>
  <si>
    <t>Average Breeding Attempts per Conception</t>
  </si>
  <si>
    <t>Number of Lactations in Productive Life:</t>
  </si>
  <si>
    <t xml:space="preserve">-Internally Calculated (based on outcome of </t>
  </si>
  <si>
    <t xml:space="preserve"> previous breeding; see next section)</t>
  </si>
  <si>
    <t>User Reported</t>
  </si>
  <si>
    <t>Reported Source</t>
  </si>
  <si>
    <t>7.</t>
  </si>
  <si>
    <t>9.</t>
  </si>
  <si>
    <t>11.</t>
  </si>
  <si>
    <t>12.</t>
  </si>
  <si>
    <t xml:space="preserve">- Internally Calculated </t>
  </si>
  <si>
    <t>kg/yr</t>
  </si>
  <si>
    <t>lb/yr</t>
  </si>
  <si>
    <t>Days_in_Diverted_Milk</t>
  </si>
  <si>
    <t>per lb</t>
  </si>
  <si>
    <t>z</t>
  </si>
  <si>
    <t>Notes:  Where cell is blue, values were not given by Nennich and therefore assumed based on similar data as specified.</t>
  </si>
  <si>
    <t>DMI_Heifer_Calf_lb</t>
  </si>
  <si>
    <t>DMI_Heifer_Calf_kg</t>
  </si>
  <si>
    <t>DMI_Dry_Cow_lb</t>
  </si>
  <si>
    <t>DMI_Heifer_lb</t>
  </si>
  <si>
    <t>- Calculated based on DMI</t>
  </si>
  <si>
    <t>- Calculated based on Percent Forage</t>
  </si>
  <si>
    <t>- Calculated based on EPA Method</t>
  </si>
  <si>
    <t>Step 15b. Methane Emission Predictions from Dairy Cattle per Day</t>
  </si>
  <si>
    <t>Dairy 2007 p. 61</t>
  </si>
  <si>
    <t>Dairy 2007 p.26</t>
  </si>
  <si>
    <t>Dairy 2007 p. 23</t>
  </si>
  <si>
    <t xml:space="preserve">12. </t>
  </si>
  <si>
    <t>Unweaned Heifer Death Rate</t>
  </si>
  <si>
    <t>Dairy 2007 p. 91</t>
  </si>
  <si>
    <t xml:space="preserve">10. </t>
  </si>
  <si>
    <t>Methane (Enteric Fermentation)</t>
  </si>
  <si>
    <t>Total Methane Emissions</t>
  </si>
  <si>
    <t>per year</t>
  </si>
  <si>
    <t>Unadjusted Milk Production (lb)</t>
  </si>
  <si>
    <t>6. Takes the number of animals in the herd and converts it to a percent of one lactating cow.</t>
  </si>
  <si>
    <t>1. Value is the remaining portion of the dairy herd that is not a lactating cow.</t>
  </si>
  <si>
    <t>Methane (Manure)</t>
  </si>
  <si>
    <t>1. Calculated to comply with other default values</t>
  </si>
  <si>
    <t>Energy Corrected Milk Production (lb)</t>
  </si>
  <si>
    <t>Per Year</t>
  </si>
  <si>
    <t>Check Box</t>
  </si>
  <si>
    <t>Successful Breeding Attempts for Cows</t>
  </si>
  <si>
    <t>Successful Breeding Attempts for Heifers</t>
  </si>
  <si>
    <t>acres/year</t>
  </si>
  <si>
    <t>Total Methane from Heifer &gt;1:</t>
  </si>
  <si>
    <t>Total Methane from Heifer &lt; 1:</t>
  </si>
  <si>
    <t>Total Methane from Heifer &gt; 1:</t>
  </si>
  <si>
    <t>Equations</t>
  </si>
  <si>
    <t>Length of Dryoff Period:</t>
  </si>
  <si>
    <t>Lack of Coordination, Depression or Other CNS</t>
  </si>
  <si>
    <t>Carcass Weight</t>
  </si>
  <si>
    <t>Meat Revenue Based on Calf Sales or Slaughter:</t>
  </si>
  <si>
    <t>- Heifers &gt;1 that Fail to Breed</t>
  </si>
  <si>
    <t>Step 1.1 Dairy Herd (Adult Cows)</t>
  </si>
  <si>
    <t>Step 1.2 Number of Replacements Needed to Sustain Herd</t>
  </si>
  <si>
    <t>Step 1.3.1 Number of Heifers &gt; 1 Year Needed to Produce Replacements</t>
  </si>
  <si>
    <t>Step 1.3. Replacement Stock</t>
  </si>
  <si>
    <t xml:space="preserve">Step 1.3.2 Number of Live Heifers &lt; 1 Year Needed </t>
  </si>
  <si>
    <t xml:space="preserve">Step 1.3.3 Number of Live Heifer Calves that Must be Born to Sustain Herd Size </t>
  </si>
  <si>
    <t>Step 1.3.4 Bulls Needed for Breeding</t>
  </si>
  <si>
    <t>Step 1.4 Body Weights</t>
  </si>
  <si>
    <t>Step 5.1 Milk Production</t>
  </si>
  <si>
    <t>Step 5.2 Meat Production</t>
  </si>
  <si>
    <t>Step 5.4 Revenue from Animals Sold for Slaughter</t>
  </si>
  <si>
    <t>Step 5.5 Revenue from Calf Sales</t>
  </si>
  <si>
    <t>Step 6.1 Dry Matter Intake of Lactating Cows</t>
  </si>
  <si>
    <t>Step 6.2 Dry Matter Intake of Other Animals in Herd</t>
  </si>
  <si>
    <t>Step 9b.1 Forage Feeds</t>
  </si>
  <si>
    <t>Step 9b.2 Grain</t>
  </si>
  <si>
    <t>Step 9b.3 Protein Supplements</t>
  </si>
  <si>
    <t>Step 10b.1 Forage Feeds</t>
  </si>
  <si>
    <t>Step 10b.2 Grain</t>
  </si>
  <si>
    <t>Step 10b.3 Protein Supplements</t>
  </si>
  <si>
    <t>Step 11b.1 Forage Feeds</t>
  </si>
  <si>
    <t>Step 11b.2 Grain</t>
  </si>
  <si>
    <t>Step 11b.3 Protein Supplements</t>
  </si>
  <si>
    <t>Step 12.2 Dietary Intakes for One Dry Cow</t>
  </si>
  <si>
    <t>Step 12.3 Dietary Intakes for One Heifer &gt; 1</t>
  </si>
  <si>
    <t>Step 13b.5 Total Impact of Nutrient Excretions from One Lactating Cow and its Sustaining Herd</t>
  </si>
  <si>
    <t>Step 13b.4 One Heifer &lt; 1 Contribution</t>
  </si>
  <si>
    <t>Step 13b.3 One Heifer &gt; 1 Contribution</t>
  </si>
  <si>
    <t>Step 13b.2 One Dry Cow Contribution</t>
  </si>
  <si>
    <t>Step 13b.1 One Lactating Cow Contribution</t>
  </si>
  <si>
    <t>Step 15b.1 One Lactating Cow Contribution</t>
  </si>
  <si>
    <t>Step 15b.2 One Dry Cow Contribution</t>
  </si>
  <si>
    <t>Step 15b.3 One Heifer &gt; 1 Contribution</t>
  </si>
  <si>
    <t>Step 15b.4 One Heifer &lt; 1 Contribution</t>
  </si>
  <si>
    <t>Percent of Adult Cows in Herd</t>
  </si>
  <si>
    <t>State</t>
  </si>
  <si>
    <t>Liquid/Slurry and Deep Pit</t>
  </si>
  <si>
    <t>ME</t>
  </si>
  <si>
    <t>NH</t>
  </si>
  <si>
    <t>VT</t>
  </si>
  <si>
    <t>MA</t>
  </si>
  <si>
    <t>RI</t>
  </si>
  <si>
    <t>CT</t>
  </si>
  <si>
    <t>NY</t>
  </si>
  <si>
    <t>NJ</t>
  </si>
  <si>
    <t>PA</t>
  </si>
  <si>
    <t>DE</t>
  </si>
  <si>
    <t>MD</t>
  </si>
  <si>
    <t>MI</t>
  </si>
  <si>
    <t>WI</t>
  </si>
  <si>
    <t>MN</t>
  </si>
  <si>
    <t>OH</t>
  </si>
  <si>
    <t>IN</t>
  </si>
  <si>
    <t>IL</t>
  </si>
  <si>
    <t>IA</t>
  </si>
  <si>
    <t>MO</t>
  </si>
  <si>
    <t>ND</t>
  </si>
  <si>
    <t>SD</t>
  </si>
  <si>
    <t>KS</t>
  </si>
  <si>
    <t>VA</t>
  </si>
  <si>
    <t>WV</t>
  </si>
  <si>
    <t>NC</t>
  </si>
  <si>
    <t>KY</t>
  </si>
  <si>
    <t>TN</t>
  </si>
  <si>
    <t>SC</t>
  </si>
  <si>
    <t>GA</t>
  </si>
  <si>
    <t>FL</t>
  </si>
  <si>
    <t>AL</t>
  </si>
  <si>
    <t>MS</t>
  </si>
  <si>
    <t>AR</t>
  </si>
  <si>
    <t>LA</t>
  </si>
  <si>
    <t>OK</t>
  </si>
  <si>
    <t>TX</t>
  </si>
  <si>
    <t>MT</t>
  </si>
  <si>
    <t>ID</t>
  </si>
  <si>
    <t>WY</t>
  </si>
  <si>
    <t>CO</t>
  </si>
  <si>
    <t>NM</t>
  </si>
  <si>
    <t>AZ</t>
  </si>
  <si>
    <t>UT</t>
  </si>
  <si>
    <t>NV</t>
  </si>
  <si>
    <t>WA</t>
  </si>
  <si>
    <t>OR</t>
  </si>
  <si>
    <t>CA</t>
  </si>
  <si>
    <t>AK</t>
  </si>
  <si>
    <t>HI</t>
  </si>
  <si>
    <t>Age of Heifer at First Birthing (months):</t>
  </si>
  <si>
    <t>Step 5.6 Total Revenue per Year of Life</t>
  </si>
  <si>
    <t>Source: Nennich, J. Dairy Science, Vol 88: 3721-3733.</t>
  </si>
  <si>
    <t xml:space="preserve">Step 8a. Worksheet for Calculation of Average Annual Share of Dry Matter Intake by Feed based on Monthly Ration Formulation </t>
  </si>
  <si>
    <t>Step 9a.1 Forage Feeds</t>
  </si>
  <si>
    <t>Step 9a.2 Grain</t>
  </si>
  <si>
    <t>Step 9a.3 Protein Supplements</t>
  </si>
  <si>
    <t>Step 10a.1 Forage Feeds</t>
  </si>
  <si>
    <t>Step 10a.2 Grain</t>
  </si>
  <si>
    <t>Step 10a.3 Protein Supplements</t>
  </si>
  <si>
    <t>Step 11a.1 Forage Feeds</t>
  </si>
  <si>
    <t>Step 11a.2 Grain</t>
  </si>
  <si>
    <t>Step 11a.3 Protein Supplements</t>
  </si>
  <si>
    <t>Step 13a. Daily Manure and Nutrient Excretion Predictions from Dairy Cattle</t>
  </si>
  <si>
    <t>Step 13a.1 One Lactating Cow Contribution</t>
  </si>
  <si>
    <t>Step 13a.2 One Dry Cow Contribution</t>
  </si>
  <si>
    <t>Step 13a.3 One Heifer &gt; 1 Contribution</t>
  </si>
  <si>
    <t>Step 13a.5 Total Impact of Nutrient Excretions from One Lactating Cow and its Sustaining Herd</t>
  </si>
  <si>
    <t>Step 14a.2 Energy</t>
  </si>
  <si>
    <t>Step 15a.1 One Lactating Cow Contribution</t>
  </si>
  <si>
    <t>Step 15a.2 One Dry Cow Contribution</t>
  </si>
  <si>
    <t>Step 15a.3 One Heifer &gt; 1 Contribution</t>
  </si>
  <si>
    <t>Step 15a.4 One Heifer &lt; 1 Contribution</t>
  </si>
  <si>
    <t>Step 5.3 Revenue from Milk Production</t>
  </si>
  <si>
    <t>Step 10a. Crop Acres Required to Produce the Feedstuffs for Dairy Animals</t>
  </si>
  <si>
    <t>Step 10b. Crop Acres Required to Produce the Feedstuffs for Dairy Animals</t>
  </si>
  <si>
    <t>Step 11a. Estimates of Synthetic Nitrogen Fertilizer and Pesticides Required to Produce Feed for Dairy Animals</t>
  </si>
  <si>
    <t>Step 11b. Estimates of Synthetic Nitrogen Fertilizer and Pesticides Required to Produce Feed for Dairy Animals</t>
  </si>
  <si>
    <t>Step 12. Other Measures of Dietary Intakes by Type of Dairy Animal</t>
  </si>
  <si>
    <t>Step 7a. Feedstuff Yield Assumptions and DMI Conversions for Feed Crops</t>
  </si>
  <si>
    <t>Step 7b. Feedstuff Yield Assumptions and DMI Conversions for Feed Crops</t>
  </si>
  <si>
    <t>12-month Average DMI</t>
  </si>
  <si>
    <t>1.  Based on unsuccessful breeding attempts and lost conceptions from the outcome of the previous attempt section.</t>
  </si>
  <si>
    <t>2. Weighted average of breeding attempts that are unsuccessful, embryonic loss and spontaneous abortions in the case of first-calf heifers and multiparous cows.   Heifer spontaneous abortion rate default is from "Dairy 2007: Part I" page 81.</t>
  </si>
  <si>
    <t>3. Calving Interval is calculated  based on length of lactation plus the dryoff period.  Average lactation was 13.2 months (396 days) and dryoff was 57.8 days in 2006, "Dairy 2007: Part I," page 27.</t>
  </si>
  <si>
    <t>4. Calculated age at first birthing value is based on the age of the heifer at her first breeding attempt, the number of breeding attempts and days between breeding attempts.  The default value is from  USDA-APHIS, "Dairy 2007: Part I", Page 23.</t>
  </si>
  <si>
    <t>5. Values from the USDA-APHIS, "Dairy 2007: Part I", Page 60.</t>
  </si>
  <si>
    <t>6. Calf production is calculated based on the number of calves born per successful breeding times the number of years in the cows productive life.</t>
  </si>
  <si>
    <t>7. Age at end of a cows productive life is calculated based on the age of cow at the first calving (default value of 25.2 months), length of lactation, the expected number of lactations and the length of dryoff between lactations.</t>
  </si>
  <si>
    <t xml:space="preserve">8. Number of years the cow is productive is the difference between the age of when the cow first calved and the age at the end of its productive. </t>
  </si>
  <si>
    <t>7. Meat revenue from calves are based on the total annual calves born per one lactating cow at the body weight of a full grown calf times the price per pound (live weight).</t>
  </si>
  <si>
    <t>8. Heifer and bull calves are based on the number of calves born per one lactating cow annually times the respective price per calf.</t>
  </si>
  <si>
    <t>2. No value for Dietary Phosphorus(P) for dry cows was given per Nennich, assumed to be the same as a lactating cow.</t>
  </si>
  <si>
    <t>3. No value for Dietary Potassium (K) for calves was given per Nennich, assumed to be the same as heifers.</t>
  </si>
  <si>
    <t>Source:   Lactating Cow weights for Holsteins and Jerseys per Dairy 2007.  Other Holstein weights from Nennich</t>
  </si>
  <si>
    <t>2. 5% per Dairy 2007 p.81</t>
  </si>
  <si>
    <t>14b.2 Energy</t>
  </si>
  <si>
    <t>14b.1 Waste Management System</t>
  </si>
  <si>
    <t>Length_of_Lactation / Calving_Interval</t>
  </si>
  <si>
    <t>1 - Lact_Cows</t>
  </si>
  <si>
    <t>Dry_Cows / Lact_Cows</t>
  </si>
  <si>
    <t>Number of Replacement Heifers Needed to Sustain the Herd</t>
  </si>
  <si>
    <t>Number of Heifers &gt; 1 Needed to Produce Replacement Heifers</t>
  </si>
  <si>
    <t>Dry Cows as a Percent of One Lactating Cow (Dry Cow Units)</t>
  </si>
  <si>
    <t>Heifers &gt; 1 as a Percent of One Lactating Cow (Heifer Units)</t>
  </si>
  <si>
    <t>Heifers / Lact_Cows</t>
  </si>
  <si>
    <t>Number of Heifers &lt; 1 Needed</t>
  </si>
  <si>
    <t>Percent of Dry Cows:</t>
  </si>
  <si>
    <t>Heifers &lt; 1 as a Percent of One Lactating Cow (Heifer Calf Units)</t>
  </si>
  <si>
    <t>Heifer_Calf / Lact_Cows</t>
  </si>
  <si>
    <t>Number of Heifer Calves that Need to be Born</t>
  </si>
  <si>
    <t>Heifers / (1 - Death_Rate_Weaned_Heifers)</t>
  </si>
  <si>
    <t>Heifer_Calf_to_be_Born / (1 - Death_Rate_Unweaned_Heifers)</t>
  </si>
  <si>
    <t>The Percent of Dry Cows within the adult cow herd is the remaining percent of adult cows that are not lactating.</t>
  </si>
  <si>
    <t>Bulls Needed</t>
  </si>
  <si>
    <t>1 / Bulls_Can_Impregnate</t>
  </si>
  <si>
    <t>The Number of Bulls Needed is 1 divided by the average number of cows one bull can impregnate.  This is also the "Bull Units" that sustain one lactating cow.  Because the number of Bulls required to sustain a milking herd is so insignificant, it is not used as a contributing factor in the total impact of a dairy herd.</t>
  </si>
  <si>
    <t>The Number of Heifer Calves that need to be born to sustain the herd, takes the number of heifers less than one divided by the reciprical value of the death rate of unweaned heifers.  In other words, the number of heifer calves that survive beyond the weaning stage.</t>
  </si>
  <si>
    <t>The Percent of Heifers Less than One Year of age for one lactating cow is the number of heifers less than one (heifer calves) needed, divided by the percent of lactating cows in the adult cow herd.  This is the 'Heifer Calf Units' that sustain one lactating cow and is used thoughout the calculator to arrive at the total impact of one lactating cow and its sustaining herd.</t>
  </si>
  <si>
    <t>The Number of Heifers Less than One Year of age to needed to produce heifers greater that one, takes the number of heifers greater than one divided by the reciprical value of the death rate of weaned heifers.  In other words, the number of weaned heifer calves that survive to one year of age.</t>
  </si>
  <si>
    <t>The Percent of Heifers Greater than one year of age for one lactating cow is the number of heifers greater than one needed to produce replacements divided by the percent of lactating cows in the adult cow herd.  This is the 'Heifer' Units that sustain one lactating cow and is used thoughout the calculator to arrive at the total impact of one lactating cow and its sustaining herd.</t>
  </si>
  <si>
    <t>The Percent of Dry Cows for one lactating cow is calculated by dividing the percent of lactating cows in the adult herd by the percent of dry cows.  This is the number of "dry cow units" to sustain one lactating cow in the herd.  It is used throughout the calculator to arrive at the total impact of one lactating cow and its sustaining herd.</t>
  </si>
  <si>
    <t>Percent of Conceptions Failing to go to Term</t>
  </si>
  <si>
    <t>Embryonic_Loss_Rate_Cows + Abortion_Rate_Cows</t>
  </si>
  <si>
    <t>The Percent of Conceptions Failing to go to Term is calculated by adding the rate of embryonic loss (between 1-40 days into pregnancy) and the abortion rate (between 41- 260 days into pregnancy) for adult cows.</t>
  </si>
  <si>
    <t>Average Days Between Breeding Attempts</t>
  </si>
  <si>
    <t>(1 / Percent of Conceptions Failing to go to Term) * ((Embryonic_Loss_Rate_Cows * Embryonic_Loss_Days_Cows) + (Abortion_Rate_Cows * F1_Abortion_Days_Cows)</t>
  </si>
  <si>
    <t>The Average Days Between Breeding Attempts is calculated by taking the percent of conceptions that do go to full term times the rate of embryonic loss times the number of days between breeding attempts for embryonic loss plus the abortion rate times the number of days between attempts for abortions.</t>
  </si>
  <si>
    <t>Length_of_Lactation + Dryoff_Period</t>
  </si>
  <si>
    <t>The Calving Interval is the length of lactation plus the dryoff period.</t>
  </si>
  <si>
    <t>Age of Heifer at First Birthing</t>
  </si>
  <si>
    <t>Age_at_1st_Breeding + ((Heifer_Breeding_Attempts - 1) * Heifer_Days_Between_Breeding_Attempts/30.4) + (Gestation_Period/30.4)</t>
  </si>
  <si>
    <t>The Age of a Heifer at her First Birthing is calculated starting with her age at the first breeding attempt, plus the number of breeding attempts minus one, times the number of days between breeding attempts, plus the gestation period.</t>
  </si>
  <si>
    <t>Number of Heifer Calves Born in a Cows Productive Life</t>
  </si>
  <si>
    <t>Number of Bull Calves Born in a Cows Productive Life</t>
  </si>
  <si>
    <t>Age_at_1st_Birthing * 30.4) + (Length_of_Lactation * Number_of_Lactations) + (Dryoff_Period * (Number_of_Lactations-1))) / 365.25</t>
  </si>
  <si>
    <t>Age of a Cow at the End of it's Productive Life is calculated by taking the age at it's first birthing times 30.4 days in a month plus the number of days in an average lactation times the number of lactations plus the length of a dryoff period times the number of lactation periods minus one (to not include the last dryoff period).</t>
  </si>
  <si>
    <t>Number of Years Cow is Productive</t>
  </si>
  <si>
    <t>Age_at_EOL - (Age_at_1st_Birthing/12)</t>
  </si>
  <si>
    <t>The Number of Years a Cow is Productive (active milk production) is the age of the cow at the end of her productive life minus the age at her first birthing</t>
  </si>
  <si>
    <t>Total Unadjusted Milk Production in a Cow's Productive Life</t>
  </si>
  <si>
    <t>Total Energy Corrected Milk Production in Cow's Productive Life</t>
  </si>
  <si>
    <t>Heifer_Calves_in_Life / Age_at_EOL</t>
  </si>
  <si>
    <t>The Annual Heifer Calf Production is the total number of calves born in a cow's productive life divided by the age of the cow at the end of it's life.</t>
  </si>
  <si>
    <t>Annual Heifer Calf Production in a Cow's Life</t>
  </si>
  <si>
    <t>Total Annual Calf Production during a Cow's Life</t>
  </si>
  <si>
    <t>Annual Bull Calf Production in a Cow's Life</t>
  </si>
  <si>
    <t>Bull_Calves_in_Life / Age_at_EOL</t>
  </si>
  <si>
    <t>The Annual Bull Calf Production is the total number of calves born in a cow's productive life divided by the age of the cow at the end of it's life.</t>
  </si>
  <si>
    <t>Annual_Heifer_Calves + Annual_Bull_Calves</t>
  </si>
  <si>
    <t>The Total Annual Calf Production in a Cow's Life is the sum of the annual heifer and bull calf production in a cow's life.</t>
  </si>
  <si>
    <t>Meat Revenue per Year of Life from Cow Slaughter</t>
  </si>
  <si>
    <t>Meat Revenue per Year of Life from Heifers that Fail to Breed</t>
  </si>
  <si>
    <t xml:space="preserve">Meat Revenue per Year of Life from Bull and Heifer Calves </t>
  </si>
  <si>
    <t>Meat_Price_Calf * Grown_Calf_Weight_lb * Annual_Total_Calves</t>
  </si>
  <si>
    <t>The Meat Revenue per Year of Life from Bull and Heifer Calves (if the farmer chooses to raise calves to slaughter) is calculated by taking the meat price for calves times the weight of a full grown calf times the total annual calf production.</t>
  </si>
  <si>
    <t>Revenue from Heifer Calves Sold</t>
  </si>
  <si>
    <t>Annual_Heifer_Calves * Market_Value_Heifer_Calf</t>
  </si>
  <si>
    <t>The Revenue from Heifer Calves Sold (if the farmer chooses to sell all of its heifer calves instead of raising them), is calculated by multiplying the market value of heifer calves by the annual number of heifer calves produced.</t>
  </si>
  <si>
    <t>Revenue from Bull Calves Sold</t>
  </si>
  <si>
    <t>Annual_Bull_Calves * Market_Value_Bull_Calf</t>
  </si>
  <si>
    <t>The Revenue from Bull Calves Sold (if the farmer chooses to sell all of its bull calves instead of raising them to slaughter), is calculated by multiplying the market value of bull calves by the annual number of bull calves produced.</t>
  </si>
  <si>
    <t>The fraction of gross energy that is converted to methane</t>
  </si>
  <si>
    <t>0.662 is density of methane at 25 cellcius</t>
  </si>
  <si>
    <t xml:space="preserve">- Default (dependent on Breeding Method chosen </t>
  </si>
  <si>
    <t>Percent of Dry Cows</t>
  </si>
  <si>
    <t xml:space="preserve">Percent_Live_Births * Percent_Bull_Calves </t>
  </si>
  <si>
    <t xml:space="preserve">Percent_Live_Births * Percent_Heifer_Calves </t>
  </si>
  <si>
    <t>Total Number of Calves in Productive Life</t>
  </si>
  <si>
    <t>Heifer_Calves_in_Life + Bull_Calves_in_Life</t>
  </si>
  <si>
    <t>The Number of Heifer Calves Born per Year is calculated by taking the percent of live births and multiplying it by the percent of live births that produce a heifer calf.</t>
  </si>
  <si>
    <t>The Number of Bull Calves Born per Year is calculated by taking the percent of live births and multiplying it by the percent of live births that produce a bull calf.</t>
  </si>
  <si>
    <t>The Number of Calfs Born in a Lactating Cow's Life is the number of heifer and bulls calfs born, added together.</t>
  </si>
  <si>
    <t>“Shades of Green” Dairy Farm Management System Calculator</t>
  </si>
  <si>
    <t>Version 1.1</t>
  </si>
  <si>
    <t>The Organic Center</t>
  </si>
  <si>
    <t>Boulder, Colorado</t>
  </si>
  <si>
    <t>“Shades of Green” Dairy Farm Management System Calculator, Version 1.1</t>
  </si>
  <si>
    <t>Initial Setup of Application Scenarios</t>
  </si>
  <si>
    <t>Scenario Descriptions</t>
  </si>
  <si>
    <t>Animal Type</t>
  </si>
  <si>
    <t>Percent of Animal per One Lactating Cow (Step 1)</t>
  </si>
  <si>
    <t>Daily Rations</t>
  </si>
  <si>
    <t>Total Daily</t>
  </si>
  <si>
    <t>DMI per Crop</t>
  </si>
  <si>
    <t>Default Body Weights in kgs (Step 1)</t>
  </si>
  <si>
    <t>Dairy 2007 p. 87</t>
  </si>
  <si>
    <t>Defaults for Step 1</t>
  </si>
  <si>
    <t xml:space="preserve">Step 9a. Feed Composition as a Percent of Required Dry Matter Intake </t>
  </si>
  <si>
    <t>Step 9b. Feed Composition as a Percent of Required Dry Matter Intake</t>
  </si>
  <si>
    <t xml:space="preserve">Step 14a. Factors Governing Greenhouse Gas Emissions </t>
  </si>
  <si>
    <t xml:space="preserve">Step 14b. Factors Governing Greenhouse Gas Emissions </t>
  </si>
  <si>
    <t>Step 14 - Greenhouse Gas Factors</t>
  </si>
  <si>
    <t>Percent Diet Digestibility (%DD):</t>
  </si>
  <si>
    <t>REM= (1.123-(.004092*%DD)+(.00001126*%DD^2))-(25.4/%DD)</t>
  </si>
  <si>
    <t>GE=(NE/REM)/%DD</t>
  </si>
  <si>
    <t>Gestation Period:</t>
  </si>
  <si>
    <t>Dry Matter Intake Required for Dry Cow per Day</t>
  </si>
  <si>
    <t>DMI for Dry Cow (per Nennich) / BW of Dry Cow (per Nennich) * Dry_Cow_Weight_kg</t>
  </si>
  <si>
    <t>Dry Matter Intake Required for a Heifer &gt; 1 per Day</t>
  </si>
  <si>
    <t>DMI for Heifer (per Nennich) / BW of Heifer (per Nennich) * Heifer_Weight_kg</t>
  </si>
  <si>
    <t>The Dry Matter Intake required to feed one Dry Cow based on Nennich's dataset adjusted by the body weight as defined in this application.  It is calculated by taking the default DMI for a dry cow (per Nennich) divided by the body weight of a dry cow (per Nennich), then multiplied by the body weight chosen by the user.</t>
  </si>
  <si>
    <t>The Dry Matter Intake required to feed one Heifer based on Nennich's dataset adjusted by the body weight as defined in this application.  It is calculated by taking the default DMI for a heifer (per Nennich) divided by the body weight of a heifer (per Nennich), then multiplied by the body weight chosen by the user.</t>
  </si>
  <si>
    <t>Dry Matter Intake Required for a Heifer &lt; 1 per Day</t>
  </si>
  <si>
    <t>DMI for Calf (per Nennich) / BW of Calf (per Nennich) * Heifer_Calf_Weight_kg</t>
  </si>
  <si>
    <t>The Dry Matter Intake required to feed one Calf based on Nennich's dataset adjusted by the body weight as defined in this application.  It is calculated by taking the default DMI for a calf (per Nennich) divided by the body weight of a calf (per Nennich), then multiplied by the body weight chosen by the user.</t>
  </si>
  <si>
    <r>
      <rPr>
        <b/>
        <sz val="26"/>
        <rFont val="Arial"/>
        <family val="2"/>
      </rPr>
      <t xml:space="preserve">This worksheet is not to be edited in anyway, shape or form!  </t>
    </r>
    <r>
      <rPr>
        <b/>
        <sz val="14"/>
        <rFont val="Arial"/>
        <family val="2"/>
      </rPr>
      <t>It is the driving force of the calculator.  It keeps track of all options chosen by the user as to whether a default, internally calculated or user reported value should be used in subsequent formulas.  Rows 2 – 105 are compressed from viewing by the user to avoid the temptation of, or accidently editing this page.  Protection for this page cannot be set, unfortunately, without locking up the whole calculator.  This is a limitation of MS Excel 2007.</t>
    </r>
  </si>
  <si>
    <t>Defaults for Step 3</t>
  </si>
  <si>
    <t>Other Defaults Needed to Calculate Methane Gas Emissions (Step 14)</t>
  </si>
  <si>
    <t>Methane Conversion Factors (percent) for Dry Systems (Step 14)</t>
  </si>
  <si>
    <t xml:space="preserve"> Default Values for DMI Required by Animal Type (Step 6)</t>
  </si>
  <si>
    <t>GE*YM/55.65</t>
  </si>
  <si>
    <t>VSP*Bo*MCF*0.662</t>
  </si>
  <si>
    <t>- Calculated based on Milk Production</t>
  </si>
  <si>
    <t>Milk</t>
  </si>
  <si>
    <t xml:space="preserve">Milk_Production_kg * .00249 * 0.75 </t>
  </si>
  <si>
    <t>See State List on Defaults page</t>
  </si>
  <si>
    <t>State/Type of Climate:</t>
  </si>
  <si>
    <t>Index</t>
  </si>
  <si>
    <t>Region</t>
  </si>
  <si>
    <t>West</t>
  </si>
  <si>
    <t>Midwest</t>
  </si>
  <si>
    <t>N Great Plains</t>
  </si>
  <si>
    <t>SE</t>
  </si>
  <si>
    <t>California</t>
  </si>
  <si>
    <t>South Central</t>
  </si>
  <si>
    <r>
      <t xml:space="preserve">1.  EPA; </t>
    </r>
    <r>
      <rPr>
        <i/>
        <sz val="10"/>
        <rFont val="Arial"/>
        <family val="2"/>
      </rPr>
      <t>Inventory of U.S. Greenhouse Gas Emissions and Sinks: 1990-2007</t>
    </r>
    <r>
      <rPr>
        <sz val="10"/>
        <rFont val="Arial"/>
        <family val="2"/>
      </rPr>
      <t>, Chpt 3.10. Methodology for Estimating CH4 and N2O Emissions from Manure Management  Table A-174: Methane Conversion Factors for Dry Systems (based on Climate) and Table A-175: Methane Conversion Factors by State for Liquid Systems for 2007 (based on State).</t>
    </r>
  </si>
  <si>
    <r>
      <t xml:space="preserve">3.  EPA; </t>
    </r>
    <r>
      <rPr>
        <i/>
        <sz val="10"/>
        <rFont val="Arial"/>
        <family val="2"/>
      </rPr>
      <t>Inventory of U.S. Greenhouse Gas Emissions and Sinks: 1990-2007</t>
    </r>
    <r>
      <rPr>
        <sz val="10"/>
        <rFont val="Arial"/>
        <family val="2"/>
      </rPr>
      <t>, Chpt 3.9. Methodology for Estimating CH4 Emissions from Enteric Fermentation. Table A-161 DE Values and Representative Regional Diets, based on State selected.</t>
    </r>
  </si>
  <si>
    <r>
      <t xml:space="preserve">4. Equations from EPA; </t>
    </r>
    <r>
      <rPr>
        <i/>
        <sz val="10"/>
        <rFont val="Arial"/>
        <family val="2"/>
      </rPr>
      <t>Inventory of U.S. Greenhouse Gas Emissions and Sinks: 1990-2007</t>
    </r>
    <r>
      <rPr>
        <sz val="10"/>
        <rFont val="Arial"/>
        <family val="2"/>
      </rPr>
      <t>, Chpt 3.9. Methodology for Estimating CH4 Emissions from Enteric Fermentation.  See Appendix A. for details.</t>
    </r>
  </si>
  <si>
    <r>
      <t xml:space="preserve">6.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</si>
  <si>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r>
      <t>Where C</t>
    </r>
    <r>
      <rPr>
        <vertAlign val="subscript"/>
        <sz val="10"/>
        <rFont val="Arial"/>
        <family val="2"/>
      </rPr>
      <t>fi</t>
    </r>
    <r>
      <rPr>
        <sz val="10"/>
        <rFont val="Arial"/>
        <family val="2"/>
      </rPr>
      <t xml:space="preserve"> is a coefficient = 0.386 for dairy cows</t>
    </r>
  </si>
  <si>
    <r>
      <t>Where C</t>
    </r>
    <r>
      <rPr>
        <vertAlign val="subscript"/>
        <sz val="10"/>
        <rFont val="Arial"/>
        <family val="2"/>
      </rPr>
      <t>a</t>
    </r>
    <r>
      <rPr>
        <sz val="10"/>
        <rFont val="Arial"/>
        <family val="2"/>
      </rPr>
      <t xml:space="preserve"> is a coefficient = 0 for dairy cows in stalls, 0.17 for pasture</t>
    </r>
  </si>
  <si>
    <r>
      <t>CH4 Producing Potential of Waste (B</t>
    </r>
    <r>
      <rPr>
        <b/>
        <vertAlign val="subscript"/>
        <sz val="10"/>
        <rFont val="Arial"/>
        <family val="2"/>
      </rPr>
      <t>O</t>
    </r>
    <r>
      <rPr>
        <b/>
        <sz val="10"/>
        <rFont val="Arial"/>
        <family val="2"/>
      </rPr>
      <t>):</t>
    </r>
  </si>
  <si>
    <t>Where milk is kg milk produced per day and fat is % fat in milk</t>
  </si>
  <si>
    <r>
      <t>NE</t>
    </r>
    <r>
      <rPr>
        <vertAlign val="subscript"/>
        <sz val="10"/>
        <color indexed="8"/>
        <rFont val="Calibri"/>
        <family val="2"/>
        <scheme val="minor"/>
      </rPr>
      <t xml:space="preserve">m </t>
    </r>
    <r>
      <rPr>
        <sz val="10"/>
        <color theme="1"/>
        <rFont val="Calibri"/>
        <family val="2"/>
        <scheme val="minor"/>
      </rPr>
      <t>= C</t>
    </r>
    <r>
      <rPr>
        <vertAlign val="subscript"/>
        <sz val="10"/>
        <color indexed="8"/>
        <rFont val="Calibri"/>
        <family val="2"/>
        <scheme val="minor"/>
      </rPr>
      <t>fi</t>
    </r>
    <r>
      <rPr>
        <sz val="10"/>
        <color theme="1"/>
        <rFont val="Calibri"/>
        <family val="2"/>
        <scheme val="minor"/>
      </rPr>
      <t>*(BW)</t>
    </r>
    <r>
      <rPr>
        <vertAlign val="superscript"/>
        <sz val="10"/>
        <color indexed="8"/>
        <rFont val="Calibri"/>
        <family val="2"/>
        <scheme val="minor"/>
      </rPr>
      <t xml:space="preserve">.75   </t>
    </r>
  </si>
  <si>
    <r>
      <t xml:space="preserve">NE </t>
    </r>
    <r>
      <rPr>
        <vertAlign val="subscript"/>
        <sz val="10"/>
        <color indexed="8"/>
        <rFont val="Calibri"/>
        <family val="2"/>
        <scheme val="minor"/>
      </rPr>
      <t>a</t>
    </r>
    <r>
      <rPr>
        <sz val="10"/>
        <color theme="1"/>
        <rFont val="Calibri"/>
        <family val="2"/>
        <scheme val="minor"/>
      </rPr>
      <t>= C</t>
    </r>
    <r>
      <rPr>
        <vertAlign val="subscript"/>
        <sz val="10"/>
        <color indexed="8"/>
        <rFont val="Calibri"/>
        <family val="2"/>
        <scheme val="minor"/>
      </rPr>
      <t>a</t>
    </r>
    <r>
      <rPr>
        <sz val="10"/>
        <color theme="1"/>
        <rFont val="Calibri"/>
        <family val="2"/>
        <scheme val="minor"/>
      </rPr>
      <t xml:space="preserve"> * NE</t>
    </r>
    <r>
      <rPr>
        <vertAlign val="subscript"/>
        <sz val="10"/>
        <color indexed="8"/>
        <rFont val="Calibri"/>
        <family val="2"/>
        <scheme val="minor"/>
      </rPr>
      <t xml:space="preserve">m   </t>
    </r>
  </si>
  <si>
    <r>
      <t>NE</t>
    </r>
    <r>
      <rPr>
        <vertAlign val="subscript"/>
        <sz val="10"/>
        <color indexed="8"/>
        <rFont val="Calibri"/>
        <family val="2"/>
        <scheme val="minor"/>
      </rPr>
      <t>l</t>
    </r>
    <r>
      <rPr>
        <sz val="10"/>
        <color theme="1"/>
        <rFont val="Calibri"/>
        <family val="2"/>
        <scheme val="minor"/>
      </rPr>
      <t>= Milk *(1.47+.4*Fat)</t>
    </r>
    <r>
      <rPr>
        <vertAlign val="subscript"/>
        <sz val="10"/>
        <color indexed="8"/>
        <rFont val="Calibri"/>
        <family val="2"/>
        <scheme val="minor"/>
      </rPr>
      <t xml:space="preserve">   </t>
    </r>
  </si>
  <si>
    <t>55.65 converts mj to kg</t>
  </si>
  <si>
    <t xml:space="preserve">(DMI(kg/d) * .81 + 3.23) / 55.65 </t>
  </si>
  <si>
    <t xml:space="preserve">(%Forgage *.14 + 8.56) / 55.65 </t>
  </si>
  <si>
    <r>
      <t>(GE*YM/55.65)/BW</t>
    </r>
    <r>
      <rPr>
        <vertAlign val="subscript"/>
        <sz val="10"/>
        <rFont val="Arial"/>
        <family val="2"/>
      </rPr>
      <t>(lact cow)</t>
    </r>
    <r>
      <rPr>
        <sz val="10"/>
        <rFont val="Arial"/>
        <family val="2"/>
      </rPr>
      <t>*BW</t>
    </r>
    <r>
      <rPr>
        <vertAlign val="subscript"/>
        <sz val="10"/>
        <rFont val="Arial"/>
        <family val="2"/>
      </rPr>
      <t>(heifer)</t>
    </r>
  </si>
  <si>
    <r>
      <t>(VSP*BO*MCF*0.662)/BW</t>
    </r>
    <r>
      <rPr>
        <vertAlign val="subscript"/>
        <sz val="10"/>
        <rFont val="Arial"/>
        <family val="2"/>
      </rPr>
      <t>(lact cow)</t>
    </r>
    <r>
      <rPr>
        <sz val="10"/>
        <rFont val="Arial"/>
        <family val="2"/>
      </rPr>
      <t>*BW</t>
    </r>
    <r>
      <rPr>
        <vertAlign val="subscript"/>
        <sz val="10"/>
        <rFont val="Arial"/>
        <family val="2"/>
      </rPr>
      <t>(heifer)</t>
    </r>
  </si>
  <si>
    <r>
      <t>(GE*YM/55.65)/BW</t>
    </r>
    <r>
      <rPr>
        <vertAlign val="subscript"/>
        <sz val="10"/>
        <rFont val="Arial"/>
        <family val="2"/>
      </rPr>
      <t>(lact cow)</t>
    </r>
    <r>
      <rPr>
        <sz val="10"/>
        <rFont val="Arial"/>
        <family val="2"/>
      </rPr>
      <t>*BW</t>
    </r>
    <r>
      <rPr>
        <vertAlign val="subscript"/>
        <sz val="10"/>
        <rFont val="Arial"/>
        <family val="2"/>
      </rPr>
      <t>(calf)</t>
    </r>
  </si>
  <si>
    <r>
      <t>(VSP*BO*MCF*0.662)/BW</t>
    </r>
    <r>
      <rPr>
        <vertAlign val="subscript"/>
        <sz val="10"/>
        <rFont val="Arial"/>
        <family val="2"/>
      </rPr>
      <t>(lact cow)</t>
    </r>
    <r>
      <rPr>
        <sz val="10"/>
        <rFont val="Arial"/>
        <family val="2"/>
      </rPr>
      <t>*BW</t>
    </r>
    <r>
      <rPr>
        <vertAlign val="subscript"/>
        <sz val="10"/>
        <rFont val="Arial"/>
        <family val="2"/>
      </rPr>
      <t>(calf)</t>
    </r>
  </si>
  <si>
    <t>based on proportional weight from lactating cow to calf</t>
  </si>
  <si>
    <t>based on proportional weight from lactating cow to heifer</t>
  </si>
  <si>
    <t>1.  EPA; Inventory of U.S. Greenhouse Gas Emissions and Sinks: 1990-2007, Chpt 3.10. Methodology for Estimating CH4 and N2O Emissions from Manure Management  Table A-170: Waste Characteristics Data (for Dairy Cows)</t>
  </si>
  <si>
    <t>please go to Step 7 and 7b to view details</t>
  </si>
  <si>
    <t xml:space="preserve">Parameter Values </t>
  </si>
  <si>
    <t>Parameter Values</t>
  </si>
  <si>
    <t>Step 7 - Feedstuff Required</t>
  </si>
  <si>
    <t>Step 8 - Daily DMI Worksheet for Lactating Cows</t>
  </si>
  <si>
    <t>Step 8.1 Forage Feeds</t>
  </si>
  <si>
    <t>Step 8.2 Grain</t>
  </si>
  <si>
    <t>Step 8.3 Protein Supplements</t>
  </si>
  <si>
    <t>Step 9.1 Forage Feeds</t>
  </si>
  <si>
    <t>Step 9.2 Grain</t>
  </si>
  <si>
    <t>Step 9.3 Protein Supplements</t>
  </si>
  <si>
    <t>Dry Cow Rations:</t>
  </si>
  <si>
    <t>Heifers &gt;1 Rations:</t>
  </si>
  <si>
    <t>Calf Rations:</t>
  </si>
  <si>
    <t>Other Crops Selected? If Yes, go to step 9 to view</t>
  </si>
  <si>
    <t>please go to Step 8 &amp; 8b to enter monthly data</t>
  </si>
  <si>
    <t>Step 13.1 One Lactating Cow Contribution</t>
  </si>
  <si>
    <t>Step 13.3 One Heifer &gt; 1 Contribution</t>
  </si>
  <si>
    <t>Step 13.2 One Dry Cow Contribution</t>
  </si>
  <si>
    <t>Step 14.2 Energy</t>
  </si>
  <si>
    <t>Percent Diet Digestibility (%DD)</t>
  </si>
  <si>
    <t>Step 15.1 One Lactating Cow Contribution</t>
  </si>
  <si>
    <t>Step 15.2 One Dry Cow Contribution</t>
  </si>
  <si>
    <t>Step 15.3 One Heifer &gt; 1 Contribution</t>
  </si>
  <si>
    <t>Step 13a.4 One Heifer &lt;1 Contribution</t>
  </si>
  <si>
    <t>Step 15.4 One Heifer &lt; 1 Contribution</t>
  </si>
  <si>
    <t>Step 13.4 One Heifer &lt; 1 Contribution</t>
  </si>
  <si>
    <t>Death Rates (Lact Cows)</t>
  </si>
  <si>
    <t>Death Rates (Dry Cows)</t>
  </si>
  <si>
    <t>Death Rates (Weaned)</t>
  </si>
  <si>
    <t>Death_Rate_Dry_Cows</t>
  </si>
  <si>
    <t>Gross Revenue</t>
  </si>
  <si>
    <t>Total Revenue from Calf Sales</t>
  </si>
  <si>
    <t>Total Gross Revenue</t>
  </si>
  <si>
    <t xml:space="preserve">Revenue from Meat </t>
  </si>
  <si>
    <r>
      <t xml:space="preserve">4. USDA's Federal Order, </t>
    </r>
    <r>
      <rPr>
        <i/>
        <sz val="10"/>
        <rFont val="Arial"/>
        <family val="2"/>
      </rPr>
      <t>Class I Price,</t>
    </r>
    <r>
      <rPr>
        <sz val="10"/>
        <rFont val="Arial"/>
        <family val="2"/>
      </rPr>
      <t xml:space="preserve"> (June 2009).</t>
    </r>
  </si>
  <si>
    <r>
      <t xml:space="preserve">3. The death rates for these animals are extrapolated from USDA APHIS; </t>
    </r>
    <r>
      <rPr>
        <i/>
        <sz val="10"/>
        <rFont val="Arial"/>
        <family val="2"/>
      </rPr>
      <t>Dairy 2007: Part I,</t>
    </r>
    <r>
      <rPr>
        <sz val="10"/>
        <rFont val="Arial"/>
        <family val="2"/>
      </rPr>
      <t xml:space="preserve"> page 91.  </t>
    </r>
  </si>
  <si>
    <t>Acres per Feed Type</t>
  </si>
  <si>
    <t>Extrapolated from Dairy 2007, p. 87</t>
  </si>
  <si>
    <t>Cull Rate (Dry Cows)</t>
  </si>
  <si>
    <t>Death Rate for Lactating Cows</t>
  </si>
  <si>
    <t>Death Rate for Dry Cows</t>
  </si>
  <si>
    <t>Death Rate for Unweaned Heifers</t>
  </si>
  <si>
    <t>Cull Rate for Dry Cows</t>
  </si>
  <si>
    <t>Cull_Rate_Dry_Cows</t>
  </si>
  <si>
    <t>Death_Rate_Lact_Cows</t>
  </si>
  <si>
    <t>4. Sum of the cull and death rates for the lactating cow and the cull and death rates for the dry cow as a percent of one lactating cow. See equation in Appendix A.</t>
  </si>
  <si>
    <t>Step 1.1</t>
  </si>
  <si>
    <t>Step 1.3.1</t>
  </si>
  <si>
    <t>Step 1.3.2</t>
  </si>
  <si>
    <t>Step 1.3.3</t>
  </si>
  <si>
    <t>Step 1.3.4</t>
  </si>
  <si>
    <t>Death Rates (Heifer &gt;1)</t>
  </si>
  <si>
    <t>Cull Rate for Lactating Cow</t>
  </si>
  <si>
    <t>Cull Rate for Dry Cow</t>
  </si>
  <si>
    <t>Death Rate for Lactating Cow</t>
  </si>
  <si>
    <t>Death Rate for Dry Cow</t>
  </si>
  <si>
    <t>Death Rate for Heifers &gt;1</t>
  </si>
  <si>
    <t>Death Rate for Weaned Heifers (&lt;1)</t>
  </si>
  <si>
    <t>Death Rate for Heifers &gt; 1</t>
  </si>
  <si>
    <t>Death_Rate_Heifers</t>
  </si>
  <si>
    <t>Replacement_Heifers / (1-Death_Rate_Heifers) / (1-Heifer_Failure_to_Breed_Rate) / (1-Abortion_Rate_Heifers)</t>
  </si>
  <si>
    <t>The Number of Heifers Greater than One Year of age that are needed to produce replacement heifers is calculated by taking the number of replacement heifers needed divided by the reciprical of the heifer death rate, divided by the reciprical of the heifer's failure to breed rate divided by the reciprical of the heifer abortion rate .</t>
  </si>
  <si>
    <t>Step 5.1</t>
  </si>
  <si>
    <t>Step 5.2</t>
  </si>
  <si>
    <t>Step 5.3</t>
  </si>
  <si>
    <t>Step 5.4</t>
  </si>
  <si>
    <t>Step 5.5</t>
  </si>
  <si>
    <t>Step 6.2</t>
  </si>
  <si>
    <t>Step 6.1</t>
  </si>
  <si>
    <t>1. to come</t>
  </si>
  <si>
    <t xml:space="preserve">Step 6. Total Dry Matter Intake per Milking Cow </t>
  </si>
  <si>
    <t>1. "Nitrogen Fertilizer" -- Calculated value (acres per cow multiplied by nitrogen pounds per acre).  Average nitrogen pounds applied per acre data are from USDA, National Agricultural Statistics Service surveys, when available.  Otherwise, the data is interpolated based on recent trends from previous years.</t>
  </si>
  <si>
    <t>Interpolated</t>
  </si>
  <si>
    <t>2. "Herbicides" -- Calculated value (acres per cow multiplied by average pounds of herbicide active ingredients applied per acre).  Average herbicide application rates per acre are from USDA, National Agricultural Statistics Service surveys of agricultural chemical usage (multiple years), when available.  Otherwise, the data is interpolated based on recent trends from previous years.</t>
  </si>
  <si>
    <t>3. "Insecticides" -- Calculated value (acres per cow multiplied by average pounds of insecticide active ingredients applied per acre).  Average insecticide application rates per acre are from USDA, National Agricultural Statistics Service surveys of agricultural chemical usage (multiple years), when available.  Otherwise, the data is interpolated based on recent trends from previous years.  Corn insecticide use includes insecticide seed treatments (0.07 pounds per acre), insecticides appplied at planting and during the season (0.13 pounds per acre).  The endotoxins produced by Bt corn are not inlcuded in the estimate.</t>
  </si>
  <si>
    <t>Methane Conversion Factors for Liquid Systems and Percent Diet Digestibility by State for Dairy Animals (Step 14)</t>
  </si>
  <si>
    <r>
      <t xml:space="preserve">3.  Equation from EPA; </t>
    </r>
    <r>
      <rPr>
        <i/>
        <sz val="10"/>
        <rFont val="Arial"/>
        <family val="2"/>
      </rPr>
      <t>Inventory of U.S. Greenhouse Gas Emissions and Sinks: 1990-2007</t>
    </r>
    <r>
      <rPr>
        <sz val="10"/>
        <rFont val="Arial"/>
        <family val="2"/>
      </rPr>
      <t xml:space="preserve">, Chpt 3.9. Methodology for Estimating CH4 Emissions from Enteric Fermentation.  See Appendix A for details. </t>
    </r>
  </si>
  <si>
    <r>
      <t xml:space="preserve">4.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</si>
  <si>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t>(GE*YM/55.65)</t>
  </si>
  <si>
    <t>(VSP*BO*MCF*0.662)</t>
  </si>
  <si>
    <r>
      <t xml:space="preserve">4.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</si>
  <si>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t>5.  The EPA equations used for heifer &gt; 1 and heifers &lt; 1 were adjusted downwards based on body weight.</t>
  </si>
  <si>
    <t>4,5</t>
  </si>
  <si>
    <t>3,5</t>
  </si>
  <si>
    <t>The Methane produced from Manure based on a method published by EPA, is the volatile solids produced times the CH4 producing potential of waste times a methane conversion factor times 0.662 (density of methane at 25 degrees celcius).  In the case of heifers &gt; 1 and heifers &lt; 1, the equation is divided by the body weight of the lactating cow and multiplied by the body weight of the heifer, to proportionally adjust the methane from enteric fermentation.</t>
  </si>
  <si>
    <r>
      <t xml:space="preserve">2.  Capper; PNAS (2008) </t>
    </r>
    <r>
      <rPr>
        <i/>
        <sz val="10"/>
        <rFont val="Arial"/>
        <family val="2"/>
      </rPr>
      <t>The environmental impact of recombinant bovine somatotropin (rbST) use in dairy production.</t>
    </r>
  </si>
  <si>
    <r>
      <t xml:space="preserve">Nennich, T. D., J. H. Harrison, et al. (2005). Prediction of manure and nutrient excretion from dairy cattle. </t>
    </r>
    <r>
      <rPr>
        <i/>
        <sz val="10"/>
        <rFont val="Arial"/>
        <family val="2"/>
      </rPr>
      <t>Journal of Dairy Science</t>
    </r>
    <r>
      <rPr>
        <sz val="10"/>
        <rFont val="Arial"/>
        <family val="2"/>
      </rPr>
      <t xml:space="preserve"> 88(10): 3721-3733.</t>
    </r>
  </si>
  <si>
    <r>
      <t xml:space="preserve">U.S. Environmental Protection Agency (EPA). (2007). </t>
    </r>
    <r>
      <rPr>
        <i/>
        <sz val="10"/>
        <rFont val="Arial"/>
        <family val="2"/>
      </rPr>
      <t>Inventory of U.S. Greenhouse Gas Emissions and Sinks: 1990-2007.</t>
    </r>
    <r>
      <rPr>
        <sz val="10"/>
        <rFont val="Arial"/>
        <family val="2"/>
      </rPr>
      <t xml:space="preserve"> Chapter 3.9. Methodology for Estimating CH4 Emissions from Enteric Fermentation, Washington, DC.</t>
    </r>
  </si>
  <si>
    <r>
      <t xml:space="preserve">U.S. Environmental Protection Agency (EPA). (2007). </t>
    </r>
    <r>
      <rPr>
        <i/>
        <sz val="10"/>
        <rFont val="Arial"/>
        <family val="2"/>
      </rPr>
      <t>Inventory of U.S. Greenhouse Gas Emissions and Sinks: 1990-2007.</t>
    </r>
    <r>
      <rPr>
        <sz val="10"/>
        <rFont val="Arial"/>
        <family val="2"/>
      </rPr>
      <t xml:space="preserve"> Chapter 3.10. Methodology for Estimating CH4 and N2O Emissions from Manure Management, Washington, DC</t>
    </r>
  </si>
  <si>
    <r>
      <t>2.  EPA; I</t>
    </r>
    <r>
      <rPr>
        <i/>
        <sz val="10"/>
        <rFont val="Arial"/>
        <family val="2"/>
      </rPr>
      <t>nventory of U.S. Greenhouse Gas Emissions and Sinks: 1990-2007</t>
    </r>
    <r>
      <rPr>
        <sz val="10"/>
        <rFont val="Arial"/>
        <family val="2"/>
      </rPr>
      <t>, Chpt 3.10. Methodology for Estimating CH4 and N2O Emissions from Manure Management  Table A-170: Waste Characteristics Data (for Dairy Cows).</t>
    </r>
  </si>
  <si>
    <r>
      <t xml:space="preserve">Ellis, J.L., E. Kebreab, et al. (2007).  Prediction of Methane Production from Dariy and Beef Cattle, </t>
    </r>
    <r>
      <rPr>
        <i/>
        <sz val="10"/>
        <rFont val="Arial"/>
        <family val="2"/>
      </rPr>
      <t>Journal of Dairy Science</t>
    </r>
    <r>
      <rPr>
        <sz val="10"/>
        <rFont val="Arial"/>
        <family val="2"/>
      </rPr>
      <t xml:space="preserve"> 90:3456-3467.</t>
    </r>
  </si>
  <si>
    <r>
      <t>2.  Equation for methane from enteric fermentation only came from Ellis et al. (2007).  Prediction of Methane Production from Dariy and Beef Cattle,</t>
    </r>
    <r>
      <rPr>
        <i/>
        <sz val="10"/>
        <rFont val="Arial"/>
        <family val="2"/>
      </rPr>
      <t xml:space="preserve"> Journal of Dairy Science.</t>
    </r>
  </si>
  <si>
    <r>
      <t xml:space="preserve">1.  Equation used from Nennich et al (2005), Prediction of Manure and Nutrient Excretion from Dairy Cattle, </t>
    </r>
    <r>
      <rPr>
        <i/>
        <sz val="10"/>
        <rFont val="Arial"/>
        <family val="2"/>
      </rPr>
      <t>Journal of Dairy Science.</t>
    </r>
  </si>
  <si>
    <t>1.  Equation used from Nennich et al (2005), Prediction of Manure and Nutrient Excretion from Dairy Cattle, Journal of Dairy Science.</t>
  </si>
  <si>
    <t>1. Value from Nennich et al (2005), Prediction of Manure and Nutrient Excretion from Dairy Cattle, Journal of Dairy Science.</t>
  </si>
  <si>
    <r>
      <t xml:space="preserve">1.  Data on "Percent Dry Matter" per pound of feedstuff is from National Research Council (NRC), (1988), </t>
    </r>
    <r>
      <rPr>
        <i/>
        <sz val="10"/>
        <rFont val="Arial"/>
        <family val="2"/>
      </rPr>
      <t>Nutrient Requirements of Dairy Cattle</t>
    </r>
    <r>
      <rPr>
        <sz val="10"/>
        <rFont val="Arial"/>
        <family val="2"/>
      </rPr>
      <t>.</t>
    </r>
  </si>
  <si>
    <r>
      <t xml:space="preserve">2.  Adjustment to Account for Storage and Feeding Loses is established to reflecti conditions on a farm.  Default values are from  ACS, </t>
    </r>
    <r>
      <rPr>
        <i/>
        <sz val="10"/>
        <rFont val="Arial"/>
        <family val="2"/>
      </rPr>
      <t>Planning the Yearly Forage and Commodity Needs for a Dairy Herd,</t>
    </r>
    <r>
      <rPr>
        <sz val="10"/>
        <rFont val="Arial"/>
        <family val="2"/>
      </rPr>
      <t xml:space="preserve"> ACS-160, Cooperative Extension Service, Kentucky.</t>
    </r>
  </si>
  <si>
    <r>
      <t xml:space="preserve">8. Lactating Cow weights for Heifers and Jerseys came from </t>
    </r>
    <r>
      <rPr>
        <i/>
        <sz val="10"/>
        <rFont val="Arial"/>
        <family val="2"/>
      </rPr>
      <t>Dairy 2007: Part I</t>
    </r>
    <r>
      <rPr>
        <sz val="10"/>
        <rFont val="Arial"/>
        <family val="2"/>
      </rPr>
      <t>.  Other values came from Nennich; J. Dairy Sci. 88:3721–3733 2005; Prediction of Manure and Nutrient Excretion from Dairy Cattle.  Full grown calf weight is estimated.</t>
    </r>
  </si>
  <si>
    <t>Step 7a.3 Protein Supplements</t>
  </si>
  <si>
    <t>Step 7a.2 Grains</t>
  </si>
  <si>
    <t>Step 7a.1 Forage Feeds</t>
  </si>
  <si>
    <t>Step 7b.3 Protein Supplements</t>
  </si>
  <si>
    <t>Step 7b.2 Grains</t>
  </si>
  <si>
    <t>Step 7b.1 Forage Feeds</t>
  </si>
  <si>
    <t>Step 8a.1 Forage Feeds</t>
  </si>
  <si>
    <t>Step 8a.2 Grain</t>
  </si>
  <si>
    <t>Step 8a.3 Protein Supplements</t>
  </si>
  <si>
    <t>Step 8b.1 Forage Feeds</t>
  </si>
  <si>
    <t>Step 8b.2 Grain</t>
  </si>
  <si>
    <t>Step 8b.3 Protein Supplements</t>
  </si>
  <si>
    <t>Step 11a.Detail. Synthetic Nitrogen Fertilizer and Pesticides Required to Produce Feed per Cow Type per Day</t>
  </si>
  <si>
    <t>Step 11b.Detail. Synthetic Nitrogen Fertilizer and Pesticides Required to Produce Feed per Cow Type per Day</t>
  </si>
  <si>
    <r>
      <t>(GE*Ym/55.65)/BW</t>
    </r>
    <r>
      <rPr>
        <vertAlign val="subscript"/>
        <sz val="10"/>
        <rFont val="Arial"/>
        <family val="2"/>
      </rPr>
      <t>(lact cow)</t>
    </r>
    <r>
      <rPr>
        <sz val="10"/>
        <rFont val="Arial"/>
        <family val="2"/>
      </rPr>
      <t>*BW</t>
    </r>
    <r>
      <rPr>
        <vertAlign val="subscript"/>
        <sz val="10"/>
        <rFont val="Arial"/>
        <family val="2"/>
      </rPr>
      <t>(calf)</t>
    </r>
  </si>
  <si>
    <r>
      <t>(GE*Ym/55.65)/BW</t>
    </r>
    <r>
      <rPr>
        <vertAlign val="subscript"/>
        <sz val="10"/>
        <rFont val="Arial"/>
        <family val="2"/>
      </rPr>
      <t>(lact cow)</t>
    </r>
    <r>
      <rPr>
        <sz val="10"/>
        <rFont val="Arial"/>
        <family val="2"/>
      </rPr>
      <t>*BW</t>
    </r>
    <r>
      <rPr>
        <vertAlign val="subscript"/>
        <sz val="10"/>
        <rFont val="Arial"/>
        <family val="2"/>
      </rPr>
      <t>(heifer)</t>
    </r>
  </si>
  <si>
    <t>(GE*Ym/55.65)</t>
  </si>
  <si>
    <t>GE*Ym/55.65</t>
  </si>
  <si>
    <t>Calf Production per Lactation:</t>
  </si>
  <si>
    <t xml:space="preserve">Number of Heifer Calves Born </t>
  </si>
  <si>
    <t>Number of Bull Calves Born</t>
  </si>
  <si>
    <t>Number of Heifer Calves Born per Lactation</t>
  </si>
  <si>
    <t>Number of Bull Calves Born per Lactation</t>
  </si>
  <si>
    <t>Number_of_Heifer_Calves_Born * Number_of_Lactations</t>
  </si>
  <si>
    <t>Number_of_Bull_Calves_Born * Number_of_Lactations</t>
  </si>
  <si>
    <t>The Number of Heifer Calves Born in a Cow's Productive Life is calculated by taking the number of heifer calves born per lactation multiplied by the number of lactations.</t>
  </si>
  <si>
    <t>The Number of Bull Calves Born in a Cow's Productive Life is calculated by taking the number of bull calves born per lactation multiplied by the number of lactations.</t>
  </si>
  <si>
    <t>Reason(s) for Involuntary Culling:</t>
  </si>
  <si>
    <t>Genetic Improvement (cow stays in production)</t>
  </si>
  <si>
    <t>Reason(s) for Voluntary Culling:</t>
  </si>
  <si>
    <t>Reducing Herd Size (cow stays in production)</t>
  </si>
  <si>
    <t>Step 2.1 Factors Determining Cull Rates for Lactating Cows</t>
  </si>
  <si>
    <t>Step 2.1</t>
  </si>
  <si>
    <t>Step 2.2 Factors Determining Death and Downer Rates for Lactating Cows</t>
  </si>
  <si>
    <t>Reason(s) &amp; Risk Factors for Death and Downer Rates:</t>
  </si>
  <si>
    <t>Total Death and Downer Rate:</t>
  </si>
  <si>
    <t>Step 2.2</t>
  </si>
  <si>
    <t>Step 1.2.1 Number of Replacements Needed per Lactating Cow to Sustain Herd</t>
  </si>
  <si>
    <t>Step 1.2.2 Number of Replacements Needed per Dry Cow to Sustain Herd</t>
  </si>
  <si>
    <t>Total Voluntary Cull Rates:</t>
  </si>
  <si>
    <t>Total Involuntary Cull Rates:</t>
  </si>
  <si>
    <t>Involuntary Cull Rate (Lact Cows)</t>
  </si>
  <si>
    <t>Voluntary Cull Rate (Lact Cows)</t>
  </si>
  <si>
    <t>Heifers &lt; 1 Year as a Percent of One</t>
  </si>
  <si>
    <t>Involuntary Cull Rate for Lactating Cows</t>
  </si>
  <si>
    <t>Voluntary Cull Rate for Lactating Cows</t>
  </si>
  <si>
    <t>Cull_Rate_Involuntary_Lact_Cows</t>
  </si>
  <si>
    <t>Cull_Rate_Voluntary_Lact_Cows</t>
  </si>
  <si>
    <r>
      <t xml:space="preserve">2. The cull rate for dry cows are extrapolated from USDA APHIS; </t>
    </r>
    <r>
      <rPr>
        <i/>
        <sz val="10"/>
        <rFont val="Arial"/>
        <family val="2"/>
      </rPr>
      <t>Dairy 2007: Part I,</t>
    </r>
    <r>
      <rPr>
        <sz val="10"/>
        <rFont val="Arial"/>
        <family val="2"/>
      </rPr>
      <t xml:space="preserve"> page 87.  Reasons for culling are listed on page 89.</t>
    </r>
  </si>
  <si>
    <t xml:space="preserve">Step 3. Lactation Profile </t>
  </si>
  <si>
    <t>Step 4. Breeding Performance, Cow Health and Longevity</t>
  </si>
  <si>
    <t>Step 4.1 Reproductive Performance</t>
  </si>
  <si>
    <t>Step 4.2 Outcome of Previous Breeding</t>
  </si>
  <si>
    <t>Step 4.3 Conceptions Going Full Term</t>
  </si>
  <si>
    <t>Step 4.4 Cow Health and Longevity</t>
  </si>
  <si>
    <t>Step 4</t>
  </si>
  <si>
    <t>(based on Length of Lactation; Step 3)</t>
  </si>
  <si>
    <t>Reason for Diverted Milk Days --</t>
  </si>
  <si>
    <t>Hold/Divert Milk Post Drug Treatment per Label</t>
  </si>
  <si>
    <t>High SSC; Farmer Diverted</t>
  </si>
  <si>
    <t>High SCC in Load, Milk Diverted</t>
  </si>
  <si>
    <t>Antibiotics in Load, Milk Diverted</t>
  </si>
  <si>
    <t>see below</t>
  </si>
  <si>
    <t>One</t>
  </si>
  <si>
    <t>Two</t>
  </si>
  <si>
    <t>Three</t>
  </si>
  <si>
    <t>Four</t>
  </si>
  <si>
    <t>Five</t>
  </si>
  <si>
    <t>Six</t>
  </si>
  <si>
    <t>Seven or More*</t>
  </si>
  <si>
    <t>Sum of Percents (must equal 100%)</t>
  </si>
  <si>
    <t>* For animals producing for seven or more lactations, it is assumed the average number of lactations is eight.</t>
  </si>
  <si>
    <t>1.  Energy Corrected Milk Production is calculated by taking 32.3% of daily milk production and adding in 7.13 times pounds of protein content plus 12.82 times pounds of fat content per www.Extension.org/faq/27579.</t>
  </si>
  <si>
    <t>3   Value based on the number of days from calving til the first breeding attempt, the average number of breedings per conception, the number of days between breeding attempts, and 7 months of milking after a successful breeding.  See Appendix A for details.</t>
  </si>
  <si>
    <r>
      <t xml:space="preserve">4.  Value from  USDA-APHIS, </t>
    </r>
    <r>
      <rPr>
        <i/>
        <sz val="10"/>
        <rFont val="Arial"/>
        <family val="2"/>
      </rPr>
      <t>Dairy 2007: Part I</t>
    </r>
    <r>
      <rPr>
        <sz val="10"/>
        <rFont val="Arial"/>
        <family val="2"/>
      </rPr>
      <t>, Page 26.</t>
    </r>
  </si>
  <si>
    <t>Calculated Average Number of Lactations</t>
  </si>
  <si>
    <t>Step 2 - Cull and Death Rates</t>
  </si>
  <si>
    <t>Step 3 - Lactation Profile</t>
  </si>
  <si>
    <t>please go to Step 2 to view detailed rates</t>
  </si>
  <si>
    <t>Step 4 - Breeding &amp; Health</t>
  </si>
  <si>
    <t>Step 4.3 Cow Health and Longevity</t>
  </si>
  <si>
    <t>in Step 4):</t>
  </si>
  <si>
    <t>7. Based on the number of cows, one bull can impregnate depending on the breeding method choosen in step 4.  See Appendix A.</t>
  </si>
  <si>
    <t>- Internally Calculated Based on Number of Breeding Attempts per Conception and Days Between Breeding Attempts (see Step 4)</t>
  </si>
  <si>
    <t>Step 3. Lactation Profile page</t>
  </si>
  <si>
    <t>Step 4. Breeding and Health page</t>
  </si>
  <si>
    <t>Step 4.1</t>
  </si>
  <si>
    <t>Step 4.3</t>
  </si>
  <si>
    <t>Step 4.4</t>
  </si>
  <si>
    <t>Number of Lactations in a Cow's Productive Life</t>
  </si>
  <si>
    <t>The number of days the cow spends during its lactation with Diverted Milk, is calculated in Worksheet A below Step 4.  The user may choose to enter the number of days for each specified reason, which is automatically totalled and inserted into the calculator, or the user may enter their own total.</t>
  </si>
  <si>
    <t>Sum of Five Reasons</t>
  </si>
  <si>
    <t>Sum of Five Reasons or Enter User Reported Total</t>
  </si>
  <si>
    <t>Worksheet A for Step 4.4 -- Estimating the Average Number of Days in a Lactation with Diverted Milk in the Four Scenarios (see notes)</t>
  </si>
  <si>
    <t>Worksheet  B for Step 4.4 -- Estimating the Average Number of Lactations Over a Cow's Productive Life in the Four Scenarios (see notes)</t>
  </si>
  <si>
    <t>- User Reported (from Worksheet A below)</t>
  </si>
  <si>
    <t>- User Reported (from Worksheet B below)</t>
  </si>
  <si>
    <t>Percent of Cows in the Herd by Lifetime Number of Lactations --</t>
  </si>
  <si>
    <t>Calculated Average Number of Lactations or Enter User Reported Value</t>
  </si>
  <si>
    <t xml:space="preserve">1. Lactations over a lifetime may occur on more than one farm.  </t>
  </si>
  <si>
    <t>- User Reported (from Step 2.1)</t>
  </si>
  <si>
    <t>- User Reported (from Step 2.2)</t>
  </si>
  <si>
    <t xml:space="preserve"> Lactating Cow (excluding Dry Cows):</t>
  </si>
  <si>
    <t>5. Based on the number of replacement heifers needed, taking into consideration the heifer death, conception and abortion rates.  See Appendix A.</t>
  </si>
  <si>
    <t>Notes:</t>
  </si>
  <si>
    <t>Defaults for Step 4</t>
  </si>
  <si>
    <t>Number of Days in Diverted Milk for Scenario 1</t>
  </si>
  <si>
    <t>Number of Days in Diverted Milk for Scenario 2</t>
  </si>
  <si>
    <t>Number of Days in Diverted Milk for Scenario 3</t>
  </si>
  <si>
    <t>Number of Days in Diverted Milk for Scenario 4</t>
  </si>
  <si>
    <t>Percent of Cows for Scenario 1</t>
  </si>
  <si>
    <t>Percent of Cows for Scenario 2</t>
  </si>
  <si>
    <t>Percent of Cows for Scenario 3</t>
  </si>
  <si>
    <t>Percent of Cows for Scenario 4</t>
  </si>
  <si>
    <t>Per Day (Unadjusted)</t>
  </si>
  <si>
    <t>Per Day (ECM)</t>
  </si>
  <si>
    <t>Per Lactation (ECM)</t>
  </si>
  <si>
    <t>Lifetime (ECM)</t>
  </si>
  <si>
    <t>Per Year of Life (ECM)</t>
  </si>
  <si>
    <t>www.organic-center.org/SOG_Home</t>
  </si>
  <si>
    <t>Check for Updates at --</t>
  </si>
  <si>
    <t>Revenue from Unadjusted Milk</t>
  </si>
  <si>
    <t>Length_of_Lactation</t>
  </si>
  <si>
    <t xml:space="preserve">One Lactating Cow (OLC) as a Percent of </t>
  </si>
  <si>
    <t xml:space="preserve"> Adult Cows:</t>
  </si>
  <si>
    <t>as a percent of adult cows in herd</t>
  </si>
  <si>
    <t>Replacements Needed to</t>
  </si>
  <si>
    <t>Sustain Herd</t>
  </si>
  <si>
    <t>Heifers to be Born</t>
  </si>
  <si>
    <t>Step 1.2.3 Total Replacements Needed (Lactating and Dry cows)</t>
  </si>
  <si>
    <t>Total Replacements Needed for Dry Cows:</t>
  </si>
  <si>
    <t>Total Replacements Needed for Lactating Cows:</t>
  </si>
  <si>
    <t>Step 4.2</t>
  </si>
  <si>
    <t xml:space="preserve">Average Days to Next Breeding Attempt </t>
  </si>
  <si>
    <r>
      <t xml:space="preserve">2. The column "Calculated Average Number of Lactations" is the weighted average of the seven previous columns, weighted by the percent of cows in each column.  These values are automatically transferred to the "Calculated Average Number of Lactations or Enter User Reported Value" column.  The value in this column is automatically inserted in the "User Reported" box in Step 4.4 for the variable "Number of Lactations in Productive Life".  If a user does not have the data required to calculate "Average Number of Lactations" using this worksheet, replace this parameter with the best estimate or a default value in the "Calculated Average Number of Lactations or Enter User Reported Value" column.  </t>
    </r>
    <r>
      <rPr>
        <b/>
        <sz val="10"/>
        <rFont val="Arial"/>
        <family val="2"/>
      </rPr>
      <t>The calculator will not run without a value for this parameter.</t>
    </r>
  </si>
  <si>
    <t xml:space="preserve">12-month Average DMI or Enter User Reported DMI </t>
  </si>
  <si>
    <r>
      <rPr>
        <b/>
        <sz val="11"/>
        <rFont val="Arial"/>
        <family val="2"/>
      </rPr>
      <t>Notes:</t>
    </r>
    <r>
      <rPr>
        <sz val="11"/>
        <rFont val="Arial"/>
        <family val="2"/>
      </rPr>
      <t xml:space="preserve">    The column "12-month Average DMI" is the calculated monthly average over the year.  These values are transferred to the "12-month Average DMI or Enter User Reported DMI" column which will be automatically inserted in the corresponding lines for "% DMI" of each crop for the lactating cow in Step 9a.  If a user does not know or chooses not to enter a monthly breakdown of these rations, then replace the calculated average with a known percent DMI value.</t>
    </r>
  </si>
  <si>
    <t xml:space="preserve">The Number of Lactations in a Cow's Productive Life is calculated in Worksheet B below Step 4.  The user enters the percent of cows in a herd that have one, two, three, and up to seven or more lactations within its productive life.  The average number of lactations is summed.  The user may enter their own number of lactations if otherwise known.  This number is automatically inserted into Step 4.4.  </t>
  </si>
  <si>
    <t>Default Values Incorporated into Steps 1-15</t>
  </si>
  <si>
    <t>Default Value</t>
  </si>
  <si>
    <t xml:space="preserve"> other source</t>
  </si>
  <si>
    <t>- User Reported based on a dairy cow nutrition program or</t>
  </si>
  <si>
    <t>The Defaults page lists all the default values that are used to initialize the calculator.  They are organized into tables for each step for ease of identification.  These values are set to commonly used and published industry standards which are sourced either to the far right column, or at the bottom of each table.  They are not intended to be changed by the user.  Default values may change over time and will be updated in the next version of this calculator.  If a user wishes to change any defaults prior to the next release, contact Dr. Charles Benbrook of The Organic Center at www.Organic-Center.org.  The current default values established for Version 1.1 are as follows:</t>
  </si>
  <si>
    <t>Default Values for Step 6.1</t>
  </si>
  <si>
    <t>- Energy Corrected Milk (ECM)</t>
  </si>
  <si>
    <t>DMI for Lact Cow</t>
  </si>
  <si>
    <t>Herbicides per Acre</t>
  </si>
  <si>
    <t>Insecticides per Acre</t>
  </si>
  <si>
    <t>Involuntary Cull Rate for Lactating Cows:</t>
  </si>
  <si>
    <t>Voluntary Cull Rate for Lactating Cows:</t>
  </si>
  <si>
    <t>Death and Downer Rate for Lactating Cows:</t>
  </si>
  <si>
    <t>Cull Rate for Dry Cows:</t>
  </si>
  <si>
    <t>Death Rate for Dry Cows:</t>
  </si>
  <si>
    <t>Death Rate for Heifers &gt; 1 Year:</t>
  </si>
  <si>
    <t>Death Rate for Heifers &lt; 1 Year:</t>
  </si>
  <si>
    <t>Average Days to Next Breeding Attempt</t>
  </si>
  <si>
    <t>Percent of Cows Served</t>
  </si>
  <si>
    <t>Age of Heifer at First Breeding Attempt (months):</t>
  </si>
  <si>
    <t>Protein and Fat Corrected Milk (ECM)</t>
  </si>
  <si>
    <t>Unadjusted Milk Production (pounds per day)</t>
  </si>
  <si>
    <t>2.  Values are calculated as the unadjusted milk production times the percent of milk protein/fat found.</t>
  </si>
  <si>
    <t>Unadjusted Milk Production (lb/day)</t>
  </si>
  <si>
    <t>Unadjusted Milk Production (kg/day)</t>
  </si>
  <si>
    <t>Unadjusted_Milk_Production_kg_day</t>
  </si>
  <si>
    <t>Unadjusted_Milk_Production_lb_day</t>
  </si>
  <si>
    <t>Manure Excretion (ME):</t>
  </si>
  <si>
    <t>Total Nutrient Excretions for One Lactating Cow plus Supporting Animals</t>
  </si>
  <si>
    <t>Total Nutrient Excretions</t>
  </si>
  <si>
    <t>Manure Excretion (ME)</t>
  </si>
  <si>
    <t>Dry Matter Excretion (DME)</t>
  </si>
  <si>
    <t>Nitrogen Excretion (NE)</t>
  </si>
  <si>
    <t>Phosphorus Excretion (PE)</t>
  </si>
  <si>
    <t>Potassium Excretion (KE)</t>
  </si>
  <si>
    <t>Total Manure Excretions (ME)</t>
  </si>
  <si>
    <t>Total Nitrogen Excretion (NE)</t>
  </si>
  <si>
    <t>Total Phosphorus Excretion (PE)</t>
  </si>
  <si>
    <t>Total Dry Matter Excretion (DME)</t>
  </si>
  <si>
    <t>Total Potassium Excretion (KE)</t>
  </si>
  <si>
    <t>- Calculated based on Dietary CP</t>
  </si>
  <si>
    <t>Milk Prod</t>
  </si>
  <si>
    <t>The Total Maure Excretion calculated of a Lactating Cow is the (amount of DMI (kg) times 2.63) + 9.4.  The same equation is used for dry cow manure excretions.</t>
  </si>
  <si>
    <t>The Total Manure Excretion calculated for Heifers greater than one is the DMI (kg) required for a heifer times 4.158 minus the body weight of the heifer times 0.0246.</t>
  </si>
  <si>
    <t>The Total Manure Excretion calculated for Calfs is the DMI (kg) required for a calf times 3.45.</t>
  </si>
  <si>
    <t>The Dry Matter Excretion calculated is the amount of DMI required per day times 0.356 plus 0.8.  This equation is used for all animal types except calves.</t>
  </si>
  <si>
    <t>The Dry Matter Excretion calculated for Calves is the amount of DMI required per day times 0.393.</t>
  </si>
  <si>
    <t xml:space="preserve">The Nitrogen Excretion as calculated is the amount of DMI required for lactating/dry cow times the dietary crude protein times 84.1 plus the body weight of the cow times 0.196.  </t>
  </si>
  <si>
    <t>The Nitrogen Excretion as calculated for Heifers is the amount of DMI requred for a heifer times the dietary crude protein times 78.39 plus 51.4.</t>
  </si>
  <si>
    <t>The Nitrogen Excretion as calculated for Calves is the amount of DMI required for a calf times the dietary crude protein * 112.55.</t>
  </si>
  <si>
    <t>The Phosphorus Excretion calculated is the DMI required per day times the dietary phosphorus (P) times 560.7 plus 21.1. This equation is used for all animal types except calves.  DMI required varies depending on animal type.</t>
  </si>
  <si>
    <t>The Phosphorus Excretion calculated for calves is the DMI required for a calf per day times the dietary phosphorus (P) times 622.03</t>
  </si>
  <si>
    <t>The Potassium Excretion calculated is the DMI required per day times 7.21 plus dietary potassium (K) times 15944 minus 164.5.  DMI required varies depending on animal type.</t>
  </si>
  <si>
    <t>Volatile Solids Produced calculated</t>
  </si>
  <si>
    <t>Volatile Solids Produced calculated is the gross energy from manure minus the digestible energy plus 2% of the gross energy from manure, divided by 20.1</t>
  </si>
  <si>
    <t>The Methane produced from Enteric Fermentation calculated based on 75% of the Milk Production times 24.9 grams.</t>
  </si>
  <si>
    <t>The Methane produced from Enteric Fermentation calculated based on 81% of the DMI required for a lactating cow plus 3.23, divided by a 55.65 to convert from mj to kg.</t>
  </si>
  <si>
    <t>The Methane produced from Enteric Fermentation calculated based on the percent of DMI that comes from forage feeds times 0.14 plus 8.56, divided by a 55.65 to convert from mj to kg.</t>
  </si>
  <si>
    <t>The Methane produced from Enteric Fermentation calculated based on the EPA methodology is gross energy times YM divided by 55.65 to convert mj to kg.  In the case of heifers &gt; 1 and heifers &lt; 1, the equation is divided by the body weight of the lactating cow and multiplied by the body weight of the heifer, to proportionally adjust the methane from enteric fermentation.</t>
  </si>
  <si>
    <t>Methane from Enteric Fermentation calculated based on Milk Production (Lactating Cow Only)</t>
  </si>
  <si>
    <t>Methane from Enteric Fermentation calculated based on DMI (all animals)</t>
  </si>
  <si>
    <t>Methane from Enteric Fermentation calculated based on % Forage (all animals)</t>
  </si>
  <si>
    <t>Methane from Enteric Fermentation calculated based on EPA Method (all animals)</t>
  </si>
  <si>
    <t>Methane from Manure calculated based on EPA Method (all animals)</t>
  </si>
  <si>
    <t>Dry Matter Excretions calculated (Calves)</t>
  </si>
  <si>
    <t>Nitrogen Excretion calculated based on Milk Production (Lactating Cows)</t>
  </si>
  <si>
    <t>Nitrogen Excretion calculated based on Dietary CP (Lactating and Dry Cows)</t>
  </si>
  <si>
    <t>Nitrogen Excretion calculated based on Dietary CP (Heifers)</t>
  </si>
  <si>
    <t>Nitrogen Excretion calculated based on Dietary CP (Calves)</t>
  </si>
  <si>
    <t>Phosphorus Excretion calculated based on Milk Production (Lactating Cows)</t>
  </si>
  <si>
    <t>Phosphorus Excretion calculated based on Dietary P (Calves)</t>
  </si>
  <si>
    <t>Manure Excretion calculated (Lactating and Dry Cows)</t>
  </si>
  <si>
    <t>Manure Excretion calculated (Heifers &gt; 1)</t>
  </si>
  <si>
    <t>Manure Excretion calculated (Calves)</t>
  </si>
  <si>
    <t>Dry Matter Excretions calculated (All Animals except Calves)</t>
  </si>
  <si>
    <t>Phosphorus Excretion calculated based on Dietary P (All Animanls except Calves)</t>
  </si>
  <si>
    <t>Potassium Excretion calculated (All Animals)</t>
  </si>
  <si>
    <t xml:space="preserve">The Nitrogen Excretion is based on daily unadjusted milk production times 5.67 grams of nitrogen per kg of milk produced per day for conventional cows.  </t>
  </si>
  <si>
    <t xml:space="preserve">(Unadjusted Milk(kg/day) * 5.67(g/day) /1000)   </t>
  </si>
  <si>
    <t xml:space="preserve">The Phosphorus Excretion reported for Lactating Cows is based on the unadjusted milk production per day times 2.98 grams of phosphorus detected per kg of milk.  </t>
  </si>
  <si>
    <t>Capper; PNAS (2008) The environmental impact of recombinant bovine somatotropin (rbST) use in dairy production.  Capper sites 2.98 g/day for conventonal cows, 2.63 (11.8% less) for conventional plus rbST cows.  Used 2.98 as a default for all scenarios.</t>
  </si>
  <si>
    <t>Capper; PNAS (2008) The environmental impact of recombinant bovine somatotropin (rbST) use in dairy production.  Capper cites 5.67 g/day for conventional cows, 5.15 (9.1% less) for conventional plus rbST cows and 8.97 for organic cows.  Used 5.67 as default for all scenarios.</t>
  </si>
  <si>
    <t xml:space="preserve">(Unadjusted Milk(kg/day) * 2.98(g/day) /1000)   </t>
  </si>
  <si>
    <t>Step 11a.1.Detail. Forage Feeds:</t>
  </si>
  <si>
    <t>Step 11a.2.Detail. Grain:</t>
  </si>
  <si>
    <t>Step 11a.3.Detail. Protein Supplements:</t>
  </si>
  <si>
    <t>Step 11b.1.Detail. Forage Feeds</t>
  </si>
  <si>
    <t>Step 11b.2.Detail. Grain</t>
  </si>
  <si>
    <t>Step 11b.3.Detail. Protein Supplements</t>
  </si>
  <si>
    <t>Total Forage Feeds</t>
  </si>
  <si>
    <t>Total Grains</t>
  </si>
  <si>
    <t>Total Proteins</t>
  </si>
  <si>
    <t>Results Table Part III. Overview of Manure and Nutrient Excretions During a Lactating Cow's Productive Life</t>
  </si>
  <si>
    <t>Results Table Part I. Overview of Milk and Meat Production During a Lactating Cow's Productive Life</t>
  </si>
  <si>
    <t>Results Table Part II. Overview of Land and Inputs Required in Feed Production During a Lactating Cow's Productive Life</t>
  </si>
  <si>
    <t>Results Table Part IV. Overview of Greenhouse Gas Emissions During a Lactating Cow's Productive Life</t>
  </si>
  <si>
    <t>5.  Default value for Days in Milk is the 150th day in a given lactation period.  It is estimated to be when the cow is at its peak production level and allows the two systems to be at comparable states.</t>
  </si>
  <si>
    <t>Step 2. Factors Determining Lactating Cow Culling and Death and Downer Rates (Incorporated in Step 1.2)</t>
  </si>
  <si>
    <t>1.  The DEFAULT values for "Reasons Culling" and "Death and Downer Rate " are derived from the USDA APHIS, Dairy 2007, Part I, Pages 89 &amp; 91.</t>
  </si>
  <si>
    <r>
      <rPr>
        <b/>
        <sz val="10"/>
        <rFont val="Arial"/>
        <family val="2"/>
      </rPr>
      <t xml:space="preserve">Notes: </t>
    </r>
    <r>
      <rPr>
        <sz val="10"/>
        <rFont val="Arial"/>
        <family val="2"/>
      </rPr>
      <t xml:space="preserve">   The column "Sum of Five Reasons" is the sum of the previous five columns.  These values are automatically transferred to the last column, which will be inserted in the line "Days of Diverted Milk" in Step 4.4 under "User Reported."  If a user does not know the specific reasons why milk was diverted, but knows the total number of days on average per lactating cow that milk was diverted, place this number of days in the last column.</t>
    </r>
  </si>
  <si>
    <t>Meat Production from Calves at Slaughter:</t>
  </si>
  <si>
    <t>Total Meat Associated with Cow's Life:</t>
  </si>
  <si>
    <t>5. Meat revenue from the cow is based from the meat production of the cow at the time of slaughter times the price per pound (live weight) divided by the age of the cow at the end of its productive life.</t>
  </si>
  <si>
    <t>6. Meat revenue from heifers that failed to breed are based on the number of heifers that sustain one lactating cow (step 1), times the failure to breed rate times the price per pound (live weight) at the body weight of a full grown calf divided by the age of the cow at the end of its productive life.</t>
  </si>
  <si>
    <t>Meat_Price_Cow * Grown_Calf_Weight_lb * Heifer_Units * Heifer_Failure_to_Breed_Rate / Age_at_EOL</t>
  </si>
  <si>
    <t>The Meat Revenue per Year of Life from Heifers that Fail to Breed is calculated by taking the meat price for dairy cows times the weight of a full grown heifer calf times the heifer units (the number of heifers needed to sustain one lactating cow) times the rate of heifers that fail to breed, divided by the age of cow at the end of her life.</t>
  </si>
  <si>
    <t>National Average Inputs Applied per Acre on Conventional Crops (pounds)</t>
  </si>
  <si>
    <t>All Animals</t>
  </si>
  <si>
    <t>Step 14a.1 Waste Management System (WMS)</t>
  </si>
  <si>
    <t>WMS Methane Conversion Factor (MCF):</t>
  </si>
  <si>
    <r>
      <t xml:space="preserve">(based on </t>
    </r>
    <r>
      <rPr>
        <sz val="10"/>
        <rFont val="Arial"/>
        <family val="2"/>
      </rPr>
      <t>Unadjusted</t>
    </r>
    <r>
      <rPr>
        <sz val="10"/>
        <rFont val="Arial"/>
        <family val="2"/>
      </rPr>
      <t xml:space="preserve"> Milk Production)</t>
    </r>
  </si>
  <si>
    <t>Step 15a. Methane Emission Predictions from Dairy Cattle per Day</t>
  </si>
  <si>
    <t>DCP</t>
  </si>
  <si>
    <t>Dietary Crude Protein</t>
  </si>
  <si>
    <t>DP</t>
  </si>
  <si>
    <t>Dietary Phosphorus</t>
  </si>
  <si>
    <t>DK</t>
  </si>
  <si>
    <t>Dietary Potassium</t>
  </si>
  <si>
    <t>Manure Excreted</t>
  </si>
  <si>
    <t>WMS</t>
  </si>
  <si>
    <t>Waste Management System</t>
  </si>
  <si>
    <t>WMS Methane Conversion Factor calculated</t>
  </si>
  <si>
    <t>Input Variables Values from Dairy 2007 Survey Effected by Breeding Method (Step 4)</t>
  </si>
  <si>
    <t>Conventional and Organic Farm Environmental Footprints (COFEF)</t>
  </si>
  <si>
    <t>Intensive Conventional Management with Holsteins and rbST</t>
  </si>
  <si>
    <t>Conventional Management, Holsteins</t>
  </si>
  <si>
    <t>Intensive Organic Management, Holsteins</t>
  </si>
  <si>
    <t>Pasture-Based Organic, Jersey Cows</t>
  </si>
  <si>
    <t>High production farm, TMR, 1% DMI from pasture</t>
  </si>
  <si>
    <t>Moderate production, 2.5% DMI from pasture</t>
  </si>
  <si>
    <t>High production, TMR plus 25% DMI from pasture</t>
  </si>
  <si>
    <t>Medium production, heavy reliance on pasture and forages</t>
  </si>
  <si>
    <t>2.  "User Reported" values are from the COFEF Team.</t>
  </si>
  <si>
    <t xml:space="preserve">Total Methane Emissions One Lactating Cow plus Supporting Animals </t>
  </si>
  <si>
    <t>Daily DMI Required for Lactating Cows (lbs)</t>
  </si>
  <si>
    <t xml:space="preserve">Organic? </t>
  </si>
  <si>
    <t>Source: EPA; Annex 3.1 Methodology for Estimating Emissions of CH4, N2O, and Indirect Greenhouse Gases from Stationary Combustion.  Table A-175: Methane Conversion Factors for Wet Systems by State; Table A-161: DE Values and Representative Regional Diets for the Supplemental Diet of Grazing Beef Cattle; Table A-163 Regional CH4 Conversion Rates (Ym) for Dairy Cows</t>
  </si>
  <si>
    <t>Ym</t>
  </si>
  <si>
    <t>% Diet Digestibility</t>
  </si>
  <si>
    <t>5. EPA; Inventory of U.S. Greenhouse Gas Emissions and Sinks: 1990-2007, Chpt 3.9. Methodology for Estimating CH4 Emissions from Enteric Fermentation. Table A-163 Regional Digestible Energy and CH4 Conversion Rates (Ym) for Dairy Cows, based on State selected.</t>
  </si>
  <si>
    <t>Death and Downer Rate</t>
  </si>
  <si>
    <t>Portion of Cow Available for Slaughter (live weight)</t>
  </si>
  <si>
    <t>9. Portion of Cow Available takes into consideration the death and downer rates that effect the availability of lactating cows sold for slaughter.</t>
  </si>
  <si>
    <t xml:space="preserve">Heifer &gt; 1 </t>
  </si>
  <si>
    <t>Step 12.4 Dietary Intakes for One Heifer &lt; 1</t>
  </si>
  <si>
    <t>One Lactating Cow as a Percent of Adult Herd</t>
  </si>
  <si>
    <t>The Percent of Lactating Cows within the adult cow herd is calculated by taking the length of the calving interval (length of lactation and the dry period) and dividing it by the length of lactation to accertain the percent of cows that are lactating relevant to the adult herd.</t>
  </si>
  <si>
    <t>Total Replacements Needed for Lactating Cows</t>
  </si>
  <si>
    <t>Step 1.2.1</t>
  </si>
  <si>
    <t xml:space="preserve">Cull_Rate_Involuntary_Lact_Cows + Cull_Rate_Voluntary_Lact_Cows + Death_Rate_Lact_Cows </t>
  </si>
  <si>
    <t>The Number of Replacement Heifers Needed to Sustain Lactating Cows in the herd is calculated by considering the turnover rate of the herd (culling and death).  It is calculated by summing the involuntary and voluntary cull rates and death rates (Step 2) for the lactating cow.</t>
  </si>
  <si>
    <t>Total Replacements Needed for Dry Cows</t>
  </si>
  <si>
    <t>Step 1.2.2</t>
  </si>
  <si>
    <t>(Cull_Rate_Dry_Cows + Death_Rate_Dry_Cows) * Dry_Cow_Units</t>
  </si>
  <si>
    <t>The Number of Replacement Heifers Needed to Sustain Dry Cows in the herd is calculated by summing the cull and death rates for dry cows.</t>
  </si>
  <si>
    <t>Step 1.2.3</t>
  </si>
  <si>
    <t>Total Replacements Needed for Lactating Cows + Total Replacements Needed for Dry Cows</t>
  </si>
  <si>
    <t>The Number of Replacement Heifers Needed to sustain the herd population is calculated by summing the total replacements needed for lactating and dry cows.</t>
  </si>
  <si>
    <t>Reasons for Culling</t>
  </si>
  <si>
    <t>Total Default Cull Rate * Percent for Each Reason</t>
  </si>
  <si>
    <t>The default values for each reason for culling are derived by taking the total published cull rate (23.6%) and multiplying it by the rate for each individual reason.  Note that the sum of the voluntary and involuntary cull rates equal the industry standard of 23.6%.</t>
  </si>
  <si>
    <t>USDA APHIS, Dairy 2007, Part I, Page 89.</t>
  </si>
  <si>
    <t>Unadjusted_Milk_Production * 0.323) + (7.13 * Protein_Content) + (12.82 * Fat_Content)</t>
  </si>
  <si>
    <t>Energy Corrected Milk Production takes into account the quality of milk by considering the protein and fat components found in milk.  It is calculated by taking 32.3% of daily milk production and adding in 7.13 times the amount of protein content plus 12.82 times the amount of fat content.</t>
  </si>
  <si>
    <t>Number of Days Between Breeding Attempts calculated</t>
  </si>
  <si>
    <t>Sum of days for each reason</t>
  </si>
  <si>
    <t xml:space="preserve">(%Cows * 1) + (%Cows * 2) + (%Cows * 3) + (%Cows * 4) + (%Cows * 5) + (%Cows * 6) + (%Cows * 8) + </t>
  </si>
  <si>
    <t>Average Annual Unadjusted Milk Production per Year</t>
  </si>
  <si>
    <t>Unadjusted_Milk_Production_Life_lb / Age_at_EOL</t>
  </si>
  <si>
    <t>The Average Unadjusted Milk Production per Year equals the total unadjusted milk production thru life divided by the age of the cow at the end of it's life.</t>
  </si>
  <si>
    <t>Average Annual Energy Corrected Milk Production per Year</t>
  </si>
  <si>
    <t>ECM_Production_Life_lb/ Age_at_EOL</t>
  </si>
  <si>
    <t>The Average Energy Corrected Milk Production per Year equals the total energy corrected milk production thru life divided by the age of the cow at the end of it's life.</t>
  </si>
  <si>
    <t>Portion of Cow Available for Slaughter</t>
  </si>
  <si>
    <t>Lact_Cow_Weight_lb * (1 - Death_Rate)</t>
  </si>
  <si>
    <t>The Portion of Cow Available for Slaughter takes into consideration the average lactating cow that survives to be culled.  Cows that are removed from the herd from death or downer are not slaughtered for meat production and therefore must be removed from the equation.</t>
  </si>
  <si>
    <t>Meat Production of Cow at Slaughter</t>
  </si>
  <si>
    <t>Pounds_Available_Slaughter * Cow_Dressing_Rate</t>
  </si>
  <si>
    <t>The Meat Production of the Cow at Slaughter is the portion of the cow that survives to be slaughtered times the cow's dressing rate.</t>
  </si>
  <si>
    <t>Body_Weight_lb * Calf_Dressing_Rate</t>
  </si>
  <si>
    <t>Meat_Production_from_Cow + (Meat_Production_from_Calves * Total_Calves_in_Life)</t>
  </si>
  <si>
    <t>The Total Meat Production during a cow's life is the amount of meat produced from the slaughter of the cow plus the meat produced from the calves born throughout it's life at slaughter.</t>
  </si>
  <si>
    <t>Meat_Price_Cow * Lact_Cow_Weight_lb / Age_at_EOL</t>
  </si>
  <si>
    <t>The Meat Revenue per Year of Life from Cow Slaughter is calculated by taking the meat price for dairy cows times the lactating cow's body weight (live weight) divided by the age of cow at the end of her life.</t>
  </si>
  <si>
    <t>Steps 9a &amp; 9b</t>
  </si>
  <si>
    <t>Steps 10a &amp; 10b</t>
  </si>
  <si>
    <t>Steps 11a &amp; 11b</t>
  </si>
  <si>
    <t>Dietary Crude Protein (CP) (All Animals)</t>
  </si>
  <si>
    <t>Steps 12a &amp; 12b</t>
  </si>
  <si>
    <t>Dietary CP (Nennich) / DMI (Nennich) * DMI Required (Animal Type)</t>
  </si>
  <si>
    <t>Dietary Crude Protein (CP) is adjusted proportionately based on DMI from the values published by Nennich.  The same calculation is used for all animal types.</t>
  </si>
  <si>
    <t>Dietary Phosphorous (P) (All Animals)</t>
  </si>
  <si>
    <t>Dietary P (Nennich) / DMI (Nennich) * DMI Required (Animal Type)</t>
  </si>
  <si>
    <t>Dietary Phosphorous (P) is adjusted proportionately based on DMI from the values published by Nennich.  The same calculation is used for all animal types.</t>
  </si>
  <si>
    <t>Dietary Potassium (K) (All Animals)</t>
  </si>
  <si>
    <t>Dietary K (Nennich) / DMI (Nennich) * DMI Required (Animal Type)</t>
  </si>
  <si>
    <t>Dietary Potassium (K) is adjusted proportionately based on DMI from the values published by Nennich.  The same calculation is used for all animal types.</t>
  </si>
  <si>
    <t>Steps 13a &amp; 13b</t>
  </si>
  <si>
    <t>(DMI_kg * Dietary_CP * 84.1) + (Body_Weight_kg * 0.196)) / 1000</t>
  </si>
  <si>
    <t>Steps 14a &amp; 14b</t>
  </si>
  <si>
    <t>%Manure * MCF(waste system)</t>
  </si>
  <si>
    <t>The weghted Methane Conversion Factor (MCF) is the percent of manure emitted to a particular waste system times the MCF for that waste management system,</t>
  </si>
  <si>
    <t>Sum of Weighted MCF</t>
  </si>
  <si>
    <t>The calculated Total Methane Conversion Factor (MCF) is the sum of the weighted MCF for each waste management system.</t>
  </si>
  <si>
    <t>0.386 * (Lact_Cow_Weight_kg ^0.75)</t>
  </si>
  <si>
    <t>NE_Maintenance * (0.17 or 0.0)</t>
  </si>
  <si>
    <t xml:space="preserve">Net Energy for Activity is based on the net energy for maintenance times a coefficient  based on the type of waste management system.  (0.0 for stalls, 0.17 for pasture).  It is assumed that conventional cows spend their time in feedlot conditions (0.0) and organic cows on high quality confined pasture conditions (0.17).  The differences specified by EPA.  </t>
  </si>
  <si>
    <r>
      <t xml:space="preserve">U.S. Environmental Protection Agency (EPA). (2007). </t>
    </r>
    <r>
      <rPr>
        <i/>
        <sz val="10"/>
        <rFont val="Arial"/>
        <family val="2"/>
      </rPr>
      <t>Inventory of U.S. Greenhouse Gas Emissions and Sinks: 1990-2007.</t>
    </r>
    <r>
      <rPr>
        <sz val="10"/>
        <rFont val="Arial"/>
        <family val="2"/>
      </rPr>
      <t xml:space="preserve"> Chapter 3.9. Methodology for Estimating CH4 Emissions from Enteric Fermentation, Washington, DC.  See footnote 42 on Page A-190.</t>
    </r>
  </si>
  <si>
    <t>Unadjusted_Milk_Production_kg_day * (1.47+0.4 * Percent_Milk_Fat)</t>
  </si>
  <si>
    <t>Net Energy for Lactation is based on daily unadjusted milk production times 1.47 plus 4% of the percent fat in found in milk.</t>
  </si>
  <si>
    <t>Steps 15a &amp; 15b</t>
  </si>
  <si>
    <t>Dry Matter Intake Required per Lb/Kg of Milk:</t>
  </si>
  <si>
    <t>DMI_Lact_Cow / Unadjusted_Milk_Production_lb_day</t>
  </si>
  <si>
    <t>The Dry Matter Intake Required to produce one pound/kg of ECM milk equals the DMI required per day divided by the ECM production.</t>
  </si>
  <si>
    <t>The Dry Matter Intake Required to produce one pound/kg of unadjusted milk equals the DMI required per day divided by the unadjusted milk production.</t>
  </si>
  <si>
    <t xml:space="preserve">Dry Matter Intake Required at Unadjusted Milk Production  </t>
  </si>
  <si>
    <t xml:space="preserve"> Level per Day:</t>
  </si>
  <si>
    <t>Lb/Kg of Milk per Dry Matter Intake Required:</t>
  </si>
  <si>
    <t>Dry Matter Intake Required per Lb/Kg of Unadjusted Milk</t>
  </si>
  <si>
    <t>Dry Matter Intake Required per Lb/Kg of ECM Milk</t>
  </si>
  <si>
    <t>Lb/Kgs of Unadjusted Milk per Dry Matter Intake Required</t>
  </si>
  <si>
    <t>Lb/Kgs of ECM Milk per Dry Matter Intake Required</t>
  </si>
  <si>
    <t>ECM_Production_lb_day / DMI_Lact_Cow</t>
  </si>
  <si>
    <t>Unadjusted_Milk_Production_lb_day / DMI_Lact_Cow</t>
  </si>
  <si>
    <t>DMI_Lact_Cow / ECM_Production_lb_day</t>
  </si>
  <si>
    <t>The Lb/Kg of Unadjusted Milk per Dry Matter Intake Required per day equals the amount of unadjusted milk production divided by the DMI required.</t>
  </si>
  <si>
    <t>The Lb/Kg of ECM Milk per  Dry Matter Intake Required equals the amount of ECM production divided by the DMI required.</t>
  </si>
  <si>
    <t>2. Equals the DMI required to maintain daily milk production levels divided by daily unadjusted/ECM milk production.</t>
  </si>
  <si>
    <t>1. CPM-Dairy Model Runs.</t>
  </si>
  <si>
    <t>4. Value was extrapolated from Nennich et al (2005), Prediction of Manure and Nutrient Excretion from Dairy Cattle, Journal of Dairy Science. 88:3721–3733.</t>
  </si>
  <si>
    <t>3. Equals the daily unadjusted/ECM milk production divided by the DMI required to maintain daily milk production .</t>
  </si>
  <si>
    <t>Clostrum Post-Calving and Feeding Heifer Calves*</t>
  </si>
  <si>
    <t>* Organic heifer calves fed one galloon of organic milk per day for average 60 days, leading to the diversion of an average of 10 days of organic milk.  Bull calves fed organic milk for two days, resulting in an average of 6 days of diverted milk per calf on organic farms.</t>
  </si>
  <si>
    <t>Milk_Price * ECM_Production_lb_day * (Length_of_Lactation - Days_in_Diverted_Milk) * Number_of_Lactations / Age_at_EOL</t>
  </si>
  <si>
    <t>Milk_Price * Unadjusted_Milk_Production_lb_day * (Length_of_Lactation - Days_in_Diverted_Milk) * Number_of_Lactations / Age_at_EOL</t>
  </si>
  <si>
    <t>Unadjusted_Milk_Production_lb_day * Length_of_Lactation * Number_of_Lactations</t>
  </si>
  <si>
    <t>ECM_Milk_Production_lb_day * Length_of_Lactation  * Number_of_Lactations</t>
  </si>
  <si>
    <t>The Total Amount of Unadjusted Milk Production equals the amount of daily unadjusted milk produced times the length of lactation, times the number of lactations in a cow's productive life.</t>
  </si>
  <si>
    <t>The Total Amount of Energy Corrected Milk Production equals the amount of daily energy corrected milk produced times the length of lactation, times the number of lactations in a cow's productive life.</t>
  </si>
  <si>
    <t>The Annual Milk Revenue from Unadjusted Milk Production per Year of Life is the average annual milk price times the average annual unadjusted milk production (lb) taking into consideration the days spent with milk diverted from production.</t>
  </si>
  <si>
    <t>The Annual Milk Revenue from ECM Milk Production per Year of Life is the average annual milk price times the average annual energy corrected milk production (lb), taking into consideration the days spent with milk diverted from production.</t>
  </si>
  <si>
    <t xml:space="preserve"> Production Less Diverted Milk</t>
  </si>
  <si>
    <t>Per Kg of Milk (Unadjusted)</t>
  </si>
  <si>
    <t>Per Kg of Milk (ECM)</t>
  </si>
  <si>
    <t>Step 14.1 Waste Management System (WMS)</t>
  </si>
  <si>
    <t>WMS Methane Conversion Factor</t>
  </si>
  <si>
    <t>Revenue from Calves Sold per Year of Life:</t>
  </si>
  <si>
    <t>Revenue from Unadjusted Milk Production per Year of Life</t>
  </si>
  <si>
    <t>Revenue from ECM Milk Production per Year of Life</t>
  </si>
  <si>
    <t>Gross Energy Intake (GE)</t>
  </si>
  <si>
    <t>Manure Excretion (kg/day)</t>
  </si>
  <si>
    <t>Step 12.1 Dietary Intakes for One Lactating Cow</t>
  </si>
  <si>
    <t>DMI Required at Unadjusted Milk (lb/day)</t>
  </si>
  <si>
    <t>DMI Required at Unadjusted Milk (kg/day)</t>
  </si>
  <si>
    <t>DMI Required for Dry Cow (lbs/day)</t>
  </si>
  <si>
    <t>DMI Required for Heifer &gt; 1 (lbs/day)</t>
  </si>
  <si>
    <t>DMI Required for Heifer &lt; 1 (lbs/day)</t>
  </si>
  <si>
    <t>DMI Required for Dry Cow (kgs/day)</t>
  </si>
  <si>
    <t>DMI Required for Heifer &gt; 1 (kgs/day)</t>
  </si>
  <si>
    <t>DMI Required for Heifer &lt; 1 (kgs/day)</t>
  </si>
  <si>
    <t>DMI_Lact_Cow_at_Milk_Production_lb</t>
  </si>
  <si>
    <t>DMI_Lact_Cow_at_Milk_Production_kg</t>
  </si>
  <si>
    <t xml:space="preserve">Percent of Cows Served (but no conception) </t>
  </si>
  <si>
    <t>One Lactating Cow as a Percent of Adults Cows</t>
  </si>
  <si>
    <t>Death Rate for Heifers &lt; 1</t>
  </si>
  <si>
    <t>Length of Dryoff Period</t>
  </si>
  <si>
    <t>Days to Next Breeding Attempt</t>
  </si>
  <si>
    <t>Age of Heifer at 1st Birthing</t>
  </si>
  <si>
    <t>Meat Price per Pound for Cow (live weight)</t>
  </si>
  <si>
    <t>Meat Price per Pound for Calf (live weight)</t>
  </si>
</sst>
</file>

<file path=xl/styles.xml><?xml version="1.0" encoding="utf-8"?>
<styleSheet xmlns="http://schemas.openxmlformats.org/spreadsheetml/2006/main">
  <numFmts count="2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_(* #,##0.000_);_(* \(#,##0.000\);_(* &quot;-&quot;??_);_(@_)"/>
    <numFmt numFmtId="167" formatCode="_(* #,##0.0000_);_(* \(#,##0.0000\);_(* &quot;-&quot;??_);_(@_)"/>
    <numFmt numFmtId="168" formatCode="0.0%"/>
    <numFmt numFmtId="169" formatCode="0.0"/>
    <numFmt numFmtId="170" formatCode="0.000"/>
    <numFmt numFmtId="171" formatCode="0.0000"/>
    <numFmt numFmtId="172" formatCode="_(* #,##0.0000000_);_(* \(#,##0.0000000\);_(* &quot;-&quot;??_);_(@_)"/>
    <numFmt numFmtId="173" formatCode="_(* #,##0.00000_);_(* \(#,##0.00000\);_(* &quot;-&quot;??_);_(@_)"/>
    <numFmt numFmtId="174" formatCode="_(* #,##0.000000_);_(* \(#,##0.000000\);_(* &quot;-&quot;??_);_(@_)"/>
    <numFmt numFmtId="175" formatCode="_(* #,##0.00_);_(* \(#,##0.00\);_(* &quot;-&quot;_);_(@_)"/>
    <numFmt numFmtId="176" formatCode="_(* #,##0.000_);_(* \(#,##0.000\);_(* &quot;-&quot;_);_(@_)"/>
    <numFmt numFmtId="177" formatCode="_(&quot;$&quot;* #,##0_);_(&quot;$&quot;* \(#,##0\);_(&quot;$&quot;* &quot;-&quot;??_);_(@_)"/>
    <numFmt numFmtId="178" formatCode="_(&quot;$&quot;* #,##0.0000_);_(&quot;$&quot;* \(#,##0.0000\);_(&quot;$&quot;* &quot;-&quot;??_);_(@_)"/>
    <numFmt numFmtId="179" formatCode="_(&quot;$&quot;* #,##0.0_);_(&quot;$&quot;* \(#,##0.0\);_(&quot;$&quot;* &quot;-&quot;??_);_(@_)"/>
    <numFmt numFmtId="180" formatCode="[$-409]mmmm\ d\,\ yyyy;@"/>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b/>
      <sz val="11"/>
      <name val="Arial"/>
      <family val="2"/>
    </font>
    <font>
      <b/>
      <sz val="12"/>
      <name val="Arial"/>
      <family val="2"/>
    </font>
    <font>
      <b/>
      <sz val="14"/>
      <name val="Arial"/>
      <family val="2"/>
    </font>
    <font>
      <sz val="11"/>
      <name val="Arial"/>
      <family val="2"/>
    </font>
    <font>
      <sz val="12"/>
      <name val="Arial"/>
      <family val="2"/>
    </font>
    <font>
      <b/>
      <u/>
      <sz val="11"/>
      <name val="Arial"/>
      <family val="2"/>
    </font>
    <font>
      <sz val="14"/>
      <name val="Arial"/>
      <family val="2"/>
    </font>
    <font>
      <u/>
      <sz val="10"/>
      <name val="Arial"/>
      <family val="2"/>
    </font>
    <font>
      <sz val="8"/>
      <name val="Arial"/>
      <family val="2"/>
    </font>
    <font>
      <i/>
      <sz val="11"/>
      <name val="Arial"/>
      <family val="2"/>
    </font>
    <font>
      <sz val="8"/>
      <name val="Tahoma"/>
      <family val="2"/>
    </font>
    <font>
      <i/>
      <sz val="9"/>
      <name val="Arial"/>
      <family val="2"/>
    </font>
    <font>
      <i/>
      <sz val="8"/>
      <name val="Arial"/>
      <family val="2"/>
    </font>
    <font>
      <u/>
      <sz val="11"/>
      <name val="Arial"/>
      <family val="2"/>
    </font>
    <font>
      <i/>
      <sz val="10"/>
      <name val="Arial"/>
      <family val="2"/>
    </font>
    <font>
      <b/>
      <i/>
      <sz val="11"/>
      <name val="Arial"/>
      <family val="2"/>
    </font>
    <font>
      <sz val="10"/>
      <name val="Arial"/>
      <family val="2"/>
    </font>
    <font>
      <sz val="9"/>
      <name val="Arial"/>
      <family val="2"/>
    </font>
    <font>
      <sz val="10"/>
      <name val="Arial"/>
      <family val="2"/>
    </font>
    <font>
      <sz val="11"/>
      <color theme="1"/>
      <name val="Calibri"/>
      <family val="2"/>
      <scheme val="minor"/>
    </font>
    <font>
      <sz val="10"/>
      <color rgb="FFFF0000"/>
      <name val="Arial"/>
      <family val="2"/>
    </font>
    <font>
      <sz val="10"/>
      <color rgb="FF000000"/>
      <name val="Arial"/>
      <family val="2"/>
    </font>
    <font>
      <b/>
      <sz val="14"/>
      <color theme="0"/>
      <name val="Arial"/>
      <family val="2"/>
    </font>
    <font>
      <b/>
      <sz val="12"/>
      <color theme="0"/>
      <name val="Arial"/>
      <family val="2"/>
    </font>
    <font>
      <sz val="12"/>
      <color theme="0"/>
      <name val="Arial"/>
      <family val="2"/>
    </font>
    <font>
      <sz val="11"/>
      <color rgb="FFFF0000"/>
      <name val="Arial"/>
      <family val="2"/>
    </font>
    <font>
      <b/>
      <i/>
      <sz val="12"/>
      <name val="Arial"/>
      <family val="2"/>
    </font>
    <font>
      <sz val="10"/>
      <color theme="1"/>
      <name val="Calibri"/>
      <family val="2"/>
      <scheme val="minor"/>
    </font>
    <font>
      <sz val="10"/>
      <color theme="1"/>
      <name val="Arial"/>
      <family val="2"/>
    </font>
    <font>
      <b/>
      <sz val="12"/>
      <color theme="0" tint="-4.9989318521683403E-2"/>
      <name val="Arial"/>
      <family val="2"/>
    </font>
    <font>
      <b/>
      <sz val="10"/>
      <color theme="1"/>
      <name val="Arial"/>
      <family val="2"/>
    </font>
    <font>
      <b/>
      <sz val="11"/>
      <color theme="0" tint="-4.9989318521683403E-2"/>
      <name val="Arial"/>
      <family val="2"/>
    </font>
    <font>
      <i/>
      <sz val="12"/>
      <name val="Arial"/>
      <family val="2"/>
    </font>
    <font>
      <b/>
      <sz val="18"/>
      <name val="Arial"/>
      <family val="2"/>
    </font>
    <font>
      <b/>
      <i/>
      <sz val="10"/>
      <name val="Arial"/>
      <family val="2"/>
    </font>
    <font>
      <b/>
      <sz val="12"/>
      <color theme="1"/>
      <name val="Arial"/>
      <family val="2"/>
    </font>
    <font>
      <b/>
      <sz val="14"/>
      <color theme="0" tint="-4.9989318521683403E-2"/>
      <name val="Arial"/>
      <family val="2"/>
    </font>
    <font>
      <b/>
      <sz val="10"/>
      <color rgb="FFFF0000"/>
      <name val="Arial"/>
      <family val="2"/>
    </font>
    <font>
      <sz val="10"/>
      <name val="Arial"/>
      <family val="2"/>
    </font>
    <font>
      <b/>
      <sz val="10"/>
      <color theme="0"/>
      <name val="Arial"/>
      <family val="2"/>
    </font>
    <font>
      <b/>
      <sz val="26"/>
      <name val="Arial"/>
      <family val="2"/>
    </font>
    <font>
      <b/>
      <i/>
      <sz val="18"/>
      <name val="Calibri"/>
      <family val="2"/>
    </font>
    <font>
      <b/>
      <sz val="12"/>
      <name val="Calibri"/>
      <family val="2"/>
    </font>
    <font>
      <b/>
      <i/>
      <sz val="20"/>
      <name val="Calibri"/>
      <family val="2"/>
    </font>
    <font>
      <b/>
      <i/>
      <sz val="22"/>
      <name val="Calibri"/>
      <family val="2"/>
    </font>
    <font>
      <vertAlign val="subscript"/>
      <sz val="10"/>
      <name val="Arial"/>
      <family val="2"/>
    </font>
    <font>
      <b/>
      <vertAlign val="subscript"/>
      <sz val="10"/>
      <name val="Arial"/>
      <family val="2"/>
    </font>
    <font>
      <vertAlign val="subscript"/>
      <sz val="10"/>
      <color indexed="8"/>
      <name val="Calibri"/>
      <family val="2"/>
      <scheme val="minor"/>
    </font>
    <font>
      <vertAlign val="superscript"/>
      <sz val="10"/>
      <color indexed="8"/>
      <name val="Calibri"/>
      <family val="2"/>
      <scheme val="minor"/>
    </font>
    <font>
      <sz val="10"/>
      <name val="Calibri"/>
      <family val="2"/>
      <scheme val="minor"/>
    </font>
    <font>
      <sz val="10"/>
      <color theme="0"/>
      <name val="Arial"/>
      <family val="2"/>
    </font>
    <font>
      <b/>
      <sz val="11"/>
      <color theme="1"/>
      <name val="Calibri"/>
      <family val="2"/>
      <scheme val="minor"/>
    </font>
    <font>
      <sz val="10"/>
      <color theme="0" tint="-4.9989318521683403E-2"/>
      <name val="Arial"/>
      <family val="2"/>
    </font>
    <font>
      <u/>
      <sz val="8.5"/>
      <color theme="10"/>
      <name val="Arial"/>
      <family val="2"/>
    </font>
    <font>
      <u/>
      <sz val="10"/>
      <color theme="1"/>
      <name val="Arial"/>
      <family val="2"/>
    </font>
    <font>
      <b/>
      <sz val="16"/>
      <name val="Arial"/>
      <family val="2"/>
    </font>
  </fonts>
  <fills count="21">
    <fill>
      <patternFill patternType="none"/>
    </fill>
    <fill>
      <patternFill patternType="gray125"/>
    </fill>
    <fill>
      <patternFill patternType="solid">
        <fgColor theme="8"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C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6" tint="0.599963377788628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rgb="FF7030A0"/>
        <bgColor indexed="64"/>
      </patternFill>
    </fill>
    <fill>
      <patternFill patternType="solid">
        <fgColor theme="7" tint="-0.249977111117893"/>
        <bgColor indexed="64"/>
      </patternFill>
    </fill>
    <fill>
      <patternFill patternType="solid">
        <fgColor theme="9" tint="0.59996337778862885"/>
        <bgColor indexed="64"/>
      </patternFill>
    </fill>
    <fill>
      <patternFill patternType="solid">
        <fgColor theme="0" tint="-4.9989318521683403E-2"/>
        <bgColor indexed="64"/>
      </patternFill>
    </fill>
    <fill>
      <patternFill patternType="solid">
        <fgColor theme="6" tint="0.79998168889431442"/>
        <bgColor indexed="64"/>
      </patternFill>
    </fill>
  </fills>
  <borders count="11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uble">
        <color indexed="64"/>
      </left>
      <right/>
      <top/>
      <bottom/>
      <diagonal/>
    </border>
    <border>
      <left style="medium">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medium">
        <color indexed="64"/>
      </left>
      <right style="double">
        <color indexed="64"/>
      </right>
      <top style="thin">
        <color indexed="64"/>
      </top>
      <bottom/>
      <diagonal/>
    </border>
    <border>
      <left style="medium">
        <color indexed="64"/>
      </left>
      <right style="double">
        <color indexed="64"/>
      </right>
      <top/>
      <bottom style="thin">
        <color indexed="64"/>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style="double">
        <color indexed="64"/>
      </right>
      <top/>
      <bottom/>
      <diagonal/>
    </border>
    <border>
      <left style="double">
        <color indexed="64"/>
      </left>
      <right/>
      <top style="thin">
        <color indexed="64"/>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double">
        <color indexed="64"/>
      </bottom>
      <diagonal/>
    </border>
    <border>
      <left style="thin">
        <color indexed="64"/>
      </left>
      <right style="thin">
        <color theme="0" tint="-0.24994659260841701"/>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bottom/>
      <diagonal/>
    </border>
    <border>
      <left/>
      <right style="thin">
        <color theme="0" tint="-0.24994659260841701"/>
      </right>
      <top style="thin">
        <color indexed="64"/>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diagonal/>
    </border>
    <border>
      <left/>
      <right style="medium">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right/>
      <top style="thin">
        <color theme="0" tint="-0.24994659260841701"/>
      </top>
      <bottom style="thin">
        <color indexed="64"/>
      </bottom>
      <diagonal/>
    </border>
    <border>
      <left style="double">
        <color indexed="64"/>
      </left>
      <right style="thin">
        <color indexed="64"/>
      </right>
      <top/>
      <bottom/>
      <diagonal/>
    </border>
    <border>
      <left style="double">
        <color theme="1"/>
      </left>
      <right/>
      <top/>
      <bottom/>
      <diagonal/>
    </border>
    <border>
      <left/>
      <right style="thin">
        <color theme="0" tint="-0.24994659260841701"/>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top style="thin">
        <color theme="0" tint="-0.24994659260841701"/>
      </top>
      <bottom/>
      <diagonal/>
    </border>
    <border>
      <left style="medium">
        <color indexed="64"/>
      </left>
      <right style="thin">
        <color indexed="64"/>
      </right>
      <top style="double">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theme="1"/>
      </top>
      <bottom style="thin">
        <color theme="0" tint="-0.24994659260841701"/>
      </bottom>
      <diagonal/>
    </border>
    <border>
      <left/>
      <right style="thin">
        <color theme="0" tint="-0.24994659260841701"/>
      </right>
      <top style="thin">
        <color theme="1"/>
      </top>
      <bottom style="thin">
        <color theme="0" tint="-0.24994659260841701"/>
      </bottom>
      <diagonal/>
    </border>
  </borders>
  <cellStyleXfs count="50">
    <xf numFmtId="0" fontId="0" fillId="0" borderId="0"/>
    <xf numFmtId="43" fontId="7" fillId="0" borderId="0" applyFont="0" applyFill="0" applyBorder="0" applyAlignment="0" applyProtection="0"/>
    <xf numFmtId="43" fontId="29" fillId="0" borderId="0" applyFont="0" applyFill="0" applyBorder="0" applyAlignment="0" applyProtection="0"/>
    <xf numFmtId="0" fontId="29" fillId="0" borderId="0"/>
    <xf numFmtId="9" fontId="7" fillId="0" borderId="0" applyFont="0" applyFill="0" applyBorder="0" applyAlignment="0" applyProtection="0"/>
    <xf numFmtId="9" fontId="29" fillId="0" borderId="0" applyFont="0" applyFill="0" applyBorder="0" applyAlignment="0" applyProtection="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7"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4" fontId="4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0" borderId="0" applyNumberFormat="0" applyFill="0" applyBorder="0" applyAlignment="0" applyProtection="0">
      <alignment vertical="top"/>
      <protection locked="0"/>
    </xf>
  </cellStyleXfs>
  <cellXfs count="523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horizontal="center" vertical="center" wrapText="1"/>
    </xf>
    <xf numFmtId="0" fontId="0" fillId="0" borderId="2" xfId="0" applyBorder="1"/>
    <xf numFmtId="0" fontId="0" fillId="0" borderId="0" xfId="0" applyBorder="1"/>
    <xf numFmtId="0" fontId="0" fillId="0" borderId="1" xfId="0" applyBorder="1"/>
    <xf numFmtId="0" fontId="0" fillId="0" borderId="4" xfId="0" applyBorder="1"/>
    <xf numFmtId="0" fontId="0" fillId="0" borderId="3" xfId="0" applyBorder="1"/>
    <xf numFmtId="0" fontId="10" fillId="0" borderId="0" xfId="0" applyFont="1" applyAlignment="1">
      <alignment horizontal="center" vertical="center" wrapText="1"/>
    </xf>
    <xf numFmtId="0" fontId="10" fillId="0" borderId="0"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xf numFmtId="9" fontId="13" fillId="0" borderId="0" xfId="0" applyNumberFormat="1" applyFont="1" applyBorder="1" applyAlignment="1">
      <alignment horizontal="center" vertical="center"/>
    </xf>
    <xf numFmtId="0" fontId="13" fillId="0" borderId="0" xfId="0" applyFont="1" applyBorder="1"/>
    <xf numFmtId="0" fontId="13" fillId="0" borderId="0" xfId="0" applyFont="1" applyBorder="1" applyAlignment="1">
      <alignment horizontal="right" vertical="center"/>
    </xf>
    <xf numFmtId="0" fontId="13" fillId="0" borderId="0" xfId="0" applyFont="1" applyBorder="1" applyAlignment="1">
      <alignment horizontal="left" vertical="center"/>
    </xf>
    <xf numFmtId="0" fontId="13" fillId="0" borderId="0" xfId="0" applyFont="1" applyBorder="1" applyAlignment="1">
      <alignment horizontal="left" vertical="center" wrapText="1"/>
    </xf>
    <xf numFmtId="0" fontId="13" fillId="0" borderId="0" xfId="0" applyFont="1" applyBorder="1" applyAlignment="1">
      <alignment vertical="center"/>
    </xf>
    <xf numFmtId="0" fontId="8" fillId="0" borderId="0" xfId="0" applyFont="1"/>
    <xf numFmtId="0" fontId="7" fillId="0" borderId="0" xfId="0" applyFont="1"/>
    <xf numFmtId="0" fontId="7" fillId="0" borderId="14" xfId="0" applyFont="1" applyBorder="1"/>
    <xf numFmtId="0" fontId="7" fillId="0" borderId="0" xfId="0" applyFont="1" applyBorder="1"/>
    <xf numFmtId="0" fontId="7" fillId="0" borderId="15" xfId="0" applyFont="1" applyBorder="1"/>
    <xf numFmtId="0" fontId="7" fillId="0" borderId="16" xfId="0" applyFont="1" applyBorder="1"/>
    <xf numFmtId="0" fontId="7" fillId="0" borderId="17" xfId="0" applyFont="1" applyBorder="1" applyAlignment="1">
      <alignment horizontal="center" vertical="center" wrapText="1"/>
    </xf>
    <xf numFmtId="0" fontId="0" fillId="0" borderId="17" xfId="0" applyBorder="1"/>
    <xf numFmtId="0" fontId="7" fillId="2" borderId="0" xfId="0" applyFont="1" applyFill="1" applyBorder="1"/>
    <xf numFmtId="0" fontId="7" fillId="2" borderId="16" xfId="0" applyFont="1" applyFill="1" applyBorder="1"/>
    <xf numFmtId="168" fontId="13" fillId="0" borderId="0" xfId="0" applyNumberFormat="1" applyFont="1" applyBorder="1" applyAlignment="1">
      <alignment horizontal="center" vertical="center"/>
    </xf>
    <xf numFmtId="168" fontId="13" fillId="0" borderId="0" xfId="0" applyNumberFormat="1" applyFont="1" applyBorder="1"/>
    <xf numFmtId="0" fontId="7" fillId="0" borderId="0" xfId="0" applyFont="1" applyBorder="1" applyAlignment="1">
      <alignment horizontal="center" vertical="center"/>
    </xf>
    <xf numFmtId="0" fontId="7" fillId="0" borderId="1" xfId="0" applyFont="1" applyBorder="1"/>
    <xf numFmtId="0" fontId="10" fillId="0" borderId="0" xfId="0" applyFont="1" applyBorder="1" applyAlignment="1">
      <alignment vertical="center"/>
    </xf>
    <xf numFmtId="0" fontId="13" fillId="0" borderId="0" xfId="0" applyFont="1" applyBorder="1" applyAlignment="1">
      <alignment horizontal="left"/>
    </xf>
    <xf numFmtId="0" fontId="10" fillId="0" borderId="0" xfId="0" applyFont="1" applyBorder="1" applyAlignment="1">
      <alignment vertical="center" wrapText="1"/>
    </xf>
    <xf numFmtId="0" fontId="13" fillId="0" borderId="0" xfId="0" applyFont="1" applyBorder="1" applyAlignment="1">
      <alignment horizontal="center" vertical="center" wrapText="1"/>
    </xf>
    <xf numFmtId="0" fontId="10" fillId="0" borderId="0" xfId="0" applyFont="1" applyBorder="1" applyAlignment="1">
      <alignment horizontal="right" vertical="center" wrapText="1"/>
    </xf>
    <xf numFmtId="0" fontId="7" fillId="0" borderId="0" xfId="0" applyFont="1" applyFill="1"/>
    <xf numFmtId="0" fontId="0" fillId="0" borderId="0" xfId="0" applyFill="1"/>
    <xf numFmtId="0" fontId="7" fillId="3" borderId="14" xfId="0" applyFont="1" applyFill="1" applyBorder="1"/>
    <xf numFmtId="0" fontId="7" fillId="3" borderId="0" xfId="0" applyFont="1" applyFill="1" applyBorder="1" applyAlignment="1">
      <alignment horizontal="center"/>
    </xf>
    <xf numFmtId="1" fontId="7" fillId="3" borderId="0" xfId="0" applyNumberFormat="1" applyFont="1" applyFill="1" applyBorder="1" applyAlignment="1">
      <alignment horizontal="center"/>
    </xf>
    <xf numFmtId="0" fontId="7" fillId="3" borderId="0" xfId="0" applyFont="1" applyFill="1" applyBorder="1"/>
    <xf numFmtId="169" fontId="7" fillId="3" borderId="0" xfId="0" applyNumberFormat="1" applyFont="1" applyFill="1" applyBorder="1"/>
    <xf numFmtId="0" fontId="7" fillId="0" borderId="0" xfId="0" applyFont="1" applyFill="1" applyBorder="1"/>
    <xf numFmtId="0" fontId="7" fillId="3" borderId="0" xfId="0" applyFont="1" applyFill="1" applyBorder="1" applyAlignment="1">
      <alignment horizontal="left"/>
    </xf>
    <xf numFmtId="169" fontId="7" fillId="3" borderId="0" xfId="0" applyNumberFormat="1" applyFont="1" applyFill="1" applyBorder="1" applyAlignment="1">
      <alignment horizontal="left"/>
    </xf>
    <xf numFmtId="0" fontId="7" fillId="0" borderId="2" xfId="0" applyFont="1" applyBorder="1"/>
    <xf numFmtId="0" fontId="7" fillId="0" borderId="5" xfId="0" applyFont="1" applyBorder="1"/>
    <xf numFmtId="9" fontId="13" fillId="3" borderId="0" xfId="0" applyNumberFormat="1" applyFont="1" applyFill="1" applyBorder="1" applyAlignment="1">
      <alignment horizontal="center"/>
    </xf>
    <xf numFmtId="0" fontId="7" fillId="3" borderId="2" xfId="0" applyFont="1" applyFill="1" applyBorder="1"/>
    <xf numFmtId="0" fontId="7" fillId="3" borderId="18" xfId="0" applyFont="1" applyFill="1" applyBorder="1"/>
    <xf numFmtId="0" fontId="7" fillId="3" borderId="19" xfId="0" applyFont="1" applyFill="1" applyBorder="1"/>
    <xf numFmtId="0" fontId="7" fillId="0" borderId="0" xfId="0" applyFont="1" applyBorder="1" applyAlignment="1">
      <alignment horizontal="center" vertical="center" wrapText="1"/>
    </xf>
    <xf numFmtId="0" fontId="7" fillId="0" borderId="0" xfId="0" applyFont="1" applyBorder="1" applyAlignment="1">
      <alignment vertical="center"/>
    </xf>
    <xf numFmtId="0" fontId="7" fillId="0" borderId="0" xfId="0" applyFont="1" applyAlignment="1">
      <alignment vertical="center"/>
    </xf>
    <xf numFmtId="0" fontId="7" fillId="0" borderId="0" xfId="0" applyFont="1" applyAlignment="1">
      <alignment horizontal="center"/>
    </xf>
    <xf numFmtId="0" fontId="7" fillId="0" borderId="18" xfId="0" applyFont="1" applyBorder="1"/>
    <xf numFmtId="0" fontId="7" fillId="0" borderId="0" xfId="0" applyFont="1" applyAlignment="1">
      <alignment wrapText="1"/>
    </xf>
    <xf numFmtId="1" fontId="7" fillId="0" borderId="0" xfId="0" applyNumberFormat="1" applyFont="1" applyBorder="1"/>
    <xf numFmtId="10" fontId="7" fillId="3" borderId="0" xfId="0" applyNumberFormat="1" applyFont="1" applyFill="1" applyBorder="1"/>
    <xf numFmtId="168" fontId="7" fillId="3" borderId="0" xfId="0" applyNumberFormat="1" applyFont="1" applyFill="1" applyBorder="1"/>
    <xf numFmtId="0" fontId="7" fillId="3" borderId="17" xfId="0" applyFont="1" applyFill="1" applyBorder="1"/>
    <xf numFmtId="10" fontId="7" fillId="3" borderId="0" xfId="4" applyNumberFormat="1" applyFont="1" applyFill="1" applyBorder="1"/>
    <xf numFmtId="0" fontId="7" fillId="3" borderId="15" xfId="0" applyFont="1" applyFill="1" applyBorder="1"/>
    <xf numFmtId="0" fontId="7" fillId="3" borderId="16" xfId="0" applyFont="1" applyFill="1" applyBorder="1"/>
    <xf numFmtId="0" fontId="13" fillId="3" borderId="0" xfId="0" applyFont="1" applyFill="1" applyBorder="1" applyAlignment="1">
      <alignment horizontal="center"/>
    </xf>
    <xf numFmtId="0" fontId="17" fillId="0" borderId="11" xfId="0" applyFont="1" applyBorder="1"/>
    <xf numFmtId="0" fontId="0" fillId="4" borderId="11" xfId="0" applyFill="1" applyBorder="1" applyAlignment="1">
      <alignment horizontal="center"/>
    </xf>
    <xf numFmtId="2" fontId="7" fillId="3" borderId="0" xfId="0" applyNumberFormat="1" applyFont="1" applyFill="1" applyBorder="1" applyAlignment="1">
      <alignment horizontal="right"/>
    </xf>
    <xf numFmtId="10" fontId="7" fillId="3" borderId="0" xfId="0" applyNumberFormat="1" applyFont="1" applyFill="1" applyBorder="1" applyAlignment="1">
      <alignment horizontal="center"/>
    </xf>
    <xf numFmtId="169" fontId="7" fillId="3" borderId="14" xfId="0" applyNumberFormat="1" applyFont="1" applyFill="1" applyBorder="1"/>
    <xf numFmtId="0" fontId="7" fillId="5" borderId="23" xfId="0" applyFont="1" applyFill="1" applyBorder="1" applyAlignment="1" applyProtection="1">
      <alignment horizontal="center"/>
      <protection locked="0"/>
    </xf>
    <xf numFmtId="0" fontId="7" fillId="3" borderId="15" xfId="0" applyFont="1" applyFill="1" applyBorder="1" applyAlignment="1">
      <alignment horizontal="center"/>
    </xf>
    <xf numFmtId="9" fontId="7" fillId="3" borderId="0" xfId="4" applyFont="1" applyFill="1" applyBorder="1" applyAlignment="1">
      <alignment horizontal="center"/>
    </xf>
    <xf numFmtId="0" fontId="17" fillId="0" borderId="24" xfId="0" applyFont="1" applyBorder="1"/>
    <xf numFmtId="0" fontId="17" fillId="0" borderId="25" xfId="0" applyFont="1" applyBorder="1"/>
    <xf numFmtId="0" fontId="17" fillId="0" borderId="1" xfId="0" applyFont="1" applyBorder="1" applyAlignment="1">
      <alignment horizontal="right"/>
    </xf>
    <xf numFmtId="0" fontId="0" fillId="0" borderId="26" xfId="0" applyBorder="1"/>
    <xf numFmtId="0" fontId="7" fillId="0" borderId="27" xfId="0" applyFont="1" applyBorder="1"/>
    <xf numFmtId="0" fontId="0" fillId="0" borderId="25" xfId="0" applyBorder="1"/>
    <xf numFmtId="0" fontId="17" fillId="0" borderId="28" xfId="0" applyFont="1" applyBorder="1"/>
    <xf numFmtId="0" fontId="7" fillId="0" borderId="4" xfId="0" applyFont="1" applyBorder="1"/>
    <xf numFmtId="0" fontId="7" fillId="3" borderId="16" xfId="0" applyFont="1" applyFill="1" applyBorder="1" applyAlignment="1">
      <alignment horizontal="center"/>
    </xf>
    <xf numFmtId="168" fontId="7" fillId="3" borderId="13" xfId="0" applyNumberFormat="1" applyFont="1" applyFill="1" applyBorder="1"/>
    <xf numFmtId="0" fontId="17" fillId="0" borderId="1" xfId="0" applyFont="1" applyBorder="1"/>
    <xf numFmtId="0" fontId="7" fillId="3" borderId="27" xfId="0" applyFont="1" applyFill="1" applyBorder="1"/>
    <xf numFmtId="2" fontId="7" fillId="3" borderId="0" xfId="0" applyNumberFormat="1" applyFont="1" applyFill="1" applyBorder="1"/>
    <xf numFmtId="170" fontId="7" fillId="3" borderId="0" xfId="0" applyNumberFormat="1" applyFont="1" applyFill="1" applyBorder="1"/>
    <xf numFmtId="171" fontId="7" fillId="3" borderId="0" xfId="0" applyNumberFormat="1" applyFont="1" applyFill="1" applyBorder="1"/>
    <xf numFmtId="0" fontId="13" fillId="3" borderId="0" xfId="0" applyFont="1" applyFill="1" applyBorder="1" applyAlignment="1">
      <alignment horizontal="left" vertical="center"/>
    </xf>
    <xf numFmtId="0" fontId="13" fillId="3" borderId="0" xfId="0" applyFont="1" applyFill="1" applyBorder="1" applyAlignment="1">
      <alignment horizontal="center" vertical="center"/>
    </xf>
    <xf numFmtId="164" fontId="13" fillId="3" borderId="0" xfId="1" applyNumberFormat="1" applyFont="1" applyFill="1" applyBorder="1"/>
    <xf numFmtId="9" fontId="13" fillId="3" borderId="0" xfId="0" applyNumberFormat="1" applyFont="1" applyFill="1" applyBorder="1" applyAlignment="1">
      <alignment horizontal="center" vertical="center"/>
    </xf>
    <xf numFmtId="0" fontId="0" fillId="3" borderId="0" xfId="0" applyFill="1" applyBorder="1"/>
    <xf numFmtId="43" fontId="13" fillId="3" borderId="0" xfId="0" applyNumberFormat="1" applyFont="1" applyFill="1" applyBorder="1"/>
    <xf numFmtId="43" fontId="13" fillId="3" borderId="0" xfId="0" applyNumberFormat="1" applyFont="1" applyFill="1" applyBorder="1" applyAlignment="1"/>
    <xf numFmtId="166" fontId="13" fillId="3" borderId="0" xfId="0" applyNumberFormat="1" applyFont="1" applyFill="1" applyBorder="1"/>
    <xf numFmtId="0" fontId="7" fillId="3" borderId="18" xfId="0" applyFont="1" applyFill="1" applyBorder="1" applyAlignment="1">
      <alignment horizontal="center"/>
    </xf>
    <xf numFmtId="0" fontId="13" fillId="0" borderId="0" xfId="0" applyFont="1" applyBorder="1" applyAlignment="1">
      <alignment horizontal="center"/>
    </xf>
    <xf numFmtId="0" fontId="0" fillId="5" borderId="0" xfId="0" applyFill="1" applyBorder="1"/>
    <xf numFmtId="0" fontId="0" fillId="0" borderId="0" xfId="0" applyFill="1" applyBorder="1"/>
    <xf numFmtId="0" fontId="0" fillId="3" borderId="0" xfId="0" applyFill="1"/>
    <xf numFmtId="9" fontId="13" fillId="3" borderId="16" xfId="0" applyNumberFormat="1" applyFont="1" applyFill="1" applyBorder="1" applyAlignment="1">
      <alignment horizontal="center"/>
    </xf>
    <xf numFmtId="0" fontId="13" fillId="3" borderId="16" xfId="0" applyFont="1" applyFill="1" applyBorder="1" applyAlignment="1">
      <alignment horizontal="left" vertical="center"/>
    </xf>
    <xf numFmtId="0" fontId="13" fillId="3" borderId="16" xfId="0" applyFont="1" applyFill="1" applyBorder="1" applyAlignment="1">
      <alignment horizontal="center" vertical="center"/>
    </xf>
    <xf numFmtId="164" fontId="13" fillId="3" borderId="16" xfId="1" applyNumberFormat="1" applyFont="1" applyFill="1" applyBorder="1"/>
    <xf numFmtId="0" fontId="0" fillId="3" borderId="14" xfId="0" applyFill="1" applyBorder="1"/>
    <xf numFmtId="0" fontId="0" fillId="3" borderId="15" xfId="0" applyFill="1" applyBorder="1"/>
    <xf numFmtId="0" fontId="7" fillId="3" borderId="0" xfId="0" applyFont="1" applyFill="1" applyBorder="1" applyAlignment="1">
      <alignment horizontal="left" vertical="center"/>
    </xf>
    <xf numFmtId="0" fontId="7" fillId="3" borderId="14" xfId="0" applyFont="1" applyFill="1" applyBorder="1" applyAlignment="1">
      <alignment horizontal="left" vertical="center"/>
    </xf>
    <xf numFmtId="0" fontId="17" fillId="3" borderId="0" xfId="0" applyFont="1" applyFill="1" applyBorder="1" applyAlignment="1">
      <alignment horizontal="left" vertical="center"/>
    </xf>
    <xf numFmtId="0" fontId="7" fillId="3" borderId="0" xfId="0" applyFont="1" applyFill="1" applyBorder="1" applyAlignment="1">
      <alignment horizontal="center" vertical="center"/>
    </xf>
    <xf numFmtId="164" fontId="7" fillId="3" borderId="0" xfId="1" applyNumberFormat="1" applyFont="1" applyFill="1" applyBorder="1"/>
    <xf numFmtId="2" fontId="7" fillId="3" borderId="0" xfId="0" applyNumberFormat="1" applyFont="1" applyFill="1" applyBorder="1" applyAlignment="1">
      <alignment horizontal="center"/>
    </xf>
    <xf numFmtId="0" fontId="7" fillId="3" borderId="0"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17" fillId="3" borderId="14" xfId="0" applyFont="1" applyFill="1" applyBorder="1" applyAlignment="1">
      <alignment horizontal="left" vertical="center"/>
    </xf>
    <xf numFmtId="0" fontId="7" fillId="5" borderId="23" xfId="0" applyNumberFormat="1" applyFont="1" applyFill="1" applyBorder="1" applyAlignment="1" applyProtection="1">
      <alignment horizontal="center"/>
      <protection locked="0"/>
    </xf>
    <xf numFmtId="164" fontId="7" fillId="5" borderId="23" xfId="1" applyNumberFormat="1" applyFont="1" applyFill="1" applyBorder="1" applyAlignment="1" applyProtection="1">
      <alignment horizontal="center"/>
      <protection locked="0"/>
    </xf>
    <xf numFmtId="0" fontId="7" fillId="3" borderId="14" xfId="0" applyFont="1" applyFill="1" applyBorder="1" applyAlignment="1" applyProtection="1">
      <alignment horizontal="left" vertical="center"/>
    </xf>
    <xf numFmtId="170" fontId="7" fillId="3" borderId="14" xfId="0" applyNumberFormat="1" applyFont="1" applyFill="1" applyBorder="1"/>
    <xf numFmtId="0" fontId="7" fillId="3" borderId="17" xfId="0" applyFont="1" applyFill="1" applyBorder="1" applyAlignment="1">
      <alignment horizontal="center" wrapText="1"/>
    </xf>
    <xf numFmtId="0" fontId="0" fillId="3" borderId="23" xfId="0" applyFill="1" applyBorder="1"/>
    <xf numFmtId="0" fontId="0" fillId="3" borderId="18" xfId="0" applyFill="1" applyBorder="1"/>
    <xf numFmtId="171" fontId="30" fillId="3" borderId="0" xfId="0" applyNumberFormat="1" applyFont="1" applyFill="1" applyBorder="1"/>
    <xf numFmtId="168" fontId="7" fillId="3" borderId="0" xfId="0" applyNumberFormat="1" applyFont="1" applyFill="1" applyBorder="1" applyAlignment="1">
      <alignment horizontal="center" vertical="center"/>
    </xf>
    <xf numFmtId="168" fontId="7" fillId="3" borderId="13" xfId="0" applyNumberFormat="1" applyFont="1" applyFill="1" applyBorder="1" applyAlignment="1">
      <alignment horizontal="center"/>
    </xf>
    <xf numFmtId="0" fontId="7" fillId="3" borderId="14" xfId="0" applyFont="1" applyFill="1" applyBorder="1" applyAlignment="1">
      <alignment horizontal="center" vertical="center" wrapText="1"/>
    </xf>
    <xf numFmtId="0" fontId="7" fillId="3" borderId="14"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3" borderId="2" xfId="0" applyFont="1" applyFill="1" applyBorder="1" applyAlignment="1">
      <alignment horizont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23" xfId="0" applyFont="1" applyFill="1" applyBorder="1"/>
    <xf numFmtId="0" fontId="7" fillId="0" borderId="0" xfId="0" applyFont="1" applyAlignment="1">
      <alignment horizontal="left"/>
    </xf>
    <xf numFmtId="0" fontId="7" fillId="3" borderId="27" xfId="0" applyFont="1" applyFill="1" applyBorder="1" applyAlignment="1">
      <alignment horizontal="center"/>
    </xf>
    <xf numFmtId="0" fontId="7" fillId="3" borderId="19" xfId="0" applyFont="1" applyFill="1" applyBorder="1" applyAlignment="1">
      <alignment horizontal="center"/>
    </xf>
    <xf numFmtId="0" fontId="12" fillId="0" borderId="0" xfId="0" applyFont="1" applyFill="1" applyBorder="1" applyAlignment="1">
      <alignment vertical="center"/>
    </xf>
    <xf numFmtId="0" fontId="31" fillId="0" borderId="0" xfId="0" applyFont="1" applyBorder="1"/>
    <xf numFmtId="0" fontId="7" fillId="0" borderId="3" xfId="0" applyFont="1" applyBorder="1"/>
    <xf numFmtId="0" fontId="0" fillId="0" borderId="5" xfId="0" applyBorder="1"/>
    <xf numFmtId="0" fontId="7" fillId="3" borderId="0" xfId="0" applyNumberFormat="1" applyFont="1" applyFill="1" applyBorder="1" applyAlignment="1">
      <alignment horizontal="center" vertical="center"/>
    </xf>
    <xf numFmtId="0" fontId="7" fillId="3" borderId="0" xfId="0" applyNumberFormat="1" applyFont="1" applyFill="1" applyBorder="1"/>
    <xf numFmtId="0" fontId="7" fillId="3" borderId="0" xfId="0" applyNumberFormat="1" applyFont="1" applyFill="1" applyBorder="1" applyAlignment="1">
      <alignment horizontal="center"/>
    </xf>
    <xf numFmtId="0" fontId="13" fillId="0" borderId="0" xfId="0" applyFont="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xf>
    <xf numFmtId="0" fontId="11" fillId="6" borderId="1" xfId="0" applyFont="1" applyFill="1" applyBorder="1" applyAlignment="1">
      <alignment vertical="top"/>
    </xf>
    <xf numFmtId="0" fontId="7" fillId="6" borderId="1" xfId="0" applyFont="1" applyFill="1" applyBorder="1" applyAlignment="1">
      <alignment horizontal="left" vertical="center" indent="2"/>
    </xf>
    <xf numFmtId="0" fontId="7" fillId="6" borderId="1" xfId="0" applyFont="1" applyFill="1" applyBorder="1" applyAlignment="1">
      <alignment horizontal="right" vertical="center"/>
    </xf>
    <xf numFmtId="0" fontId="13" fillId="6" borderId="1" xfId="0" applyFont="1" applyFill="1" applyBorder="1" applyAlignment="1">
      <alignment vertical="center"/>
    </xf>
    <xf numFmtId="168" fontId="7" fillId="3" borderId="33" xfId="0" applyNumberFormat="1" applyFont="1" applyFill="1" applyBorder="1" applyAlignment="1">
      <alignment horizontal="center" vertical="center"/>
    </xf>
    <xf numFmtId="168" fontId="7" fillId="3" borderId="33" xfId="0" applyNumberFormat="1" applyFont="1" applyFill="1" applyBorder="1"/>
    <xf numFmtId="168" fontId="7" fillId="3" borderId="33" xfId="4" applyNumberFormat="1" applyFont="1" applyFill="1" applyBorder="1" applyAlignment="1">
      <alignment horizontal="center"/>
    </xf>
    <xf numFmtId="0" fontId="7" fillId="3" borderId="33" xfId="4" applyNumberFormat="1" applyFont="1" applyFill="1" applyBorder="1" applyAlignment="1">
      <alignment horizontal="center"/>
    </xf>
    <xf numFmtId="0" fontId="7" fillId="3" borderId="33" xfId="0" applyNumberFormat="1" applyFont="1" applyFill="1" applyBorder="1" applyAlignment="1">
      <alignment horizontal="center" vertical="center"/>
    </xf>
    <xf numFmtId="0" fontId="7" fillId="3" borderId="33" xfId="0" applyNumberFormat="1" applyFont="1" applyFill="1" applyBorder="1" applyAlignment="1">
      <alignment horizontal="center"/>
    </xf>
    <xf numFmtId="168" fontId="13" fillId="7" borderId="33" xfId="0" applyNumberFormat="1" applyFont="1" applyFill="1" applyBorder="1" applyAlignment="1">
      <alignment horizontal="center" vertical="center"/>
    </xf>
    <xf numFmtId="0" fontId="7" fillId="7" borderId="16" xfId="0" applyFont="1" applyFill="1" applyBorder="1" applyAlignment="1">
      <alignment horizontal="center"/>
    </xf>
    <xf numFmtId="168" fontId="7" fillId="7" borderId="33" xfId="0" applyNumberFormat="1" applyFont="1" applyFill="1" applyBorder="1"/>
    <xf numFmtId="0" fontId="7" fillId="7" borderId="0" xfId="0" applyNumberFormat="1" applyFont="1" applyFill="1" applyBorder="1"/>
    <xf numFmtId="0" fontId="7" fillId="7" borderId="14" xfId="0" applyFont="1" applyFill="1" applyBorder="1" applyAlignment="1">
      <alignment horizontal="center" vertical="center" wrapText="1"/>
    </xf>
    <xf numFmtId="0" fontId="7" fillId="7" borderId="0" xfId="0" applyFont="1" applyFill="1" applyBorder="1" applyAlignment="1">
      <alignment horizontal="center" vertical="center" wrapText="1"/>
    </xf>
    <xf numFmtId="9" fontId="7" fillId="7" borderId="0" xfId="4" applyFont="1" applyFill="1" applyBorder="1" applyAlignment="1">
      <alignment horizontal="center" vertical="center"/>
    </xf>
    <xf numFmtId="168" fontId="13" fillId="7" borderId="33" xfId="4" applyNumberFormat="1" applyFont="1" applyFill="1" applyBorder="1" applyAlignment="1">
      <alignment horizontal="center"/>
    </xf>
    <xf numFmtId="0" fontId="7" fillId="7" borderId="14"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14" xfId="0" applyFont="1" applyFill="1" applyBorder="1" applyAlignment="1">
      <alignment horizontal="center"/>
    </xf>
    <xf numFmtId="0" fontId="7" fillId="7" borderId="0" xfId="0" applyFont="1" applyFill="1" applyBorder="1" applyAlignment="1">
      <alignment horizontal="center"/>
    </xf>
    <xf numFmtId="0" fontId="7" fillId="7" borderId="14" xfId="0" applyNumberFormat="1" applyFont="1" applyFill="1" applyBorder="1" applyAlignment="1">
      <alignment horizontal="center" vertical="center" wrapText="1"/>
    </xf>
    <xf numFmtId="0" fontId="7" fillId="7" borderId="0" xfId="0" applyNumberFormat="1" applyFont="1" applyFill="1" applyBorder="1" applyAlignment="1">
      <alignment horizontal="center" vertical="center" wrapText="1"/>
    </xf>
    <xf numFmtId="168" fontId="13" fillId="7" borderId="33" xfId="0" applyNumberFormat="1" applyFont="1" applyFill="1" applyBorder="1" applyAlignment="1">
      <alignment horizontal="center"/>
    </xf>
    <xf numFmtId="9" fontId="7" fillId="7" borderId="0" xfId="4" applyFont="1" applyFill="1" applyBorder="1" applyAlignment="1">
      <alignment horizontal="center"/>
    </xf>
    <xf numFmtId="0" fontId="7" fillId="7" borderId="14" xfId="0" applyNumberFormat="1" applyFont="1" applyFill="1" applyBorder="1"/>
    <xf numFmtId="0" fontId="7" fillId="7" borderId="18"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7" borderId="23"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10" fillId="6" borderId="1" xfId="0"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7" fillId="3" borderId="35" xfId="0" applyFont="1" applyFill="1" applyBorder="1"/>
    <xf numFmtId="0" fontId="13" fillId="7" borderId="0" xfId="0" applyFont="1" applyFill="1" applyBorder="1" applyAlignment="1">
      <alignment horizontal="center"/>
    </xf>
    <xf numFmtId="0" fontId="7" fillId="7" borderId="0" xfId="0" applyFont="1" applyFill="1" applyBorder="1"/>
    <xf numFmtId="0" fontId="7" fillId="7" borderId="23" xfId="0" applyFont="1" applyFill="1" applyBorder="1"/>
    <xf numFmtId="0" fontId="7" fillId="7" borderId="36" xfId="0" applyFont="1" applyFill="1" applyBorder="1"/>
    <xf numFmtId="0" fontId="7" fillId="7" borderId="35" xfId="0" applyFont="1" applyFill="1" applyBorder="1"/>
    <xf numFmtId="0" fontId="7" fillId="7" borderId="16" xfId="0" applyFont="1" applyFill="1" applyBorder="1"/>
    <xf numFmtId="0" fontId="7" fillId="7" borderId="37" xfId="0" applyFont="1" applyFill="1" applyBorder="1"/>
    <xf numFmtId="0" fontId="7" fillId="7" borderId="17" xfId="0" applyFont="1" applyFill="1" applyBorder="1"/>
    <xf numFmtId="1" fontId="7" fillId="7" borderId="0" xfId="0" applyNumberFormat="1" applyFont="1" applyFill="1" applyBorder="1" applyAlignment="1">
      <alignment horizontal="center"/>
    </xf>
    <xf numFmtId="0" fontId="7" fillId="7" borderId="33" xfId="0" applyFont="1" applyFill="1" applyBorder="1"/>
    <xf numFmtId="0" fontId="7" fillId="7" borderId="33" xfId="0" applyFont="1" applyFill="1" applyBorder="1" applyAlignment="1">
      <alignment horizontal="left"/>
    </xf>
    <xf numFmtId="0" fontId="7" fillId="7" borderId="0" xfId="0" applyFont="1" applyFill="1" applyBorder="1" applyAlignment="1">
      <alignment horizontal="left"/>
    </xf>
    <xf numFmtId="169" fontId="7" fillId="7" borderId="0" xfId="0" applyNumberFormat="1" applyFont="1" applyFill="1" applyBorder="1" applyAlignment="1">
      <alignment horizontal="left"/>
    </xf>
    <xf numFmtId="0" fontId="7" fillId="7" borderId="33" xfId="0" quotePrefix="1" applyFont="1" applyFill="1" applyBorder="1" applyAlignment="1">
      <alignment horizontal="left" indent="2"/>
    </xf>
    <xf numFmtId="10" fontId="7" fillId="7" borderId="0" xfId="0" applyNumberFormat="1" applyFont="1" applyFill="1" applyBorder="1" applyAlignment="1">
      <alignment horizontal="center"/>
    </xf>
    <xf numFmtId="10" fontId="7" fillId="7" borderId="0" xfId="4" applyNumberFormat="1" applyFont="1" applyFill="1" applyBorder="1"/>
    <xf numFmtId="169" fontId="7" fillId="7" borderId="0" xfId="0" applyNumberFormat="1" applyFont="1" applyFill="1" applyBorder="1"/>
    <xf numFmtId="0" fontId="21" fillId="7" borderId="33" xfId="0" applyFont="1" applyFill="1" applyBorder="1" applyAlignment="1">
      <alignment horizontal="left" indent="2"/>
    </xf>
    <xf numFmtId="0" fontId="7" fillId="7" borderId="33" xfId="0" applyFont="1" applyFill="1" applyBorder="1" applyAlignment="1">
      <alignment horizontal="left" indent="1"/>
    </xf>
    <xf numFmtId="0" fontId="7" fillId="7" borderId="33" xfId="0" applyFont="1" applyFill="1" applyBorder="1" applyAlignment="1">
      <alignment horizontal="left" wrapText="1" indent="1"/>
    </xf>
    <xf numFmtId="0" fontId="7" fillId="6" borderId="26" xfId="0" applyFont="1" applyFill="1" applyBorder="1"/>
    <xf numFmtId="0" fontId="7" fillId="6" borderId="1" xfId="0" applyFont="1" applyFill="1" applyBorder="1"/>
    <xf numFmtId="0" fontId="7" fillId="6" borderId="1" xfId="0" applyFont="1" applyFill="1" applyBorder="1" applyAlignment="1">
      <alignment horizontal="left"/>
    </xf>
    <xf numFmtId="0" fontId="7" fillId="6" borderId="1" xfId="0" quotePrefix="1" applyFont="1" applyFill="1" applyBorder="1" applyAlignment="1">
      <alignment horizontal="left" indent="2"/>
    </xf>
    <xf numFmtId="0" fontId="7" fillId="6" borderId="1" xfId="0" applyFont="1" applyFill="1" applyBorder="1" applyAlignment="1">
      <alignment horizontal="left" indent="2"/>
    </xf>
    <xf numFmtId="0" fontId="7" fillId="6" borderId="1" xfId="0" applyFont="1" applyFill="1" applyBorder="1" applyAlignment="1">
      <alignment horizontal="left" indent="3"/>
    </xf>
    <xf numFmtId="0" fontId="10" fillId="6" borderId="39" xfId="0" applyFont="1" applyFill="1" applyBorder="1" applyAlignment="1">
      <alignment vertical="center"/>
    </xf>
    <xf numFmtId="0" fontId="10" fillId="6" borderId="40" xfId="0" applyFont="1" applyFill="1" applyBorder="1" applyAlignment="1">
      <alignment vertical="center"/>
    </xf>
    <xf numFmtId="0" fontId="7" fillId="7" borderId="36" xfId="0" applyFont="1" applyFill="1" applyBorder="1" applyAlignment="1">
      <alignment horizontal="center"/>
    </xf>
    <xf numFmtId="1" fontId="7" fillId="7" borderId="36" xfId="0" applyNumberFormat="1" applyFont="1" applyFill="1" applyBorder="1" applyAlignment="1">
      <alignment horizontal="center"/>
    </xf>
    <xf numFmtId="0" fontId="7" fillId="7" borderId="15" xfId="0" applyFont="1" applyFill="1" applyBorder="1"/>
    <xf numFmtId="0" fontId="7" fillId="7" borderId="14" xfId="0" applyFont="1" applyFill="1" applyBorder="1"/>
    <xf numFmtId="169" fontId="7" fillId="7" borderId="14" xfId="0" applyNumberFormat="1" applyFont="1" applyFill="1" applyBorder="1" applyAlignment="1">
      <alignment horizontal="left"/>
    </xf>
    <xf numFmtId="169" fontId="7" fillId="7" borderId="14" xfId="0" applyNumberFormat="1" applyFont="1" applyFill="1" applyBorder="1"/>
    <xf numFmtId="1" fontId="7" fillId="5" borderId="23" xfId="0" applyNumberFormat="1" applyFont="1" applyFill="1" applyBorder="1" applyAlignment="1" applyProtection="1">
      <alignment horizontal="center"/>
      <protection locked="0"/>
    </xf>
    <xf numFmtId="0" fontId="8" fillId="6" borderId="1" xfId="0" applyFont="1" applyFill="1" applyBorder="1" applyAlignment="1">
      <alignment horizontal="left"/>
    </xf>
    <xf numFmtId="0" fontId="8" fillId="6" borderId="1" xfId="0" applyFont="1" applyFill="1" applyBorder="1"/>
    <xf numFmtId="169" fontId="7" fillId="3" borderId="14" xfId="0" applyNumberFormat="1" applyFont="1" applyFill="1" applyBorder="1" applyAlignment="1">
      <alignment horizontal="left"/>
    </xf>
    <xf numFmtId="1" fontId="7" fillId="3" borderId="2" xfId="0" applyNumberFormat="1" applyFont="1" applyFill="1" applyBorder="1" applyAlignment="1">
      <alignment horizontal="center"/>
    </xf>
    <xf numFmtId="0" fontId="7" fillId="0" borderId="0" xfId="0" applyFont="1" applyFill="1" applyBorder="1" applyAlignment="1">
      <alignment horizontal="center"/>
    </xf>
    <xf numFmtId="0" fontId="7" fillId="7" borderId="0" xfId="0" applyFont="1" applyFill="1"/>
    <xf numFmtId="0" fontId="7" fillId="3" borderId="0" xfId="0" applyFont="1" applyFill="1"/>
    <xf numFmtId="0" fontId="7" fillId="7" borderId="33" xfId="0" applyFont="1" applyFill="1" applyBorder="1" applyAlignment="1">
      <alignment horizontal="center"/>
    </xf>
    <xf numFmtId="0" fontId="7" fillId="7" borderId="18" xfId="0" applyFont="1" applyFill="1" applyBorder="1"/>
    <xf numFmtId="0" fontId="7" fillId="7" borderId="41" xfId="0" applyFont="1" applyFill="1" applyBorder="1"/>
    <xf numFmtId="0" fontId="7" fillId="7" borderId="35" xfId="0" applyFont="1" applyFill="1" applyBorder="1" applyAlignment="1">
      <alignment horizontal="center"/>
    </xf>
    <xf numFmtId="0" fontId="7" fillId="7" borderId="37" xfId="0" applyFont="1" applyFill="1" applyBorder="1" applyAlignment="1">
      <alignment horizontal="center"/>
    </xf>
    <xf numFmtId="9" fontId="7" fillId="7" borderId="33" xfId="4" applyFont="1" applyFill="1" applyBorder="1" applyAlignment="1">
      <alignment horizontal="center"/>
    </xf>
    <xf numFmtId="0" fontId="7" fillId="7" borderId="18" xfId="0" applyFont="1" applyFill="1" applyBorder="1" applyAlignment="1">
      <alignment horizontal="center"/>
    </xf>
    <xf numFmtId="0" fontId="7" fillId="7" borderId="41" xfId="0" applyFont="1" applyFill="1" applyBorder="1" applyAlignment="1">
      <alignment horizontal="center"/>
    </xf>
    <xf numFmtId="0" fontId="13" fillId="6" borderId="39" xfId="0" applyFont="1" applyFill="1" applyBorder="1"/>
    <xf numFmtId="0" fontId="7" fillId="6" borderId="1" xfId="0" applyFont="1" applyFill="1" applyBorder="1" applyAlignment="1">
      <alignment horizontal="left" indent="1"/>
    </xf>
    <xf numFmtId="0" fontId="13" fillId="6" borderId="45" xfId="0" applyFont="1" applyFill="1" applyBorder="1"/>
    <xf numFmtId="0" fontId="7" fillId="3" borderId="0" xfId="0" applyFont="1" applyFill="1" applyBorder="1" applyAlignment="1">
      <alignment horizontal="left"/>
    </xf>
    <xf numFmtId="0" fontId="7" fillId="6" borderId="39" xfId="0" applyFont="1" applyFill="1" applyBorder="1" applyAlignment="1">
      <alignment horizontal="left" indent="3"/>
    </xf>
    <xf numFmtId="169" fontId="9" fillId="7" borderId="0" xfId="0" applyNumberFormat="1" applyFont="1" applyFill="1" applyBorder="1" applyAlignment="1">
      <alignment horizontal="left" indent="2"/>
    </xf>
    <xf numFmtId="169" fontId="9" fillId="3" borderId="0" xfId="0" applyNumberFormat="1" applyFont="1" applyFill="1" applyBorder="1" applyAlignment="1">
      <alignment horizontal="left" indent="2"/>
    </xf>
    <xf numFmtId="0" fontId="7" fillId="6" borderId="45" xfId="0" applyFont="1" applyFill="1" applyBorder="1" applyAlignment="1">
      <alignment horizontal="left" indent="3"/>
    </xf>
    <xf numFmtId="1" fontId="7" fillId="9" borderId="62" xfId="0" applyNumberFormat="1" applyFont="1" applyFill="1" applyBorder="1" applyAlignment="1" applyProtection="1">
      <alignment horizontal="center"/>
    </xf>
    <xf numFmtId="0" fontId="0" fillId="0" borderId="28" xfId="0" applyBorder="1"/>
    <xf numFmtId="0" fontId="7" fillId="0" borderId="19" xfId="0" applyFont="1" applyBorder="1"/>
    <xf numFmtId="0" fontId="7" fillId="6" borderId="28" xfId="0" applyFont="1" applyFill="1" applyBorder="1" applyAlignment="1">
      <alignment horizontal="left" vertical="center" indent="2"/>
    </xf>
    <xf numFmtId="168" fontId="7" fillId="7" borderId="46" xfId="0" applyNumberFormat="1" applyFont="1" applyFill="1" applyBorder="1"/>
    <xf numFmtId="0" fontId="7" fillId="7" borderId="18" xfId="0" applyNumberFormat="1" applyFont="1" applyFill="1" applyBorder="1"/>
    <xf numFmtId="168" fontId="7" fillId="3" borderId="46" xfId="0" applyNumberFormat="1" applyFont="1" applyFill="1" applyBorder="1"/>
    <xf numFmtId="9" fontId="19" fillId="7" borderId="33" xfId="0" applyNumberFormat="1" applyFont="1" applyFill="1" applyBorder="1" applyAlignment="1">
      <alignment horizontal="center" vertical="center"/>
    </xf>
    <xf numFmtId="9" fontId="24" fillId="7" borderId="0" xfId="4" applyFont="1" applyFill="1" applyBorder="1" applyAlignment="1">
      <alignment horizontal="center" vertical="center"/>
    </xf>
    <xf numFmtId="0" fontId="24" fillId="7" borderId="14" xfId="0" applyNumberFormat="1" applyFont="1" applyFill="1" applyBorder="1" applyAlignment="1">
      <alignment horizontal="left" vertical="center" wrapText="1"/>
    </xf>
    <xf numFmtId="0" fontId="24" fillId="7" borderId="0" xfId="0" applyNumberFormat="1" applyFont="1" applyFill="1" applyBorder="1" applyAlignment="1">
      <alignment horizontal="left" vertical="center" wrapText="1"/>
    </xf>
    <xf numFmtId="0" fontId="24" fillId="3" borderId="33" xfId="0" applyNumberFormat="1" applyFont="1" applyFill="1" applyBorder="1" applyAlignment="1">
      <alignment horizontal="center" vertical="center"/>
    </xf>
    <xf numFmtId="9" fontId="24" fillId="3" borderId="0" xfId="4" applyFont="1" applyFill="1" applyBorder="1"/>
    <xf numFmtId="0" fontId="24" fillId="3" borderId="14"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2" xfId="0" applyFont="1" applyFill="1" applyBorder="1" applyAlignment="1">
      <alignment horizontal="left" vertical="center" wrapText="1"/>
    </xf>
    <xf numFmtId="168" fontId="7" fillId="7" borderId="33" xfId="0" applyNumberFormat="1" applyFont="1" applyFill="1" applyBorder="1" applyAlignment="1">
      <alignment horizontal="left" vertical="center" indent="1"/>
    </xf>
    <xf numFmtId="168" fontId="7" fillId="3" borderId="33" xfId="0" applyNumberFormat="1" applyFont="1" applyFill="1" applyBorder="1" applyAlignment="1">
      <alignment horizontal="left" vertical="center" indent="1"/>
    </xf>
    <xf numFmtId="1" fontId="7" fillId="7" borderId="62" xfId="0" applyNumberFormat="1" applyFont="1" applyFill="1" applyBorder="1" applyAlignment="1" applyProtection="1">
      <alignment horizontal="center"/>
    </xf>
    <xf numFmtId="0" fontId="7" fillId="7" borderId="0" xfId="0" applyFont="1" applyFill="1" applyBorder="1" applyAlignment="1">
      <alignment horizontal="left" indent="1"/>
    </xf>
    <xf numFmtId="0" fontId="7" fillId="3" borderId="0" xfId="0" applyFont="1" applyFill="1" applyBorder="1" applyAlignment="1">
      <alignment horizontal="left" indent="1"/>
    </xf>
    <xf numFmtId="0" fontId="7" fillId="6" borderId="26" xfId="0" applyFont="1" applyFill="1" applyBorder="1" applyAlignment="1">
      <alignment horizontal="left" indent="2"/>
    </xf>
    <xf numFmtId="0" fontId="16" fillId="6" borderId="1" xfId="0" applyFont="1" applyFill="1" applyBorder="1"/>
    <xf numFmtId="0" fontId="16" fillId="6" borderId="26" xfId="0" applyFont="1" applyFill="1" applyBorder="1"/>
    <xf numFmtId="0" fontId="8" fillId="6" borderId="45" xfId="0" applyFont="1" applyFill="1" applyBorder="1"/>
    <xf numFmtId="0" fontId="8" fillId="6" borderId="28" xfId="0" applyFont="1" applyFill="1" applyBorder="1" applyAlignment="1"/>
    <xf numFmtId="0" fontId="10" fillId="7" borderId="46" xfId="0" applyFont="1" applyFill="1" applyBorder="1" applyAlignment="1"/>
    <xf numFmtId="0" fontId="10" fillId="7" borderId="18" xfId="0" applyFont="1" applyFill="1" applyBorder="1" applyAlignment="1"/>
    <xf numFmtId="0" fontId="10" fillId="7" borderId="41" xfId="0" applyFont="1" applyFill="1" applyBorder="1" applyAlignment="1"/>
    <xf numFmtId="0" fontId="10" fillId="3" borderId="18" xfId="0" applyFont="1" applyFill="1" applyBorder="1" applyAlignment="1"/>
    <xf numFmtId="0" fontId="10" fillId="3" borderId="19" xfId="0" applyFont="1" applyFill="1" applyBorder="1" applyAlignment="1"/>
    <xf numFmtId="9" fontId="7" fillId="7" borderId="23" xfId="4" applyFont="1" applyFill="1" applyBorder="1" applyAlignment="1">
      <alignment horizontal="center"/>
    </xf>
    <xf numFmtId="0" fontId="7" fillId="7" borderId="16" xfId="0" applyFont="1" applyFill="1" applyBorder="1" applyAlignment="1" applyProtection="1">
      <alignment horizontal="center"/>
    </xf>
    <xf numFmtId="0" fontId="7" fillId="3" borderId="16" xfId="0" applyFont="1" applyFill="1" applyBorder="1" applyAlignment="1" applyProtection="1">
      <alignment horizontal="center"/>
    </xf>
    <xf numFmtId="9" fontId="7" fillId="7" borderId="0" xfId="4" applyFont="1" applyFill="1" applyBorder="1" applyAlignment="1" applyProtection="1">
      <alignment horizontal="center"/>
    </xf>
    <xf numFmtId="9" fontId="7" fillId="3" borderId="0" xfId="4" applyFont="1" applyFill="1" applyBorder="1" applyAlignment="1" applyProtection="1">
      <alignment horizontal="center"/>
    </xf>
    <xf numFmtId="0" fontId="7" fillId="3" borderId="2" xfId="0" applyFont="1" applyFill="1" applyBorder="1" applyAlignment="1" applyProtection="1">
      <alignment horizontal="center"/>
    </xf>
    <xf numFmtId="0" fontId="7" fillId="7" borderId="36" xfId="0" applyFont="1" applyFill="1" applyBorder="1" applyAlignment="1" applyProtection="1">
      <alignment horizontal="center"/>
    </xf>
    <xf numFmtId="0" fontId="0" fillId="6" borderId="1" xfId="0" applyFill="1" applyBorder="1"/>
    <xf numFmtId="0" fontId="7" fillId="6" borderId="0" xfId="0" applyFont="1" applyFill="1" applyBorder="1" applyAlignment="1">
      <alignment horizontal="left" vertical="center"/>
    </xf>
    <xf numFmtId="0" fontId="7" fillId="6" borderId="0" xfId="0" applyFont="1" applyFill="1" applyBorder="1" applyAlignment="1">
      <alignment horizontal="left" vertical="center" wrapText="1"/>
    </xf>
    <xf numFmtId="0" fontId="17" fillId="6" borderId="0" xfId="0" applyFont="1" applyFill="1" applyBorder="1" applyAlignment="1">
      <alignment horizontal="left" vertical="center"/>
    </xf>
    <xf numFmtId="0" fontId="7" fillId="6" borderId="0" xfId="0" applyFont="1" applyFill="1" applyBorder="1" applyAlignment="1" applyProtection="1">
      <alignment horizontal="left" vertical="center"/>
    </xf>
    <xf numFmtId="0" fontId="0" fillId="6" borderId="26" xfId="0" applyFill="1" applyBorder="1"/>
    <xf numFmtId="0" fontId="13" fillId="6" borderId="16" xfId="0" applyFont="1" applyFill="1" applyBorder="1" applyAlignment="1">
      <alignment horizontal="left" vertical="center" wrapText="1"/>
    </xf>
    <xf numFmtId="0" fontId="7" fillId="7" borderId="36" xfId="0" applyNumberFormat="1" applyFont="1" applyFill="1" applyBorder="1" applyAlignment="1">
      <alignment horizontal="center" vertical="center" wrapText="1"/>
    </xf>
    <xf numFmtId="0" fontId="7" fillId="7" borderId="36" xfId="0" applyFont="1" applyFill="1" applyBorder="1" applyAlignment="1">
      <alignment horizontal="center" vertical="center" wrapText="1"/>
    </xf>
    <xf numFmtId="168" fontId="7" fillId="3" borderId="0" xfId="0" applyNumberFormat="1" applyFont="1" applyFill="1" applyBorder="1" applyAlignment="1">
      <alignment horizontal="left" vertical="center" indent="1"/>
    </xf>
    <xf numFmtId="168" fontId="7" fillId="3" borderId="18" xfId="0" applyNumberFormat="1" applyFont="1" applyFill="1" applyBorder="1"/>
    <xf numFmtId="0" fontId="24" fillId="3" borderId="0" xfId="0" applyNumberFormat="1" applyFont="1" applyFill="1" applyBorder="1" applyAlignment="1">
      <alignment horizontal="center" vertical="center"/>
    </xf>
    <xf numFmtId="9" fontId="7" fillId="7" borderId="0" xfId="4" applyFont="1" applyFill="1" applyBorder="1" applyAlignment="1" applyProtection="1">
      <alignment horizontal="center" vertical="center"/>
    </xf>
    <xf numFmtId="0" fontId="7" fillId="7" borderId="18" xfId="0" applyNumberFormat="1" applyFont="1" applyFill="1" applyBorder="1" applyProtection="1"/>
    <xf numFmtId="9" fontId="24" fillId="7" borderId="0" xfId="4" applyFont="1" applyFill="1" applyBorder="1" applyAlignment="1" applyProtection="1">
      <alignment horizontal="center" vertical="center"/>
    </xf>
    <xf numFmtId="0" fontId="7" fillId="3" borderId="0" xfId="0" applyNumberFormat="1" applyFont="1" applyFill="1" applyBorder="1" applyProtection="1"/>
    <xf numFmtId="168" fontId="7" fillId="3" borderId="13" xfId="0" applyNumberFormat="1" applyFont="1" applyFill="1" applyBorder="1" applyAlignment="1" applyProtection="1">
      <alignment horizontal="center" vertical="center"/>
    </xf>
    <xf numFmtId="9" fontId="7" fillId="3" borderId="0" xfId="4" applyFont="1" applyFill="1" applyBorder="1" applyAlignment="1" applyProtection="1">
      <alignment horizontal="center" vertical="center"/>
    </xf>
    <xf numFmtId="168" fontId="7" fillId="3" borderId="13" xfId="4" applyNumberFormat="1" applyFont="1" applyFill="1" applyBorder="1" applyAlignment="1" applyProtection="1">
      <alignment horizontal="center"/>
    </xf>
    <xf numFmtId="9" fontId="7" fillId="3" borderId="0" xfId="4" applyFont="1" applyFill="1" applyBorder="1" applyProtection="1"/>
    <xf numFmtId="0" fontId="7" fillId="3" borderId="18" xfId="0" applyNumberFormat="1" applyFont="1" applyFill="1" applyBorder="1" applyProtection="1"/>
    <xf numFmtId="168" fontId="7" fillId="3" borderId="12" xfId="0" applyNumberFormat="1" applyFont="1" applyFill="1" applyBorder="1" applyProtection="1"/>
    <xf numFmtId="168" fontId="7" fillId="3" borderId="13" xfId="0" applyNumberFormat="1" applyFont="1" applyFill="1" applyBorder="1" applyProtection="1"/>
    <xf numFmtId="9" fontId="7" fillId="7" borderId="0" xfId="4" applyFont="1" applyFill="1" applyBorder="1" applyAlignment="1">
      <alignment horizontal="center"/>
    </xf>
    <xf numFmtId="0" fontId="7" fillId="7" borderId="0" xfId="0" applyFont="1" applyFill="1" applyBorder="1" applyAlignment="1">
      <alignment horizontal="left"/>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30" fillId="3" borderId="0" xfId="0" applyFont="1" applyFill="1" applyBorder="1" applyAlignment="1">
      <alignment horizontal="left" wrapText="1"/>
    </xf>
    <xf numFmtId="0" fontId="30" fillId="7" borderId="0" xfId="0" applyFont="1" applyFill="1" applyBorder="1" applyAlignment="1">
      <alignment horizontal="left" wrapText="1"/>
    </xf>
    <xf numFmtId="169" fontId="7" fillId="7" borderId="62" xfId="0" applyNumberFormat="1" applyFont="1" applyFill="1" applyBorder="1" applyAlignment="1">
      <alignment horizontal="center"/>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9" fontId="7" fillId="3" borderId="0" xfId="4" applyFont="1" applyFill="1" applyBorder="1" applyAlignment="1"/>
    <xf numFmtId="169" fontId="7" fillId="3" borderId="62" xfId="0" applyNumberFormat="1" applyFont="1" applyFill="1" applyBorder="1" applyAlignment="1">
      <alignment horizontal="center"/>
    </xf>
    <xf numFmtId="0" fontId="7" fillId="7" borderId="0" xfId="0" applyFont="1" applyFill="1" applyBorder="1" applyAlignment="1" applyProtection="1">
      <alignment horizontal="center"/>
    </xf>
    <xf numFmtId="0" fontId="7" fillId="3" borderId="0" xfId="0" applyFont="1" applyFill="1" applyBorder="1" applyAlignment="1" applyProtection="1">
      <alignment horizontal="center"/>
    </xf>
    <xf numFmtId="0" fontId="7" fillId="6" borderId="39" xfId="0" applyFont="1" applyFill="1" applyBorder="1"/>
    <xf numFmtId="0" fontId="7" fillId="7" borderId="0" xfId="0" applyFont="1" applyFill="1" applyBorder="1" applyAlignment="1" applyProtection="1">
      <alignment horizontal="left"/>
    </xf>
    <xf numFmtId="0" fontId="7" fillId="7" borderId="0" xfId="0" applyFont="1" applyFill="1" applyProtection="1"/>
    <xf numFmtId="0" fontId="7" fillId="3" borderId="0" xfId="0" applyFont="1" applyFill="1" applyProtection="1"/>
    <xf numFmtId="0" fontId="0" fillId="7" borderId="0" xfId="0" applyFill="1"/>
    <xf numFmtId="0" fontId="7"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1" xfId="0" applyFont="1" applyFill="1" applyBorder="1" applyAlignment="1">
      <alignment horizontal="right" vertical="center"/>
    </xf>
    <xf numFmtId="0" fontId="17" fillId="0" borderId="1" xfId="0" applyFont="1" applyFill="1" applyBorder="1" applyAlignment="1">
      <alignment horizontal="right" vertical="center"/>
    </xf>
    <xf numFmtId="0" fontId="17" fillId="0" borderId="28" xfId="0" applyFont="1" applyFill="1" applyBorder="1" applyAlignment="1">
      <alignment horizontal="left" vertical="center"/>
    </xf>
    <xf numFmtId="0" fontId="7" fillId="0" borderId="26" xfId="0" applyFont="1" applyFill="1" applyBorder="1" applyAlignment="1">
      <alignment horizontal="right" vertical="center"/>
    </xf>
    <xf numFmtId="0" fontId="7" fillId="7" borderId="62" xfId="0" applyFont="1" applyFill="1" applyBorder="1" applyAlignment="1" applyProtection="1">
      <alignment horizontal="center"/>
    </xf>
    <xf numFmtId="0" fontId="7" fillId="9" borderId="62" xfId="0" applyFont="1" applyFill="1" applyBorder="1" applyAlignment="1" applyProtection="1">
      <alignment horizontal="center"/>
    </xf>
    <xf numFmtId="0" fontId="7" fillId="7" borderId="36" xfId="0" applyFont="1" applyFill="1" applyBorder="1" applyAlignment="1" applyProtection="1"/>
    <xf numFmtId="0" fontId="7" fillId="7" borderId="0" xfId="0" applyFont="1" applyFill="1" applyBorder="1" applyAlignment="1" applyProtection="1"/>
    <xf numFmtId="0" fontId="7" fillId="9" borderId="0" xfId="0" applyFont="1" applyFill="1" applyBorder="1" applyAlignment="1" applyProtection="1">
      <alignment horizontal="center"/>
    </xf>
    <xf numFmtId="0" fontId="8" fillId="6" borderId="34" xfId="0" applyFont="1" applyFill="1" applyBorder="1" applyAlignment="1">
      <alignment vertical="center"/>
    </xf>
    <xf numFmtId="0" fontId="7" fillId="7" borderId="38" xfId="0" applyFont="1" applyFill="1" applyBorder="1" applyAlignment="1">
      <alignment vertical="center"/>
    </xf>
    <xf numFmtId="169" fontId="7" fillId="7" borderId="17" xfId="0" applyNumberFormat="1" applyFont="1" applyFill="1" applyBorder="1" applyAlignment="1">
      <alignment horizontal="center"/>
    </xf>
    <xf numFmtId="1" fontId="7" fillId="7" borderId="17" xfId="0" applyNumberFormat="1" applyFont="1" applyFill="1" applyBorder="1" applyAlignment="1">
      <alignment horizontal="center"/>
    </xf>
    <xf numFmtId="169" fontId="7" fillId="7" borderId="11" xfId="0" applyNumberFormat="1" applyFont="1" applyFill="1" applyBorder="1" applyAlignment="1">
      <alignment horizontal="center"/>
    </xf>
    <xf numFmtId="169" fontId="7" fillId="7" borderId="42" xfId="0" applyNumberFormat="1" applyFont="1" applyFill="1" applyBorder="1" applyAlignment="1">
      <alignment horizontal="center"/>
    </xf>
    <xf numFmtId="169" fontId="7" fillId="3" borderId="17" xfId="0" applyNumberFormat="1" applyFont="1" applyFill="1" applyBorder="1" applyAlignment="1">
      <alignment horizontal="center"/>
    </xf>
    <xf numFmtId="169" fontId="7" fillId="3" borderId="11" xfId="0" applyNumberFormat="1" applyFont="1" applyFill="1" applyBorder="1" applyAlignment="1">
      <alignment horizontal="center"/>
    </xf>
    <xf numFmtId="169" fontId="7" fillId="3" borderId="25" xfId="0" applyNumberFormat="1" applyFont="1" applyFill="1" applyBorder="1" applyAlignment="1">
      <alignment horizontal="center"/>
    </xf>
    <xf numFmtId="0" fontId="7" fillId="7" borderId="35" xfId="0" quotePrefix="1" applyFont="1" applyFill="1" applyBorder="1" applyAlignment="1">
      <alignment horizontal="left" indent="2"/>
    </xf>
    <xf numFmtId="10" fontId="7" fillId="7" borderId="16" xfId="4" applyNumberFormat="1" applyFont="1" applyFill="1" applyBorder="1"/>
    <xf numFmtId="169" fontId="7" fillId="7" borderId="16" xfId="0" applyNumberFormat="1" applyFont="1" applyFill="1" applyBorder="1"/>
    <xf numFmtId="169" fontId="7" fillId="7" borderId="15" xfId="0" applyNumberFormat="1" applyFont="1" applyFill="1" applyBorder="1"/>
    <xf numFmtId="1" fontId="7" fillId="7" borderId="16" xfId="0" applyNumberFormat="1" applyFont="1" applyFill="1" applyBorder="1" applyAlignment="1">
      <alignment horizontal="center"/>
    </xf>
    <xf numFmtId="1" fontId="7" fillId="7" borderId="37" xfId="0" applyNumberFormat="1" applyFont="1" applyFill="1" applyBorder="1" applyAlignment="1">
      <alignment horizontal="center"/>
    </xf>
    <xf numFmtId="1" fontId="7" fillId="3" borderId="16" xfId="0" applyNumberFormat="1" applyFont="1" applyFill="1" applyBorder="1" applyAlignment="1">
      <alignment horizontal="center"/>
    </xf>
    <xf numFmtId="10" fontId="7" fillId="3" borderId="16" xfId="0" applyNumberFormat="1" applyFont="1" applyFill="1" applyBorder="1" applyAlignment="1">
      <alignment horizontal="center"/>
    </xf>
    <xf numFmtId="10" fontId="7" fillId="3" borderId="16" xfId="4" applyNumberFormat="1" applyFont="1" applyFill="1" applyBorder="1"/>
    <xf numFmtId="169" fontId="7" fillId="3" borderId="16" xfId="0" applyNumberFormat="1" applyFont="1" applyFill="1" applyBorder="1"/>
    <xf numFmtId="169" fontId="7" fillId="3" borderId="15" xfId="0" applyNumberFormat="1" applyFont="1" applyFill="1" applyBorder="1"/>
    <xf numFmtId="1" fontId="7" fillId="3" borderId="27" xfId="0" applyNumberFormat="1" applyFont="1" applyFill="1" applyBorder="1" applyAlignment="1">
      <alignment horizontal="center"/>
    </xf>
    <xf numFmtId="0" fontId="7" fillId="0" borderId="2" xfId="0" applyFont="1" applyFill="1" applyBorder="1"/>
    <xf numFmtId="0" fontId="0" fillId="7" borderId="46" xfId="0" applyFill="1" applyBorder="1"/>
    <xf numFmtId="0" fontId="0" fillId="7" borderId="33" xfId="0" applyFill="1" applyBorder="1"/>
    <xf numFmtId="0" fontId="0" fillId="3" borderId="46" xfId="0" applyFill="1" applyBorder="1"/>
    <xf numFmtId="0" fontId="0" fillId="3" borderId="33" xfId="0" applyFill="1" applyBorder="1"/>
    <xf numFmtId="0" fontId="7" fillId="6" borderId="40" xfId="0" applyFont="1" applyFill="1" applyBorder="1" applyAlignment="1">
      <alignment horizontal="left" indent="2"/>
    </xf>
    <xf numFmtId="0" fontId="8" fillId="6" borderId="1" xfId="0" applyFont="1" applyFill="1" applyBorder="1" applyAlignment="1"/>
    <xf numFmtId="0" fontId="7" fillId="7" borderId="0" xfId="0" applyFont="1" applyFill="1" applyBorder="1" applyAlignment="1">
      <alignment horizontal="left"/>
    </xf>
    <xf numFmtId="0" fontId="7" fillId="3" borderId="0" xfId="0" applyFont="1" applyFill="1" applyBorder="1" applyAlignment="1">
      <alignment horizontal="left"/>
    </xf>
    <xf numFmtId="164" fontId="7" fillId="7" borderId="0" xfId="1" applyNumberFormat="1" applyFont="1" applyFill="1" applyBorder="1" applyAlignment="1">
      <alignment horizontal="right"/>
    </xf>
    <xf numFmtId="0" fontId="0" fillId="7" borderId="18" xfId="0" applyFill="1" applyBorder="1"/>
    <xf numFmtId="0" fontId="7" fillId="10" borderId="0" xfId="0" applyFont="1" applyFill="1" applyBorder="1" applyAlignment="1">
      <alignment horizontal="center" vertical="center"/>
    </xf>
    <xf numFmtId="0" fontId="7" fillId="6" borderId="39" xfId="0" applyFont="1" applyFill="1" applyBorder="1" applyAlignment="1">
      <alignment horizontal="left" indent="2"/>
    </xf>
    <xf numFmtId="0" fontId="0" fillId="7" borderId="23" xfId="0" applyFill="1" applyBorder="1"/>
    <xf numFmtId="10" fontId="7" fillId="7" borderId="14" xfId="4" applyNumberFormat="1" applyFont="1" applyFill="1" applyBorder="1"/>
    <xf numFmtId="0" fontId="7" fillId="7" borderId="14" xfId="0" applyFont="1" applyFill="1" applyBorder="1" applyAlignment="1">
      <alignment horizontal="left"/>
    </xf>
    <xf numFmtId="0" fontId="0" fillId="7" borderId="14" xfId="0" applyFill="1" applyBorder="1"/>
    <xf numFmtId="10" fontId="7" fillId="3" borderId="14" xfId="4" applyNumberFormat="1" applyFont="1" applyFill="1" applyBorder="1"/>
    <xf numFmtId="0" fontId="7" fillId="3" borderId="14" xfId="0" applyFont="1" applyFill="1" applyBorder="1" applyAlignment="1">
      <alignment horizontal="left"/>
    </xf>
    <xf numFmtId="169" fontId="9" fillId="7" borderId="0" xfId="0" applyNumberFormat="1" applyFont="1" applyFill="1" applyBorder="1" applyAlignment="1">
      <alignment horizontal="left"/>
    </xf>
    <xf numFmtId="169" fontId="9" fillId="3" borderId="0" xfId="0" applyNumberFormat="1" applyFont="1" applyFill="1" applyBorder="1" applyAlignment="1">
      <alignment horizontal="left"/>
    </xf>
    <xf numFmtId="0" fontId="7" fillId="5" borderId="23" xfId="4" applyNumberFormat="1" applyFont="1" applyFill="1" applyBorder="1" applyAlignment="1" applyProtection="1">
      <alignment horizontal="center"/>
      <protection locked="0"/>
    </xf>
    <xf numFmtId="164" fontId="7" fillId="7" borderId="62" xfId="1" applyNumberFormat="1" applyFont="1" applyFill="1" applyBorder="1" applyAlignment="1" applyProtection="1">
      <alignment horizontal="center"/>
    </xf>
    <xf numFmtId="164" fontId="7" fillId="3" borderId="62" xfId="1" applyNumberFormat="1" applyFont="1" applyFill="1" applyBorder="1" applyAlignment="1" applyProtection="1">
      <alignment horizontal="center"/>
    </xf>
    <xf numFmtId="0" fontId="7" fillId="7" borderId="0" xfId="4" applyNumberFormat="1" applyFont="1" applyFill="1" applyBorder="1" applyAlignment="1" applyProtection="1">
      <alignment horizontal="center"/>
    </xf>
    <xf numFmtId="0" fontId="7" fillId="3" borderId="0" xfId="4" applyNumberFormat="1" applyFont="1" applyFill="1" applyBorder="1" applyAlignment="1" applyProtection="1">
      <alignment horizontal="center"/>
    </xf>
    <xf numFmtId="0" fontId="0" fillId="7" borderId="0" xfId="0" applyFill="1" applyBorder="1"/>
    <xf numFmtId="0" fontId="0" fillId="3" borderId="2" xfId="0" applyFill="1" applyBorder="1"/>
    <xf numFmtId="0" fontId="0" fillId="3" borderId="19" xfId="0" applyFill="1" applyBorder="1"/>
    <xf numFmtId="164" fontId="0" fillId="7" borderId="0" xfId="0" applyNumberFormat="1" applyFill="1" applyBorder="1"/>
    <xf numFmtId="164" fontId="0" fillId="3" borderId="0" xfId="0" applyNumberFormat="1" applyFill="1" applyBorder="1"/>
    <xf numFmtId="168" fontId="7" fillId="10" borderId="33" xfId="0" applyNumberFormat="1" applyFont="1" applyFill="1" applyBorder="1"/>
    <xf numFmtId="0" fontId="7" fillId="10" borderId="0" xfId="0" applyNumberFormat="1" applyFont="1" applyFill="1" applyBorder="1"/>
    <xf numFmtId="0" fontId="7" fillId="10" borderId="14" xfId="0" applyFont="1" applyFill="1" applyBorder="1" applyAlignment="1">
      <alignment horizontal="center" vertical="center" wrapText="1"/>
    </xf>
    <xf numFmtId="0" fontId="7" fillId="10" borderId="0" xfId="0" applyFont="1" applyFill="1" applyBorder="1" applyAlignment="1">
      <alignment horizontal="center" vertical="center" wrapText="1"/>
    </xf>
    <xf numFmtId="168" fontId="7" fillId="10" borderId="33" xfId="0" applyNumberFormat="1" applyFont="1" applyFill="1" applyBorder="1" applyAlignment="1">
      <alignment horizontal="left" vertical="center" indent="1"/>
    </xf>
    <xf numFmtId="168" fontId="13" fillId="10" borderId="33" xfId="0" applyNumberFormat="1" applyFont="1" applyFill="1" applyBorder="1" applyAlignment="1">
      <alignment horizontal="center" vertical="center"/>
    </xf>
    <xf numFmtId="9" fontId="7" fillId="10" borderId="0" xfId="4" applyFont="1" applyFill="1" applyBorder="1" applyAlignment="1">
      <alignment horizontal="center" vertical="center"/>
    </xf>
    <xf numFmtId="9" fontId="7" fillId="10" borderId="0" xfId="4" applyFont="1" applyFill="1" applyBorder="1" applyAlignment="1" applyProtection="1">
      <alignment horizontal="center"/>
    </xf>
    <xf numFmtId="168" fontId="7" fillId="11" borderId="33" xfId="0" applyNumberFormat="1" applyFont="1" applyFill="1" applyBorder="1"/>
    <xf numFmtId="168" fontId="7" fillId="11" borderId="0" xfId="0" applyNumberFormat="1" applyFont="1" applyFill="1" applyBorder="1"/>
    <xf numFmtId="0" fontId="7" fillId="11" borderId="0" xfId="0" applyNumberFormat="1" applyFont="1" applyFill="1" applyBorder="1"/>
    <xf numFmtId="168" fontId="7" fillId="11" borderId="13" xfId="0" applyNumberFormat="1" applyFont="1" applyFill="1" applyBorder="1"/>
    <xf numFmtId="0" fontId="7" fillId="11" borderId="14" xfId="0" applyFont="1" applyFill="1" applyBorder="1" applyAlignment="1">
      <alignment horizontal="center" vertical="center" wrapText="1"/>
    </xf>
    <xf numFmtId="0" fontId="7" fillId="11" borderId="0" xfId="0" applyFont="1" applyFill="1" applyBorder="1" applyAlignment="1">
      <alignment horizontal="center" vertical="center" wrapText="1"/>
    </xf>
    <xf numFmtId="0" fontId="7" fillId="11" borderId="2" xfId="0" applyFont="1" applyFill="1" applyBorder="1" applyAlignment="1">
      <alignment horizontal="center" vertical="center" wrapText="1"/>
    </xf>
    <xf numFmtId="168" fontId="7" fillId="11" borderId="33" xfId="0" applyNumberFormat="1" applyFont="1" applyFill="1" applyBorder="1" applyAlignment="1">
      <alignment horizontal="left" vertical="center" indent="1"/>
    </xf>
    <xf numFmtId="168" fontId="7" fillId="11" borderId="0" xfId="0" applyNumberFormat="1" applyFont="1" applyFill="1" applyBorder="1" applyAlignment="1">
      <alignment horizontal="left" vertical="center" indent="1"/>
    </xf>
    <xf numFmtId="0" fontId="7" fillId="11" borderId="0" xfId="0" applyNumberFormat="1" applyFont="1" applyFill="1" applyBorder="1" applyProtection="1"/>
    <xf numFmtId="168" fontId="7" fillId="11" borderId="13" xfId="0" applyNumberFormat="1" applyFont="1" applyFill="1" applyBorder="1" applyAlignment="1" applyProtection="1">
      <alignment horizontal="center" vertical="center"/>
    </xf>
    <xf numFmtId="168" fontId="7" fillId="11" borderId="33" xfId="0" applyNumberFormat="1" applyFont="1" applyFill="1" applyBorder="1" applyAlignment="1">
      <alignment horizontal="center" vertical="center"/>
    </xf>
    <xf numFmtId="168" fontId="7" fillId="11" borderId="0" xfId="0" applyNumberFormat="1" applyFont="1" applyFill="1" applyBorder="1" applyAlignment="1">
      <alignment horizontal="center" vertical="center"/>
    </xf>
    <xf numFmtId="9" fontId="7" fillId="11" borderId="0" xfId="4" applyFont="1" applyFill="1" applyBorder="1" applyAlignment="1">
      <alignment horizontal="center"/>
    </xf>
    <xf numFmtId="9" fontId="7" fillId="11" borderId="0" xfId="4" applyFont="1" applyFill="1" applyBorder="1" applyAlignment="1" applyProtection="1">
      <alignment horizontal="center"/>
    </xf>
    <xf numFmtId="9" fontId="7" fillId="10" borderId="0" xfId="4" applyFont="1" applyFill="1" applyBorder="1" applyAlignment="1" applyProtection="1">
      <alignment horizontal="center" vertical="center"/>
    </xf>
    <xf numFmtId="168" fontId="13" fillId="10" borderId="33" xfId="4" applyNumberFormat="1" applyFont="1" applyFill="1" applyBorder="1" applyAlignment="1">
      <alignment horizontal="center"/>
    </xf>
    <xf numFmtId="0" fontId="7" fillId="10" borderId="14" xfId="0" applyFont="1" applyFill="1" applyBorder="1" applyAlignment="1">
      <alignment horizontal="center" vertical="center"/>
    </xf>
    <xf numFmtId="168" fontId="7" fillId="10" borderId="46" xfId="0" applyNumberFormat="1" applyFont="1" applyFill="1" applyBorder="1"/>
    <xf numFmtId="0" fontId="7" fillId="10" borderId="18" xfId="0" applyNumberFormat="1" applyFont="1" applyFill="1" applyBorder="1"/>
    <xf numFmtId="0" fontId="7" fillId="10" borderId="18" xfId="0" applyNumberFormat="1" applyFont="1" applyFill="1" applyBorder="1" applyProtection="1"/>
    <xf numFmtId="0" fontId="7" fillId="10" borderId="23" xfId="0" applyFont="1" applyFill="1" applyBorder="1" applyAlignment="1">
      <alignment horizontal="center" vertical="center" wrapText="1"/>
    </xf>
    <xf numFmtId="0" fontId="7" fillId="10" borderId="18" xfId="0" applyFont="1" applyFill="1" applyBorder="1" applyAlignment="1">
      <alignment horizontal="center" vertical="center" wrapText="1"/>
    </xf>
    <xf numFmtId="0" fontId="7" fillId="10" borderId="14" xfId="0" applyFont="1" applyFill="1" applyBorder="1" applyAlignment="1">
      <alignment horizontal="center"/>
    </xf>
    <xf numFmtId="0" fontId="7" fillId="10" borderId="0" xfId="0" applyFont="1" applyFill="1" applyBorder="1" applyAlignment="1">
      <alignment horizontal="center"/>
    </xf>
    <xf numFmtId="0" fontId="7" fillId="10" borderId="14" xfId="0" applyNumberFormat="1" applyFont="1" applyFill="1" applyBorder="1" applyAlignment="1">
      <alignment horizontal="center" vertical="center" wrapText="1"/>
    </xf>
    <xf numFmtId="0" fontId="7" fillId="10" borderId="0" xfId="0" applyNumberFormat="1" applyFont="1" applyFill="1" applyBorder="1" applyAlignment="1">
      <alignment horizontal="center" vertical="center" wrapText="1"/>
    </xf>
    <xf numFmtId="0" fontId="7" fillId="10" borderId="15" xfId="0" applyNumberFormat="1" applyFont="1" applyFill="1" applyBorder="1" applyAlignment="1">
      <alignment horizontal="center" vertical="center" wrapText="1"/>
    </xf>
    <xf numFmtId="9" fontId="19" fillId="10" borderId="33" xfId="0" applyNumberFormat="1" applyFont="1" applyFill="1" applyBorder="1" applyAlignment="1">
      <alignment horizontal="center" vertical="center"/>
    </xf>
    <xf numFmtId="9" fontId="24" fillId="10" borderId="0" xfId="4" applyFont="1" applyFill="1" applyBorder="1" applyAlignment="1">
      <alignment horizontal="center" vertical="center"/>
    </xf>
    <xf numFmtId="9" fontId="24" fillId="10" borderId="0" xfId="4" applyFont="1" applyFill="1" applyBorder="1" applyAlignment="1" applyProtection="1">
      <alignment horizontal="center" vertical="center"/>
    </xf>
    <xf numFmtId="0" fontId="24" fillId="10" borderId="14" xfId="0" applyNumberFormat="1" applyFont="1" applyFill="1" applyBorder="1" applyAlignment="1">
      <alignment horizontal="left" vertical="center" wrapText="1"/>
    </xf>
    <xf numFmtId="0" fontId="24" fillId="10" borderId="0" xfId="0" applyNumberFormat="1" applyFont="1" applyFill="1" applyBorder="1" applyAlignment="1">
      <alignment horizontal="left" vertical="center" wrapText="1"/>
    </xf>
    <xf numFmtId="168" fontId="13" fillId="10" borderId="33" xfId="0" applyNumberFormat="1" applyFont="1" applyFill="1" applyBorder="1" applyAlignment="1">
      <alignment horizontal="center"/>
    </xf>
    <xf numFmtId="0" fontId="7" fillId="10" borderId="14" xfId="0" applyNumberFormat="1" applyFont="1" applyFill="1" applyBorder="1"/>
    <xf numFmtId="0" fontId="7" fillId="10" borderId="36" xfId="0" applyFont="1" applyFill="1" applyBorder="1" applyAlignment="1">
      <alignment horizontal="center" vertical="center" wrapText="1"/>
    </xf>
    <xf numFmtId="0" fontId="7" fillId="10" borderId="0" xfId="0" applyFont="1" applyFill="1"/>
    <xf numFmtId="0" fontId="7" fillId="10" borderId="36" xfId="0" applyNumberFormat="1" applyFont="1" applyFill="1" applyBorder="1" applyAlignment="1">
      <alignment horizontal="center" vertical="center" wrapText="1"/>
    </xf>
    <xf numFmtId="9" fontId="7" fillId="11" borderId="0" xfId="4" applyFont="1" applyFill="1" applyBorder="1" applyAlignment="1" applyProtection="1">
      <alignment horizontal="center" vertical="center"/>
    </xf>
    <xf numFmtId="0" fontId="7" fillId="11" borderId="0" xfId="0" applyFont="1" applyFill="1"/>
    <xf numFmtId="168" fontId="7" fillId="11" borderId="33" xfId="4" applyNumberFormat="1" applyFont="1" applyFill="1" applyBorder="1" applyAlignment="1">
      <alignment horizontal="center"/>
    </xf>
    <xf numFmtId="168" fontId="7" fillId="11" borderId="13" xfId="4" applyNumberFormat="1" applyFont="1" applyFill="1" applyBorder="1" applyAlignment="1" applyProtection="1">
      <alignment horizontal="center"/>
    </xf>
    <xf numFmtId="9" fontId="7" fillId="11" borderId="0" xfId="4" applyFont="1" applyFill="1" applyBorder="1" applyProtection="1"/>
    <xf numFmtId="0" fontId="7" fillId="11" borderId="14" xfId="0" applyFont="1" applyFill="1" applyBorder="1" applyAlignment="1">
      <alignment horizontal="center" vertical="center"/>
    </xf>
    <xf numFmtId="0" fontId="7" fillId="11" borderId="0" xfId="0" applyFont="1" applyFill="1" applyBorder="1" applyAlignment="1">
      <alignment horizontal="center" vertical="center"/>
    </xf>
    <xf numFmtId="0" fontId="7" fillId="11" borderId="2" xfId="0" applyFont="1" applyFill="1" applyBorder="1" applyAlignment="1">
      <alignment horizontal="center" vertical="center"/>
    </xf>
    <xf numFmtId="168" fontId="7" fillId="11" borderId="46" xfId="0" applyNumberFormat="1" applyFont="1" applyFill="1" applyBorder="1"/>
    <xf numFmtId="168" fontId="7" fillId="11" borderId="18" xfId="0" applyNumberFormat="1" applyFont="1" applyFill="1" applyBorder="1"/>
    <xf numFmtId="0" fontId="7" fillId="11" borderId="18" xfId="0" applyNumberFormat="1" applyFont="1" applyFill="1" applyBorder="1" applyProtection="1"/>
    <xf numFmtId="168" fontId="7" fillId="11" borderId="12" xfId="0" applyNumberFormat="1" applyFont="1" applyFill="1" applyBorder="1" applyProtection="1"/>
    <xf numFmtId="0" fontId="7" fillId="11" borderId="23" xfId="0" applyFont="1" applyFill="1" applyBorder="1" applyAlignment="1">
      <alignment horizontal="center" vertical="center" wrapText="1"/>
    </xf>
    <xf numFmtId="0" fontId="7" fillId="11" borderId="18" xfId="0" applyFont="1" applyFill="1" applyBorder="1" applyAlignment="1">
      <alignment horizontal="center" vertical="center" wrapText="1"/>
    </xf>
    <xf numFmtId="0" fontId="7" fillId="11" borderId="19" xfId="0" applyFont="1" applyFill="1" applyBorder="1" applyAlignment="1">
      <alignment horizontal="center" vertical="center" wrapText="1"/>
    </xf>
    <xf numFmtId="168" fontId="7" fillId="11" borderId="13" xfId="0" applyNumberFormat="1" applyFont="1" applyFill="1" applyBorder="1" applyProtection="1"/>
    <xf numFmtId="0" fontId="7" fillId="11" borderId="0" xfId="0" applyFont="1" applyFill="1" applyBorder="1" applyAlignment="1">
      <alignment horizontal="center"/>
    </xf>
    <xf numFmtId="0" fontId="7" fillId="11" borderId="2" xfId="0" applyFont="1" applyFill="1" applyBorder="1" applyAlignment="1">
      <alignment horizontal="center"/>
    </xf>
    <xf numFmtId="0" fontId="7" fillId="11" borderId="33" xfId="4" applyNumberFormat="1" applyFont="1" applyFill="1" applyBorder="1" applyAlignment="1">
      <alignment horizontal="center"/>
    </xf>
    <xf numFmtId="0" fontId="7" fillId="11" borderId="33"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7" fillId="11" borderId="15" xfId="0" applyFont="1" applyFill="1" applyBorder="1" applyAlignment="1">
      <alignment horizontal="center" vertical="center" wrapText="1"/>
    </xf>
    <xf numFmtId="0" fontId="24" fillId="11" borderId="33" xfId="0" applyNumberFormat="1" applyFont="1" applyFill="1" applyBorder="1" applyAlignment="1">
      <alignment horizontal="center" vertical="center"/>
    </xf>
    <xf numFmtId="0" fontId="24" fillId="11" borderId="0" xfId="0" applyNumberFormat="1" applyFont="1" applyFill="1" applyBorder="1" applyAlignment="1">
      <alignment horizontal="center" vertical="center"/>
    </xf>
    <xf numFmtId="9" fontId="24" fillId="11" borderId="0" xfId="4" applyFont="1" applyFill="1" applyBorder="1"/>
    <xf numFmtId="0" fontId="24" fillId="11" borderId="14" xfId="0" applyFont="1" applyFill="1" applyBorder="1" applyAlignment="1">
      <alignment horizontal="left" vertical="center" wrapText="1"/>
    </xf>
    <xf numFmtId="0" fontId="24" fillId="11" borderId="0" xfId="0" applyFont="1" applyFill="1" applyBorder="1" applyAlignment="1">
      <alignment horizontal="left" vertical="center" wrapText="1"/>
    </xf>
    <xf numFmtId="0" fontId="24" fillId="11" borderId="2" xfId="0" applyFont="1" applyFill="1" applyBorder="1" applyAlignment="1">
      <alignment horizontal="left" vertical="center" wrapText="1"/>
    </xf>
    <xf numFmtId="0" fontId="7" fillId="11" borderId="33" xfId="0" applyNumberFormat="1" applyFont="1" applyFill="1" applyBorder="1" applyAlignment="1">
      <alignment horizontal="center"/>
    </xf>
    <xf numFmtId="9" fontId="7" fillId="11" borderId="0" xfId="4" applyFont="1" applyFill="1" applyBorder="1" applyAlignment="1"/>
    <xf numFmtId="168" fontId="7" fillId="11" borderId="13" xfId="0" applyNumberFormat="1" applyFont="1" applyFill="1" applyBorder="1" applyAlignment="1">
      <alignment horizontal="center"/>
    </xf>
    <xf numFmtId="0" fontId="7" fillId="11" borderId="14" xfId="0" applyFont="1" applyFill="1" applyBorder="1"/>
    <xf numFmtId="0" fontId="7" fillId="11" borderId="0" xfId="0" applyFont="1" applyFill="1" applyBorder="1"/>
    <xf numFmtId="0" fontId="7" fillId="11" borderId="2" xfId="0" applyFont="1" applyFill="1" applyBorder="1"/>
    <xf numFmtId="0" fontId="7" fillId="11" borderId="0" xfId="0" applyNumberFormat="1" applyFont="1" applyFill="1" applyBorder="1" applyAlignment="1">
      <alignment horizontal="center"/>
    </xf>
    <xf numFmtId="0" fontId="13" fillId="11" borderId="0" xfId="0" applyFont="1" applyFill="1" applyBorder="1" applyAlignment="1">
      <alignment horizontal="center"/>
    </xf>
    <xf numFmtId="0" fontId="7" fillId="11" borderId="16" xfId="0" applyFont="1" applyFill="1" applyBorder="1"/>
    <xf numFmtId="0" fontId="7" fillId="11" borderId="27" xfId="0" applyFont="1" applyFill="1" applyBorder="1"/>
    <xf numFmtId="0" fontId="7" fillId="11" borderId="17" xfId="0" applyFont="1" applyFill="1" applyBorder="1"/>
    <xf numFmtId="169" fontId="7" fillId="11" borderId="17" xfId="0" applyNumberFormat="1" applyFont="1" applyFill="1" applyBorder="1" applyAlignment="1">
      <alignment horizontal="center"/>
    </xf>
    <xf numFmtId="169" fontId="7" fillId="11" borderId="11" xfId="0" applyNumberFormat="1" applyFont="1" applyFill="1" applyBorder="1" applyAlignment="1">
      <alignment horizontal="center"/>
    </xf>
    <xf numFmtId="169" fontId="7" fillId="11" borderId="25" xfId="0" applyNumberFormat="1" applyFont="1" applyFill="1" applyBorder="1" applyAlignment="1">
      <alignment horizontal="center"/>
    </xf>
    <xf numFmtId="1" fontId="7" fillId="11" borderId="0" xfId="0" applyNumberFormat="1" applyFont="1" applyFill="1" applyBorder="1" applyAlignment="1">
      <alignment horizontal="center"/>
    </xf>
    <xf numFmtId="10" fontId="7" fillId="11" borderId="0" xfId="0" applyNumberFormat="1" applyFont="1" applyFill="1" applyBorder="1" applyAlignment="1">
      <alignment horizontal="center"/>
    </xf>
    <xf numFmtId="10" fontId="7" fillId="11" borderId="0" xfId="4" applyNumberFormat="1" applyFont="1" applyFill="1" applyBorder="1"/>
    <xf numFmtId="169" fontId="7" fillId="11" borderId="0" xfId="0" applyNumberFormat="1" applyFont="1" applyFill="1" applyBorder="1"/>
    <xf numFmtId="169" fontId="7" fillId="11" borderId="14" xfId="0" applyNumberFormat="1" applyFont="1" applyFill="1" applyBorder="1"/>
    <xf numFmtId="1" fontId="7" fillId="11" borderId="2" xfId="0" applyNumberFormat="1" applyFont="1" applyFill="1" applyBorder="1" applyAlignment="1">
      <alignment horizontal="center"/>
    </xf>
    <xf numFmtId="169" fontId="9" fillId="11" borderId="0" xfId="0" applyNumberFormat="1" applyFont="1" applyFill="1" applyBorder="1" applyAlignment="1">
      <alignment horizontal="left" indent="2"/>
    </xf>
    <xf numFmtId="10" fontId="7" fillId="11" borderId="0" xfId="0" applyNumberFormat="1" applyFont="1" applyFill="1" applyBorder="1"/>
    <xf numFmtId="2" fontId="7" fillId="11" borderId="0" xfId="0" applyNumberFormat="1" applyFont="1" applyFill="1" applyBorder="1" applyAlignment="1">
      <alignment horizontal="right"/>
    </xf>
    <xf numFmtId="169" fontId="7" fillId="11" borderId="0" xfId="0" applyNumberFormat="1" applyFont="1" applyFill="1" applyBorder="1" applyAlignment="1">
      <alignment horizontal="left"/>
    </xf>
    <xf numFmtId="169" fontId="7" fillId="11" borderId="14" xfId="0" applyNumberFormat="1" applyFont="1" applyFill="1" applyBorder="1" applyAlignment="1">
      <alignment horizontal="left"/>
    </xf>
    <xf numFmtId="2" fontId="7" fillId="11" borderId="0" xfId="0" applyNumberFormat="1" applyFont="1" applyFill="1" applyBorder="1" applyAlignment="1">
      <alignment horizontal="center"/>
    </xf>
    <xf numFmtId="1" fontId="7" fillId="11" borderId="16" xfId="0" applyNumberFormat="1" applyFont="1" applyFill="1" applyBorder="1" applyAlignment="1">
      <alignment horizontal="center"/>
    </xf>
    <xf numFmtId="10" fontId="7" fillId="11" borderId="16" xfId="0" applyNumberFormat="1" applyFont="1" applyFill="1" applyBorder="1" applyAlignment="1">
      <alignment horizontal="center"/>
    </xf>
    <xf numFmtId="10" fontId="7" fillId="11" borderId="16" xfId="4" applyNumberFormat="1" applyFont="1" applyFill="1" applyBorder="1"/>
    <xf numFmtId="169" fontId="7" fillId="11" borderId="16" xfId="0" applyNumberFormat="1" applyFont="1" applyFill="1" applyBorder="1"/>
    <xf numFmtId="169" fontId="7" fillId="11" borderId="15" xfId="0" applyNumberFormat="1" applyFont="1" applyFill="1" applyBorder="1"/>
    <xf numFmtId="1" fontId="7" fillId="11" borderId="27" xfId="0" applyNumberFormat="1" applyFont="1" applyFill="1" applyBorder="1" applyAlignment="1">
      <alignment horizontal="center"/>
    </xf>
    <xf numFmtId="0" fontId="0" fillId="10" borderId="33" xfId="0" applyFill="1" applyBorder="1"/>
    <xf numFmtId="0" fontId="0" fillId="10" borderId="0" xfId="0" applyFill="1" applyBorder="1"/>
    <xf numFmtId="0" fontId="0" fillId="10" borderId="36" xfId="0" applyFill="1" applyBorder="1"/>
    <xf numFmtId="0" fontId="0" fillId="11" borderId="0" xfId="0" applyFill="1" applyBorder="1"/>
    <xf numFmtId="0" fontId="0" fillId="11" borderId="2" xfId="0" applyFill="1" applyBorder="1"/>
    <xf numFmtId="0" fontId="0" fillId="7" borderId="35" xfId="0" applyFill="1" applyBorder="1"/>
    <xf numFmtId="0" fontId="0" fillId="7" borderId="16" xfId="0" applyFill="1" applyBorder="1"/>
    <xf numFmtId="0" fontId="0" fillId="3" borderId="35" xfId="0" applyFill="1" applyBorder="1"/>
    <xf numFmtId="0" fontId="0" fillId="3" borderId="16" xfId="0" applyFill="1" applyBorder="1"/>
    <xf numFmtId="0" fontId="0" fillId="10" borderId="35" xfId="0" applyFill="1" applyBorder="1"/>
    <xf numFmtId="0" fontId="0" fillId="10" borderId="16" xfId="0" applyFill="1" applyBorder="1"/>
    <xf numFmtId="0" fontId="0" fillId="10" borderId="37" xfId="0" applyFill="1" applyBorder="1"/>
    <xf numFmtId="0" fontId="0" fillId="11" borderId="16" xfId="0" applyFill="1" applyBorder="1"/>
    <xf numFmtId="0" fontId="0" fillId="11" borderId="27" xfId="0" applyFill="1" applyBorder="1"/>
    <xf numFmtId="0" fontId="17" fillId="0" borderId="17" xfId="0" applyFont="1" applyBorder="1"/>
    <xf numFmtId="0" fontId="7" fillId="0" borderId="17" xfId="0" applyFont="1" applyBorder="1"/>
    <xf numFmtId="0" fontId="7" fillId="0" borderId="25" xfId="0" applyFont="1" applyBorder="1"/>
    <xf numFmtId="0" fontId="13" fillId="10" borderId="0" xfId="0" applyFont="1" applyFill="1" applyBorder="1" applyAlignment="1">
      <alignment horizontal="center"/>
    </xf>
    <xf numFmtId="0" fontId="7" fillId="10" borderId="0" xfId="0" applyFont="1" applyFill="1" applyBorder="1"/>
    <xf numFmtId="0" fontId="7" fillId="10" borderId="23" xfId="0" applyFont="1" applyFill="1" applyBorder="1"/>
    <xf numFmtId="0" fontId="7" fillId="10" borderId="36" xfId="0" applyFont="1" applyFill="1" applyBorder="1"/>
    <xf numFmtId="0" fontId="7" fillId="10" borderId="33" xfId="0" applyFont="1" applyFill="1" applyBorder="1"/>
    <xf numFmtId="0" fontId="7" fillId="10" borderId="35" xfId="0" applyFont="1" applyFill="1" applyBorder="1"/>
    <xf numFmtId="0" fontId="7" fillId="10" borderId="16" xfId="0" applyFont="1" applyFill="1" applyBorder="1"/>
    <xf numFmtId="0" fontId="7" fillId="10" borderId="37" xfId="0" applyFont="1" applyFill="1" applyBorder="1"/>
    <xf numFmtId="0" fontId="7" fillId="10" borderId="17" xfId="0" applyFont="1" applyFill="1" applyBorder="1"/>
    <xf numFmtId="0" fontId="7" fillId="10" borderId="38" xfId="0" applyFont="1" applyFill="1" applyBorder="1" applyAlignment="1">
      <alignment vertical="center"/>
    </xf>
    <xf numFmtId="169" fontId="7" fillId="10" borderId="17" xfId="0" applyNumberFormat="1" applyFont="1" applyFill="1" applyBorder="1" applyAlignment="1">
      <alignment horizontal="center"/>
    </xf>
    <xf numFmtId="1" fontId="7" fillId="10" borderId="17" xfId="0" applyNumberFormat="1" applyFont="1" applyFill="1" applyBorder="1" applyAlignment="1">
      <alignment horizontal="center"/>
    </xf>
    <xf numFmtId="169" fontId="7" fillId="10" borderId="11" xfId="0" applyNumberFormat="1" applyFont="1" applyFill="1" applyBorder="1" applyAlignment="1">
      <alignment horizontal="center"/>
    </xf>
    <xf numFmtId="169" fontId="7" fillId="10" borderId="42" xfId="0" applyNumberFormat="1" applyFont="1" applyFill="1" applyBorder="1" applyAlignment="1">
      <alignment horizontal="center"/>
    </xf>
    <xf numFmtId="0" fontId="7" fillId="10" borderId="33" xfId="0" quotePrefix="1" applyFont="1" applyFill="1" applyBorder="1" applyAlignment="1">
      <alignment horizontal="left" indent="2"/>
    </xf>
    <xf numFmtId="10" fontId="7" fillId="10" borderId="0" xfId="0" applyNumberFormat="1" applyFont="1" applyFill="1" applyBorder="1" applyAlignment="1">
      <alignment horizontal="center"/>
    </xf>
    <xf numFmtId="10" fontId="7" fillId="10" borderId="0" xfId="4" applyNumberFormat="1" applyFont="1" applyFill="1" applyBorder="1"/>
    <xf numFmtId="169" fontId="7" fillId="10" borderId="0" xfId="0" applyNumberFormat="1" applyFont="1" applyFill="1" applyBorder="1"/>
    <xf numFmtId="169" fontId="7" fillId="10" borderId="14" xfId="0" applyNumberFormat="1" applyFont="1" applyFill="1" applyBorder="1"/>
    <xf numFmtId="1" fontId="7" fillId="10" borderId="0" xfId="0" applyNumberFormat="1" applyFont="1" applyFill="1" applyBorder="1" applyAlignment="1">
      <alignment horizontal="center"/>
    </xf>
    <xf numFmtId="1" fontId="7" fillId="10" borderId="36" xfId="0" applyNumberFormat="1" applyFont="1" applyFill="1" applyBorder="1" applyAlignment="1">
      <alignment horizontal="center"/>
    </xf>
    <xf numFmtId="169" fontId="9" fillId="10" borderId="0" xfId="0" applyNumberFormat="1" applyFont="1" applyFill="1" applyBorder="1" applyAlignment="1">
      <alignment horizontal="left" indent="2"/>
    </xf>
    <xf numFmtId="0" fontId="7" fillId="10" borderId="14" xfId="0" applyFont="1" applyFill="1" applyBorder="1"/>
    <xf numFmtId="0" fontId="7" fillId="10" borderId="36" xfId="0" applyFont="1" applyFill="1" applyBorder="1" applyAlignment="1">
      <alignment horizontal="center"/>
    </xf>
    <xf numFmtId="0" fontId="7" fillId="10" borderId="33" xfId="0" applyFont="1" applyFill="1" applyBorder="1" applyAlignment="1">
      <alignment horizontal="left"/>
    </xf>
    <xf numFmtId="2" fontId="7" fillId="10" borderId="0" xfId="0" applyNumberFormat="1" applyFont="1" applyFill="1" applyBorder="1" applyAlignment="1">
      <alignment horizontal="right"/>
    </xf>
    <xf numFmtId="169" fontId="7" fillId="10" borderId="0" xfId="0" applyNumberFormat="1" applyFont="1" applyFill="1" applyBorder="1" applyAlignment="1">
      <alignment horizontal="left"/>
    </xf>
    <xf numFmtId="169" fontId="7" fillId="10" borderId="14" xfId="0" applyNumberFormat="1" applyFont="1" applyFill="1" applyBorder="1" applyAlignment="1">
      <alignment horizontal="left"/>
    </xf>
    <xf numFmtId="169" fontId="7" fillId="10" borderId="62" xfId="0" applyNumberFormat="1" applyFont="1" applyFill="1" applyBorder="1" applyAlignment="1">
      <alignment horizontal="center"/>
    </xf>
    <xf numFmtId="1" fontId="7" fillId="10" borderId="62" xfId="0" applyNumberFormat="1" applyFont="1" applyFill="1" applyBorder="1" applyAlignment="1" applyProtection="1">
      <alignment horizontal="center"/>
    </xf>
    <xf numFmtId="0" fontId="21" fillId="10" borderId="33" xfId="0" applyFont="1" applyFill="1" applyBorder="1" applyAlignment="1">
      <alignment horizontal="left" indent="2"/>
    </xf>
    <xf numFmtId="0" fontId="7" fillId="10" borderId="35" xfId="0" quotePrefix="1" applyFont="1" applyFill="1" applyBorder="1" applyAlignment="1">
      <alignment horizontal="left" indent="2"/>
    </xf>
    <xf numFmtId="10" fontId="7" fillId="10" borderId="16" xfId="0" applyNumberFormat="1" applyFont="1" applyFill="1" applyBorder="1" applyAlignment="1">
      <alignment horizontal="center"/>
    </xf>
    <xf numFmtId="0" fontId="7" fillId="10" borderId="16" xfId="0" applyFont="1" applyFill="1" applyBorder="1" applyAlignment="1">
      <alignment horizontal="left"/>
    </xf>
    <xf numFmtId="169" fontId="7" fillId="10" borderId="16" xfId="0" applyNumberFormat="1" applyFont="1" applyFill="1" applyBorder="1"/>
    <xf numFmtId="169" fontId="7" fillId="10" borderId="15" xfId="0" applyNumberFormat="1" applyFont="1" applyFill="1" applyBorder="1"/>
    <xf numFmtId="1" fontId="7" fillId="10" borderId="16" xfId="0" applyNumberFormat="1" applyFont="1" applyFill="1" applyBorder="1" applyAlignment="1">
      <alignment horizontal="center"/>
    </xf>
    <xf numFmtId="1" fontId="7" fillId="10" borderId="37" xfId="0" applyNumberFormat="1" applyFont="1" applyFill="1" applyBorder="1" applyAlignment="1">
      <alignment horizontal="center"/>
    </xf>
    <xf numFmtId="0" fontId="7" fillId="10" borderId="33" xfId="0" applyFont="1" applyFill="1" applyBorder="1" applyAlignment="1">
      <alignment horizontal="left" indent="1"/>
    </xf>
    <xf numFmtId="0" fontId="7" fillId="10" borderId="33" xfId="0" applyFont="1" applyFill="1" applyBorder="1" applyAlignment="1">
      <alignment horizontal="left" wrapText="1" indent="1"/>
    </xf>
    <xf numFmtId="0" fontId="7" fillId="11" borderId="23" xfId="0" applyFont="1" applyFill="1" applyBorder="1"/>
    <xf numFmtId="0" fontId="7" fillId="11" borderId="35" xfId="0" applyFont="1" applyFill="1" applyBorder="1"/>
    <xf numFmtId="0" fontId="7" fillId="11" borderId="0" xfId="0" applyFont="1" applyFill="1" applyBorder="1" applyAlignment="1">
      <alignment horizontal="left" indent="1"/>
    </xf>
    <xf numFmtId="0" fontId="7" fillId="11" borderId="16" xfId="0" applyFont="1" applyFill="1" applyBorder="1" applyAlignment="1">
      <alignment horizontal="center"/>
    </xf>
    <xf numFmtId="0" fontId="7" fillId="11" borderId="15" xfId="0" applyFont="1" applyFill="1" applyBorder="1"/>
    <xf numFmtId="0" fontId="7" fillId="11" borderId="27" xfId="0" applyFont="1" applyFill="1" applyBorder="1" applyAlignment="1">
      <alignment horizontal="center"/>
    </xf>
    <xf numFmtId="0" fontId="7" fillId="11" borderId="18" xfId="0" applyFont="1" applyFill="1" applyBorder="1"/>
    <xf numFmtId="0" fontId="7" fillId="11" borderId="19" xfId="0" applyFont="1" applyFill="1" applyBorder="1"/>
    <xf numFmtId="0" fontId="7" fillId="11" borderId="0" xfId="0" applyFont="1" applyFill="1" applyBorder="1" applyAlignment="1" applyProtection="1">
      <alignment horizontal="center"/>
    </xf>
    <xf numFmtId="0" fontId="7" fillId="11" borderId="2" xfId="0" applyFont="1" applyFill="1" applyBorder="1" applyAlignment="1" applyProtection="1">
      <alignment horizontal="center"/>
    </xf>
    <xf numFmtId="0" fontId="7" fillId="11" borderId="18" xfId="0" applyFont="1" applyFill="1" applyBorder="1" applyAlignment="1">
      <alignment horizontal="center"/>
    </xf>
    <xf numFmtId="0" fontId="10" fillId="11" borderId="18" xfId="0" applyFont="1" applyFill="1" applyBorder="1" applyAlignment="1"/>
    <xf numFmtId="0" fontId="30" fillId="11" borderId="0" xfId="0" applyFont="1" applyFill="1" applyBorder="1" applyAlignment="1">
      <alignment horizontal="left" wrapText="1"/>
    </xf>
    <xf numFmtId="0" fontId="7" fillId="11" borderId="0" xfId="0" applyFont="1" applyFill="1" applyProtection="1"/>
    <xf numFmtId="0" fontId="7" fillId="10" borderId="18" xfId="0" applyFont="1" applyFill="1" applyBorder="1"/>
    <xf numFmtId="0" fontId="7" fillId="10" borderId="33" xfId="0" applyFont="1" applyFill="1" applyBorder="1" applyAlignment="1">
      <alignment horizontal="center"/>
    </xf>
    <xf numFmtId="0" fontId="7" fillId="10" borderId="0" xfId="0" applyFont="1" applyFill="1" applyBorder="1" applyAlignment="1">
      <alignment horizontal="left" indent="1"/>
    </xf>
    <xf numFmtId="0" fontId="7" fillId="10" borderId="35" xfId="0" applyFont="1" applyFill="1" applyBorder="1" applyAlignment="1">
      <alignment horizontal="center"/>
    </xf>
    <xf numFmtId="0" fontId="7" fillId="10" borderId="16" xfId="0" applyFont="1" applyFill="1" applyBorder="1" applyAlignment="1">
      <alignment horizontal="center"/>
    </xf>
    <xf numFmtId="0" fontId="7" fillId="10" borderId="15" xfId="0" applyFont="1" applyFill="1" applyBorder="1"/>
    <xf numFmtId="0" fontId="7" fillId="10" borderId="37" xfId="0" applyFont="1" applyFill="1" applyBorder="1" applyAlignment="1">
      <alignment horizontal="center"/>
    </xf>
    <xf numFmtId="0" fontId="7" fillId="10" borderId="41" xfId="0" applyFont="1" applyFill="1" applyBorder="1"/>
    <xf numFmtId="0" fontId="7" fillId="10" borderId="0" xfId="0" applyFont="1" applyFill="1" applyBorder="1" applyAlignment="1" applyProtection="1">
      <alignment horizontal="left"/>
    </xf>
    <xf numFmtId="0" fontId="7" fillId="10" borderId="0" xfId="0" applyFont="1" applyFill="1" applyBorder="1" applyAlignment="1" applyProtection="1">
      <alignment horizontal="center"/>
    </xf>
    <xf numFmtId="0" fontId="7" fillId="10" borderId="36" xfId="0" applyFont="1" applyFill="1" applyBorder="1" applyAlignment="1" applyProtection="1">
      <alignment horizontal="center"/>
    </xf>
    <xf numFmtId="0" fontId="7" fillId="10" borderId="18" xfId="0" applyFont="1" applyFill="1" applyBorder="1" applyAlignment="1">
      <alignment horizontal="center"/>
    </xf>
    <xf numFmtId="0" fontId="10" fillId="10" borderId="46" xfId="0" applyFont="1" applyFill="1" applyBorder="1" applyAlignment="1"/>
    <xf numFmtId="0" fontId="10" fillId="10" borderId="18" xfId="0" applyFont="1" applyFill="1" applyBorder="1" applyAlignment="1"/>
    <xf numFmtId="9" fontId="7" fillId="10" borderId="33" xfId="4" applyFont="1" applyFill="1" applyBorder="1" applyAlignment="1">
      <alignment horizontal="center"/>
    </xf>
    <xf numFmtId="0" fontId="30" fillId="10" borderId="0" xfId="0" applyFont="1" applyFill="1" applyBorder="1" applyAlignment="1">
      <alignment horizontal="left" wrapText="1"/>
    </xf>
    <xf numFmtId="0" fontId="7" fillId="10" borderId="21" xfId="0" applyFont="1" applyFill="1" applyBorder="1"/>
    <xf numFmtId="0" fontId="7" fillId="10" borderId="0" xfId="0" applyFont="1" applyFill="1" applyProtection="1"/>
    <xf numFmtId="0" fontId="7" fillId="10" borderId="0" xfId="0" applyFont="1" applyFill="1" applyBorder="1" applyAlignment="1" applyProtection="1"/>
    <xf numFmtId="0" fontId="7" fillId="10" borderId="36" xfId="0" applyFont="1" applyFill="1" applyBorder="1" applyAlignment="1" applyProtection="1"/>
    <xf numFmtId="0" fontId="7" fillId="10" borderId="4" xfId="0" applyFont="1" applyFill="1" applyBorder="1"/>
    <xf numFmtId="0" fontId="7" fillId="0" borderId="0" xfId="0" applyFont="1" applyFill="1" applyBorder="1" applyAlignment="1">
      <alignment vertical="center"/>
    </xf>
    <xf numFmtId="0" fontId="7" fillId="0" borderId="1" xfId="0" applyFont="1" applyFill="1" applyBorder="1"/>
    <xf numFmtId="0" fontId="7" fillId="0" borderId="26" xfId="0" applyFont="1" applyBorder="1"/>
    <xf numFmtId="0" fontId="7" fillId="0" borderId="28" xfId="0" applyFont="1" applyBorder="1"/>
    <xf numFmtId="0" fontId="7" fillId="0" borderId="3" xfId="0" applyFont="1" applyFill="1" applyBorder="1" applyAlignment="1">
      <alignment horizontal="right" vertical="center"/>
    </xf>
    <xf numFmtId="9" fontId="7" fillId="10" borderId="23" xfId="4" applyFont="1" applyFill="1" applyBorder="1" applyAlignment="1">
      <alignment horizontal="center"/>
    </xf>
    <xf numFmtId="0" fontId="0" fillId="10" borderId="0" xfId="0" applyFill="1"/>
    <xf numFmtId="0" fontId="7" fillId="10" borderId="16" xfId="0" applyFont="1" applyFill="1" applyBorder="1" applyAlignment="1" applyProtection="1">
      <alignment horizontal="center"/>
    </xf>
    <xf numFmtId="0" fontId="0" fillId="11" borderId="0" xfId="0" applyFill="1"/>
    <xf numFmtId="0" fontId="7" fillId="11" borderId="15" xfId="0" applyFont="1" applyFill="1" applyBorder="1" applyAlignment="1">
      <alignment horizontal="center"/>
    </xf>
    <xf numFmtId="0" fontId="0" fillId="11" borderId="18" xfId="0" applyFill="1" applyBorder="1"/>
    <xf numFmtId="0" fontId="7" fillId="11" borderId="16" xfId="0" applyFont="1" applyFill="1" applyBorder="1" applyAlignment="1" applyProtection="1">
      <alignment horizontal="center"/>
    </xf>
    <xf numFmtId="0" fontId="0" fillId="10" borderId="46" xfId="0" applyFill="1" applyBorder="1"/>
    <xf numFmtId="0" fontId="0" fillId="10" borderId="23" xfId="0" applyFill="1" applyBorder="1"/>
    <xf numFmtId="169" fontId="9" fillId="10" borderId="0" xfId="0" applyNumberFormat="1" applyFont="1" applyFill="1" applyBorder="1" applyAlignment="1">
      <alignment horizontal="left"/>
    </xf>
    <xf numFmtId="10" fontId="7" fillId="10" borderId="14" xfId="4" applyNumberFormat="1" applyFont="1" applyFill="1" applyBorder="1"/>
    <xf numFmtId="164" fontId="7" fillId="10" borderId="0" xfId="1" applyNumberFormat="1" applyFont="1" applyFill="1" applyBorder="1" applyAlignment="1">
      <alignment horizontal="right"/>
    </xf>
    <xf numFmtId="0" fontId="7" fillId="10" borderId="14" xfId="0" applyFont="1" applyFill="1" applyBorder="1" applyAlignment="1">
      <alignment horizontal="left"/>
    </xf>
    <xf numFmtId="0" fontId="0" fillId="10" borderId="14" xfId="0" applyFill="1" applyBorder="1"/>
    <xf numFmtId="0" fontId="0" fillId="10" borderId="18" xfId="0" applyFill="1" applyBorder="1"/>
    <xf numFmtId="0" fontId="7" fillId="10" borderId="0" xfId="4" applyNumberFormat="1" applyFont="1" applyFill="1" applyBorder="1" applyAlignment="1" applyProtection="1">
      <alignment horizontal="center"/>
    </xf>
    <xf numFmtId="164" fontId="0" fillId="10" borderId="0" xfId="0" applyNumberFormat="1" applyFill="1" applyBorder="1"/>
    <xf numFmtId="0" fontId="0" fillId="11" borderId="33" xfId="0" applyFill="1" applyBorder="1"/>
    <xf numFmtId="169" fontId="9" fillId="11" borderId="0" xfId="0" applyNumberFormat="1" applyFont="1" applyFill="1" applyBorder="1" applyAlignment="1">
      <alignment horizontal="left"/>
    </xf>
    <xf numFmtId="10" fontId="7" fillId="11" borderId="14" xfId="4" applyNumberFormat="1" applyFont="1" applyFill="1" applyBorder="1"/>
    <xf numFmtId="0" fontId="7" fillId="11" borderId="14" xfId="0" applyFont="1" applyFill="1" applyBorder="1" applyAlignment="1">
      <alignment horizontal="left"/>
    </xf>
    <xf numFmtId="0" fontId="0" fillId="11" borderId="14" xfId="0" applyFill="1" applyBorder="1"/>
    <xf numFmtId="0" fontId="0" fillId="11" borderId="46" xfId="0" applyFill="1" applyBorder="1"/>
    <xf numFmtId="0" fontId="0" fillId="11" borderId="23" xfId="0" applyFill="1" applyBorder="1"/>
    <xf numFmtId="0" fontId="0" fillId="11" borderId="19" xfId="0" applyFill="1" applyBorder="1"/>
    <xf numFmtId="0" fontId="7" fillId="11" borderId="0" xfId="4" applyNumberFormat="1" applyFont="1" applyFill="1" applyBorder="1" applyAlignment="1" applyProtection="1">
      <alignment horizontal="center"/>
    </xf>
    <xf numFmtId="164" fontId="0" fillId="11" borderId="0" xfId="0" applyNumberFormat="1" applyFill="1" applyBorder="1"/>
    <xf numFmtId="0" fontId="7" fillId="10" borderId="35" xfId="0" applyFont="1" applyFill="1" applyBorder="1" applyAlignment="1">
      <alignment horizontal="left"/>
    </xf>
    <xf numFmtId="0" fontId="8" fillId="6" borderId="1" xfId="0" applyFont="1" applyFill="1" applyBorder="1" applyAlignment="1">
      <alignment vertical="center"/>
    </xf>
    <xf numFmtId="0" fontId="8" fillId="6" borderId="45" xfId="0" applyFont="1" applyFill="1" applyBorder="1" applyAlignment="1">
      <alignment horizontal="left" vertical="center"/>
    </xf>
    <xf numFmtId="0" fontId="9" fillId="6" borderId="1" xfId="0" applyFont="1" applyFill="1" applyBorder="1"/>
    <xf numFmtId="0" fontId="9" fillId="6" borderId="45" xfId="0" applyFont="1" applyFill="1" applyBorder="1"/>
    <xf numFmtId="1" fontId="0" fillId="3" borderId="0" xfId="0" applyNumberFormat="1" applyFill="1" applyBorder="1"/>
    <xf numFmtId="1" fontId="0" fillId="11" borderId="0" xfId="0" applyNumberFormat="1" applyFill="1" applyBorder="1"/>
    <xf numFmtId="2" fontId="0" fillId="7" borderId="0" xfId="0" applyNumberFormat="1" applyFill="1" applyBorder="1"/>
    <xf numFmtId="2" fontId="0" fillId="11" borderId="0" xfId="0" applyNumberFormat="1" applyFill="1" applyBorder="1"/>
    <xf numFmtId="2" fontId="0" fillId="3" borderId="0" xfId="0" applyNumberFormat="1" applyFill="1" applyBorder="1"/>
    <xf numFmtId="2" fontId="0" fillId="10" borderId="0" xfId="0" applyNumberFormat="1" applyFill="1" applyBorder="1"/>
    <xf numFmtId="0" fontId="9" fillId="7" borderId="0" xfId="0" applyFont="1" applyFill="1" applyBorder="1" applyAlignment="1">
      <alignment vertical="center"/>
    </xf>
    <xf numFmtId="0" fontId="9" fillId="3" borderId="0" xfId="0" applyFont="1" applyFill="1" applyBorder="1" applyAlignment="1">
      <alignment vertical="center"/>
    </xf>
    <xf numFmtId="0" fontId="9" fillId="10" borderId="0" xfId="0" applyFont="1" applyFill="1" applyBorder="1" applyAlignment="1">
      <alignment vertical="center"/>
    </xf>
    <xf numFmtId="0" fontId="9" fillId="11" borderId="0" xfId="0" applyFont="1" applyFill="1" applyBorder="1" applyAlignment="1">
      <alignment vertical="center"/>
    </xf>
    <xf numFmtId="0" fontId="8" fillId="6" borderId="1" xfId="0" applyFont="1" applyFill="1" applyBorder="1" applyAlignment="1">
      <alignment horizontal="left" vertical="center" wrapText="1"/>
    </xf>
    <xf numFmtId="0" fontId="7" fillId="6" borderId="1" xfId="0" applyFont="1" applyFill="1" applyBorder="1" applyAlignment="1">
      <alignment horizontal="left" vertical="center" wrapText="1" indent="2"/>
    </xf>
    <xf numFmtId="0" fontId="0" fillId="10" borderId="41" xfId="0" applyFill="1" applyBorder="1"/>
    <xf numFmtId="0" fontId="7" fillId="6" borderId="28" xfId="0" applyFont="1" applyFill="1" applyBorder="1" applyAlignment="1">
      <alignment horizontal="left" vertical="center" wrapText="1" indent="2"/>
    </xf>
    <xf numFmtId="1" fontId="0" fillId="3" borderId="18" xfId="0" applyNumberFormat="1" applyFill="1" applyBorder="1"/>
    <xf numFmtId="1" fontId="0" fillId="11" borderId="18" xfId="0" applyNumberFormat="1" applyFill="1" applyBorder="1"/>
    <xf numFmtId="0" fontId="7" fillId="6" borderId="26" xfId="0" applyFont="1" applyFill="1" applyBorder="1" applyAlignment="1">
      <alignment horizontal="left" vertical="center" wrapText="1" indent="2"/>
    </xf>
    <xf numFmtId="1" fontId="0" fillId="3" borderId="16" xfId="0" applyNumberFormat="1" applyFill="1" applyBorder="1"/>
    <xf numFmtId="1" fontId="0" fillId="11" borderId="16" xfId="0" applyNumberFormat="1" applyFill="1" applyBorder="1"/>
    <xf numFmtId="2" fontId="7" fillId="7" borderId="62" xfId="0" applyNumberFormat="1" applyFont="1" applyFill="1" applyBorder="1" applyAlignment="1">
      <alignment horizontal="center"/>
    </xf>
    <xf numFmtId="2" fontId="7" fillId="10" borderId="0" xfId="0" applyNumberFormat="1" applyFont="1" applyFill="1" applyBorder="1" applyAlignment="1">
      <alignment horizontal="center"/>
    </xf>
    <xf numFmtId="2" fontId="7" fillId="7" borderId="0" xfId="0" applyNumberFormat="1" applyFont="1" applyFill="1" applyBorder="1" applyAlignment="1">
      <alignment horizontal="center"/>
    </xf>
    <xf numFmtId="0" fontId="8" fillId="6" borderId="28" xfId="0" applyFont="1" applyFill="1" applyBorder="1" applyAlignment="1">
      <alignment horizontal="center" vertical="center" wrapText="1"/>
    </xf>
    <xf numFmtId="0" fontId="8" fillId="6" borderId="26" xfId="0" applyFont="1" applyFill="1" applyBorder="1" applyAlignment="1">
      <alignment horizontal="center" vertical="center" wrapText="1"/>
    </xf>
    <xf numFmtId="0" fontId="7" fillId="3" borderId="0" xfId="0" applyFont="1" applyFill="1" applyBorder="1" applyAlignment="1" applyProtection="1">
      <alignment horizontal="left"/>
    </xf>
    <xf numFmtId="2" fontId="7" fillId="0" borderId="23" xfId="0" applyNumberFormat="1" applyFont="1" applyFill="1" applyBorder="1" applyAlignment="1" applyProtection="1">
      <alignment horizontal="center"/>
      <protection locked="0"/>
    </xf>
    <xf numFmtId="0" fontId="0" fillId="3" borderId="27" xfId="0" applyFill="1" applyBorder="1"/>
    <xf numFmtId="0" fontId="7" fillId="11" borderId="62" xfId="0" applyFont="1" applyFill="1" applyBorder="1" applyAlignment="1" applyProtection="1">
      <alignment horizontal="center"/>
    </xf>
    <xf numFmtId="0" fontId="7" fillId="3" borderId="0" xfId="0" applyFont="1" applyFill="1" applyBorder="1" applyAlignment="1" applyProtection="1">
      <alignment horizontal="left" vertical="center"/>
    </xf>
    <xf numFmtId="164" fontId="7" fillId="3" borderId="0" xfId="1" applyNumberFormat="1" applyFont="1" applyFill="1" applyBorder="1" applyAlignment="1" applyProtection="1">
      <alignment horizontal="center"/>
    </xf>
    <xf numFmtId="164" fontId="7" fillId="3" borderId="14" xfId="1" applyNumberFormat="1" applyFont="1" applyFill="1" applyBorder="1"/>
    <xf numFmtId="164" fontId="7" fillId="3" borderId="14" xfId="1" applyNumberFormat="1" applyFont="1" applyFill="1" applyBorder="1" applyAlignment="1" applyProtection="1">
      <alignment horizontal="center"/>
    </xf>
    <xf numFmtId="164" fontId="13" fillId="3" borderId="15" xfId="1" applyNumberFormat="1" applyFont="1" applyFill="1" applyBorder="1"/>
    <xf numFmtId="0" fontId="12" fillId="6" borderId="18" xfId="0" applyFont="1" applyFill="1" applyBorder="1" applyAlignment="1">
      <alignment horizontal="left" vertical="center"/>
    </xf>
    <xf numFmtId="0" fontId="7" fillId="3" borderId="33" xfId="0" applyFont="1" applyFill="1" applyBorder="1" applyAlignment="1">
      <alignment horizontal="left" vertical="center"/>
    </xf>
    <xf numFmtId="0" fontId="7" fillId="3" borderId="33" xfId="0" applyFont="1" applyFill="1" applyBorder="1" applyAlignment="1">
      <alignment horizontal="left" vertical="center" wrapText="1"/>
    </xf>
    <xf numFmtId="0" fontId="17" fillId="3" borderId="33" xfId="0" applyFont="1" applyFill="1" applyBorder="1" applyAlignment="1">
      <alignment horizontal="left" vertical="center"/>
    </xf>
    <xf numFmtId="0" fontId="7" fillId="3" borderId="33" xfId="0" applyFont="1" applyFill="1" applyBorder="1" applyAlignment="1" applyProtection="1">
      <alignment horizontal="left" vertical="center"/>
    </xf>
    <xf numFmtId="0" fontId="13" fillId="3" borderId="35"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13" fillId="3" borderId="33" xfId="0" applyFont="1" applyFill="1" applyBorder="1" applyAlignment="1">
      <alignment horizontal="left" vertical="center" wrapText="1"/>
    </xf>
    <xf numFmtId="164" fontId="13" fillId="3" borderId="14" xfId="1" applyNumberFormat="1" applyFont="1" applyFill="1" applyBorder="1"/>
    <xf numFmtId="0" fontId="7" fillId="6" borderId="0" xfId="0" applyFont="1" applyFill="1" applyBorder="1" applyAlignment="1">
      <alignment horizontal="left"/>
    </xf>
    <xf numFmtId="0" fontId="7" fillId="7" borderId="33" xfId="0" applyFont="1" applyFill="1" applyBorder="1" applyAlignment="1">
      <alignment horizontal="left" vertical="center"/>
    </xf>
    <xf numFmtId="0" fontId="17" fillId="7" borderId="0" xfId="0" applyFont="1" applyFill="1" applyBorder="1" applyAlignment="1">
      <alignment horizontal="left" vertical="center"/>
    </xf>
    <xf numFmtId="0" fontId="7" fillId="7" borderId="0" xfId="0" applyFont="1" applyFill="1" applyBorder="1" applyAlignment="1">
      <alignment horizontal="left" vertical="center"/>
    </xf>
    <xf numFmtId="0" fontId="7" fillId="7" borderId="14" xfId="0" applyFont="1" applyFill="1" applyBorder="1" applyAlignment="1">
      <alignment horizontal="left" vertical="center"/>
    </xf>
    <xf numFmtId="0" fontId="7" fillId="7" borderId="36" xfId="0" applyFont="1" applyFill="1" applyBorder="1" applyAlignment="1">
      <alignment horizontal="left" vertical="center"/>
    </xf>
    <xf numFmtId="0" fontId="13" fillId="7" borderId="33" xfId="0" applyFont="1" applyFill="1" applyBorder="1" applyAlignment="1">
      <alignment horizontal="left" vertical="center" wrapText="1"/>
    </xf>
    <xf numFmtId="9" fontId="13" fillId="7" borderId="0" xfId="0" applyNumberFormat="1" applyFont="1" applyFill="1" applyBorder="1" applyAlignment="1">
      <alignment horizontal="center"/>
    </xf>
    <xf numFmtId="0" fontId="13" fillId="7" borderId="0" xfId="0" applyFont="1" applyFill="1" applyBorder="1" applyAlignment="1">
      <alignment horizontal="left" vertical="center"/>
    </xf>
    <xf numFmtId="0" fontId="13" fillId="7" borderId="0" xfId="0" applyFont="1" applyFill="1" applyBorder="1" applyAlignment="1">
      <alignment horizontal="center" vertical="center"/>
    </xf>
    <xf numFmtId="164" fontId="13" fillId="7" borderId="0" xfId="1" applyNumberFormat="1" applyFont="1" applyFill="1" applyBorder="1"/>
    <xf numFmtId="164" fontId="13" fillId="7" borderId="14" xfId="1" applyNumberFormat="1" applyFont="1" applyFill="1" applyBorder="1"/>
    <xf numFmtId="164" fontId="13" fillId="7" borderId="36" xfId="1" applyNumberFormat="1" applyFont="1" applyFill="1" applyBorder="1"/>
    <xf numFmtId="0" fontId="7" fillId="7" borderId="33" xfId="0" applyFont="1" applyFill="1" applyBorder="1" applyAlignment="1">
      <alignment horizontal="left" vertical="center" wrapText="1"/>
    </xf>
    <xf numFmtId="0" fontId="7" fillId="7" borderId="0"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36" xfId="0" applyFont="1" applyFill="1" applyBorder="1" applyAlignment="1">
      <alignment horizontal="left" vertical="center" wrapText="1"/>
    </xf>
    <xf numFmtId="0" fontId="17" fillId="7" borderId="33" xfId="0" applyFont="1" applyFill="1" applyBorder="1" applyAlignment="1">
      <alignment horizontal="left" vertical="center"/>
    </xf>
    <xf numFmtId="0" fontId="17" fillId="7" borderId="14" xfId="0" applyFont="1" applyFill="1" applyBorder="1" applyAlignment="1">
      <alignment horizontal="left" vertical="center"/>
    </xf>
    <xf numFmtId="0" fontId="17" fillId="7" borderId="36" xfId="0" applyFont="1" applyFill="1" applyBorder="1" applyAlignment="1">
      <alignment horizontal="left" vertical="center"/>
    </xf>
    <xf numFmtId="0" fontId="13" fillId="7" borderId="35" xfId="0" applyFont="1" applyFill="1" applyBorder="1" applyAlignment="1">
      <alignment horizontal="left" vertical="center" wrapText="1"/>
    </xf>
    <xf numFmtId="9" fontId="13" fillId="7" borderId="16" xfId="0" applyNumberFormat="1" applyFont="1" applyFill="1" applyBorder="1" applyAlignment="1">
      <alignment horizontal="center"/>
    </xf>
    <xf numFmtId="0" fontId="13" fillId="7" borderId="16" xfId="0" applyFont="1" applyFill="1" applyBorder="1" applyAlignment="1">
      <alignment horizontal="left" vertical="center"/>
    </xf>
    <xf numFmtId="0" fontId="13" fillId="7" borderId="16" xfId="0" applyFont="1" applyFill="1" applyBorder="1" applyAlignment="1">
      <alignment horizontal="center" vertical="center"/>
    </xf>
    <xf numFmtId="164" fontId="13" fillId="7" borderId="16" xfId="1" applyNumberFormat="1" applyFont="1" applyFill="1" applyBorder="1"/>
    <xf numFmtId="164" fontId="13" fillId="7" borderId="15" xfId="1" applyNumberFormat="1" applyFont="1" applyFill="1" applyBorder="1"/>
    <xf numFmtId="164" fontId="13" fillId="7" borderId="37" xfId="1" applyNumberFormat="1" applyFont="1" applyFill="1" applyBorder="1"/>
    <xf numFmtId="0" fontId="7" fillId="7" borderId="0" xfId="0" applyFont="1" applyFill="1" applyBorder="1" applyAlignment="1" applyProtection="1">
      <alignment horizontal="left" vertical="center"/>
    </xf>
    <xf numFmtId="0" fontId="7" fillId="7" borderId="14" xfId="0" applyFont="1" applyFill="1" applyBorder="1" applyAlignment="1" applyProtection="1">
      <alignment horizontal="left" vertical="center"/>
    </xf>
    <xf numFmtId="0" fontId="7" fillId="7" borderId="36" xfId="0" applyFont="1" applyFill="1" applyBorder="1" applyAlignment="1" applyProtection="1">
      <alignment horizontal="left" vertical="center"/>
    </xf>
    <xf numFmtId="0" fontId="7" fillId="7" borderId="33" xfId="0" applyFont="1" applyFill="1" applyBorder="1" applyAlignment="1" applyProtection="1">
      <alignment horizontal="left" vertical="center"/>
    </xf>
    <xf numFmtId="164" fontId="7" fillId="7" borderId="0" xfId="1" applyNumberFormat="1" applyFont="1" applyFill="1" applyBorder="1"/>
    <xf numFmtId="164" fontId="7" fillId="7" borderId="14" xfId="1" applyNumberFormat="1" applyFont="1" applyFill="1" applyBorder="1"/>
    <xf numFmtId="164" fontId="7" fillId="7" borderId="36" xfId="1" applyNumberFormat="1" applyFont="1" applyFill="1" applyBorder="1"/>
    <xf numFmtId="164" fontId="7" fillId="7" borderId="0" xfId="1" applyNumberFormat="1" applyFont="1" applyFill="1" applyBorder="1" applyAlignment="1" applyProtection="1">
      <alignment horizontal="center"/>
    </xf>
    <xf numFmtId="164" fontId="7" fillId="7" borderId="14" xfId="1" applyNumberFormat="1" applyFont="1" applyFill="1" applyBorder="1" applyAlignment="1" applyProtection="1">
      <alignment horizontal="center"/>
    </xf>
    <xf numFmtId="164" fontId="7" fillId="7" borderId="36" xfId="1" applyNumberFormat="1" applyFont="1" applyFill="1" applyBorder="1" applyAlignment="1" applyProtection="1">
      <alignment horizontal="center"/>
    </xf>
    <xf numFmtId="0" fontId="13" fillId="7" borderId="0" xfId="0" applyNumberFormat="1" applyFont="1" applyFill="1" applyBorder="1" applyAlignment="1">
      <alignment horizontal="center" vertical="center"/>
    </xf>
    <xf numFmtId="0" fontId="7" fillId="3" borderId="2" xfId="0" applyFont="1" applyFill="1" applyBorder="1" applyAlignment="1">
      <alignment horizontal="left" vertical="center"/>
    </xf>
    <xf numFmtId="164" fontId="13" fillId="3" borderId="2" xfId="1" applyNumberFormat="1" applyFont="1" applyFill="1" applyBorder="1"/>
    <xf numFmtId="0" fontId="7" fillId="3" borderId="2" xfId="0" applyFont="1" applyFill="1" applyBorder="1" applyAlignment="1">
      <alignment horizontal="left" vertical="center" wrapText="1"/>
    </xf>
    <xf numFmtId="0" fontId="17" fillId="3" borderId="2" xfId="0" applyFont="1" applyFill="1" applyBorder="1" applyAlignment="1">
      <alignment horizontal="left" vertical="center"/>
    </xf>
    <xf numFmtId="164" fontId="13" fillId="3" borderId="27" xfId="1" applyNumberFormat="1" applyFont="1" applyFill="1" applyBorder="1"/>
    <xf numFmtId="0" fontId="7" fillId="3" borderId="2" xfId="0" applyFont="1" applyFill="1" applyBorder="1" applyAlignment="1" applyProtection="1">
      <alignment horizontal="left" vertical="center"/>
    </xf>
    <xf numFmtId="164" fontId="7" fillId="3" borderId="2" xfId="1" applyNumberFormat="1" applyFont="1" applyFill="1" applyBorder="1"/>
    <xf numFmtId="164" fontId="7" fillId="3" borderId="2" xfId="1" applyNumberFormat="1" applyFont="1" applyFill="1" applyBorder="1" applyAlignment="1" applyProtection="1">
      <alignment horizontal="center"/>
    </xf>
    <xf numFmtId="0" fontId="7" fillId="10" borderId="33" xfId="0" applyFont="1" applyFill="1" applyBorder="1" applyAlignment="1">
      <alignment horizontal="left" vertical="center"/>
    </xf>
    <xf numFmtId="0" fontId="13" fillId="10" borderId="33" xfId="0" applyFont="1" applyFill="1" applyBorder="1" applyAlignment="1">
      <alignment horizontal="left" vertical="center" wrapText="1"/>
    </xf>
    <xf numFmtId="0" fontId="7" fillId="10" borderId="33" xfId="0" applyFont="1" applyFill="1" applyBorder="1" applyAlignment="1">
      <alignment horizontal="left" vertical="center" wrapText="1"/>
    </xf>
    <xf numFmtId="0" fontId="17" fillId="10" borderId="33" xfId="0" applyFont="1" applyFill="1" applyBorder="1" applyAlignment="1">
      <alignment horizontal="left" vertical="center"/>
    </xf>
    <xf numFmtId="0" fontId="13" fillId="10" borderId="35" xfId="0" applyFont="1" applyFill="1" applyBorder="1" applyAlignment="1">
      <alignment horizontal="left" vertical="center" wrapText="1"/>
    </xf>
    <xf numFmtId="0" fontId="7" fillId="10" borderId="33" xfId="0" applyFont="1" applyFill="1" applyBorder="1" applyAlignment="1" applyProtection="1">
      <alignment horizontal="left" vertical="center"/>
    </xf>
    <xf numFmtId="0" fontId="17" fillId="10" borderId="0" xfId="0" applyFont="1" applyFill="1" applyBorder="1" applyAlignment="1">
      <alignment horizontal="left" vertical="center"/>
    </xf>
    <xf numFmtId="0" fontId="13" fillId="10" borderId="0" xfId="0" applyFont="1" applyFill="1" applyBorder="1" applyAlignment="1">
      <alignment horizontal="left" vertical="center"/>
    </xf>
    <xf numFmtId="0" fontId="7" fillId="10" borderId="0" xfId="0" applyFont="1" applyFill="1" applyBorder="1" applyAlignment="1">
      <alignment horizontal="left" vertical="center"/>
    </xf>
    <xf numFmtId="0" fontId="7" fillId="10" borderId="0" xfId="0" applyFont="1" applyFill="1" applyBorder="1" applyAlignment="1">
      <alignment horizontal="left" vertical="center" wrapText="1"/>
    </xf>
    <xf numFmtId="0" fontId="13" fillId="10" borderId="16" xfId="0" applyFont="1" applyFill="1" applyBorder="1" applyAlignment="1">
      <alignment horizontal="left" vertical="center"/>
    </xf>
    <xf numFmtId="0" fontId="7" fillId="10" borderId="14" xfId="0" applyFont="1" applyFill="1" applyBorder="1" applyAlignment="1">
      <alignment horizontal="left" vertical="center"/>
    </xf>
    <xf numFmtId="164" fontId="13" fillId="10" borderId="0" xfId="1" applyNumberFormat="1" applyFont="1" applyFill="1" applyBorder="1"/>
    <xf numFmtId="164" fontId="13" fillId="10" borderId="14" xfId="1" applyNumberFormat="1" applyFont="1" applyFill="1" applyBorder="1"/>
    <xf numFmtId="0" fontId="7" fillId="10" borderId="14" xfId="0" applyFont="1" applyFill="1" applyBorder="1" applyAlignment="1">
      <alignment horizontal="left" vertical="center" wrapText="1"/>
    </xf>
    <xf numFmtId="0" fontId="17" fillId="10" borderId="14" xfId="0" applyFont="1" applyFill="1" applyBorder="1" applyAlignment="1">
      <alignment horizontal="left" vertical="center"/>
    </xf>
    <xf numFmtId="164" fontId="13" fillId="10" borderId="16" xfId="1" applyNumberFormat="1" applyFont="1" applyFill="1" applyBorder="1"/>
    <xf numFmtId="164" fontId="13" fillId="10" borderId="15" xfId="1" applyNumberFormat="1" applyFont="1" applyFill="1" applyBorder="1"/>
    <xf numFmtId="0" fontId="7" fillId="10" borderId="0" xfId="0" applyFont="1" applyFill="1" applyBorder="1" applyAlignment="1" applyProtection="1">
      <alignment horizontal="left" vertical="center"/>
    </xf>
    <xf numFmtId="0" fontId="7" fillId="10" borderId="14" xfId="0" applyFont="1" applyFill="1" applyBorder="1" applyAlignment="1" applyProtection="1">
      <alignment horizontal="left" vertical="center"/>
    </xf>
    <xf numFmtId="164" fontId="7" fillId="10" borderId="0" xfId="1" applyNumberFormat="1" applyFont="1" applyFill="1" applyBorder="1"/>
    <xf numFmtId="164" fontId="7" fillId="10" borderId="14" xfId="1" applyNumberFormat="1" applyFont="1" applyFill="1" applyBorder="1"/>
    <xf numFmtId="164" fontId="7" fillId="10" borderId="0" xfId="1" applyNumberFormat="1" applyFont="1" applyFill="1" applyBorder="1" applyAlignment="1" applyProtection="1">
      <alignment horizontal="center"/>
    </xf>
    <xf numFmtId="164" fontId="7" fillId="10" borderId="14" xfId="1" applyNumberFormat="1" applyFont="1" applyFill="1" applyBorder="1" applyAlignment="1" applyProtection="1">
      <alignment horizontal="center"/>
    </xf>
    <xf numFmtId="0" fontId="7" fillId="10" borderId="36" xfId="0" applyFont="1" applyFill="1" applyBorder="1" applyAlignment="1">
      <alignment horizontal="left" vertical="center"/>
    </xf>
    <xf numFmtId="9" fontId="13" fillId="10" borderId="0" xfId="0" applyNumberFormat="1" applyFont="1" applyFill="1" applyBorder="1" applyAlignment="1">
      <alignment horizontal="center"/>
    </xf>
    <xf numFmtId="0" fontId="13" fillId="10" borderId="0" xfId="0" applyFont="1" applyFill="1" applyBorder="1" applyAlignment="1">
      <alignment horizontal="center" vertical="center"/>
    </xf>
    <xf numFmtId="0" fontId="13" fillId="10" borderId="0" xfId="0" applyNumberFormat="1" applyFont="1" applyFill="1" applyBorder="1" applyAlignment="1">
      <alignment horizontal="center" vertical="center"/>
    </xf>
    <xf numFmtId="164" fontId="13" fillId="10" borderId="36" xfId="1" applyNumberFormat="1" applyFont="1" applyFill="1" applyBorder="1"/>
    <xf numFmtId="0" fontId="7" fillId="10" borderId="36" xfId="0" applyFont="1" applyFill="1" applyBorder="1" applyAlignment="1">
      <alignment horizontal="left" vertical="center" wrapText="1"/>
    </xf>
    <xf numFmtId="0" fontId="17" fillId="10" borderId="36" xfId="0" applyFont="1" applyFill="1" applyBorder="1" applyAlignment="1">
      <alignment horizontal="left" vertical="center"/>
    </xf>
    <xf numFmtId="9" fontId="13" fillId="10" borderId="16" xfId="0" applyNumberFormat="1" applyFont="1" applyFill="1" applyBorder="1" applyAlignment="1">
      <alignment horizontal="center"/>
    </xf>
    <xf numFmtId="0" fontId="13" fillId="10" borderId="16" xfId="0" applyFont="1" applyFill="1" applyBorder="1" applyAlignment="1">
      <alignment horizontal="center" vertical="center"/>
    </xf>
    <xf numFmtId="0" fontId="13" fillId="10" borderId="16" xfId="0" applyNumberFormat="1" applyFont="1" applyFill="1" applyBorder="1" applyAlignment="1">
      <alignment horizontal="center" vertical="center"/>
    </xf>
    <xf numFmtId="164" fontId="13" fillId="10" borderId="37" xfId="1" applyNumberFormat="1" applyFont="1" applyFill="1" applyBorder="1"/>
    <xf numFmtId="0" fontId="7" fillId="10" borderId="36" xfId="0" applyFont="1" applyFill="1" applyBorder="1" applyAlignment="1" applyProtection="1">
      <alignment horizontal="left" vertical="center"/>
    </xf>
    <xf numFmtId="164" fontId="7" fillId="10" borderId="36" xfId="1" applyNumberFormat="1" applyFont="1" applyFill="1" applyBorder="1"/>
    <xf numFmtId="164" fontId="7" fillId="10" borderId="36" xfId="1" applyNumberFormat="1" applyFont="1" applyFill="1" applyBorder="1" applyAlignment="1" applyProtection="1">
      <alignment horizontal="center"/>
    </xf>
    <xf numFmtId="0" fontId="7" fillId="11" borderId="33" xfId="0" applyFont="1" applyFill="1" applyBorder="1" applyAlignment="1">
      <alignment horizontal="left" vertical="center"/>
    </xf>
    <xf numFmtId="0" fontId="13" fillId="11" borderId="33" xfId="0" applyFont="1" applyFill="1" applyBorder="1" applyAlignment="1">
      <alignment horizontal="left" vertical="center" wrapText="1"/>
    </xf>
    <xf numFmtId="0" fontId="7" fillId="11" borderId="33" xfId="0" applyFont="1" applyFill="1" applyBorder="1" applyAlignment="1">
      <alignment horizontal="left" vertical="center" wrapText="1"/>
    </xf>
    <xf numFmtId="0" fontId="17" fillId="11" borderId="33" xfId="0" applyFont="1" applyFill="1" applyBorder="1" applyAlignment="1">
      <alignment horizontal="left" vertical="center"/>
    </xf>
    <xf numFmtId="0" fontId="13" fillId="11" borderId="35" xfId="0" applyFont="1" applyFill="1" applyBorder="1" applyAlignment="1">
      <alignment horizontal="left" vertical="center" wrapText="1"/>
    </xf>
    <xf numFmtId="0" fontId="7" fillId="11" borderId="33" xfId="0" applyFont="1" applyFill="1" applyBorder="1" applyAlignment="1" applyProtection="1">
      <alignment horizontal="left" vertical="center"/>
    </xf>
    <xf numFmtId="0" fontId="17" fillId="11" borderId="0" xfId="0" applyFont="1" applyFill="1" applyBorder="1" applyAlignment="1">
      <alignment horizontal="left" vertical="center"/>
    </xf>
    <xf numFmtId="0" fontId="13" fillId="11" borderId="0" xfId="0" applyFont="1" applyFill="1" applyBorder="1" applyAlignment="1">
      <alignment horizontal="left" vertical="center"/>
    </xf>
    <xf numFmtId="0" fontId="7" fillId="11" borderId="0" xfId="0" applyFont="1" applyFill="1" applyBorder="1" applyAlignment="1">
      <alignment horizontal="left" vertical="center"/>
    </xf>
    <xf numFmtId="0" fontId="7" fillId="11" borderId="0" xfId="0" applyFont="1" applyFill="1" applyBorder="1" applyAlignment="1">
      <alignment horizontal="left" vertical="center" wrapText="1"/>
    </xf>
    <xf numFmtId="0" fontId="13" fillId="11" borderId="16" xfId="0" applyFont="1" applyFill="1" applyBorder="1" applyAlignment="1">
      <alignment horizontal="left" vertical="center"/>
    </xf>
    <xf numFmtId="0" fontId="7" fillId="11" borderId="14" xfId="0" applyFont="1" applyFill="1" applyBorder="1" applyAlignment="1">
      <alignment horizontal="left" vertical="center"/>
    </xf>
    <xf numFmtId="164" fontId="13" fillId="11" borderId="0" xfId="1" applyNumberFormat="1" applyFont="1" applyFill="1" applyBorder="1"/>
    <xf numFmtId="164" fontId="13" fillId="11" borderId="14" xfId="1" applyNumberFormat="1" applyFont="1" applyFill="1" applyBorder="1"/>
    <xf numFmtId="0" fontId="7" fillId="11" borderId="14" xfId="0" applyFont="1" applyFill="1" applyBorder="1" applyAlignment="1">
      <alignment horizontal="left" vertical="center" wrapText="1"/>
    </xf>
    <xf numFmtId="0" fontId="17" fillId="11" borderId="14" xfId="0" applyFont="1" applyFill="1" applyBorder="1" applyAlignment="1">
      <alignment horizontal="left" vertical="center"/>
    </xf>
    <xf numFmtId="164" fontId="13" fillId="11" borderId="16" xfId="1" applyNumberFormat="1" applyFont="1" applyFill="1" applyBorder="1"/>
    <xf numFmtId="164" fontId="13" fillId="11" borderId="15" xfId="1" applyNumberFormat="1" applyFont="1" applyFill="1" applyBorder="1"/>
    <xf numFmtId="0" fontId="7" fillId="11" borderId="0" xfId="0" applyFont="1" applyFill="1" applyBorder="1" applyAlignment="1" applyProtection="1">
      <alignment horizontal="left" vertical="center"/>
    </xf>
    <xf numFmtId="0" fontId="7" fillId="11" borderId="14" xfId="0" applyFont="1" applyFill="1" applyBorder="1" applyAlignment="1" applyProtection="1">
      <alignment horizontal="left" vertical="center"/>
    </xf>
    <xf numFmtId="164" fontId="7" fillId="11" borderId="0" xfId="1" applyNumberFormat="1" applyFont="1" applyFill="1" applyBorder="1"/>
    <xf numFmtId="164" fontId="7" fillId="11" borderId="14" xfId="1" applyNumberFormat="1" applyFont="1" applyFill="1" applyBorder="1"/>
    <xf numFmtId="164" fontId="7" fillId="11" borderId="0" xfId="1" applyNumberFormat="1" applyFont="1" applyFill="1" applyBorder="1" applyAlignment="1" applyProtection="1">
      <alignment horizontal="center"/>
    </xf>
    <xf numFmtId="164" fontId="7" fillId="11" borderId="14" xfId="1" applyNumberFormat="1" applyFont="1" applyFill="1" applyBorder="1" applyAlignment="1" applyProtection="1">
      <alignment horizontal="center"/>
    </xf>
    <xf numFmtId="0" fontId="7" fillId="11" borderId="2" xfId="0" applyFont="1" applyFill="1" applyBorder="1" applyAlignment="1">
      <alignment horizontal="left" vertical="center"/>
    </xf>
    <xf numFmtId="164" fontId="13" fillId="11" borderId="2" xfId="1" applyNumberFormat="1" applyFont="1" applyFill="1" applyBorder="1"/>
    <xf numFmtId="0" fontId="7" fillId="11" borderId="2" xfId="0" applyFont="1" applyFill="1" applyBorder="1" applyAlignment="1">
      <alignment horizontal="left" vertical="center" wrapText="1"/>
    </xf>
    <xf numFmtId="0" fontId="17" fillId="11" borderId="2" xfId="0" applyFont="1" applyFill="1" applyBorder="1" applyAlignment="1">
      <alignment horizontal="left" vertical="center"/>
    </xf>
    <xf numFmtId="164" fontId="13" fillId="11" borderId="27" xfId="1" applyNumberFormat="1" applyFont="1" applyFill="1" applyBorder="1"/>
    <xf numFmtId="0" fontId="7" fillId="11" borderId="2" xfId="0" applyFont="1" applyFill="1" applyBorder="1" applyAlignment="1" applyProtection="1">
      <alignment horizontal="left" vertical="center"/>
    </xf>
    <xf numFmtId="164" fontId="7" fillId="11" borderId="2" xfId="1" applyNumberFormat="1" applyFont="1" applyFill="1" applyBorder="1"/>
    <xf numFmtId="164" fontId="7" fillId="11" borderId="2" xfId="1" applyNumberFormat="1" applyFont="1" applyFill="1" applyBorder="1" applyAlignment="1" applyProtection="1">
      <alignment horizontal="center"/>
    </xf>
    <xf numFmtId="9" fontId="13" fillId="11" borderId="0" xfId="0" applyNumberFormat="1" applyFont="1" applyFill="1" applyBorder="1" applyAlignment="1">
      <alignment horizontal="center"/>
    </xf>
    <xf numFmtId="0" fontId="13" fillId="11" borderId="0" xfId="0" applyFont="1" applyFill="1" applyBorder="1" applyAlignment="1">
      <alignment horizontal="center" vertical="center"/>
    </xf>
    <xf numFmtId="0" fontId="13" fillId="11" borderId="0" xfId="0" applyFont="1" applyFill="1" applyBorder="1"/>
    <xf numFmtId="9" fontId="13" fillId="11" borderId="16" xfId="0" applyNumberFormat="1" applyFont="1" applyFill="1" applyBorder="1" applyAlignment="1">
      <alignment horizontal="center"/>
    </xf>
    <xf numFmtId="0" fontId="13" fillId="11" borderId="16" xfId="0" applyFont="1" applyFill="1" applyBorder="1" applyAlignment="1">
      <alignment horizontal="center" vertical="center"/>
    </xf>
    <xf numFmtId="0" fontId="12" fillId="6" borderId="0" xfId="0" applyFont="1" applyFill="1" applyBorder="1" applyAlignment="1">
      <alignment horizontal="left" vertical="center"/>
    </xf>
    <xf numFmtId="0" fontId="15" fillId="6" borderId="0" xfId="0" applyFont="1" applyFill="1" applyBorder="1" applyAlignment="1">
      <alignment horizontal="center"/>
    </xf>
    <xf numFmtId="0" fontId="13" fillId="6" borderId="1" xfId="0" applyFont="1" applyFill="1" applyBorder="1"/>
    <xf numFmtId="0" fontId="13" fillId="6" borderId="0" xfId="0" applyFont="1" applyFill="1" applyBorder="1"/>
    <xf numFmtId="0" fontId="10" fillId="6" borderId="1" xfId="0" applyFont="1" applyFill="1" applyBorder="1" applyAlignment="1">
      <alignment horizontal="right"/>
    </xf>
    <xf numFmtId="0" fontId="10" fillId="6" borderId="0" xfId="0" applyFont="1" applyFill="1" applyBorder="1" applyAlignment="1">
      <alignment horizontal="right"/>
    </xf>
    <xf numFmtId="0" fontId="10" fillId="6" borderId="1" xfId="0" applyFont="1" applyFill="1" applyBorder="1" applyAlignment="1">
      <alignment horizontal="right" wrapText="1"/>
    </xf>
    <xf numFmtId="0" fontId="13" fillId="6" borderId="1" xfId="0" applyFont="1" applyFill="1" applyBorder="1" applyAlignment="1">
      <alignment horizontal="right"/>
    </xf>
    <xf numFmtId="0" fontId="10" fillId="6" borderId="0" xfId="0" applyFont="1" applyFill="1" applyBorder="1"/>
    <xf numFmtId="9" fontId="13" fillId="7" borderId="0"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NumberFormat="1"/>
    <xf numFmtId="0" fontId="13" fillId="0" borderId="1" xfId="0" applyFont="1" applyFill="1" applyBorder="1" applyAlignment="1">
      <alignment horizontal="left" vertical="center"/>
    </xf>
    <xf numFmtId="0" fontId="13" fillId="0" borderId="13" xfId="0" applyFont="1" applyFill="1" applyBorder="1" applyAlignment="1">
      <alignment horizontal="left" vertical="center"/>
    </xf>
    <xf numFmtId="0" fontId="23" fillId="0" borderId="13" xfId="0" applyFont="1" applyFill="1" applyBorder="1" applyAlignment="1">
      <alignment horizontal="left" vertical="center"/>
    </xf>
    <xf numFmtId="0" fontId="13" fillId="0" borderId="3" xfId="0" applyFont="1" applyFill="1" applyBorder="1" applyAlignment="1">
      <alignment horizontal="left" vertical="center"/>
    </xf>
    <xf numFmtId="0" fontId="13" fillId="0" borderId="4" xfId="0" applyFont="1" applyFill="1" applyBorder="1" applyAlignment="1" applyProtection="1">
      <alignment horizontal="left" vertical="center"/>
    </xf>
    <xf numFmtId="0" fontId="7" fillId="5" borderId="23" xfId="0" applyFont="1" applyFill="1" applyBorder="1" applyAlignment="1" applyProtection="1">
      <alignment horizontal="center"/>
      <protection locked="0"/>
    </xf>
    <xf numFmtId="9" fontId="10" fillId="7" borderId="0" xfId="0" applyNumberFormat="1" applyFont="1" applyFill="1" applyBorder="1" applyAlignment="1">
      <alignment horizontal="center" vertical="center"/>
    </xf>
    <xf numFmtId="0" fontId="0" fillId="3" borderId="0" xfId="0" applyFill="1" applyBorder="1" applyAlignment="1">
      <alignment horizontal="center"/>
    </xf>
    <xf numFmtId="0" fontId="16" fillId="0" borderId="16" xfId="0" applyFont="1" applyFill="1" applyBorder="1" applyAlignment="1">
      <alignment vertical="center"/>
    </xf>
    <xf numFmtId="0" fontId="0" fillId="6" borderId="39" xfId="0" applyFill="1" applyBorder="1" applyAlignment="1"/>
    <xf numFmtId="0" fontId="0" fillId="6" borderId="45" xfId="0" applyFill="1" applyBorder="1" applyAlignment="1"/>
    <xf numFmtId="0" fontId="7" fillId="7" borderId="17" xfId="0" applyFont="1" applyFill="1" applyBorder="1" applyAlignment="1">
      <alignment horizontal="center" wrapText="1"/>
    </xf>
    <xf numFmtId="0" fontId="7" fillId="7" borderId="38" xfId="0" applyFont="1" applyFill="1" applyBorder="1" applyAlignment="1">
      <alignment horizontal="center" wrapText="1"/>
    </xf>
    <xf numFmtId="169" fontId="7" fillId="7" borderId="33" xfId="0" applyNumberFormat="1" applyFont="1" applyFill="1" applyBorder="1"/>
    <xf numFmtId="2" fontId="7" fillId="7" borderId="33" xfId="0" applyNumberFormat="1" applyFont="1" applyFill="1" applyBorder="1"/>
    <xf numFmtId="170" fontId="7" fillId="7" borderId="33" xfId="0" applyNumberFormat="1" applyFont="1" applyFill="1" applyBorder="1"/>
    <xf numFmtId="170" fontId="7" fillId="7" borderId="0" xfId="0" applyNumberFormat="1" applyFont="1" applyFill="1" applyBorder="1"/>
    <xf numFmtId="171" fontId="30" fillId="7" borderId="33" xfId="0" applyNumberFormat="1" applyFont="1" applyFill="1" applyBorder="1"/>
    <xf numFmtId="171" fontId="30" fillId="7" borderId="0" xfId="0" applyNumberFormat="1" applyFont="1" applyFill="1" applyBorder="1"/>
    <xf numFmtId="171" fontId="7" fillId="7" borderId="33" xfId="0" applyNumberFormat="1" applyFont="1" applyFill="1" applyBorder="1"/>
    <xf numFmtId="171" fontId="7" fillId="7" borderId="0" xfId="0" applyNumberFormat="1" applyFont="1" applyFill="1" applyBorder="1"/>
    <xf numFmtId="1" fontId="7" fillId="7" borderId="33" xfId="0" applyNumberFormat="1" applyFont="1" applyFill="1" applyBorder="1"/>
    <xf numFmtId="0" fontId="0" fillId="7" borderId="0" xfId="0" applyFill="1" applyBorder="1" applyAlignment="1">
      <alignment horizontal="center"/>
    </xf>
    <xf numFmtId="0" fontId="0" fillId="7" borderId="36" xfId="0" applyFill="1" applyBorder="1"/>
    <xf numFmtId="169" fontId="7" fillId="7" borderId="36" xfId="0" applyNumberFormat="1" applyFont="1" applyFill="1" applyBorder="1"/>
    <xf numFmtId="170" fontId="7" fillId="7" borderId="36" xfId="0" applyNumberFormat="1" applyFont="1" applyFill="1" applyBorder="1"/>
    <xf numFmtId="0" fontId="0" fillId="7" borderId="37" xfId="0" applyFill="1" applyBorder="1"/>
    <xf numFmtId="170" fontId="7" fillId="7" borderId="14" xfId="0" applyNumberFormat="1" applyFont="1" applyFill="1" applyBorder="1"/>
    <xf numFmtId="0" fontId="0" fillId="7" borderId="15" xfId="0" applyFill="1" applyBorder="1"/>
    <xf numFmtId="0" fontId="0" fillId="0" borderId="23" xfId="0" applyFill="1" applyBorder="1" applyAlignment="1" applyProtection="1">
      <alignment horizontal="center"/>
      <protection locked="0"/>
    </xf>
    <xf numFmtId="0" fontId="0" fillId="3" borderId="16" xfId="0" applyFill="1" applyBorder="1" applyAlignment="1">
      <alignment horizontal="center"/>
    </xf>
    <xf numFmtId="0" fontId="0" fillId="7" borderId="16" xfId="0" applyFill="1" applyBorder="1" applyAlignment="1">
      <alignment horizontal="center"/>
    </xf>
    <xf numFmtId="0" fontId="9" fillId="7" borderId="0" xfId="0" applyFont="1" applyFill="1" applyBorder="1" applyAlignment="1">
      <alignment horizontal="center" vertical="center"/>
    </xf>
    <xf numFmtId="169" fontId="7" fillId="7" borderId="0" xfId="0" applyNumberFormat="1" applyFont="1" applyFill="1" applyBorder="1" applyAlignment="1">
      <alignment horizontal="center"/>
    </xf>
    <xf numFmtId="0" fontId="9" fillId="7" borderId="16" xfId="0" applyFont="1" applyFill="1" applyBorder="1" applyAlignment="1">
      <alignment horizontal="center" vertical="center"/>
    </xf>
    <xf numFmtId="170" fontId="7" fillId="7" borderId="0" xfId="0" applyNumberFormat="1" applyFont="1" applyFill="1" applyBorder="1" applyAlignment="1">
      <alignment horizontal="center"/>
    </xf>
    <xf numFmtId="0" fontId="9" fillId="7" borderId="0" xfId="0" applyFont="1" applyFill="1" applyBorder="1" applyAlignment="1">
      <alignment horizontal="left" vertical="center"/>
    </xf>
    <xf numFmtId="0" fontId="7" fillId="5" borderId="23" xfId="0" applyFont="1" applyFill="1" applyBorder="1" applyAlignment="1" applyProtection="1">
      <alignment horizontal="center"/>
      <protection locked="0"/>
    </xf>
    <xf numFmtId="0" fontId="7" fillId="3" borderId="0" xfId="0" applyFont="1" applyFill="1" applyBorder="1" applyAlignment="1" applyProtection="1">
      <alignment horizontal="left"/>
    </xf>
    <xf numFmtId="0" fontId="7" fillId="6" borderId="1" xfId="0" quotePrefix="1" applyFont="1" applyFill="1" applyBorder="1" applyAlignment="1">
      <alignment horizontal="left" vertical="center" wrapText="1" indent="2"/>
    </xf>
    <xf numFmtId="0" fontId="7" fillId="6" borderId="1" xfId="0" quotePrefix="1" applyFont="1" applyFill="1" applyBorder="1" applyAlignment="1">
      <alignment horizontal="left" vertical="center" wrapText="1" indent="4"/>
    </xf>
    <xf numFmtId="169" fontId="7" fillId="3" borderId="0" xfId="0" applyNumberFormat="1" applyFont="1" applyFill="1" applyBorder="1" applyAlignment="1">
      <alignment horizontal="center"/>
    </xf>
    <xf numFmtId="0" fontId="0" fillId="7" borderId="41" xfId="0" applyFill="1" applyBorder="1"/>
    <xf numFmtId="0" fontId="17" fillId="0" borderId="0" xfId="0" applyFont="1" applyFill="1" applyBorder="1" applyAlignment="1">
      <alignment horizontal="left" vertical="center"/>
    </xf>
    <xf numFmtId="0" fontId="17" fillId="0" borderId="0" xfId="0" applyFont="1" applyFill="1" applyBorder="1" applyAlignment="1">
      <alignment horizontal="right" vertical="center"/>
    </xf>
    <xf numFmtId="0" fontId="0" fillId="0" borderId="0" xfId="0" applyFill="1" applyBorder="1" applyAlignment="1">
      <alignment horizontal="center"/>
    </xf>
    <xf numFmtId="0" fontId="7" fillId="3" borderId="38" xfId="0" applyFont="1" applyFill="1" applyBorder="1" applyAlignment="1">
      <alignment horizontal="center" wrapText="1"/>
    </xf>
    <xf numFmtId="169" fontId="7" fillId="3" borderId="33" xfId="0" applyNumberFormat="1" applyFont="1" applyFill="1" applyBorder="1"/>
    <xf numFmtId="2" fontId="7" fillId="3" borderId="33" xfId="0" applyNumberFormat="1" applyFont="1" applyFill="1" applyBorder="1"/>
    <xf numFmtId="170" fontId="7" fillId="3" borderId="33" xfId="0" applyNumberFormat="1" applyFont="1" applyFill="1" applyBorder="1"/>
    <xf numFmtId="171" fontId="30" fillId="3" borderId="33" xfId="0" applyNumberFormat="1" applyFont="1" applyFill="1" applyBorder="1"/>
    <xf numFmtId="171" fontId="7" fillId="3" borderId="33" xfId="0" applyNumberFormat="1" applyFont="1" applyFill="1" applyBorder="1"/>
    <xf numFmtId="1" fontId="7" fillId="3" borderId="33" xfId="0" applyNumberFormat="1" applyFont="1" applyFill="1" applyBorder="1"/>
    <xf numFmtId="0" fontId="9" fillId="3" borderId="0" xfId="0" applyFont="1" applyFill="1" applyBorder="1" applyAlignment="1">
      <alignment horizontal="left" vertical="center"/>
    </xf>
    <xf numFmtId="0" fontId="9" fillId="3" borderId="0" xfId="0" applyFont="1" applyFill="1" applyBorder="1" applyAlignment="1">
      <alignment horizontal="center" vertical="center"/>
    </xf>
    <xf numFmtId="0" fontId="9" fillId="3" borderId="16" xfId="0" applyFont="1" applyFill="1" applyBorder="1" applyAlignment="1">
      <alignment horizontal="center" vertical="center"/>
    </xf>
    <xf numFmtId="170" fontId="7" fillId="3" borderId="0" xfId="0" applyNumberFormat="1" applyFont="1" applyFill="1" applyBorder="1" applyAlignment="1">
      <alignment horizontal="center"/>
    </xf>
    <xf numFmtId="0" fontId="8" fillId="0" borderId="48"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48" xfId="0" applyFont="1" applyFill="1" applyBorder="1" applyAlignment="1">
      <alignment horizontal="center" vertical="center"/>
    </xf>
    <xf numFmtId="0" fontId="7" fillId="0" borderId="52" xfId="0" applyFont="1" applyFill="1" applyBorder="1" applyAlignment="1">
      <alignment horizontal="center" vertical="center"/>
    </xf>
    <xf numFmtId="0" fontId="0" fillId="0" borderId="12" xfId="0" applyFill="1" applyBorder="1"/>
    <xf numFmtId="0" fontId="0" fillId="0" borderId="13" xfId="0" applyFill="1" applyBorder="1"/>
    <xf numFmtId="0" fontId="7" fillId="0" borderId="13" xfId="0" applyFont="1" applyFill="1" applyBorder="1" applyAlignment="1">
      <alignment horizontal="left"/>
    </xf>
    <xf numFmtId="0" fontId="25" fillId="6" borderId="24" xfId="0" applyFont="1" applyFill="1" applyBorder="1"/>
    <xf numFmtId="169" fontId="7" fillId="3" borderId="2" xfId="0" applyNumberFormat="1" applyFont="1" applyFill="1" applyBorder="1"/>
    <xf numFmtId="170" fontId="7" fillId="3" borderId="2" xfId="0" applyNumberFormat="1" applyFont="1" applyFill="1" applyBorder="1"/>
    <xf numFmtId="170" fontId="7" fillId="7" borderId="62" xfId="0" applyNumberFormat="1" applyFont="1" applyFill="1" applyBorder="1" applyAlignment="1">
      <alignment horizontal="center"/>
    </xf>
    <xf numFmtId="171" fontId="7" fillId="7" borderId="62" xfId="0" applyNumberFormat="1" applyFont="1" applyFill="1" applyBorder="1" applyAlignment="1">
      <alignment horizontal="center"/>
    </xf>
    <xf numFmtId="170" fontId="7" fillId="3" borderId="62" xfId="0" applyNumberFormat="1" applyFont="1" applyFill="1" applyBorder="1" applyAlignment="1">
      <alignment horizontal="center"/>
    </xf>
    <xf numFmtId="0" fontId="7" fillId="0" borderId="22" xfId="0" applyFont="1" applyFill="1" applyBorder="1" applyAlignment="1">
      <alignment horizontal="left"/>
    </xf>
    <xf numFmtId="2" fontId="7" fillId="0" borderId="0" xfId="0" applyNumberFormat="1" applyFont="1" applyBorder="1"/>
    <xf numFmtId="0" fontId="0" fillId="0" borderId="24" xfId="0" applyBorder="1"/>
    <xf numFmtId="0" fontId="0" fillId="3" borderId="7" xfId="0" applyFill="1" applyBorder="1" applyAlignment="1">
      <alignment horizontal="center"/>
    </xf>
    <xf numFmtId="0" fontId="0" fillId="10" borderId="11" xfId="0" applyFill="1" applyBorder="1" applyAlignment="1">
      <alignment horizontal="center"/>
    </xf>
    <xf numFmtId="0" fontId="0" fillId="13" borderId="7" xfId="0" applyFill="1" applyBorder="1" applyAlignment="1">
      <alignment horizontal="center"/>
    </xf>
    <xf numFmtId="0" fontId="0" fillId="3" borderId="11" xfId="0" applyFill="1" applyBorder="1" applyAlignment="1">
      <alignment horizontal="center"/>
    </xf>
    <xf numFmtId="1" fontId="7" fillId="7" borderId="0" xfId="0" applyNumberFormat="1" applyFont="1" applyFill="1" applyBorder="1" applyAlignment="1" applyProtection="1">
      <alignment horizontal="center"/>
    </xf>
    <xf numFmtId="1" fontId="7" fillId="3" borderId="0" xfId="0" applyNumberFormat="1" applyFont="1" applyFill="1" applyBorder="1" applyAlignment="1" applyProtection="1">
      <alignment horizontal="center"/>
    </xf>
    <xf numFmtId="0" fontId="7" fillId="7" borderId="0" xfId="0" applyFont="1" applyFill="1" applyBorder="1" applyProtection="1"/>
    <xf numFmtId="0" fontId="9" fillId="7" borderId="0" xfId="0" applyFont="1" applyFill="1" applyBorder="1" applyAlignment="1" applyProtection="1">
      <alignment vertical="center"/>
    </xf>
    <xf numFmtId="0" fontId="7" fillId="7" borderId="14" xfId="0" applyFont="1" applyFill="1" applyBorder="1" applyProtection="1"/>
    <xf numFmtId="0" fontId="9" fillId="7" borderId="0" xfId="0" applyFont="1" applyFill="1" applyBorder="1" applyAlignment="1" applyProtection="1">
      <alignment horizontal="center" vertical="center"/>
    </xf>
    <xf numFmtId="0" fontId="7" fillId="3" borderId="0" xfId="0" applyFont="1" applyFill="1" applyBorder="1" applyProtection="1"/>
    <xf numFmtId="169" fontId="9" fillId="3" borderId="0" xfId="0" applyNumberFormat="1" applyFont="1" applyFill="1" applyBorder="1" applyAlignment="1" applyProtection="1">
      <alignment vertical="center"/>
    </xf>
    <xf numFmtId="10" fontId="7" fillId="7" borderId="0" xfId="0" applyNumberFormat="1" applyFont="1" applyFill="1" applyBorder="1" applyAlignment="1" applyProtection="1">
      <alignment horizontal="center"/>
    </xf>
    <xf numFmtId="10" fontId="7" fillId="7" borderId="0" xfId="4" applyNumberFormat="1" applyFont="1" applyFill="1" applyBorder="1" applyProtection="1"/>
    <xf numFmtId="169" fontId="7" fillId="7" borderId="14" xfId="0" applyNumberFormat="1" applyFont="1" applyFill="1" applyBorder="1" applyProtection="1"/>
    <xf numFmtId="1" fontId="7" fillId="7" borderId="36" xfId="0" applyNumberFormat="1" applyFont="1" applyFill="1" applyBorder="1" applyAlignment="1" applyProtection="1">
      <alignment horizontal="center"/>
    </xf>
    <xf numFmtId="10" fontId="7" fillId="3" borderId="0" xfId="0" applyNumberFormat="1" applyFont="1" applyFill="1" applyBorder="1" applyProtection="1"/>
    <xf numFmtId="10" fontId="7" fillId="3" borderId="0" xfId="4" applyNumberFormat="1" applyFont="1" applyFill="1" applyBorder="1" applyProtection="1"/>
    <xf numFmtId="169" fontId="7" fillId="3" borderId="14" xfId="0" applyNumberFormat="1" applyFont="1" applyFill="1" applyBorder="1" applyProtection="1"/>
    <xf numFmtId="1" fontId="7" fillId="3" borderId="2" xfId="0" applyNumberFormat="1" applyFont="1" applyFill="1" applyBorder="1" applyAlignment="1" applyProtection="1">
      <alignment horizontal="center"/>
    </xf>
    <xf numFmtId="2" fontId="7" fillId="7" borderId="0" xfId="0" applyNumberFormat="1" applyFont="1" applyFill="1" applyBorder="1" applyAlignment="1" applyProtection="1">
      <alignment horizontal="right"/>
    </xf>
    <xf numFmtId="169" fontId="7" fillId="7" borderId="14" xfId="0" applyNumberFormat="1" applyFont="1" applyFill="1" applyBorder="1" applyAlignment="1" applyProtection="1">
      <alignment horizontal="left"/>
    </xf>
    <xf numFmtId="0" fontId="7" fillId="3" borderId="0" xfId="0" applyFont="1" applyFill="1" applyBorder="1" applyAlignment="1" applyProtection="1"/>
    <xf numFmtId="2" fontId="7" fillId="3" borderId="0" xfId="0" applyNumberFormat="1" applyFont="1" applyFill="1" applyBorder="1" applyAlignment="1" applyProtection="1">
      <alignment horizontal="right"/>
    </xf>
    <xf numFmtId="169" fontId="7" fillId="3" borderId="14" xfId="0" applyNumberFormat="1" applyFont="1" applyFill="1" applyBorder="1" applyAlignment="1" applyProtection="1">
      <alignment horizontal="left"/>
    </xf>
    <xf numFmtId="10" fontId="7" fillId="7" borderId="0" xfId="0" applyNumberFormat="1" applyFont="1" applyFill="1" applyBorder="1" applyAlignment="1" applyProtection="1">
      <alignment horizontal="right"/>
    </xf>
    <xf numFmtId="0" fontId="7" fillId="7" borderId="0" xfId="0" applyFont="1" applyFill="1" applyAlignment="1" applyProtection="1">
      <alignment horizontal="right"/>
    </xf>
    <xf numFmtId="10" fontId="7" fillId="3" borderId="0" xfId="0" applyNumberFormat="1" applyFont="1" applyFill="1" applyBorder="1" applyAlignment="1" applyProtection="1">
      <alignment horizontal="right"/>
    </xf>
    <xf numFmtId="0" fontId="7" fillId="3" borderId="0" xfId="0" applyFont="1" applyFill="1" applyAlignment="1" applyProtection="1">
      <alignment horizontal="right"/>
    </xf>
    <xf numFmtId="0" fontId="0" fillId="7" borderId="16" xfId="0" applyFill="1" applyBorder="1" applyProtection="1"/>
    <xf numFmtId="0" fontId="7" fillId="7" borderId="16" xfId="0" applyFont="1" applyFill="1" applyBorder="1" applyProtection="1"/>
    <xf numFmtId="0" fontId="7" fillId="7" borderId="15" xfId="0" applyFont="1" applyFill="1" applyBorder="1" applyProtection="1"/>
    <xf numFmtId="0" fontId="0" fillId="7" borderId="37" xfId="0" applyFill="1" applyBorder="1" applyProtection="1"/>
    <xf numFmtId="0" fontId="0" fillId="3" borderId="35" xfId="0" applyFill="1" applyBorder="1" applyProtection="1"/>
    <xf numFmtId="1" fontId="0" fillId="3" borderId="16" xfId="0" applyNumberFormat="1" applyFill="1" applyBorder="1" applyProtection="1"/>
    <xf numFmtId="0" fontId="7" fillId="3" borderId="16" xfId="0" applyFont="1" applyFill="1" applyBorder="1" applyProtection="1"/>
    <xf numFmtId="0" fontId="0" fillId="3" borderId="16" xfId="0" applyFill="1" applyBorder="1" applyProtection="1"/>
    <xf numFmtId="0" fontId="7" fillId="3" borderId="15" xfId="0" applyFont="1" applyFill="1" applyBorder="1" applyProtection="1"/>
    <xf numFmtId="0" fontId="0" fillId="3" borderId="27" xfId="0" applyFill="1" applyBorder="1" applyProtection="1"/>
    <xf numFmtId="0" fontId="7" fillId="11" borderId="0" xfId="0" applyFont="1" applyFill="1" applyBorder="1" applyProtection="1"/>
    <xf numFmtId="10" fontId="7" fillId="11" borderId="0" xfId="4" applyNumberFormat="1" applyFont="1" applyFill="1" applyBorder="1" applyProtection="1"/>
    <xf numFmtId="169" fontId="7" fillId="11" borderId="14" xfId="0" applyNumberFormat="1" applyFont="1" applyFill="1" applyBorder="1" applyProtection="1"/>
    <xf numFmtId="0" fontId="7" fillId="11" borderId="0" xfId="0" applyFont="1" applyFill="1" applyBorder="1" applyAlignment="1" applyProtection="1"/>
    <xf numFmtId="2" fontId="7" fillId="11" borderId="0" xfId="0" applyNumberFormat="1" applyFont="1" applyFill="1" applyBorder="1" applyAlignment="1" applyProtection="1">
      <alignment horizontal="right"/>
    </xf>
    <xf numFmtId="169" fontId="7" fillId="11" borderId="14" xfId="0" applyNumberFormat="1" applyFont="1" applyFill="1" applyBorder="1" applyAlignment="1" applyProtection="1">
      <alignment horizontal="left"/>
    </xf>
    <xf numFmtId="10" fontId="7" fillId="11" borderId="0" xfId="0" applyNumberFormat="1" applyFont="1" applyFill="1" applyBorder="1" applyAlignment="1" applyProtection="1">
      <alignment horizontal="right"/>
    </xf>
    <xf numFmtId="0" fontId="7" fillId="11" borderId="0" xfId="0" applyFont="1" applyFill="1" applyAlignment="1" applyProtection="1">
      <alignment horizontal="right"/>
    </xf>
    <xf numFmtId="0" fontId="0" fillId="11" borderId="35" xfId="0" applyFill="1" applyBorder="1"/>
    <xf numFmtId="0" fontId="0" fillId="11" borderId="16" xfId="0" applyFill="1" applyBorder="1" applyProtection="1"/>
    <xf numFmtId="0" fontId="7" fillId="11" borderId="16" xfId="0" applyFont="1" applyFill="1" applyBorder="1" applyProtection="1"/>
    <xf numFmtId="0" fontId="7" fillId="11" borderId="15" xfId="0" applyFont="1" applyFill="1" applyBorder="1" applyProtection="1"/>
    <xf numFmtId="0" fontId="0" fillId="11" borderId="17" xfId="0" applyFill="1" applyBorder="1"/>
    <xf numFmtId="0" fontId="7" fillId="10" borderId="0" xfId="0" applyFont="1" applyFill="1" applyBorder="1" applyProtection="1"/>
    <xf numFmtId="0" fontId="9" fillId="10" borderId="0" xfId="0" applyFont="1" applyFill="1" applyBorder="1" applyAlignment="1" applyProtection="1">
      <alignment vertical="center"/>
    </xf>
    <xf numFmtId="0" fontId="7" fillId="10" borderId="14" xfId="0" applyFont="1" applyFill="1" applyBorder="1" applyProtection="1"/>
    <xf numFmtId="10" fontId="7" fillId="10" borderId="0" xfId="0" applyNumberFormat="1" applyFont="1" applyFill="1" applyBorder="1" applyAlignment="1" applyProtection="1">
      <alignment horizontal="center"/>
    </xf>
    <xf numFmtId="10" fontId="7" fillId="10" borderId="0" xfId="4" applyNumberFormat="1" applyFont="1" applyFill="1" applyBorder="1" applyProtection="1"/>
    <xf numFmtId="169" fontId="7" fillId="10" borderId="14" xfId="0" applyNumberFormat="1" applyFont="1" applyFill="1" applyBorder="1" applyProtection="1"/>
    <xf numFmtId="2" fontId="7" fillId="10" borderId="0" xfId="0" applyNumberFormat="1" applyFont="1" applyFill="1" applyBorder="1" applyAlignment="1" applyProtection="1">
      <alignment horizontal="right"/>
    </xf>
    <xf numFmtId="169" fontId="7" fillId="10" borderId="14" xfId="0" applyNumberFormat="1" applyFont="1" applyFill="1" applyBorder="1" applyAlignment="1" applyProtection="1">
      <alignment horizontal="left"/>
    </xf>
    <xf numFmtId="10" fontId="7" fillId="10" borderId="0" xfId="0" applyNumberFormat="1" applyFont="1" applyFill="1" applyBorder="1" applyAlignment="1" applyProtection="1">
      <alignment horizontal="right"/>
    </xf>
    <xf numFmtId="0" fontId="7" fillId="10" borderId="0" xfId="0" applyFont="1" applyFill="1" applyAlignment="1" applyProtection="1">
      <alignment horizontal="right"/>
    </xf>
    <xf numFmtId="0" fontId="0" fillId="10" borderId="16" xfId="0" applyFill="1" applyBorder="1" applyProtection="1"/>
    <xf numFmtId="0" fontId="7" fillId="10" borderId="16" xfId="0" applyFont="1" applyFill="1" applyBorder="1" applyProtection="1"/>
    <xf numFmtId="0" fontId="7" fillId="10" borderId="15" xfId="0" applyFont="1" applyFill="1" applyBorder="1" applyProtection="1"/>
    <xf numFmtId="0" fontId="0" fillId="10" borderId="17" xfId="0" applyFill="1" applyBorder="1"/>
    <xf numFmtId="0" fontId="9" fillId="10" borderId="0" xfId="0" applyFont="1" applyFill="1" applyBorder="1" applyAlignment="1" applyProtection="1">
      <alignment horizontal="center" vertical="center"/>
    </xf>
    <xf numFmtId="1" fontId="7" fillId="10" borderId="0" xfId="0" applyNumberFormat="1" applyFont="1" applyFill="1" applyBorder="1" applyAlignment="1" applyProtection="1">
      <alignment horizontal="center"/>
    </xf>
    <xf numFmtId="1" fontId="7" fillId="10" borderId="36" xfId="0" applyNumberFormat="1" applyFont="1" applyFill="1" applyBorder="1" applyAlignment="1" applyProtection="1">
      <alignment horizontal="center"/>
    </xf>
    <xf numFmtId="0" fontId="0" fillId="10" borderId="37" xfId="0" applyFill="1" applyBorder="1" applyProtection="1"/>
    <xf numFmtId="169" fontId="9" fillId="11" borderId="0" xfId="0" applyNumberFormat="1" applyFont="1" applyFill="1" applyBorder="1" applyAlignment="1" applyProtection="1">
      <alignment vertical="center"/>
    </xf>
    <xf numFmtId="1" fontId="7" fillId="11" borderId="0" xfId="0" applyNumberFormat="1" applyFont="1" applyFill="1" applyBorder="1" applyAlignment="1" applyProtection="1">
      <alignment horizontal="center"/>
    </xf>
    <xf numFmtId="10" fontId="7" fillId="11" borderId="0" xfId="0" applyNumberFormat="1" applyFont="1" applyFill="1" applyBorder="1" applyProtection="1"/>
    <xf numFmtId="1" fontId="7" fillId="11" borderId="2" xfId="0" applyNumberFormat="1" applyFont="1" applyFill="1" applyBorder="1" applyAlignment="1" applyProtection="1">
      <alignment horizontal="center"/>
    </xf>
    <xf numFmtId="0" fontId="0" fillId="11" borderId="35" xfId="0" applyFill="1" applyBorder="1" applyProtection="1"/>
    <xf numFmtId="1" fontId="0" fillId="11" borderId="16" xfId="0" applyNumberFormat="1" applyFill="1" applyBorder="1" applyProtection="1"/>
    <xf numFmtId="0" fontId="0" fillId="11" borderId="27" xfId="0" applyFill="1" applyBorder="1" applyProtection="1"/>
    <xf numFmtId="0" fontId="7" fillId="10" borderId="17" xfId="0" applyFont="1" applyFill="1" applyBorder="1" applyAlignment="1">
      <alignment horizontal="center" wrapText="1"/>
    </xf>
    <xf numFmtId="0" fontId="9" fillId="10" borderId="0" xfId="0" applyFont="1" applyFill="1" applyBorder="1" applyAlignment="1">
      <alignment horizontal="left" vertical="center"/>
    </xf>
    <xf numFmtId="0" fontId="0" fillId="10" borderId="0" xfId="0" applyFill="1" applyBorder="1" applyAlignment="1">
      <alignment horizontal="center"/>
    </xf>
    <xf numFmtId="0" fontId="9" fillId="10" borderId="0" xfId="0" applyFont="1" applyFill="1" applyBorder="1" applyAlignment="1">
      <alignment horizontal="center" vertical="center"/>
    </xf>
    <xf numFmtId="169" fontId="7" fillId="10" borderId="33" xfId="0" applyNumberFormat="1" applyFont="1" applyFill="1" applyBorder="1"/>
    <xf numFmtId="2" fontId="7" fillId="10" borderId="33" xfId="0" applyNumberFormat="1" applyFont="1" applyFill="1" applyBorder="1"/>
    <xf numFmtId="170" fontId="7" fillId="10" borderId="33" xfId="0" applyNumberFormat="1" applyFont="1" applyFill="1" applyBorder="1"/>
    <xf numFmtId="170" fontId="7" fillId="10" borderId="0" xfId="0" applyNumberFormat="1" applyFont="1" applyFill="1" applyBorder="1"/>
    <xf numFmtId="2" fontId="7" fillId="10" borderId="62" xfId="0" applyNumberFormat="1" applyFont="1" applyFill="1" applyBorder="1" applyAlignment="1">
      <alignment horizontal="center"/>
    </xf>
    <xf numFmtId="171" fontId="30" fillId="10" borderId="33" xfId="0" applyNumberFormat="1" applyFont="1" applyFill="1" applyBorder="1"/>
    <xf numFmtId="171" fontId="30" fillId="10" borderId="0" xfId="0" applyNumberFormat="1" applyFont="1" applyFill="1" applyBorder="1"/>
    <xf numFmtId="171" fontId="7" fillId="10" borderId="33" xfId="0" applyNumberFormat="1" applyFont="1" applyFill="1" applyBorder="1"/>
    <xf numFmtId="171" fontId="7" fillId="10" borderId="0" xfId="0" applyNumberFormat="1" applyFont="1" applyFill="1" applyBorder="1"/>
    <xf numFmtId="170" fontId="7" fillId="10" borderId="62" xfId="0" applyNumberFormat="1" applyFont="1" applyFill="1" applyBorder="1" applyAlignment="1">
      <alignment horizontal="center"/>
    </xf>
    <xf numFmtId="1" fontId="7" fillId="10" borderId="33" xfId="0" applyNumberFormat="1" applyFont="1" applyFill="1" applyBorder="1"/>
    <xf numFmtId="171" fontId="7" fillId="10" borderId="62" xfId="0" applyNumberFormat="1" applyFont="1" applyFill="1" applyBorder="1" applyAlignment="1">
      <alignment horizontal="center"/>
    </xf>
    <xf numFmtId="0" fontId="0" fillId="10" borderId="15" xfId="0" applyFill="1" applyBorder="1"/>
    <xf numFmtId="170" fontId="7" fillId="10" borderId="14" xfId="0" applyNumberFormat="1" applyFont="1" applyFill="1" applyBorder="1"/>
    <xf numFmtId="0" fontId="9" fillId="10" borderId="16" xfId="0" applyFont="1" applyFill="1" applyBorder="1" applyAlignment="1">
      <alignment horizontal="center" vertical="center"/>
    </xf>
    <xf numFmtId="0" fontId="0" fillId="10" borderId="16" xfId="0" applyFill="1" applyBorder="1" applyAlignment="1">
      <alignment horizontal="center"/>
    </xf>
    <xf numFmtId="0" fontId="0" fillId="11" borderId="0" xfId="0" applyFill="1" applyBorder="1" applyAlignment="1">
      <alignment horizontal="center"/>
    </xf>
    <xf numFmtId="0" fontId="0" fillId="11" borderId="15" xfId="0" applyFill="1" applyBorder="1"/>
    <xf numFmtId="0" fontId="0" fillId="11" borderId="16" xfId="0" applyFill="1" applyBorder="1" applyAlignment="1">
      <alignment horizontal="center"/>
    </xf>
    <xf numFmtId="0" fontId="7" fillId="11" borderId="38" xfId="0" applyFont="1" applyFill="1" applyBorder="1" applyAlignment="1">
      <alignment horizontal="center" wrapText="1"/>
    </xf>
    <xf numFmtId="0" fontId="7" fillId="11" borderId="17" xfId="0" applyFont="1" applyFill="1" applyBorder="1" applyAlignment="1">
      <alignment horizontal="center" wrapText="1"/>
    </xf>
    <xf numFmtId="169" fontId="7" fillId="11" borderId="33" xfId="0" applyNumberFormat="1" applyFont="1" applyFill="1" applyBorder="1"/>
    <xf numFmtId="169" fontId="7" fillId="11" borderId="62" xfId="0" applyNumberFormat="1" applyFont="1" applyFill="1" applyBorder="1" applyAlignment="1">
      <alignment horizontal="center"/>
    </xf>
    <xf numFmtId="2" fontId="7" fillId="11" borderId="33" xfId="0" applyNumberFormat="1" applyFont="1" applyFill="1" applyBorder="1"/>
    <xf numFmtId="170" fontId="7" fillId="11" borderId="33" xfId="0" applyNumberFormat="1" applyFont="1" applyFill="1" applyBorder="1"/>
    <xf numFmtId="170" fontId="7" fillId="11" borderId="0" xfId="0" applyNumberFormat="1" applyFont="1" applyFill="1" applyBorder="1"/>
    <xf numFmtId="170" fontId="7" fillId="11" borderId="62" xfId="0" applyNumberFormat="1" applyFont="1" applyFill="1" applyBorder="1" applyAlignment="1">
      <alignment horizontal="center"/>
    </xf>
    <xf numFmtId="171" fontId="30" fillId="11" borderId="33" xfId="0" applyNumberFormat="1" applyFont="1" applyFill="1" applyBorder="1"/>
    <xf numFmtId="171" fontId="30" fillId="11" borderId="0" xfId="0" applyNumberFormat="1" applyFont="1" applyFill="1" applyBorder="1"/>
    <xf numFmtId="171" fontId="7" fillId="11" borderId="33" xfId="0" applyNumberFormat="1" applyFont="1" applyFill="1" applyBorder="1"/>
    <xf numFmtId="171" fontId="7" fillId="11" borderId="0" xfId="0" applyNumberFormat="1" applyFont="1" applyFill="1" applyBorder="1"/>
    <xf numFmtId="1" fontId="7" fillId="11" borderId="33" xfId="0" applyNumberFormat="1" applyFont="1" applyFill="1" applyBorder="1"/>
    <xf numFmtId="0" fontId="9" fillId="11" borderId="0" xfId="0" applyFont="1" applyFill="1" applyBorder="1" applyAlignment="1">
      <alignment horizontal="left" vertical="center"/>
    </xf>
    <xf numFmtId="0" fontId="9" fillId="11" borderId="0" xfId="0" applyFont="1" applyFill="1" applyBorder="1" applyAlignment="1">
      <alignment horizontal="center" vertical="center"/>
    </xf>
    <xf numFmtId="169" fontId="7" fillId="10" borderId="0" xfId="0" applyNumberFormat="1" applyFont="1" applyFill="1" applyBorder="1" applyAlignment="1">
      <alignment horizontal="center"/>
    </xf>
    <xf numFmtId="170" fontId="7" fillId="10" borderId="0" xfId="0" applyNumberFormat="1" applyFont="1" applyFill="1" applyBorder="1" applyAlignment="1">
      <alignment horizontal="center"/>
    </xf>
    <xf numFmtId="169" fontId="7" fillId="10" borderId="36" xfId="0" applyNumberFormat="1" applyFont="1" applyFill="1" applyBorder="1"/>
    <xf numFmtId="170" fontId="7" fillId="10" borderId="36" xfId="0" applyNumberFormat="1" applyFont="1" applyFill="1" applyBorder="1"/>
    <xf numFmtId="170" fontId="7" fillId="11" borderId="14" xfId="0" applyNumberFormat="1" applyFont="1" applyFill="1" applyBorder="1"/>
    <xf numFmtId="169" fontId="7" fillId="11" borderId="2" xfId="0" applyNumberFormat="1" applyFont="1" applyFill="1" applyBorder="1"/>
    <xf numFmtId="170" fontId="7" fillId="11" borderId="2" xfId="0" applyNumberFormat="1" applyFont="1" applyFill="1" applyBorder="1"/>
    <xf numFmtId="0" fontId="9" fillId="11" borderId="16" xfId="0" applyFont="1" applyFill="1" applyBorder="1" applyAlignment="1">
      <alignment horizontal="center" vertical="center"/>
    </xf>
    <xf numFmtId="169" fontId="7" fillId="11" borderId="0" xfId="0" applyNumberFormat="1" applyFont="1" applyFill="1" applyBorder="1" applyAlignment="1">
      <alignment horizontal="center"/>
    </xf>
    <xf numFmtId="170" fontId="7" fillId="11" borderId="0" xfId="0" applyNumberFormat="1" applyFont="1" applyFill="1" applyBorder="1" applyAlignment="1">
      <alignment horizontal="center"/>
    </xf>
    <xf numFmtId="49" fontId="0" fillId="0" borderId="0" xfId="0" applyNumberFormat="1" applyFill="1" applyBorder="1" applyAlignment="1">
      <alignment vertical="center"/>
    </xf>
    <xf numFmtId="0" fontId="10" fillId="6" borderId="1" xfId="0" applyFont="1" applyFill="1" applyBorder="1" applyAlignment="1">
      <alignment horizontal="left"/>
    </xf>
    <xf numFmtId="170" fontId="27" fillId="10" borderId="0" xfId="0" applyNumberFormat="1" applyFont="1" applyFill="1" applyBorder="1" applyAlignment="1">
      <alignment horizontal="center"/>
    </xf>
    <xf numFmtId="2" fontId="7" fillId="11" borderId="62" xfId="0" applyNumberFormat="1" applyFont="1" applyFill="1" applyBorder="1" applyAlignment="1">
      <alignment horizontal="center"/>
    </xf>
    <xf numFmtId="2" fontId="7" fillId="3" borderId="62" xfId="0" applyNumberFormat="1" applyFont="1" applyFill="1" applyBorder="1" applyAlignment="1">
      <alignment horizontal="center"/>
    </xf>
    <xf numFmtId="0" fontId="7" fillId="6" borderId="45" xfId="0" applyFont="1" applyFill="1" applyBorder="1" applyAlignment="1">
      <alignment horizontal="left" vertical="center" indent="2"/>
    </xf>
    <xf numFmtId="0" fontId="7" fillId="3" borderId="13" xfId="0" applyFont="1" applyFill="1" applyBorder="1"/>
    <xf numFmtId="0" fontId="0" fillId="3" borderId="13" xfId="0" applyFill="1" applyBorder="1"/>
    <xf numFmtId="0" fontId="0" fillId="3" borderId="12" xfId="0" applyFill="1" applyBorder="1"/>
    <xf numFmtId="164" fontId="7" fillId="3" borderId="16" xfId="1" applyNumberFormat="1" applyFont="1" applyFill="1" applyBorder="1" applyAlignment="1" applyProtection="1">
      <alignment horizontal="center"/>
    </xf>
    <xf numFmtId="0" fontId="13" fillId="6" borderId="26" xfId="0" applyFont="1" applyFill="1" applyBorder="1" applyAlignment="1">
      <alignment horizontal="left" vertical="center" indent="2"/>
    </xf>
    <xf numFmtId="9" fontId="13" fillId="7" borderId="35" xfId="0" applyNumberFormat="1" applyFont="1" applyFill="1" applyBorder="1" applyAlignment="1">
      <alignment horizontal="center"/>
    </xf>
    <xf numFmtId="9" fontId="7" fillId="7" borderId="16" xfId="4" applyFont="1" applyFill="1" applyBorder="1" applyAlignment="1">
      <alignment horizontal="center"/>
    </xf>
    <xf numFmtId="0" fontId="7" fillId="3" borderId="35" xfId="0" applyNumberFormat="1" applyFont="1" applyFill="1" applyBorder="1" applyAlignment="1">
      <alignment horizontal="center"/>
    </xf>
    <xf numFmtId="0" fontId="7" fillId="3" borderId="16" xfId="0" applyNumberFormat="1" applyFont="1" applyFill="1" applyBorder="1" applyAlignment="1">
      <alignment horizontal="center"/>
    </xf>
    <xf numFmtId="0" fontId="7" fillId="3" borderId="16" xfId="0" applyNumberFormat="1" applyFont="1" applyFill="1" applyBorder="1"/>
    <xf numFmtId="9" fontId="7" fillId="3" borderId="21" xfId="0" applyNumberFormat="1" applyFont="1" applyFill="1" applyBorder="1" applyAlignment="1">
      <alignment horizontal="center"/>
    </xf>
    <xf numFmtId="168" fontId="13" fillId="7" borderId="35" xfId="0" applyNumberFormat="1" applyFont="1" applyFill="1" applyBorder="1" applyAlignment="1">
      <alignment horizontal="center" vertical="center"/>
    </xf>
    <xf numFmtId="9" fontId="7" fillId="7" borderId="16" xfId="4" applyFont="1" applyFill="1" applyBorder="1" applyAlignment="1">
      <alignment horizontal="center" vertical="center"/>
    </xf>
    <xf numFmtId="0" fontId="7" fillId="7" borderId="15"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37" xfId="0" applyFont="1" applyFill="1" applyBorder="1" applyAlignment="1">
      <alignment horizontal="center" vertical="center" wrapText="1"/>
    </xf>
    <xf numFmtId="168" fontId="7" fillId="3" borderId="16" xfId="0" applyNumberFormat="1" applyFont="1" applyFill="1" applyBorder="1" applyAlignment="1">
      <alignment horizontal="center" vertical="center"/>
    </xf>
    <xf numFmtId="9" fontId="7" fillId="3" borderId="16" xfId="4" applyFont="1" applyFill="1" applyBorder="1" applyAlignment="1">
      <alignment horizontal="center"/>
    </xf>
    <xf numFmtId="0" fontId="7" fillId="3" borderId="0" xfId="4" applyNumberFormat="1" applyFont="1" applyFill="1" applyBorder="1"/>
    <xf numFmtId="164" fontId="7" fillId="11" borderId="62" xfId="1" applyNumberFormat="1" applyFont="1" applyFill="1" applyBorder="1" applyAlignment="1" applyProtection="1">
      <alignment horizontal="center"/>
    </xf>
    <xf numFmtId="164" fontId="7" fillId="10" borderId="62" xfId="1" applyNumberFormat="1" applyFont="1" applyFill="1" applyBorder="1" applyAlignment="1" applyProtection="1">
      <alignment horizontal="center"/>
    </xf>
    <xf numFmtId="0" fontId="7" fillId="11" borderId="13" xfId="0" applyFont="1" applyFill="1" applyBorder="1"/>
    <xf numFmtId="0" fontId="7" fillId="11" borderId="0" xfId="4" applyNumberFormat="1" applyFont="1" applyFill="1" applyBorder="1"/>
    <xf numFmtId="164" fontId="7" fillId="11" borderId="16" xfId="1" applyNumberFormat="1" applyFont="1" applyFill="1" applyBorder="1" applyAlignment="1" applyProtection="1">
      <alignment horizontal="center"/>
    </xf>
    <xf numFmtId="0" fontId="0" fillId="11" borderId="13" xfId="0" applyFill="1" applyBorder="1"/>
    <xf numFmtId="0" fontId="0" fillId="11" borderId="12" xfId="0" applyFill="1" applyBorder="1"/>
    <xf numFmtId="0" fontId="0" fillId="0" borderId="0" xfId="0" applyAlignment="1">
      <alignment horizontal="left" indent="2"/>
    </xf>
    <xf numFmtId="0" fontId="8" fillId="0" borderId="0" xfId="0" applyFont="1" applyFill="1" applyBorder="1" applyAlignment="1">
      <alignment horizontal="left" vertical="center"/>
    </xf>
    <xf numFmtId="0" fontId="7" fillId="0" borderId="24" xfId="0" applyFont="1" applyBorder="1"/>
    <xf numFmtId="0" fontId="0" fillId="10" borderId="24" xfId="0" applyFill="1" applyBorder="1" applyAlignment="1">
      <alignment horizontal="center"/>
    </xf>
    <xf numFmtId="0" fontId="7" fillId="0" borderId="1" xfId="0" applyFont="1" applyFill="1" applyBorder="1" applyAlignment="1">
      <alignment horizontal="left"/>
    </xf>
    <xf numFmtId="0" fontId="8" fillId="7" borderId="0" xfId="0" applyFont="1" applyFill="1" applyBorder="1"/>
    <xf numFmtId="170" fontId="8" fillId="7" borderId="0" xfId="0" applyNumberFormat="1" applyFont="1" applyFill="1" applyBorder="1" applyAlignment="1">
      <alignment horizontal="center"/>
    </xf>
    <xf numFmtId="0" fontId="8" fillId="7" borderId="0" xfId="0" applyFont="1" applyFill="1" applyBorder="1" applyAlignment="1">
      <alignment horizontal="center"/>
    </xf>
    <xf numFmtId="0" fontId="8" fillId="7" borderId="36" xfId="0" applyFont="1" applyFill="1" applyBorder="1"/>
    <xf numFmtId="0" fontId="8" fillId="3" borderId="33" xfId="0" applyFont="1" applyFill="1" applyBorder="1"/>
    <xf numFmtId="0" fontId="8" fillId="3" borderId="0" xfId="0" applyFont="1" applyFill="1" applyBorder="1"/>
    <xf numFmtId="170" fontId="8" fillId="3" borderId="0" xfId="0" applyNumberFormat="1" applyFont="1" applyFill="1" applyBorder="1" applyAlignment="1">
      <alignment horizontal="center"/>
    </xf>
    <xf numFmtId="169" fontId="8" fillId="7" borderId="0" xfId="0" applyNumberFormat="1" applyFont="1" applyFill="1" applyBorder="1"/>
    <xf numFmtId="169" fontId="8" fillId="3" borderId="0" xfId="0" applyNumberFormat="1" applyFont="1" applyFill="1" applyBorder="1"/>
    <xf numFmtId="0" fontId="0" fillId="11" borderId="25" xfId="0" applyFill="1" applyBorder="1" applyAlignment="1">
      <alignment vertical="center"/>
    </xf>
    <xf numFmtId="164" fontId="28" fillId="7" borderId="0" xfId="1" applyNumberFormat="1" applyFont="1" applyFill="1" applyBorder="1"/>
    <xf numFmtId="164" fontId="28" fillId="3" borderId="0" xfId="1" applyNumberFormat="1" applyFont="1" applyFill="1" applyBorder="1"/>
    <xf numFmtId="164" fontId="28" fillId="10" borderId="0" xfId="1" applyNumberFormat="1" applyFont="1" applyFill="1" applyBorder="1"/>
    <xf numFmtId="164" fontId="28" fillId="11" borderId="0" xfId="1" applyNumberFormat="1" applyFont="1" applyFill="1" applyBorder="1"/>
    <xf numFmtId="171" fontId="0" fillId="7" borderId="0" xfId="0" applyNumberFormat="1" applyFill="1" applyBorder="1"/>
    <xf numFmtId="171" fontId="0" fillId="3" borderId="0" xfId="0" applyNumberFormat="1" applyFill="1" applyBorder="1"/>
    <xf numFmtId="171" fontId="0" fillId="10" borderId="0" xfId="0" applyNumberFormat="1" applyFill="1" applyBorder="1"/>
    <xf numFmtId="171" fontId="0" fillId="11" borderId="0" xfId="0" applyNumberFormat="1" applyFill="1" applyBorder="1"/>
    <xf numFmtId="0" fontId="8" fillId="10" borderId="0" xfId="0" applyFont="1" applyFill="1" applyBorder="1"/>
    <xf numFmtId="170" fontId="8" fillId="10" borderId="0" xfId="0" applyNumberFormat="1" applyFont="1" applyFill="1" applyBorder="1" applyAlignment="1">
      <alignment horizontal="center"/>
    </xf>
    <xf numFmtId="169" fontId="8" fillId="10" borderId="0" xfId="0" applyNumberFormat="1" applyFont="1" applyFill="1" applyBorder="1"/>
    <xf numFmtId="0" fontId="8" fillId="10" borderId="36" xfId="0" applyFont="1" applyFill="1" applyBorder="1"/>
    <xf numFmtId="0" fontId="8" fillId="11" borderId="0" xfId="0" applyFont="1" applyFill="1" applyBorder="1"/>
    <xf numFmtId="170" fontId="8" fillId="11" borderId="0" xfId="0" applyNumberFormat="1" applyFont="1" applyFill="1" applyBorder="1" applyAlignment="1">
      <alignment horizontal="center"/>
    </xf>
    <xf numFmtId="169" fontId="8" fillId="11" borderId="0" xfId="0" applyNumberFormat="1" applyFont="1" applyFill="1" applyBorder="1"/>
    <xf numFmtId="9" fontId="13" fillId="10" borderId="0" xfId="0" applyNumberFormat="1" applyFont="1" applyFill="1" applyBorder="1" applyAlignment="1">
      <alignment horizontal="center" vertical="center"/>
    </xf>
    <xf numFmtId="9" fontId="10" fillId="10" borderId="0" xfId="0" applyNumberFormat="1" applyFont="1" applyFill="1" applyBorder="1" applyAlignment="1">
      <alignment horizontal="center" vertical="center"/>
    </xf>
    <xf numFmtId="0" fontId="8" fillId="10" borderId="0" xfId="0" applyFont="1" applyFill="1"/>
    <xf numFmtId="0" fontId="7" fillId="3" borderId="0" xfId="0" applyFont="1" applyFill="1" applyBorder="1" applyAlignment="1" applyProtection="1">
      <alignment horizontal="left"/>
    </xf>
    <xf numFmtId="0" fontId="0" fillId="0" borderId="68" xfId="0" applyBorder="1"/>
    <xf numFmtId="9" fontId="7" fillId="7" borderId="0" xfId="4" applyFont="1" applyFill="1" applyBorder="1" applyAlignment="1">
      <alignment horizontal="center"/>
    </xf>
    <xf numFmtId="0" fontId="7" fillId="3" borderId="0" xfId="0" applyFont="1" applyFill="1" applyBorder="1" applyAlignment="1">
      <alignment horizontal="left"/>
    </xf>
    <xf numFmtId="0" fontId="7" fillId="3" borderId="0" xfId="0" applyFont="1" applyFill="1" applyBorder="1" applyAlignment="1" applyProtection="1">
      <alignment horizontal="left"/>
    </xf>
    <xf numFmtId="0" fontId="7" fillId="0" borderId="23" xfId="0" applyFont="1" applyFill="1" applyBorder="1" applyAlignment="1" applyProtection="1">
      <alignment horizontal="center"/>
      <protection locked="0"/>
    </xf>
    <xf numFmtId="0" fontId="7" fillId="6" borderId="40" xfId="0" applyFont="1" applyFill="1" applyBorder="1"/>
    <xf numFmtId="0" fontId="7" fillId="6" borderId="45" xfId="0" quotePrefix="1" applyFont="1" applyFill="1" applyBorder="1" applyAlignment="1">
      <alignment horizontal="left" indent="2"/>
    </xf>
    <xf numFmtId="171" fontId="7" fillId="3" borderId="62" xfId="0" applyNumberFormat="1" applyFont="1" applyFill="1" applyBorder="1" applyAlignment="1">
      <alignment horizontal="center"/>
    </xf>
    <xf numFmtId="171" fontId="7" fillId="11" borderId="62" xfId="0" applyNumberFormat="1" applyFont="1" applyFill="1" applyBorder="1" applyAlignment="1">
      <alignment horizontal="center"/>
    </xf>
    <xf numFmtId="0" fontId="0" fillId="10" borderId="0" xfId="0" applyFill="1" applyBorder="1" applyProtection="1"/>
    <xf numFmtId="0" fontId="0" fillId="10" borderId="18" xfId="0" applyFill="1" applyBorder="1" applyProtection="1"/>
    <xf numFmtId="0" fontId="0" fillId="11" borderId="0" xfId="0" applyFill="1" applyBorder="1" applyProtection="1"/>
    <xf numFmtId="0" fontId="0" fillId="11" borderId="18" xfId="0" applyFill="1" applyBorder="1" applyProtection="1"/>
    <xf numFmtId="164" fontId="0" fillId="7" borderId="0" xfId="1" applyNumberFormat="1" applyFont="1" applyFill="1" applyBorder="1"/>
    <xf numFmtId="165" fontId="7" fillId="7" borderId="0" xfId="1" applyNumberFormat="1" applyFont="1" applyFill="1" applyBorder="1"/>
    <xf numFmtId="43" fontId="0" fillId="7" borderId="0" xfId="1" applyNumberFormat="1" applyFont="1" applyFill="1" applyBorder="1"/>
    <xf numFmtId="165" fontId="0" fillId="7" borderId="0" xfId="1" applyNumberFormat="1" applyFont="1" applyFill="1"/>
    <xf numFmtId="165" fontId="0" fillId="3" borderId="0" xfId="1" applyNumberFormat="1" applyFont="1" applyFill="1"/>
    <xf numFmtId="165" fontId="7" fillId="3" borderId="0" xfId="1" applyNumberFormat="1" applyFont="1" applyFill="1" applyBorder="1"/>
    <xf numFmtId="43" fontId="0" fillId="3" borderId="0" xfId="1" applyNumberFormat="1" applyFont="1" applyFill="1" applyBorder="1"/>
    <xf numFmtId="164" fontId="0" fillId="3" borderId="0" xfId="1" applyNumberFormat="1" applyFont="1" applyFill="1" applyBorder="1"/>
    <xf numFmtId="165" fontId="0" fillId="10" borderId="0" xfId="1" applyNumberFormat="1" applyFont="1" applyFill="1"/>
    <xf numFmtId="165" fontId="7" fillId="10" borderId="0" xfId="1" applyNumberFormat="1" applyFont="1" applyFill="1" applyBorder="1"/>
    <xf numFmtId="43" fontId="0" fillId="10" borderId="0" xfId="1" applyNumberFormat="1" applyFont="1" applyFill="1" applyBorder="1"/>
    <xf numFmtId="164" fontId="0" fillId="10" borderId="0" xfId="1" applyNumberFormat="1" applyFont="1" applyFill="1" applyBorder="1"/>
    <xf numFmtId="165" fontId="0" fillId="11" borderId="0" xfId="1" applyNumberFormat="1" applyFont="1" applyFill="1"/>
    <xf numFmtId="165" fontId="7" fillId="11" borderId="0" xfId="1" applyNumberFormat="1" applyFont="1" applyFill="1" applyBorder="1"/>
    <xf numFmtId="43" fontId="0" fillId="11" borderId="0" xfId="1" applyNumberFormat="1" applyFont="1" applyFill="1" applyBorder="1"/>
    <xf numFmtId="164" fontId="0" fillId="11" borderId="0" xfId="1" applyNumberFormat="1" applyFont="1" applyFill="1" applyBorder="1"/>
    <xf numFmtId="43" fontId="7" fillId="7" borderId="0" xfId="1" applyNumberFormat="1" applyFont="1" applyFill="1" applyBorder="1"/>
    <xf numFmtId="43" fontId="7" fillId="3" borderId="0" xfId="1" applyNumberFormat="1" applyFont="1" applyFill="1" applyBorder="1"/>
    <xf numFmtId="166" fontId="0" fillId="3" borderId="0" xfId="1" applyNumberFormat="1" applyFont="1" applyFill="1" applyBorder="1"/>
    <xf numFmtId="167" fontId="0" fillId="3" borderId="0" xfId="1" applyNumberFormat="1" applyFont="1" applyFill="1" applyBorder="1"/>
    <xf numFmtId="166" fontId="0" fillId="7" borderId="0" xfId="1" applyNumberFormat="1" applyFont="1" applyFill="1" applyBorder="1"/>
    <xf numFmtId="167" fontId="0" fillId="7" borderId="0" xfId="1" applyNumberFormat="1" applyFont="1" applyFill="1" applyBorder="1"/>
    <xf numFmtId="43" fontId="0" fillId="7" borderId="0" xfId="1" applyNumberFormat="1" applyFont="1" applyFill="1"/>
    <xf numFmtId="43" fontId="0" fillId="3" borderId="0" xfId="1" applyNumberFormat="1" applyFont="1" applyFill="1"/>
    <xf numFmtId="43" fontId="0" fillId="10" borderId="0" xfId="1" applyNumberFormat="1" applyFont="1" applyFill="1"/>
    <xf numFmtId="43" fontId="0" fillId="11" borderId="0" xfId="1" applyNumberFormat="1" applyFont="1" applyFill="1"/>
    <xf numFmtId="43" fontId="7" fillId="11" borderId="0" xfId="1" applyNumberFormat="1" applyFont="1" applyFill="1" applyBorder="1"/>
    <xf numFmtId="43" fontId="7" fillId="10" borderId="0" xfId="1" applyNumberFormat="1" applyFont="1" applyFill="1" applyBorder="1"/>
    <xf numFmtId="166" fontId="0" fillId="10" borderId="0" xfId="1" applyNumberFormat="1" applyFont="1" applyFill="1" applyBorder="1"/>
    <xf numFmtId="166" fontId="0" fillId="11" borderId="0" xfId="1" applyNumberFormat="1" applyFont="1" applyFill="1" applyBorder="1"/>
    <xf numFmtId="167" fontId="0" fillId="11" borderId="0" xfId="1" applyNumberFormat="1" applyFont="1" applyFill="1" applyBorder="1"/>
    <xf numFmtId="167" fontId="0" fillId="10" borderId="0" xfId="1" applyNumberFormat="1" applyFont="1" applyFill="1" applyBorder="1"/>
    <xf numFmtId="0" fontId="9" fillId="6" borderId="45" xfId="0" applyFont="1" applyFill="1" applyBorder="1" applyAlignment="1">
      <alignment wrapText="1"/>
    </xf>
    <xf numFmtId="43" fontId="7" fillId="7" borderId="0" xfId="1" applyNumberFormat="1" applyFont="1" applyFill="1" applyBorder="1" applyAlignment="1">
      <alignment horizontal="right"/>
    </xf>
    <xf numFmtId="43" fontId="7" fillId="11" borderId="0" xfId="1" applyNumberFormat="1" applyFont="1" applyFill="1" applyBorder="1" applyAlignment="1">
      <alignment horizontal="right"/>
    </xf>
    <xf numFmtId="43" fontId="7" fillId="3" borderId="0" xfId="1" applyNumberFormat="1" applyFont="1" applyFill="1" applyBorder="1" applyAlignment="1">
      <alignment horizontal="right"/>
    </xf>
    <xf numFmtId="43" fontId="7" fillId="10" borderId="0" xfId="1" applyNumberFormat="1" applyFont="1" applyFill="1" applyBorder="1" applyAlignment="1">
      <alignment horizontal="right"/>
    </xf>
    <xf numFmtId="165" fontId="0" fillId="10" borderId="0" xfId="1" applyNumberFormat="1" applyFont="1" applyFill="1" applyBorder="1"/>
    <xf numFmtId="1" fontId="0" fillId="0" borderId="0" xfId="0" applyNumberFormat="1"/>
    <xf numFmtId="164" fontId="0" fillId="0" borderId="0" xfId="0" applyNumberFormat="1"/>
    <xf numFmtId="43" fontId="0" fillId="0" borderId="0" xfId="0" applyNumberFormat="1"/>
    <xf numFmtId="167" fontId="0" fillId="0" borderId="0" xfId="0" applyNumberFormat="1"/>
    <xf numFmtId="0" fontId="7" fillId="5" borderId="23" xfId="0" applyFont="1" applyFill="1" applyBorder="1" applyAlignment="1" applyProtection="1">
      <alignment horizontal="center" vertical="center"/>
      <protection locked="0"/>
    </xf>
    <xf numFmtId="0" fontId="13" fillId="7" borderId="16" xfId="0" applyFont="1" applyFill="1" applyBorder="1" applyAlignment="1">
      <alignment horizontal="center"/>
    </xf>
    <xf numFmtId="0" fontId="7" fillId="0" borderId="23" xfId="0" applyFont="1" applyFill="1" applyBorder="1" applyAlignment="1" applyProtection="1">
      <alignment horizontal="center" vertical="center"/>
      <protection locked="0"/>
    </xf>
    <xf numFmtId="0" fontId="13" fillId="3" borderId="16" xfId="0" applyFont="1" applyFill="1" applyBorder="1" applyAlignment="1">
      <alignment horizontal="center"/>
    </xf>
    <xf numFmtId="0" fontId="7" fillId="5" borderId="23" xfId="0" applyNumberFormat="1" applyFont="1" applyFill="1" applyBorder="1" applyAlignment="1" applyProtection="1">
      <alignment horizontal="center" vertical="center"/>
      <protection locked="0"/>
    </xf>
    <xf numFmtId="0" fontId="13" fillId="7" borderId="0" xfId="0" applyFont="1" applyFill="1" applyBorder="1" applyAlignment="1" applyProtection="1">
      <alignment horizontal="center" vertical="center"/>
    </xf>
    <xf numFmtId="0" fontId="13" fillId="7" borderId="0" xfId="0" applyNumberFormat="1" applyFont="1" applyFill="1" applyBorder="1" applyAlignment="1" applyProtection="1">
      <alignment horizontal="center" vertical="center"/>
    </xf>
    <xf numFmtId="0" fontId="13" fillId="7" borderId="0" xfId="0" applyNumberFormat="1" applyFont="1" applyFill="1" applyBorder="1" applyAlignment="1" applyProtection="1">
      <alignment horizontal="center"/>
    </xf>
    <xf numFmtId="0" fontId="13" fillId="7" borderId="0" xfId="0" applyFont="1" applyFill="1" applyBorder="1" applyProtection="1"/>
    <xf numFmtId="0" fontId="0" fillId="7" borderId="18" xfId="0" applyFill="1" applyBorder="1" applyProtection="1"/>
    <xf numFmtId="9" fontId="13" fillId="7" borderId="0" xfId="0" applyNumberFormat="1" applyFont="1" applyFill="1" applyBorder="1" applyAlignment="1" applyProtection="1">
      <alignment horizontal="center" vertical="center"/>
    </xf>
    <xf numFmtId="43" fontId="13" fillId="7" borderId="0" xfId="1" applyFont="1" applyFill="1" applyBorder="1" applyAlignment="1" applyProtection="1">
      <alignment horizontal="center" vertical="center"/>
    </xf>
    <xf numFmtId="43" fontId="13" fillId="7" borderId="0" xfId="1" applyFont="1" applyFill="1" applyBorder="1" applyAlignment="1" applyProtection="1">
      <alignment horizontal="center"/>
    </xf>
    <xf numFmtId="43" fontId="13" fillId="7" borderId="0" xfId="0" applyNumberFormat="1" applyFont="1" applyFill="1" applyBorder="1" applyProtection="1"/>
    <xf numFmtId="167" fontId="13" fillId="7" borderId="0" xfId="0" applyNumberFormat="1" applyFont="1" applyFill="1" applyBorder="1" applyProtection="1"/>
    <xf numFmtId="43" fontId="13" fillId="7" borderId="0" xfId="0" applyNumberFormat="1" applyFont="1" applyFill="1" applyBorder="1" applyAlignment="1" applyProtection="1">
      <alignment horizontal="center"/>
    </xf>
    <xf numFmtId="0" fontId="0" fillId="7" borderId="0" xfId="0" applyFill="1" applyBorder="1" applyProtection="1"/>
    <xf numFmtId="43" fontId="13" fillId="7" borderId="0" xfId="0" applyNumberFormat="1" applyFont="1" applyFill="1" applyBorder="1" applyAlignment="1" applyProtection="1"/>
    <xf numFmtId="166" fontId="13" fillId="7" borderId="0" xfId="0" applyNumberFormat="1" applyFont="1" applyFill="1" applyBorder="1" applyProtection="1"/>
    <xf numFmtId="43" fontId="10" fillId="7" borderId="0" xfId="1" applyFont="1" applyFill="1" applyBorder="1" applyAlignment="1" applyProtection="1">
      <alignment horizontal="center" vertical="center"/>
    </xf>
    <xf numFmtId="43" fontId="10" fillId="7" borderId="0" xfId="1" applyFont="1" applyFill="1" applyBorder="1" applyAlignment="1" applyProtection="1">
      <alignment horizontal="center"/>
    </xf>
    <xf numFmtId="43" fontId="10" fillId="7" borderId="0" xfId="0" applyNumberFormat="1" applyFont="1" applyFill="1" applyBorder="1" applyProtection="1"/>
    <xf numFmtId="167" fontId="10" fillId="7" borderId="0" xfId="0" applyNumberFormat="1" applyFont="1" applyFill="1" applyBorder="1" applyProtection="1"/>
    <xf numFmtId="0" fontId="8" fillId="7" borderId="0" xfId="0" applyFont="1" applyFill="1" applyBorder="1" applyProtection="1"/>
    <xf numFmtId="9" fontId="13" fillId="7" borderId="0" xfId="0" applyNumberFormat="1" applyFont="1" applyFill="1" applyBorder="1" applyAlignment="1" applyProtection="1">
      <alignment horizontal="right" vertical="center"/>
    </xf>
    <xf numFmtId="0" fontId="13" fillId="7" borderId="0" xfId="0" applyNumberFormat="1" applyFont="1" applyFill="1" applyBorder="1" applyProtection="1"/>
    <xf numFmtId="0" fontId="10" fillId="7" borderId="0" xfId="0" applyFont="1" applyFill="1" applyBorder="1" applyProtection="1"/>
    <xf numFmtId="0" fontId="13" fillId="7" borderId="0" xfId="0" applyNumberFormat="1" applyFont="1" applyFill="1" applyBorder="1" applyAlignment="1" applyProtection="1">
      <alignment horizontal="left"/>
    </xf>
    <xf numFmtId="0" fontId="10" fillId="7" borderId="0" xfId="0" applyNumberFormat="1" applyFont="1" applyFill="1" applyBorder="1" applyProtection="1"/>
    <xf numFmtId="0" fontId="10" fillId="7" borderId="0" xfId="0" applyNumberFormat="1" applyFont="1" applyFill="1" applyBorder="1" applyAlignment="1" applyProtection="1">
      <alignment horizontal="center"/>
    </xf>
    <xf numFmtId="0" fontId="13" fillId="7" borderId="0" xfId="0" applyNumberFormat="1" applyFont="1" applyFill="1" applyBorder="1" applyAlignment="1" applyProtection="1">
      <alignment horizontal="left" vertical="center"/>
    </xf>
    <xf numFmtId="0" fontId="10" fillId="7" borderId="0" xfId="0" applyNumberFormat="1" applyFont="1" applyFill="1" applyBorder="1" applyAlignment="1" applyProtection="1">
      <alignment horizontal="center" vertical="center"/>
    </xf>
    <xf numFmtId="0" fontId="13" fillId="3" borderId="0" xfId="0" applyFont="1" applyFill="1" applyBorder="1" applyAlignment="1" applyProtection="1">
      <alignment horizontal="center" vertical="center"/>
    </xf>
    <xf numFmtId="0" fontId="13" fillId="3" borderId="0" xfId="0" applyNumberFormat="1" applyFont="1" applyFill="1" applyBorder="1" applyAlignment="1" applyProtection="1">
      <alignment horizontal="center" vertical="center"/>
    </xf>
    <xf numFmtId="0" fontId="13" fillId="3" borderId="0" xfId="0" applyNumberFormat="1" applyFont="1" applyFill="1" applyBorder="1" applyAlignment="1" applyProtection="1">
      <alignment horizontal="center"/>
    </xf>
    <xf numFmtId="0" fontId="13" fillId="3" borderId="0" xfId="0" applyFont="1" applyFill="1" applyBorder="1" applyProtection="1"/>
    <xf numFmtId="0" fontId="0" fillId="3" borderId="18" xfId="0" applyFill="1" applyBorder="1" applyProtection="1"/>
    <xf numFmtId="9" fontId="13" fillId="3" borderId="0" xfId="0" applyNumberFormat="1" applyFont="1" applyFill="1" applyBorder="1" applyAlignment="1" applyProtection="1">
      <alignment horizontal="center" vertical="center"/>
    </xf>
    <xf numFmtId="43" fontId="13" fillId="3" borderId="0" xfId="1" applyFont="1" applyFill="1" applyBorder="1" applyAlignment="1" applyProtection="1">
      <alignment horizontal="center" vertical="center"/>
    </xf>
    <xf numFmtId="43" fontId="13" fillId="3" borderId="0" xfId="1" applyFont="1" applyFill="1" applyBorder="1" applyAlignment="1" applyProtection="1">
      <alignment horizontal="center"/>
    </xf>
    <xf numFmtId="43" fontId="13" fillId="3" borderId="0" xfId="0" applyNumberFormat="1" applyFont="1" applyFill="1" applyBorder="1" applyProtection="1"/>
    <xf numFmtId="167" fontId="13" fillId="3" borderId="0" xfId="0" applyNumberFormat="1" applyFont="1" applyFill="1" applyBorder="1" applyProtection="1"/>
    <xf numFmtId="43" fontId="13" fillId="3" borderId="0" xfId="0" applyNumberFormat="1" applyFont="1" applyFill="1" applyBorder="1" applyAlignment="1" applyProtection="1">
      <alignment horizontal="center"/>
    </xf>
    <xf numFmtId="0" fontId="0" fillId="3" borderId="0" xfId="0" applyFill="1" applyBorder="1" applyProtection="1"/>
    <xf numFmtId="43" fontId="13" fillId="3" borderId="0" xfId="0" applyNumberFormat="1" applyFont="1" applyFill="1" applyBorder="1" applyAlignment="1" applyProtection="1"/>
    <xf numFmtId="166" fontId="13" fillId="3" borderId="0" xfId="0" applyNumberFormat="1" applyFont="1" applyFill="1" applyBorder="1" applyProtection="1"/>
    <xf numFmtId="43" fontId="10" fillId="3" borderId="0" xfId="1" applyFont="1" applyFill="1" applyBorder="1" applyAlignment="1" applyProtection="1">
      <alignment horizontal="center" vertical="center"/>
    </xf>
    <xf numFmtId="43" fontId="10" fillId="3" borderId="0" xfId="1" applyFont="1" applyFill="1" applyBorder="1" applyAlignment="1" applyProtection="1">
      <alignment horizontal="center"/>
    </xf>
    <xf numFmtId="43" fontId="10" fillId="3" borderId="0" xfId="0" applyNumberFormat="1" applyFont="1" applyFill="1" applyBorder="1" applyProtection="1"/>
    <xf numFmtId="167" fontId="10" fillId="3" borderId="0" xfId="0" applyNumberFormat="1" applyFont="1" applyFill="1" applyBorder="1" applyProtection="1"/>
    <xf numFmtId="0" fontId="8" fillId="3" borderId="0" xfId="0" applyFont="1" applyFill="1" applyBorder="1" applyProtection="1"/>
    <xf numFmtId="9" fontId="13" fillId="3" borderId="0" xfId="0" applyNumberFormat="1" applyFont="1" applyFill="1" applyBorder="1" applyAlignment="1" applyProtection="1">
      <alignment horizontal="right" vertical="center"/>
    </xf>
    <xf numFmtId="0" fontId="13" fillId="3" borderId="0" xfId="0" applyNumberFormat="1" applyFont="1" applyFill="1" applyBorder="1" applyProtection="1"/>
    <xf numFmtId="0" fontId="10" fillId="3" borderId="0" xfId="0" applyFont="1" applyFill="1" applyBorder="1" applyProtection="1"/>
    <xf numFmtId="0" fontId="13" fillId="3" borderId="0" xfId="0" applyNumberFormat="1" applyFont="1" applyFill="1" applyBorder="1" applyAlignment="1" applyProtection="1">
      <alignment horizontal="left"/>
    </xf>
    <xf numFmtId="0" fontId="10" fillId="3" borderId="0" xfId="0" applyNumberFormat="1" applyFont="1" applyFill="1" applyBorder="1" applyProtection="1"/>
    <xf numFmtId="0" fontId="10" fillId="3" borderId="0" xfId="0" applyNumberFormat="1" applyFont="1" applyFill="1" applyBorder="1" applyAlignment="1" applyProtection="1">
      <alignment horizontal="center"/>
    </xf>
    <xf numFmtId="0" fontId="13" fillId="3" borderId="0" xfId="0" applyNumberFormat="1" applyFont="1" applyFill="1" applyBorder="1" applyAlignment="1" applyProtection="1">
      <alignment horizontal="left" vertical="center"/>
    </xf>
    <xf numFmtId="0" fontId="10" fillId="3" borderId="0" xfId="0" applyNumberFormat="1" applyFont="1" applyFill="1" applyBorder="1" applyAlignment="1" applyProtection="1">
      <alignment horizontal="center" vertical="center"/>
    </xf>
    <xf numFmtId="0" fontId="12" fillId="6" borderId="18" xfId="0" applyFont="1" applyFill="1" applyBorder="1" applyAlignment="1">
      <alignment horizontal="left" vertical="center" wrapText="1"/>
    </xf>
    <xf numFmtId="0" fontId="12" fillId="6" borderId="0" xfId="0" applyFont="1" applyFill="1" applyBorder="1" applyAlignment="1">
      <alignment horizontal="left" vertical="center" wrapText="1"/>
    </xf>
    <xf numFmtId="0" fontId="15" fillId="7" borderId="33" xfId="0" applyFont="1" applyFill="1" applyBorder="1" applyAlignment="1">
      <alignment horizontal="center"/>
    </xf>
    <xf numFmtId="0" fontId="0" fillId="7" borderId="41" xfId="0" applyFill="1" applyBorder="1" applyProtection="1"/>
    <xf numFmtId="0" fontId="13" fillId="7" borderId="33" xfId="0" applyFont="1" applyFill="1" applyBorder="1"/>
    <xf numFmtId="0" fontId="0" fillId="7" borderId="36" xfId="0" applyFill="1" applyBorder="1" applyProtection="1"/>
    <xf numFmtId="0" fontId="8" fillId="7" borderId="36" xfId="0" applyFont="1" applyFill="1" applyBorder="1" applyProtection="1"/>
    <xf numFmtId="0" fontId="10" fillId="7" borderId="33" xfId="0" applyFont="1" applyFill="1" applyBorder="1" applyAlignment="1">
      <alignment horizontal="right"/>
    </xf>
    <xf numFmtId="0" fontId="12" fillId="6" borderId="28"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0" fillId="3" borderId="19" xfId="0" applyFill="1" applyBorder="1" applyProtection="1"/>
    <xf numFmtId="0" fontId="0" fillId="3" borderId="2" xfId="0" applyFill="1" applyBorder="1" applyProtection="1"/>
    <xf numFmtId="0" fontId="8" fillId="3" borderId="2" xfId="0" applyFont="1" applyFill="1" applyBorder="1" applyProtection="1"/>
    <xf numFmtId="0" fontId="13" fillId="10" borderId="16" xfId="0" applyFont="1" applyFill="1" applyBorder="1" applyAlignment="1">
      <alignment horizontal="center"/>
    </xf>
    <xf numFmtId="0" fontId="13" fillId="11" borderId="16" xfId="0" applyFont="1" applyFill="1" applyBorder="1" applyAlignment="1">
      <alignment horizontal="center"/>
    </xf>
    <xf numFmtId="0" fontId="9" fillId="7" borderId="14" xfId="0" applyFont="1" applyFill="1" applyBorder="1" applyAlignment="1">
      <alignment vertical="center"/>
    </xf>
    <xf numFmtId="164" fontId="7" fillId="7" borderId="14" xfId="0" applyNumberFormat="1" applyFont="1" applyFill="1" applyBorder="1" applyAlignment="1">
      <alignment horizontal="right"/>
    </xf>
    <xf numFmtId="0" fontId="9" fillId="3" borderId="14" xfId="0" applyFont="1" applyFill="1" applyBorder="1" applyAlignment="1">
      <alignment vertical="center"/>
    </xf>
    <xf numFmtId="164" fontId="7" fillId="3" borderId="14" xfId="0" applyNumberFormat="1" applyFont="1" applyFill="1" applyBorder="1" applyAlignment="1">
      <alignment horizontal="right"/>
    </xf>
    <xf numFmtId="0" fontId="8" fillId="6" borderId="1" xfId="0" applyFont="1" applyFill="1" applyBorder="1" applyAlignment="1">
      <alignment horizontal="right" indent="2"/>
    </xf>
    <xf numFmtId="9" fontId="13" fillId="7" borderId="0" xfId="0" applyNumberFormat="1" applyFont="1" applyFill="1" applyBorder="1" applyAlignment="1" applyProtection="1">
      <alignment horizontal="left" vertical="center"/>
    </xf>
    <xf numFmtId="9" fontId="13" fillId="7" borderId="13" xfId="0" applyNumberFormat="1" applyFont="1" applyFill="1" applyBorder="1" applyAlignment="1" applyProtection="1">
      <alignment horizontal="center" vertical="center"/>
    </xf>
    <xf numFmtId="0" fontId="13" fillId="7" borderId="13" xfId="0" applyFont="1" applyFill="1" applyBorder="1" applyAlignment="1" applyProtection="1">
      <alignment horizontal="center" vertical="center"/>
    </xf>
    <xf numFmtId="9" fontId="13" fillId="7" borderId="13" xfId="0" applyNumberFormat="1" applyFont="1" applyFill="1" applyBorder="1" applyAlignment="1" applyProtection="1">
      <alignment horizontal="left" vertical="center"/>
    </xf>
    <xf numFmtId="9" fontId="13" fillId="7" borderId="14" xfId="0" applyNumberFormat="1" applyFont="1" applyFill="1" applyBorder="1" applyAlignment="1" applyProtection="1">
      <alignment horizontal="center" vertical="center"/>
    </xf>
    <xf numFmtId="0" fontId="13" fillId="7" borderId="14" xfId="0" applyFont="1" applyFill="1" applyBorder="1" applyAlignment="1" applyProtection="1">
      <alignment horizontal="center" vertical="center"/>
    </xf>
    <xf numFmtId="2" fontId="13" fillId="7" borderId="0" xfId="0" applyNumberFormat="1" applyFont="1" applyFill="1" applyBorder="1" applyAlignment="1" applyProtection="1">
      <alignment horizontal="right" vertical="center"/>
    </xf>
    <xf numFmtId="43" fontId="13" fillId="7" borderId="36" xfId="1" applyFont="1" applyFill="1" applyBorder="1" applyAlignment="1" applyProtection="1">
      <alignment horizontal="center" vertical="center"/>
    </xf>
    <xf numFmtId="0" fontId="13" fillId="7" borderId="36" xfId="0" applyNumberFormat="1" applyFont="1" applyFill="1" applyBorder="1" applyAlignment="1" applyProtection="1">
      <alignment horizontal="center" vertical="center"/>
    </xf>
    <xf numFmtId="0" fontId="10" fillId="6" borderId="24" xfId="0" applyFont="1" applyFill="1" applyBorder="1" applyAlignment="1">
      <alignment horizontal="left" vertical="center" wrapText="1"/>
    </xf>
    <xf numFmtId="43" fontId="35" fillId="7" borderId="0" xfId="0" applyNumberFormat="1" applyFont="1" applyFill="1" applyBorder="1" applyAlignment="1" applyProtection="1">
      <alignment vertical="center"/>
    </xf>
    <xf numFmtId="43" fontId="35" fillId="7" borderId="36" xfId="0" applyNumberFormat="1" applyFont="1" applyFill="1" applyBorder="1" applyAlignment="1" applyProtection="1">
      <alignment vertical="center"/>
    </xf>
    <xf numFmtId="0" fontId="13" fillId="3" borderId="33" xfId="0" applyFont="1" applyFill="1" applyBorder="1"/>
    <xf numFmtId="9" fontId="13" fillId="3" borderId="14" xfId="0" applyNumberFormat="1" applyFont="1" applyFill="1" applyBorder="1" applyAlignment="1" applyProtection="1">
      <alignment horizontal="center" vertical="center"/>
    </xf>
    <xf numFmtId="9" fontId="13" fillId="3" borderId="13" xfId="0" applyNumberFormat="1" applyFont="1" applyFill="1" applyBorder="1" applyAlignment="1" applyProtection="1">
      <alignment horizontal="center" vertical="center"/>
    </xf>
    <xf numFmtId="0" fontId="15" fillId="3" borderId="33" xfId="0" applyFont="1" applyFill="1" applyBorder="1" applyAlignment="1">
      <alignment horizontal="center"/>
    </xf>
    <xf numFmtId="0" fontId="13" fillId="3" borderId="14" xfId="0" applyFont="1" applyFill="1" applyBorder="1" applyAlignment="1" applyProtection="1">
      <alignment horizontal="center" vertical="center"/>
    </xf>
    <xf numFmtId="0" fontId="13" fillId="3" borderId="13" xfId="0" applyFont="1" applyFill="1" applyBorder="1" applyAlignment="1" applyProtection="1">
      <alignment horizontal="center" vertical="center"/>
    </xf>
    <xf numFmtId="9" fontId="13" fillId="3" borderId="0" xfId="0" applyNumberFormat="1" applyFont="1" applyFill="1" applyBorder="1" applyAlignment="1" applyProtection="1">
      <alignment horizontal="left" vertical="center"/>
    </xf>
    <xf numFmtId="2" fontId="13" fillId="3" borderId="0" xfId="0" applyNumberFormat="1" applyFont="1" applyFill="1" applyBorder="1" applyAlignment="1" applyProtection="1">
      <alignment horizontal="right" vertical="center"/>
    </xf>
    <xf numFmtId="43" fontId="35" fillId="3" borderId="0" xfId="0" applyNumberFormat="1" applyFont="1" applyFill="1" applyBorder="1" applyAlignment="1" applyProtection="1">
      <alignment vertical="center"/>
    </xf>
    <xf numFmtId="9" fontId="13" fillId="3" borderId="13" xfId="0" applyNumberFormat="1" applyFont="1" applyFill="1" applyBorder="1" applyAlignment="1" applyProtection="1">
      <alignment horizontal="left" vertical="center"/>
    </xf>
    <xf numFmtId="9" fontId="10" fillId="3" borderId="0" xfId="0" applyNumberFormat="1" applyFont="1" applyFill="1" applyBorder="1" applyAlignment="1">
      <alignment horizontal="center" vertical="center"/>
    </xf>
    <xf numFmtId="0" fontId="7" fillId="5" borderId="23" xfId="1" applyNumberFormat="1" applyFont="1" applyFill="1" applyBorder="1" applyAlignment="1" applyProtection="1">
      <alignment horizontal="center"/>
      <protection locked="0"/>
    </xf>
    <xf numFmtId="0" fontId="13" fillId="3" borderId="0" xfId="1" applyNumberFormat="1" applyFont="1" applyFill="1" applyBorder="1" applyAlignment="1">
      <alignment horizontal="center"/>
    </xf>
    <xf numFmtId="0" fontId="13" fillId="3" borderId="0" xfId="1" applyNumberFormat="1" applyFont="1" applyFill="1" applyBorder="1"/>
    <xf numFmtId="0" fontId="7" fillId="7" borderId="36" xfId="0" applyFont="1" applyFill="1" applyBorder="1" applyProtection="1"/>
    <xf numFmtId="43" fontId="10" fillId="7" borderId="17" xfId="1" applyFont="1" applyFill="1" applyBorder="1" applyAlignment="1" applyProtection="1">
      <alignment horizontal="center" vertical="center"/>
    </xf>
    <xf numFmtId="167" fontId="10" fillId="7" borderId="17" xfId="1" applyNumberFormat="1" applyFont="1" applyFill="1" applyBorder="1" applyAlignment="1" applyProtection="1">
      <alignment horizontal="center" vertical="center"/>
    </xf>
    <xf numFmtId="0" fontId="13" fillId="6" borderId="1" xfId="0" applyFont="1" applyFill="1" applyBorder="1" applyAlignment="1">
      <alignment horizontal="left" indent="2"/>
    </xf>
    <xf numFmtId="9" fontId="13" fillId="6" borderId="1" xfId="0" applyNumberFormat="1" applyFont="1" applyFill="1" applyBorder="1" applyAlignment="1">
      <alignment horizontal="left" indent="2"/>
    </xf>
    <xf numFmtId="0" fontId="7" fillId="3" borderId="2" xfId="0" applyFont="1" applyFill="1" applyBorder="1" applyProtection="1"/>
    <xf numFmtId="0" fontId="10" fillId="7" borderId="33" xfId="0" applyFont="1" applyFill="1" applyBorder="1"/>
    <xf numFmtId="0" fontId="13" fillId="9" borderId="33" xfId="0" applyFont="1" applyFill="1" applyBorder="1"/>
    <xf numFmtId="0" fontId="10" fillId="9" borderId="33" xfId="0" applyFont="1" applyFill="1" applyBorder="1" applyAlignment="1">
      <alignment horizontal="right"/>
    </xf>
    <xf numFmtId="0" fontId="15" fillId="9" borderId="33" xfId="0" applyFont="1" applyFill="1" applyBorder="1" applyAlignment="1">
      <alignment horizontal="center"/>
    </xf>
    <xf numFmtId="0" fontId="10" fillId="9" borderId="0" xfId="0" applyFont="1" applyFill="1" applyBorder="1"/>
    <xf numFmtId="43" fontId="10" fillId="3" borderId="0" xfId="0" applyNumberFormat="1" applyFont="1" applyFill="1" applyBorder="1" applyAlignment="1" applyProtection="1">
      <alignment horizontal="center"/>
    </xf>
    <xf numFmtId="43" fontId="10" fillId="7" borderId="0" xfId="0" applyNumberFormat="1" applyFont="1" applyFill="1" applyBorder="1" applyAlignment="1" applyProtection="1">
      <alignment horizontal="center"/>
    </xf>
    <xf numFmtId="43" fontId="10" fillId="7" borderId="0" xfId="0" applyNumberFormat="1" applyFont="1" applyFill="1" applyBorder="1" applyAlignment="1" applyProtection="1">
      <alignment horizontal="center" vertical="center"/>
    </xf>
    <xf numFmtId="43" fontId="10" fillId="3" borderId="0" xfId="0" applyNumberFormat="1" applyFont="1" applyFill="1" applyBorder="1" applyAlignment="1" applyProtection="1">
      <alignment horizontal="center" vertical="center"/>
    </xf>
    <xf numFmtId="0" fontId="13" fillId="6" borderId="28" xfId="0" applyFont="1" applyFill="1" applyBorder="1"/>
    <xf numFmtId="0" fontId="13" fillId="6" borderId="18" xfId="0" applyFont="1" applyFill="1" applyBorder="1"/>
    <xf numFmtId="0" fontId="13" fillId="7" borderId="46" xfId="0" applyFont="1" applyFill="1" applyBorder="1"/>
    <xf numFmtId="0" fontId="13" fillId="7" borderId="18" xfId="0" applyNumberFormat="1" applyFont="1" applyFill="1" applyBorder="1" applyAlignment="1" applyProtection="1">
      <alignment horizontal="center"/>
    </xf>
    <xf numFmtId="0" fontId="13" fillId="7" borderId="18" xfId="0" applyNumberFormat="1" applyFont="1" applyFill="1" applyBorder="1" applyProtection="1"/>
    <xf numFmtId="0" fontId="13" fillId="7" borderId="18" xfId="0" applyFont="1" applyFill="1" applyBorder="1" applyProtection="1"/>
    <xf numFmtId="0" fontId="13" fillId="3" borderId="18" xfId="0" applyNumberFormat="1" applyFont="1" applyFill="1" applyBorder="1" applyAlignment="1" applyProtection="1">
      <alignment horizontal="center"/>
    </xf>
    <xf numFmtId="0" fontId="13" fillId="3" borderId="18" xfId="0" applyNumberFormat="1" applyFont="1" applyFill="1" applyBorder="1" applyProtection="1"/>
    <xf numFmtId="0" fontId="13" fillId="3" borderId="18" xfId="0" applyFont="1" applyFill="1" applyBorder="1" applyProtection="1"/>
    <xf numFmtId="0" fontId="13" fillId="9" borderId="18" xfId="0" applyFont="1" applyFill="1" applyBorder="1"/>
    <xf numFmtId="43" fontId="10" fillId="3" borderId="17" xfId="1" applyFont="1" applyFill="1" applyBorder="1" applyAlignment="1" applyProtection="1">
      <alignment horizontal="center" vertical="center"/>
    </xf>
    <xf numFmtId="167" fontId="10" fillId="3" borderId="17" xfId="1" applyNumberFormat="1" applyFont="1" applyFill="1" applyBorder="1" applyAlignment="1" applyProtection="1">
      <alignment horizontal="center" vertical="center"/>
    </xf>
    <xf numFmtId="43" fontId="13" fillId="3" borderId="2" xfId="1" applyFont="1" applyFill="1" applyBorder="1" applyAlignment="1" applyProtection="1">
      <alignment horizontal="center" vertical="center"/>
    </xf>
    <xf numFmtId="0" fontId="13" fillId="3" borderId="2" xfId="0" applyNumberFormat="1" applyFont="1" applyFill="1" applyBorder="1" applyAlignment="1" applyProtection="1">
      <alignment horizontal="center" vertical="center"/>
    </xf>
    <xf numFmtId="43" fontId="35" fillId="3" borderId="2" xfId="0" applyNumberFormat="1" applyFont="1" applyFill="1" applyBorder="1" applyAlignment="1" applyProtection="1">
      <alignment vertical="center"/>
    </xf>
    <xf numFmtId="0" fontId="13" fillId="9" borderId="0" xfId="0" applyFont="1" applyFill="1" applyBorder="1"/>
    <xf numFmtId="43" fontId="13" fillId="3" borderId="0" xfId="1" applyFont="1" applyFill="1" applyBorder="1" applyAlignment="1">
      <alignment horizontal="center" vertical="center"/>
    </xf>
    <xf numFmtId="43" fontId="13" fillId="3" borderId="0" xfId="1" applyFont="1" applyFill="1" applyBorder="1" applyAlignment="1">
      <alignment horizontal="center"/>
    </xf>
    <xf numFmtId="0" fontId="13" fillId="10" borderId="33" xfId="0" applyFont="1" applyFill="1" applyBorder="1"/>
    <xf numFmtId="9" fontId="13" fillId="10" borderId="0" xfId="0" applyNumberFormat="1" applyFont="1" applyFill="1" applyBorder="1" applyAlignment="1" applyProtection="1">
      <alignment horizontal="center" vertical="center"/>
    </xf>
    <xf numFmtId="9" fontId="13" fillId="10" borderId="14" xfId="0" applyNumberFormat="1" applyFont="1" applyFill="1" applyBorder="1" applyAlignment="1" applyProtection="1">
      <alignment horizontal="center" vertical="center"/>
    </xf>
    <xf numFmtId="43" fontId="13" fillId="10" borderId="0" xfId="1" applyFont="1" applyFill="1" applyBorder="1" applyAlignment="1" applyProtection="1">
      <alignment horizontal="center" vertical="center"/>
    </xf>
    <xf numFmtId="9" fontId="13" fillId="10" borderId="13" xfId="0" applyNumberFormat="1" applyFont="1" applyFill="1" applyBorder="1" applyAlignment="1" applyProtection="1">
      <alignment horizontal="center" vertical="center"/>
    </xf>
    <xf numFmtId="167" fontId="13" fillId="10" borderId="0" xfId="0" applyNumberFormat="1" applyFont="1" applyFill="1" applyBorder="1" applyProtection="1"/>
    <xf numFmtId="43" fontId="13" fillId="10" borderId="36" xfId="1" applyFont="1" applyFill="1" applyBorder="1" applyAlignment="1" applyProtection="1">
      <alignment horizontal="center" vertical="center"/>
    </xf>
    <xf numFmtId="0" fontId="15" fillId="10" borderId="33" xfId="0" applyFont="1" applyFill="1" applyBorder="1" applyAlignment="1">
      <alignment horizontal="center"/>
    </xf>
    <xf numFmtId="0" fontId="13" fillId="10" borderId="0" xfId="0" applyFont="1" applyFill="1" applyBorder="1" applyAlignment="1" applyProtection="1">
      <alignment horizontal="center" vertical="center"/>
    </xf>
    <xf numFmtId="0" fontId="13" fillId="10" borderId="14" xfId="0" applyFont="1" applyFill="1" applyBorder="1" applyAlignment="1" applyProtection="1">
      <alignment horizontal="center" vertical="center"/>
    </xf>
    <xf numFmtId="0" fontId="13" fillId="10" borderId="0" xfId="0" applyNumberFormat="1" applyFont="1" applyFill="1" applyBorder="1" applyAlignment="1" applyProtection="1">
      <alignment horizontal="center" vertical="center"/>
    </xf>
    <xf numFmtId="0" fontId="13" fillId="10" borderId="13" xfId="0" applyFont="1" applyFill="1" applyBorder="1" applyAlignment="1" applyProtection="1">
      <alignment horizontal="center" vertical="center"/>
    </xf>
    <xf numFmtId="0" fontId="13" fillId="10" borderId="0" xfId="0" applyNumberFormat="1" applyFont="1" applyFill="1" applyBorder="1" applyAlignment="1" applyProtection="1">
      <alignment horizontal="center"/>
    </xf>
    <xf numFmtId="0" fontId="13" fillId="10" borderId="0" xfId="0" applyFont="1" applyFill="1" applyBorder="1" applyProtection="1"/>
    <xf numFmtId="0" fontId="13" fillId="10" borderId="36" xfId="0" applyNumberFormat="1" applyFont="1" applyFill="1" applyBorder="1" applyAlignment="1" applyProtection="1">
      <alignment horizontal="center" vertical="center"/>
    </xf>
    <xf numFmtId="9" fontId="13" fillId="10" borderId="0" xfId="0" applyNumberFormat="1" applyFont="1" applyFill="1" applyBorder="1" applyAlignment="1" applyProtection="1">
      <alignment horizontal="right" vertical="center"/>
    </xf>
    <xf numFmtId="0" fontId="13" fillId="10" borderId="0" xfId="0" applyNumberFormat="1" applyFont="1" applyFill="1" applyBorder="1" applyProtection="1"/>
    <xf numFmtId="43" fontId="13" fillId="10" borderId="0" xfId="0" applyNumberFormat="1" applyFont="1" applyFill="1" applyBorder="1" applyProtection="1"/>
    <xf numFmtId="43" fontId="35" fillId="10" borderId="0" xfId="0" applyNumberFormat="1" applyFont="1" applyFill="1" applyBorder="1" applyAlignment="1" applyProtection="1">
      <alignment vertical="center"/>
    </xf>
    <xf numFmtId="43" fontId="35" fillId="10" borderId="36" xfId="0" applyNumberFormat="1" applyFont="1" applyFill="1" applyBorder="1" applyAlignment="1" applyProtection="1">
      <alignment vertical="center"/>
    </xf>
    <xf numFmtId="43" fontId="13" fillId="10" borderId="0" xfId="1" applyFont="1" applyFill="1" applyBorder="1" applyAlignment="1" applyProtection="1">
      <alignment horizontal="center"/>
    </xf>
    <xf numFmtId="43" fontId="13" fillId="10" borderId="0" xfId="0" applyNumberFormat="1" applyFont="1" applyFill="1" applyBorder="1" applyAlignment="1" applyProtection="1"/>
    <xf numFmtId="166" fontId="13" fillId="10" borderId="0" xfId="0" applyNumberFormat="1" applyFont="1" applyFill="1" applyBorder="1" applyProtection="1"/>
    <xf numFmtId="0" fontId="10" fillId="10" borderId="33" xfId="0" applyFont="1" applyFill="1" applyBorder="1" applyAlignment="1">
      <alignment horizontal="right"/>
    </xf>
    <xf numFmtId="0" fontId="13" fillId="11" borderId="33" xfId="0" applyFont="1" applyFill="1" applyBorder="1"/>
    <xf numFmtId="9" fontId="13" fillId="11" borderId="0" xfId="0" applyNumberFormat="1" applyFont="1" applyFill="1" applyBorder="1" applyAlignment="1">
      <alignment horizontal="center" vertical="center"/>
    </xf>
    <xf numFmtId="9" fontId="13" fillId="11" borderId="0" xfId="0" applyNumberFormat="1" applyFont="1" applyFill="1" applyBorder="1" applyAlignment="1" applyProtection="1">
      <alignment horizontal="center" vertical="center"/>
    </xf>
    <xf numFmtId="9" fontId="13" fillId="11" borderId="14" xfId="0" applyNumberFormat="1" applyFont="1" applyFill="1" applyBorder="1" applyAlignment="1" applyProtection="1">
      <alignment horizontal="center" vertical="center"/>
    </xf>
    <xf numFmtId="43" fontId="13" fillId="11" borderId="0" xfId="1" applyFont="1" applyFill="1" applyBorder="1" applyAlignment="1" applyProtection="1">
      <alignment horizontal="center" vertical="center"/>
    </xf>
    <xf numFmtId="9" fontId="13" fillId="11" borderId="13" xfId="0" applyNumberFormat="1" applyFont="1" applyFill="1" applyBorder="1" applyAlignment="1" applyProtection="1">
      <alignment horizontal="center" vertical="center"/>
    </xf>
    <xf numFmtId="167" fontId="13" fillId="11" borderId="0" xfId="0" applyNumberFormat="1" applyFont="1" applyFill="1" applyBorder="1" applyProtection="1"/>
    <xf numFmtId="43" fontId="13" fillId="11" borderId="2" xfId="1" applyFont="1" applyFill="1" applyBorder="1" applyAlignment="1" applyProtection="1">
      <alignment horizontal="center" vertical="center"/>
    </xf>
    <xf numFmtId="0" fontId="15" fillId="11" borderId="33" xfId="0" applyFont="1" applyFill="1" applyBorder="1" applyAlignment="1">
      <alignment horizontal="center"/>
    </xf>
    <xf numFmtId="0" fontId="13" fillId="11" borderId="0" xfId="0" applyFont="1" applyFill="1" applyBorder="1" applyAlignment="1" applyProtection="1">
      <alignment horizontal="center" vertical="center"/>
    </xf>
    <xf numFmtId="0" fontId="13" fillId="11" borderId="14" xfId="0" applyFont="1" applyFill="1" applyBorder="1" applyAlignment="1" applyProtection="1">
      <alignment horizontal="center" vertical="center"/>
    </xf>
    <xf numFmtId="0" fontId="13" fillId="11" borderId="0" xfId="0" applyNumberFormat="1"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1" borderId="0" xfId="0" applyNumberFormat="1" applyFont="1" applyFill="1" applyBorder="1" applyAlignment="1" applyProtection="1">
      <alignment horizontal="center"/>
    </xf>
    <xf numFmtId="0" fontId="13" fillId="11" borderId="0" xfId="0" applyFont="1" applyFill="1" applyBorder="1" applyProtection="1"/>
    <xf numFmtId="0" fontId="13" fillId="11" borderId="2" xfId="0" applyNumberFormat="1" applyFont="1" applyFill="1" applyBorder="1" applyAlignment="1" applyProtection="1">
      <alignment horizontal="center" vertical="center"/>
    </xf>
    <xf numFmtId="9" fontId="13" fillId="11" borderId="0" xfId="0" applyNumberFormat="1" applyFont="1" applyFill="1" applyBorder="1" applyAlignment="1" applyProtection="1">
      <alignment horizontal="right" vertical="center"/>
    </xf>
    <xf numFmtId="43" fontId="35" fillId="11" borderId="0" xfId="0" applyNumberFormat="1" applyFont="1" applyFill="1" applyBorder="1" applyAlignment="1" applyProtection="1">
      <alignment vertical="center"/>
    </xf>
    <xf numFmtId="0" fontId="13" fillId="11" borderId="0" xfId="0" applyNumberFormat="1" applyFont="1" applyFill="1" applyBorder="1" applyProtection="1"/>
    <xf numFmtId="43" fontId="13" fillId="11" borderId="0" xfId="0" applyNumberFormat="1" applyFont="1" applyFill="1" applyBorder="1" applyProtection="1"/>
    <xf numFmtId="9" fontId="10" fillId="11" borderId="0" xfId="0" applyNumberFormat="1" applyFont="1" applyFill="1" applyBorder="1" applyAlignment="1">
      <alignment horizontal="center" vertical="center"/>
    </xf>
    <xf numFmtId="43" fontId="35" fillId="11" borderId="2" xfId="0" applyNumberFormat="1" applyFont="1" applyFill="1" applyBorder="1" applyAlignment="1" applyProtection="1">
      <alignment vertical="center"/>
    </xf>
    <xf numFmtId="43" fontId="13" fillId="11" borderId="0" xfId="1" applyFont="1" applyFill="1" applyBorder="1" applyAlignment="1" applyProtection="1">
      <alignment horizontal="center"/>
    </xf>
    <xf numFmtId="43" fontId="13" fillId="11" borderId="0" xfId="0" applyNumberFormat="1" applyFont="1" applyFill="1" applyBorder="1" applyAlignment="1" applyProtection="1"/>
    <xf numFmtId="166" fontId="13" fillId="11" borderId="0" xfId="0" applyNumberFormat="1" applyFont="1" applyFill="1" applyBorder="1" applyProtection="1"/>
    <xf numFmtId="0" fontId="10" fillId="11" borderId="33" xfId="0" applyFont="1" applyFill="1" applyBorder="1" applyAlignment="1">
      <alignment horizontal="right"/>
    </xf>
    <xf numFmtId="0" fontId="13" fillId="11" borderId="0" xfId="1" applyNumberFormat="1" applyFont="1" applyFill="1" applyBorder="1"/>
    <xf numFmtId="43" fontId="13" fillId="10" borderId="0" xfId="0" applyNumberFormat="1" applyFont="1" applyFill="1" applyBorder="1" applyAlignment="1" applyProtection="1">
      <alignment horizontal="center"/>
    </xf>
    <xf numFmtId="0" fontId="0" fillId="10" borderId="36" xfId="0" applyFill="1" applyBorder="1" applyProtection="1"/>
    <xf numFmtId="43" fontId="10" fillId="10" borderId="17" xfId="1" applyFont="1" applyFill="1" applyBorder="1" applyAlignment="1" applyProtection="1">
      <alignment horizontal="center" vertical="center"/>
    </xf>
    <xf numFmtId="43" fontId="10" fillId="10" borderId="0" xfId="1" applyFont="1" applyFill="1" applyBorder="1" applyAlignment="1" applyProtection="1">
      <alignment horizontal="center" vertical="center"/>
    </xf>
    <xf numFmtId="167" fontId="10" fillId="10" borderId="17" xfId="1" applyNumberFormat="1" applyFont="1" applyFill="1" applyBorder="1" applyAlignment="1" applyProtection="1">
      <alignment horizontal="center" vertical="center"/>
    </xf>
    <xf numFmtId="0" fontId="8" fillId="10" borderId="36" xfId="0" applyFont="1" applyFill="1" applyBorder="1" applyProtection="1"/>
    <xf numFmtId="43" fontId="10" fillId="10" borderId="0" xfId="1" applyFont="1" applyFill="1" applyBorder="1" applyAlignment="1" applyProtection="1">
      <alignment horizontal="center"/>
    </xf>
    <xf numFmtId="0" fontId="13" fillId="10" borderId="46" xfId="0" applyFont="1" applyFill="1" applyBorder="1"/>
    <xf numFmtId="0" fontId="13" fillId="10" borderId="18" xfId="0" applyNumberFormat="1" applyFont="1" applyFill="1" applyBorder="1" applyAlignment="1" applyProtection="1">
      <alignment horizontal="center"/>
    </xf>
    <xf numFmtId="0" fontId="13" fillId="10" borderId="18" xfId="0" applyNumberFormat="1" applyFont="1" applyFill="1" applyBorder="1" applyProtection="1"/>
    <xf numFmtId="0" fontId="13" fillId="10" borderId="18" xfId="0" applyFont="1" applyFill="1" applyBorder="1" applyProtection="1"/>
    <xf numFmtId="0" fontId="0" fillId="10" borderId="41" xfId="0" applyFill="1" applyBorder="1" applyProtection="1"/>
    <xf numFmtId="0" fontId="10" fillId="10" borderId="33" xfId="0" applyFont="1" applyFill="1" applyBorder="1"/>
    <xf numFmtId="43" fontId="10" fillId="10" borderId="0" xfId="0" applyNumberFormat="1" applyFont="1" applyFill="1" applyBorder="1" applyProtection="1"/>
    <xf numFmtId="0" fontId="13" fillId="10" borderId="0" xfId="0" applyNumberFormat="1" applyFont="1" applyFill="1" applyBorder="1" applyAlignment="1" applyProtection="1">
      <alignment horizontal="left"/>
    </xf>
    <xf numFmtId="0" fontId="10" fillId="10" borderId="0" xfId="0" applyNumberFormat="1" applyFont="1" applyFill="1" applyBorder="1" applyProtection="1"/>
    <xf numFmtId="0" fontId="10" fillId="10" borderId="0" xfId="0" applyNumberFormat="1" applyFont="1" applyFill="1" applyBorder="1" applyAlignment="1" applyProtection="1">
      <alignment horizontal="center"/>
    </xf>
    <xf numFmtId="0" fontId="10" fillId="10" borderId="0" xfId="0" applyFont="1" applyFill="1" applyBorder="1" applyProtection="1"/>
    <xf numFmtId="0" fontId="8" fillId="10" borderId="0" xfId="0" applyFont="1" applyFill="1" applyBorder="1" applyProtection="1"/>
    <xf numFmtId="43" fontId="10" fillId="10" borderId="0" xfId="0" applyNumberFormat="1" applyFont="1" applyFill="1" applyBorder="1" applyAlignment="1" applyProtection="1">
      <alignment horizontal="center"/>
    </xf>
    <xf numFmtId="43" fontId="10" fillId="10" borderId="0" xfId="0" applyNumberFormat="1" applyFont="1" applyFill="1" applyBorder="1" applyAlignment="1" applyProtection="1">
      <alignment horizontal="center" vertical="center"/>
    </xf>
    <xf numFmtId="0" fontId="13" fillId="10" borderId="0" xfId="0" applyNumberFormat="1" applyFont="1" applyFill="1" applyBorder="1" applyAlignment="1" applyProtection="1">
      <alignment horizontal="left" vertical="center"/>
    </xf>
    <xf numFmtId="0" fontId="10" fillId="10" borderId="0" xfId="0" applyNumberFormat="1" applyFont="1" applyFill="1" applyBorder="1" applyAlignment="1" applyProtection="1">
      <alignment horizontal="center" vertical="center"/>
    </xf>
    <xf numFmtId="167" fontId="10" fillId="10" borderId="0" xfId="0" applyNumberFormat="1" applyFont="1" applyFill="1" applyBorder="1" applyProtection="1"/>
    <xf numFmtId="0" fontId="7" fillId="10" borderId="36" xfId="0" applyFont="1" applyFill="1" applyBorder="1" applyProtection="1"/>
    <xf numFmtId="43" fontId="13" fillId="11" borderId="0" xfId="0" applyNumberFormat="1" applyFont="1" applyFill="1" applyBorder="1" applyAlignment="1" applyProtection="1">
      <alignment horizontal="center"/>
    </xf>
    <xf numFmtId="0" fontId="0" fillId="11" borderId="2" xfId="0" applyFill="1" applyBorder="1" applyProtection="1"/>
    <xf numFmtId="43" fontId="10" fillId="11" borderId="17" xfId="1" applyFont="1" applyFill="1" applyBorder="1" applyAlignment="1" applyProtection="1">
      <alignment horizontal="center" vertical="center"/>
    </xf>
    <xf numFmtId="43" fontId="10" fillId="11" borderId="0" xfId="1" applyFont="1" applyFill="1" applyBorder="1" applyAlignment="1" applyProtection="1">
      <alignment horizontal="center" vertical="center"/>
    </xf>
    <xf numFmtId="167" fontId="10" fillId="11" borderId="17" xfId="1" applyNumberFormat="1" applyFont="1" applyFill="1" applyBorder="1" applyAlignment="1" applyProtection="1">
      <alignment horizontal="center" vertical="center"/>
    </xf>
    <xf numFmtId="0" fontId="8" fillId="11" borderId="2" xfId="0" applyFont="1" applyFill="1" applyBorder="1" applyProtection="1"/>
    <xf numFmtId="43" fontId="10" fillId="11" borderId="0" xfId="1" applyFont="1" applyFill="1" applyBorder="1" applyAlignment="1" applyProtection="1">
      <alignment horizontal="center"/>
    </xf>
    <xf numFmtId="0" fontId="13" fillId="11" borderId="18" xfId="0" applyFont="1" applyFill="1" applyBorder="1"/>
    <xf numFmtId="0" fontId="13" fillId="11" borderId="18" xfId="0" applyNumberFormat="1" applyFont="1" applyFill="1" applyBorder="1" applyAlignment="1" applyProtection="1">
      <alignment horizontal="center"/>
    </xf>
    <xf numFmtId="0" fontId="13" fillId="11" borderId="18" xfId="0" applyNumberFormat="1" applyFont="1" applyFill="1" applyBorder="1" applyProtection="1"/>
    <xf numFmtId="0" fontId="13" fillId="11" borderId="18" xfId="0" applyFont="1" applyFill="1" applyBorder="1" applyProtection="1"/>
    <xf numFmtId="0" fontId="0" fillId="11" borderId="19" xfId="0" applyFill="1" applyBorder="1" applyProtection="1"/>
    <xf numFmtId="0" fontId="10" fillId="11" borderId="0" xfId="0" applyFont="1" applyFill="1" applyBorder="1"/>
    <xf numFmtId="43" fontId="10" fillId="11" borderId="0" xfId="0" applyNumberFormat="1" applyFont="1" applyFill="1" applyBorder="1" applyAlignment="1" applyProtection="1">
      <alignment horizontal="center"/>
    </xf>
    <xf numFmtId="0" fontId="13" fillId="11" borderId="0" xfId="0" applyNumberFormat="1" applyFont="1" applyFill="1" applyBorder="1" applyAlignment="1" applyProtection="1">
      <alignment horizontal="left"/>
    </xf>
    <xf numFmtId="0" fontId="10" fillId="11" borderId="0" xfId="0" applyNumberFormat="1" applyFont="1" applyFill="1" applyBorder="1" applyProtection="1"/>
    <xf numFmtId="0" fontId="10" fillId="11" borderId="0" xfId="0" applyNumberFormat="1" applyFont="1" applyFill="1" applyBorder="1" applyAlignment="1" applyProtection="1">
      <alignment horizontal="center"/>
    </xf>
    <xf numFmtId="43" fontId="10" fillId="11" borderId="0" xfId="0" applyNumberFormat="1" applyFont="1" applyFill="1" applyBorder="1" applyProtection="1"/>
    <xf numFmtId="0" fontId="10" fillId="11" borderId="0" xfId="0" applyFont="1" applyFill="1" applyBorder="1" applyProtection="1"/>
    <xf numFmtId="0" fontId="8" fillId="11" borderId="0" xfId="0" applyFont="1" applyFill="1" applyBorder="1" applyProtection="1"/>
    <xf numFmtId="43" fontId="10" fillId="11" borderId="0" xfId="0" applyNumberFormat="1" applyFont="1" applyFill="1" applyBorder="1" applyAlignment="1" applyProtection="1">
      <alignment horizontal="center" vertical="center"/>
    </xf>
    <xf numFmtId="0" fontId="13" fillId="11" borderId="0" xfId="0" applyNumberFormat="1" applyFont="1" applyFill="1" applyBorder="1" applyAlignment="1" applyProtection="1">
      <alignment horizontal="left" vertical="center"/>
    </xf>
    <xf numFmtId="0" fontId="10" fillId="11" borderId="0" xfId="0" applyNumberFormat="1" applyFont="1" applyFill="1" applyBorder="1" applyAlignment="1" applyProtection="1">
      <alignment horizontal="center" vertical="center"/>
    </xf>
    <xf numFmtId="167" fontId="10" fillId="11" borderId="0" xfId="0" applyNumberFormat="1" applyFont="1" applyFill="1" applyBorder="1" applyProtection="1"/>
    <xf numFmtId="0" fontId="7" fillId="11" borderId="2" xfId="0" applyFont="1" applyFill="1" applyBorder="1" applyProtection="1"/>
    <xf numFmtId="43" fontId="13" fillId="11" borderId="0" xfId="1" applyFont="1" applyFill="1" applyBorder="1" applyAlignment="1">
      <alignment horizontal="center" vertical="center"/>
    </xf>
    <xf numFmtId="43" fontId="13" fillId="11" borderId="0" xfId="1" applyFont="1" applyFill="1" applyBorder="1" applyAlignment="1">
      <alignment horizontal="center"/>
    </xf>
    <xf numFmtId="43" fontId="13" fillId="11" borderId="0" xfId="0" applyNumberFormat="1" applyFont="1" applyFill="1" applyBorder="1" applyAlignment="1"/>
    <xf numFmtId="166" fontId="13" fillId="11" borderId="0" xfId="0" applyNumberFormat="1" applyFont="1" applyFill="1" applyBorder="1"/>
    <xf numFmtId="43" fontId="13" fillId="11" borderId="0" xfId="0" applyNumberFormat="1" applyFont="1" applyFill="1" applyBorder="1"/>
    <xf numFmtId="0" fontId="13" fillId="7" borderId="0" xfId="0" applyFont="1" applyFill="1" applyBorder="1"/>
    <xf numFmtId="43" fontId="13" fillId="7" borderId="0" xfId="0" applyNumberFormat="1" applyFont="1" applyFill="1" applyBorder="1" applyAlignment="1">
      <alignment vertical="center"/>
    </xf>
    <xf numFmtId="43" fontId="13" fillId="7" borderId="0" xfId="0" applyNumberFormat="1" applyFont="1" applyFill="1" applyBorder="1" applyAlignment="1">
      <alignment horizontal="center" vertical="center"/>
    </xf>
    <xf numFmtId="0" fontId="13" fillId="7" borderId="0" xfId="0" applyFont="1" applyFill="1" applyBorder="1" applyAlignment="1">
      <alignment vertical="center"/>
    </xf>
    <xf numFmtId="172" fontId="13" fillId="7" borderId="0" xfId="0" applyNumberFormat="1" applyFont="1" applyFill="1" applyBorder="1" applyAlignment="1">
      <alignment vertical="center"/>
    </xf>
    <xf numFmtId="43" fontId="10" fillId="7" borderId="0" xfId="0" applyNumberFormat="1" applyFont="1" applyFill="1" applyBorder="1" applyAlignment="1">
      <alignment vertical="center"/>
    </xf>
    <xf numFmtId="43" fontId="13" fillId="7" borderId="0" xfId="0" applyNumberFormat="1" applyFont="1" applyFill="1" applyBorder="1"/>
    <xf numFmtId="0" fontId="13" fillId="6" borderId="1" xfId="0" applyFont="1" applyFill="1" applyBorder="1" applyAlignment="1">
      <alignment horizontal="left" indent="4"/>
    </xf>
    <xf numFmtId="43" fontId="13" fillId="7" borderId="33" xfId="0" applyNumberFormat="1" applyFont="1" applyFill="1" applyBorder="1" applyAlignment="1">
      <alignment vertical="center"/>
    </xf>
    <xf numFmtId="43" fontId="13" fillId="7" borderId="36" xfId="0" applyNumberFormat="1" applyFont="1" applyFill="1" applyBorder="1" applyAlignment="1">
      <alignment vertical="center"/>
    </xf>
    <xf numFmtId="43" fontId="13" fillId="7" borderId="33" xfId="0" applyNumberFormat="1" applyFont="1" applyFill="1" applyBorder="1" applyAlignment="1">
      <alignment horizontal="center" vertical="center"/>
    </xf>
    <xf numFmtId="43" fontId="13" fillId="7" borderId="36" xfId="0" applyNumberFormat="1" applyFont="1" applyFill="1" applyBorder="1" applyAlignment="1">
      <alignment horizontal="center" vertical="center"/>
    </xf>
    <xf numFmtId="0" fontId="13" fillId="7" borderId="33" xfId="0" applyFont="1" applyFill="1" applyBorder="1" applyAlignment="1">
      <alignment vertical="center"/>
    </xf>
    <xf numFmtId="0" fontId="13" fillId="7" borderId="36" xfId="0" applyFont="1" applyFill="1" applyBorder="1" applyAlignment="1">
      <alignment vertical="center"/>
    </xf>
    <xf numFmtId="43" fontId="10" fillId="7" borderId="33" xfId="0" applyNumberFormat="1" applyFont="1" applyFill="1" applyBorder="1" applyAlignment="1">
      <alignment vertical="center"/>
    </xf>
    <xf numFmtId="9" fontId="7" fillId="6" borderId="16" xfId="0" applyNumberFormat="1" applyFont="1" applyFill="1" applyBorder="1" applyAlignment="1" applyProtection="1">
      <alignment horizontal="left"/>
      <protection locked="0"/>
    </xf>
    <xf numFmtId="0" fontId="23" fillId="0" borderId="26" xfId="0" applyFont="1" applyFill="1" applyBorder="1" applyAlignment="1">
      <alignment vertical="center"/>
    </xf>
    <xf numFmtId="0" fontId="23" fillId="0" borderId="16" xfId="0" applyFont="1" applyFill="1" applyBorder="1" applyAlignment="1">
      <alignment vertical="center"/>
    </xf>
    <xf numFmtId="0" fontId="13" fillId="6" borderId="0" xfId="0" applyFont="1" applyFill="1" applyBorder="1" applyAlignment="1">
      <alignment horizontal="left" indent="2"/>
    </xf>
    <xf numFmtId="9" fontId="13" fillId="6" borderId="0" xfId="0" applyNumberFormat="1" applyFont="1" applyFill="1" applyBorder="1" applyAlignment="1">
      <alignment horizontal="left" indent="2"/>
    </xf>
    <xf numFmtId="0" fontId="13" fillId="6" borderId="0" xfId="0" applyFont="1" applyFill="1" applyBorder="1" applyAlignment="1">
      <alignment horizontal="left" indent="4"/>
    </xf>
    <xf numFmtId="0" fontId="13" fillId="6" borderId="14" xfId="0" applyFont="1" applyFill="1" applyBorder="1" applyAlignment="1">
      <alignment horizontal="left" indent="2"/>
    </xf>
    <xf numFmtId="9" fontId="13" fillId="6" borderId="14" xfId="0" applyNumberFormat="1" applyFont="1" applyFill="1" applyBorder="1" applyAlignment="1">
      <alignment horizontal="left" indent="2"/>
    </xf>
    <xf numFmtId="0" fontId="10" fillId="6" borderId="14" xfId="0" applyFont="1" applyFill="1" applyBorder="1" applyAlignment="1">
      <alignment horizontal="right"/>
    </xf>
    <xf numFmtId="0" fontId="13" fillId="6" borderId="14" xfId="0" applyFont="1" applyFill="1" applyBorder="1"/>
    <xf numFmtId="0" fontId="13" fillId="6" borderId="14" xfId="0" applyFont="1" applyFill="1" applyBorder="1" applyAlignment="1">
      <alignment horizontal="left" indent="4"/>
    </xf>
    <xf numFmtId="0" fontId="13" fillId="6" borderId="0" xfId="0" applyNumberFormat="1" applyFont="1" applyFill="1" applyBorder="1" applyAlignment="1">
      <alignment horizontal="left" indent="2"/>
    </xf>
    <xf numFmtId="0" fontId="13" fillId="6" borderId="0" xfId="0" applyNumberFormat="1" applyFont="1" applyFill="1" applyBorder="1" applyAlignment="1">
      <alignment horizontal="left" indent="4"/>
    </xf>
    <xf numFmtId="0" fontId="13" fillId="6" borderId="14" xfId="0" applyNumberFormat="1" applyFont="1" applyFill="1" applyBorder="1" applyAlignment="1">
      <alignment horizontal="left" indent="2"/>
    </xf>
    <xf numFmtId="0" fontId="10" fillId="6" borderId="14" xfId="0" applyNumberFormat="1" applyFont="1" applyFill="1" applyBorder="1" applyAlignment="1">
      <alignment horizontal="right"/>
    </xf>
    <xf numFmtId="0" fontId="10" fillId="6" borderId="0" xfId="0" applyNumberFormat="1" applyFont="1" applyFill="1" applyBorder="1" applyAlignment="1">
      <alignment horizontal="right"/>
    </xf>
    <xf numFmtId="0" fontId="13" fillId="6" borderId="0" xfId="0" applyFont="1" applyFill="1" applyBorder="1" applyAlignment="1">
      <alignment horizontal="center"/>
    </xf>
    <xf numFmtId="165" fontId="13" fillId="6" borderId="0" xfId="1" applyNumberFormat="1" applyFont="1" applyFill="1" applyBorder="1" applyAlignment="1">
      <alignment horizontal="left" indent="2"/>
    </xf>
    <xf numFmtId="165" fontId="10" fillId="6" borderId="0" xfId="1" applyNumberFormat="1" applyFont="1" applyFill="1" applyBorder="1" applyAlignment="1">
      <alignment horizontal="right"/>
    </xf>
    <xf numFmtId="165" fontId="13" fillId="6" borderId="0" xfId="1" applyNumberFormat="1" applyFont="1" applyFill="1" applyBorder="1"/>
    <xf numFmtId="165" fontId="13" fillId="6" borderId="0" xfId="1" applyNumberFormat="1" applyFont="1" applyFill="1" applyBorder="1" applyAlignment="1">
      <alignment horizontal="left" indent="4"/>
    </xf>
    <xf numFmtId="164" fontId="13" fillId="6" borderId="0" xfId="1" applyNumberFormat="1" applyFont="1" applyFill="1" applyBorder="1" applyAlignment="1">
      <alignment horizontal="left" indent="2"/>
    </xf>
    <xf numFmtId="164" fontId="10" fillId="6" borderId="0" xfId="1" applyNumberFormat="1" applyFont="1" applyFill="1" applyBorder="1" applyAlignment="1">
      <alignment horizontal="right"/>
    </xf>
    <xf numFmtId="164" fontId="13" fillId="6" borderId="0" xfId="1" applyNumberFormat="1" applyFont="1" applyFill="1" applyBorder="1"/>
    <xf numFmtId="164" fontId="13" fillId="6" borderId="0" xfId="1" applyNumberFormat="1" applyFont="1" applyFill="1" applyBorder="1" applyAlignment="1">
      <alignment horizontal="left" indent="4"/>
    </xf>
    <xf numFmtId="43" fontId="10" fillId="7" borderId="0" xfId="0" applyNumberFormat="1" applyFont="1" applyFill="1" applyBorder="1" applyAlignment="1">
      <alignment horizontal="center" vertical="center"/>
    </xf>
    <xf numFmtId="43" fontId="13" fillId="19" borderId="23" xfId="1" applyFont="1" applyFill="1" applyBorder="1" applyAlignment="1" applyProtection="1">
      <alignment horizontal="left" indent="2"/>
      <protection locked="0"/>
    </xf>
    <xf numFmtId="0" fontId="11" fillId="0" borderId="1" xfId="0" applyFont="1" applyFill="1" applyBorder="1" applyAlignment="1">
      <alignment horizontal="right"/>
    </xf>
    <xf numFmtId="0" fontId="11" fillId="0" borderId="0" xfId="0" applyFont="1" applyFill="1" applyBorder="1" applyAlignment="1">
      <alignment horizontal="right"/>
    </xf>
    <xf numFmtId="165" fontId="11" fillId="0" borderId="0" xfId="1" applyNumberFormat="1" applyFont="1" applyFill="1" applyBorder="1" applyAlignment="1">
      <alignment horizontal="right"/>
    </xf>
    <xf numFmtId="43" fontId="10" fillId="0" borderId="0" xfId="0" applyNumberFormat="1" applyFont="1" applyFill="1" applyBorder="1" applyAlignment="1">
      <alignment vertical="center"/>
    </xf>
    <xf numFmtId="0" fontId="13" fillId="20" borderId="0" xfId="0" applyFont="1" applyFill="1" applyBorder="1"/>
    <xf numFmtId="43" fontId="13" fillId="20" borderId="33" xfId="0" applyNumberFormat="1" applyFont="1" applyFill="1" applyBorder="1" applyAlignment="1">
      <alignment vertical="center"/>
    </xf>
    <xf numFmtId="43" fontId="13" fillId="20" borderId="0" xfId="0" applyNumberFormat="1" applyFont="1" applyFill="1" applyBorder="1" applyAlignment="1">
      <alignment vertical="center"/>
    </xf>
    <xf numFmtId="43" fontId="13" fillId="20" borderId="0" xfId="0" applyNumberFormat="1" applyFont="1" applyFill="1" applyBorder="1" applyAlignment="1">
      <alignment horizontal="center" vertical="center"/>
    </xf>
    <xf numFmtId="43" fontId="13" fillId="20" borderId="0" xfId="0" applyNumberFormat="1" applyFont="1" applyFill="1" applyBorder="1"/>
    <xf numFmtId="43" fontId="13" fillId="20" borderId="33" xfId="0" applyNumberFormat="1" applyFont="1" applyFill="1" applyBorder="1" applyAlignment="1">
      <alignment horizontal="center" vertical="center"/>
    </xf>
    <xf numFmtId="43" fontId="10" fillId="20" borderId="0" xfId="0" applyNumberFormat="1" applyFont="1" applyFill="1" applyBorder="1" applyAlignment="1">
      <alignment horizontal="center" vertical="center"/>
    </xf>
    <xf numFmtId="0" fontId="13" fillId="20" borderId="33" xfId="0" applyFont="1" applyFill="1" applyBorder="1" applyAlignment="1">
      <alignment vertical="center"/>
    </xf>
    <xf numFmtId="0" fontId="13" fillId="20" borderId="0" xfId="0" applyFont="1" applyFill="1" applyBorder="1" applyAlignment="1">
      <alignment vertical="center"/>
    </xf>
    <xf numFmtId="43" fontId="10" fillId="20" borderId="0" xfId="0" applyNumberFormat="1" applyFont="1" applyFill="1" applyBorder="1" applyAlignment="1">
      <alignment vertical="center"/>
    </xf>
    <xf numFmtId="172" fontId="13" fillId="20" borderId="0" xfId="0" applyNumberFormat="1" applyFont="1" applyFill="1" applyBorder="1" applyAlignment="1">
      <alignment vertical="center"/>
    </xf>
    <xf numFmtId="0" fontId="12" fillId="14" borderId="67" xfId="0" applyFont="1" applyFill="1" applyBorder="1" applyAlignment="1">
      <alignment horizontal="left" vertical="center" wrapText="1"/>
    </xf>
    <xf numFmtId="0" fontId="12" fillId="14" borderId="68" xfId="0" applyFont="1" applyFill="1" applyBorder="1" applyAlignment="1">
      <alignment horizontal="left" vertical="center" wrapText="1"/>
    </xf>
    <xf numFmtId="43" fontId="13" fillId="7" borderId="46" xfId="0" applyNumberFormat="1" applyFont="1" applyFill="1" applyBorder="1" applyAlignment="1">
      <alignment vertical="center"/>
    </xf>
    <xf numFmtId="43" fontId="13" fillId="7" borderId="18" xfId="0" applyNumberFormat="1" applyFont="1" applyFill="1" applyBorder="1" applyAlignment="1">
      <alignment vertical="center"/>
    </xf>
    <xf numFmtId="43" fontId="13" fillId="7" borderId="41" xfId="0" applyNumberFormat="1" applyFont="1" applyFill="1" applyBorder="1" applyAlignment="1">
      <alignment vertical="center"/>
    </xf>
    <xf numFmtId="43" fontId="13" fillId="20" borderId="46" xfId="0" applyNumberFormat="1" applyFont="1" applyFill="1" applyBorder="1" applyAlignment="1">
      <alignment vertical="center"/>
    </xf>
    <xf numFmtId="43" fontId="13" fillId="20" borderId="18" xfId="0" applyNumberFormat="1" applyFont="1" applyFill="1" applyBorder="1" applyAlignment="1">
      <alignment vertical="center"/>
    </xf>
    <xf numFmtId="0" fontId="8" fillId="7" borderId="0" xfId="0" applyFont="1" applyFill="1"/>
    <xf numFmtId="0" fontId="8" fillId="3" borderId="0" xfId="0" applyFont="1" applyFill="1"/>
    <xf numFmtId="0" fontId="8" fillId="11" borderId="0" xfId="0" applyFont="1" applyFill="1"/>
    <xf numFmtId="0" fontId="13" fillId="6" borderId="28" xfId="0" applyFont="1" applyFill="1" applyBorder="1" applyAlignment="1">
      <alignment horizontal="left" indent="2"/>
    </xf>
    <xf numFmtId="164" fontId="13" fillId="6" borderId="18" xfId="1" applyNumberFormat="1" applyFont="1" applyFill="1" applyBorder="1" applyAlignment="1">
      <alignment horizontal="left" indent="2"/>
    </xf>
    <xf numFmtId="165" fontId="13" fillId="6" borderId="18" xfId="1" applyNumberFormat="1" applyFont="1" applyFill="1" applyBorder="1" applyAlignment="1">
      <alignment horizontal="left" indent="2"/>
    </xf>
    <xf numFmtId="0" fontId="13" fillId="6" borderId="18" xfId="0" applyNumberFormat="1" applyFont="1" applyFill="1" applyBorder="1" applyAlignment="1">
      <alignment horizontal="left" indent="2"/>
    </xf>
    <xf numFmtId="0" fontId="13" fillId="6" borderId="18" xfId="0" applyFont="1" applyFill="1" applyBorder="1" applyAlignment="1">
      <alignment horizontal="left" indent="2"/>
    </xf>
    <xf numFmtId="43" fontId="13" fillId="7" borderId="18" xfId="0" applyNumberFormat="1" applyFont="1" applyFill="1" applyBorder="1" applyAlignment="1">
      <alignment horizontal="center" vertical="center"/>
    </xf>
    <xf numFmtId="43" fontId="13" fillId="7" borderId="18" xfId="0" applyNumberFormat="1" applyFont="1" applyFill="1" applyBorder="1"/>
    <xf numFmtId="43" fontId="13" fillId="20" borderId="18" xfId="0" applyNumberFormat="1" applyFont="1" applyFill="1" applyBorder="1" applyAlignment="1">
      <alignment horizontal="center" vertical="center"/>
    </xf>
    <xf numFmtId="43" fontId="13" fillId="20" borderId="18" xfId="0" applyNumberFormat="1" applyFont="1" applyFill="1" applyBorder="1"/>
    <xf numFmtId="43" fontId="13" fillId="7" borderId="16" xfId="0" applyNumberFormat="1" applyFont="1" applyFill="1" applyBorder="1" applyAlignment="1">
      <alignment vertical="center"/>
    </xf>
    <xf numFmtId="43" fontId="13" fillId="7" borderId="0" xfId="0" applyNumberFormat="1" applyFont="1" applyFill="1" applyBorder="1" applyAlignment="1">
      <alignment horizontal="left" vertical="center"/>
    </xf>
    <xf numFmtId="0" fontId="11" fillId="6" borderId="36" xfId="0" applyFont="1" applyFill="1" applyBorder="1" applyAlignment="1">
      <alignment vertical="center"/>
    </xf>
    <xf numFmtId="43" fontId="10" fillId="20" borderId="33" xfId="0" applyNumberFormat="1" applyFont="1" applyFill="1" applyBorder="1" applyAlignment="1">
      <alignment vertical="center"/>
    </xf>
    <xf numFmtId="0" fontId="13" fillId="6" borderId="26" xfId="0" applyFont="1" applyFill="1" applyBorder="1" applyAlignment="1">
      <alignment horizontal="left" indent="2"/>
    </xf>
    <xf numFmtId="0" fontId="13" fillId="6" borderId="16" xfId="0" applyFont="1" applyFill="1" applyBorder="1" applyAlignment="1">
      <alignment horizontal="left" indent="2"/>
    </xf>
    <xf numFmtId="164" fontId="13" fillId="6" borderId="16" xfId="1" applyNumberFormat="1" applyFont="1" applyFill="1" applyBorder="1" applyAlignment="1">
      <alignment horizontal="left" indent="2"/>
    </xf>
    <xf numFmtId="165" fontId="13" fillId="6" borderId="16" xfId="1" applyNumberFormat="1" applyFont="1" applyFill="1" applyBorder="1" applyAlignment="1">
      <alignment horizontal="left" indent="2"/>
    </xf>
    <xf numFmtId="0" fontId="13" fillId="6" borderId="16" xfId="0" applyNumberFormat="1" applyFont="1" applyFill="1" applyBorder="1" applyAlignment="1">
      <alignment horizontal="left" indent="2"/>
    </xf>
    <xf numFmtId="43" fontId="13" fillId="7" borderId="35" xfId="0" applyNumberFormat="1" applyFont="1" applyFill="1" applyBorder="1" applyAlignment="1">
      <alignment vertical="center"/>
    </xf>
    <xf numFmtId="43" fontId="13" fillId="7" borderId="16" xfId="0" applyNumberFormat="1" applyFont="1" applyFill="1" applyBorder="1" applyAlignment="1">
      <alignment horizontal="center" vertical="center"/>
    </xf>
    <xf numFmtId="43" fontId="13" fillId="7" borderId="16" xfId="0" applyNumberFormat="1" applyFont="1" applyFill="1" applyBorder="1"/>
    <xf numFmtId="43" fontId="13" fillId="7" borderId="37" xfId="0" applyNumberFormat="1" applyFont="1" applyFill="1" applyBorder="1" applyAlignment="1">
      <alignment vertical="center"/>
    </xf>
    <xf numFmtId="43" fontId="13" fillId="20" borderId="35" xfId="0" applyNumberFormat="1" applyFont="1" applyFill="1" applyBorder="1" applyAlignment="1">
      <alignment vertical="center"/>
    </xf>
    <xf numFmtId="43" fontId="13" fillId="20" borderId="16" xfId="0" applyNumberFormat="1" applyFont="1" applyFill="1" applyBorder="1" applyAlignment="1">
      <alignment vertical="center"/>
    </xf>
    <xf numFmtId="43" fontId="13" fillId="20" borderId="16" xfId="0" applyNumberFormat="1" applyFont="1" applyFill="1" applyBorder="1" applyAlignment="1">
      <alignment horizontal="center" vertical="center"/>
    </xf>
    <xf numFmtId="43" fontId="13" fillId="20" borderId="16" xfId="0" applyNumberFormat="1" applyFont="1" applyFill="1" applyBorder="1"/>
    <xf numFmtId="43" fontId="13" fillId="20" borderId="0" xfId="0" applyNumberFormat="1" applyFont="1" applyFill="1" applyBorder="1" applyAlignment="1">
      <alignment horizontal="left" vertical="center"/>
    </xf>
    <xf numFmtId="43" fontId="13" fillId="20" borderId="2" xfId="0" applyNumberFormat="1" applyFont="1" applyFill="1" applyBorder="1" applyAlignment="1">
      <alignment vertical="center"/>
    </xf>
    <xf numFmtId="43" fontId="13" fillId="20" borderId="2" xfId="0" applyNumberFormat="1" applyFont="1" applyFill="1" applyBorder="1" applyAlignment="1">
      <alignment horizontal="center" vertical="center"/>
    </xf>
    <xf numFmtId="0" fontId="13" fillId="20" borderId="2" xfId="0" applyFont="1" applyFill="1" applyBorder="1" applyAlignment="1">
      <alignment vertical="center"/>
    </xf>
    <xf numFmtId="43" fontId="13" fillId="20" borderId="19" xfId="0" applyNumberFormat="1" applyFont="1" applyFill="1" applyBorder="1" applyAlignment="1">
      <alignment vertical="center"/>
    </xf>
    <xf numFmtId="43" fontId="13" fillId="20" borderId="2" xfId="0" applyNumberFormat="1" applyFont="1" applyFill="1" applyBorder="1" applyAlignment="1">
      <alignment horizontal="left" vertical="center"/>
    </xf>
    <xf numFmtId="43" fontId="13" fillId="20" borderId="27" xfId="0" applyNumberFormat="1" applyFont="1" applyFill="1" applyBorder="1" applyAlignment="1">
      <alignment vertical="center"/>
    </xf>
    <xf numFmtId="165" fontId="0" fillId="7" borderId="0" xfId="1" applyNumberFormat="1" applyFont="1" applyFill="1" applyBorder="1"/>
    <xf numFmtId="165" fontId="0" fillId="7" borderId="16" xfId="0" applyNumberFormat="1" applyFill="1" applyBorder="1"/>
    <xf numFmtId="165" fontId="0" fillId="7" borderId="0" xfId="0" applyNumberFormat="1" applyFill="1" applyBorder="1"/>
    <xf numFmtId="166" fontId="0" fillId="7" borderId="0" xfId="1" applyNumberFormat="1" applyFont="1" applyFill="1"/>
    <xf numFmtId="43" fontId="28" fillId="7" borderId="0" xfId="1" applyNumberFormat="1" applyFont="1" applyFill="1" applyBorder="1"/>
    <xf numFmtId="167" fontId="0" fillId="7" borderId="0" xfId="1" applyNumberFormat="1" applyFont="1" applyFill="1"/>
    <xf numFmtId="43" fontId="0" fillId="7" borderId="0" xfId="0" applyNumberFormat="1" applyFill="1" applyBorder="1"/>
    <xf numFmtId="43" fontId="7" fillId="7" borderId="0" xfId="0" applyNumberFormat="1" applyFont="1" applyFill="1" applyBorder="1"/>
    <xf numFmtId="43" fontId="0" fillId="3" borderId="33" xfId="0" applyNumberFormat="1" applyFill="1" applyBorder="1"/>
    <xf numFmtId="43" fontId="0" fillId="3" borderId="0" xfId="0" applyNumberFormat="1" applyFill="1" applyBorder="1"/>
    <xf numFmtId="43" fontId="28" fillId="3" borderId="0" xfId="1" applyNumberFormat="1" applyFont="1" applyFill="1" applyBorder="1"/>
    <xf numFmtId="165" fontId="0" fillId="3" borderId="33" xfId="0" applyNumberFormat="1" applyFill="1" applyBorder="1"/>
    <xf numFmtId="165" fontId="0" fillId="3" borderId="0" xfId="0" applyNumberFormat="1" applyFill="1" applyBorder="1"/>
    <xf numFmtId="167" fontId="0" fillId="7" borderId="0" xfId="0" applyNumberFormat="1" applyFill="1" applyBorder="1"/>
    <xf numFmtId="167" fontId="7" fillId="7" borderId="0" xfId="1" applyNumberFormat="1" applyFont="1" applyFill="1" applyBorder="1"/>
    <xf numFmtId="167" fontId="0" fillId="3" borderId="33" xfId="0" applyNumberFormat="1" applyFill="1" applyBorder="1"/>
    <xf numFmtId="167" fontId="0" fillId="3" borderId="0" xfId="1" applyNumberFormat="1" applyFont="1" applyFill="1"/>
    <xf numFmtId="167" fontId="0" fillId="3" borderId="0" xfId="0" applyNumberFormat="1" applyFill="1" applyBorder="1"/>
    <xf numFmtId="167" fontId="7" fillId="3" borderId="0" xfId="1" applyNumberFormat="1" applyFont="1" applyFill="1" applyBorder="1"/>
    <xf numFmtId="166" fontId="0" fillId="3" borderId="0" xfId="1" applyNumberFormat="1" applyFont="1" applyFill="1"/>
    <xf numFmtId="173" fontId="0" fillId="7" borderId="0" xfId="1" applyNumberFormat="1" applyFont="1" applyFill="1" applyBorder="1"/>
    <xf numFmtId="173" fontId="0" fillId="3" borderId="0" xfId="1" applyNumberFormat="1" applyFont="1" applyFill="1" applyBorder="1"/>
    <xf numFmtId="166" fontId="0" fillId="7" borderId="0" xfId="0" applyNumberFormat="1" applyFill="1" applyBorder="1"/>
    <xf numFmtId="166" fontId="0" fillId="3" borderId="33" xfId="0" applyNumberFormat="1" applyFill="1" applyBorder="1"/>
    <xf numFmtId="166" fontId="7" fillId="3" borderId="0" xfId="0" applyNumberFormat="1" applyFont="1" applyFill="1"/>
    <xf numFmtId="166" fontId="0" fillId="3" borderId="0" xfId="0" applyNumberFormat="1" applyFill="1" applyBorder="1"/>
    <xf numFmtId="174" fontId="0" fillId="7" borderId="0" xfId="1" applyNumberFormat="1" applyFont="1" applyFill="1" applyBorder="1"/>
    <xf numFmtId="174" fontId="0" fillId="7" borderId="0" xfId="0" applyNumberFormat="1" applyFill="1" applyBorder="1"/>
    <xf numFmtId="174" fontId="0" fillId="3" borderId="33" xfId="0" applyNumberFormat="1" applyFill="1" applyBorder="1"/>
    <xf numFmtId="174" fontId="0" fillId="3" borderId="0" xfId="1" applyNumberFormat="1" applyFont="1" applyFill="1" applyBorder="1"/>
    <xf numFmtId="174" fontId="0" fillId="3" borderId="0" xfId="0" applyNumberFormat="1" applyFill="1" applyBorder="1"/>
    <xf numFmtId="0" fontId="0" fillId="9" borderId="0" xfId="0" applyFill="1" applyBorder="1" applyAlignment="1" applyProtection="1">
      <alignment horizontal="center"/>
    </xf>
    <xf numFmtId="0" fontId="0" fillId="9" borderId="0" xfId="0" applyFill="1" applyBorder="1" applyProtection="1"/>
    <xf numFmtId="0" fontId="9" fillId="6" borderId="1" xfId="0" applyFont="1" applyFill="1" applyBorder="1" applyAlignment="1">
      <alignment horizontal="left" indent="2"/>
    </xf>
    <xf numFmtId="0" fontId="16" fillId="6" borderId="26" xfId="0" applyFont="1" applyFill="1" applyBorder="1" applyAlignment="1">
      <alignment horizontal="right"/>
    </xf>
    <xf numFmtId="0" fontId="9" fillId="6" borderId="26" xfId="0" applyFont="1" applyFill="1" applyBorder="1"/>
    <xf numFmtId="175" fontId="0" fillId="3" borderId="0" xfId="0" applyNumberFormat="1" applyFill="1" applyBorder="1"/>
    <xf numFmtId="175" fontId="0" fillId="7" borderId="0" xfId="0" applyNumberFormat="1" applyFill="1" applyBorder="1"/>
    <xf numFmtId="169" fontId="0" fillId="3" borderId="0" xfId="0" applyNumberFormat="1" applyFill="1" applyBorder="1"/>
    <xf numFmtId="41" fontId="26" fillId="7" borderId="0" xfId="1" applyNumberFormat="1" applyFont="1" applyFill="1" applyBorder="1" applyAlignment="1" applyProtection="1"/>
    <xf numFmtId="0" fontId="0" fillId="9" borderId="0" xfId="0" applyFill="1" applyBorder="1"/>
    <xf numFmtId="2" fontId="7" fillId="7" borderId="0" xfId="0" applyNumberFormat="1" applyFont="1" applyFill="1" applyBorder="1" applyProtection="1"/>
    <xf numFmtId="2" fontId="7" fillId="9" borderId="0" xfId="0" applyNumberFormat="1" applyFont="1" applyFill="1" applyBorder="1"/>
    <xf numFmtId="0" fontId="7" fillId="0" borderId="23" xfId="0" applyFont="1" applyFill="1" applyBorder="1" applyAlignment="1" applyProtection="1">
      <alignment horizontal="center"/>
      <protection locked="0"/>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37" fillId="0" borderId="0" xfId="9" applyFont="1"/>
    <xf numFmtId="0" fontId="37" fillId="0" borderId="0" xfId="10" applyFont="1"/>
    <xf numFmtId="0" fontId="5" fillId="0" borderId="0" xfId="12" applyBorder="1"/>
    <xf numFmtId="0" fontId="5" fillId="0" borderId="0" xfId="13" applyBorder="1" applyAlignment="1">
      <alignment horizontal="left"/>
    </xf>
    <xf numFmtId="9" fontId="7" fillId="5" borderId="0" xfId="0" applyNumberFormat="1" applyFont="1" applyFill="1" applyBorder="1" applyAlignment="1" applyProtection="1">
      <alignment horizontal="left"/>
      <protection locked="0"/>
    </xf>
    <xf numFmtId="9" fontId="7" fillId="5" borderId="0" xfId="0" applyNumberFormat="1" applyFont="1" applyFill="1" applyBorder="1" applyAlignment="1" applyProtection="1">
      <alignment horizontal="center"/>
      <protection locked="0"/>
    </xf>
    <xf numFmtId="169" fontId="7" fillId="5" borderId="0" xfId="0" applyNumberFormat="1" applyFont="1" applyFill="1" applyBorder="1" applyAlignment="1" applyProtection="1">
      <alignment horizontal="center"/>
      <protection locked="0"/>
    </xf>
    <xf numFmtId="0" fontId="7" fillId="5" borderId="0" xfId="0" applyNumberFormat="1" applyFont="1" applyFill="1" applyBorder="1" applyAlignment="1" applyProtection="1">
      <alignment horizontal="center"/>
      <protection locked="0"/>
    </xf>
    <xf numFmtId="164" fontId="7" fillId="5" borderId="0" xfId="1" applyNumberFormat="1" applyFont="1" applyFill="1" applyBorder="1" applyAlignment="1" applyProtection="1">
      <alignment horizontal="center"/>
      <protection locked="0"/>
    </xf>
    <xf numFmtId="0" fontId="7" fillId="5" borderId="0" xfId="0" applyNumberFormat="1"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protection locked="0"/>
    </xf>
    <xf numFmtId="0" fontId="7" fillId="5" borderId="0" xfId="1" applyNumberFormat="1" applyFont="1" applyFill="1" applyBorder="1" applyAlignment="1" applyProtection="1">
      <alignment horizontal="center"/>
      <protection locked="0"/>
    </xf>
    <xf numFmtId="0" fontId="7" fillId="0" borderId="0" xfId="0" applyFont="1" applyFill="1" applyBorder="1" applyAlignment="1" applyProtection="1">
      <alignment horizontal="center" vertical="center"/>
      <protection locked="0"/>
    </xf>
    <xf numFmtId="0" fontId="12" fillId="0" borderId="0" xfId="0" applyFont="1" applyFill="1" applyBorder="1" applyAlignment="1">
      <alignment horizontal="left" vertical="center" wrapText="1"/>
    </xf>
    <xf numFmtId="0" fontId="32" fillId="0" borderId="0" xfId="0" applyFont="1" applyFill="1" applyBorder="1" applyAlignment="1">
      <alignment horizontal="center" wrapText="1"/>
    </xf>
    <xf numFmtId="0" fontId="33" fillId="0" borderId="0" xfId="0" applyFont="1" applyFill="1" applyBorder="1" applyAlignment="1">
      <alignment horizontal="center" vertical="top" wrapText="1"/>
    </xf>
    <xf numFmtId="0" fontId="11" fillId="0" borderId="0" xfId="0" applyFont="1" applyFill="1" applyBorder="1" applyAlignment="1">
      <alignment horizontal="center" vertical="center" wrapText="1"/>
    </xf>
    <xf numFmtId="0" fontId="24" fillId="0" borderId="0" xfId="0" applyFont="1" applyFill="1" applyBorder="1" applyAlignment="1" applyProtection="1">
      <alignment horizontal="left"/>
    </xf>
    <xf numFmtId="0" fontId="0" fillId="0" borderId="0" xfId="0" applyFill="1" applyBorder="1" applyProtection="1"/>
    <xf numFmtId="0" fontId="8" fillId="0" borderId="0" xfId="0" applyFont="1" applyFill="1" applyBorder="1" applyProtection="1"/>
    <xf numFmtId="0" fontId="23" fillId="0" borderId="0" xfId="0" applyFont="1" applyFill="1" applyBorder="1" applyProtection="1"/>
    <xf numFmtId="0" fontId="7" fillId="0" borderId="0" xfId="0" applyFont="1" applyFill="1" applyBorder="1" applyProtection="1"/>
    <xf numFmtId="0" fontId="11" fillId="0" borderId="0" xfId="0" applyFont="1" applyFill="1" applyBorder="1" applyAlignment="1">
      <alignment horizontal="left"/>
    </xf>
    <xf numFmtId="0" fontId="7" fillId="0" borderId="0" xfId="0" applyFont="1" applyFill="1" applyBorder="1" applyAlignment="1">
      <alignment horizontal="left" wrapText="1"/>
    </xf>
    <xf numFmtId="43" fontId="0" fillId="0" borderId="0" xfId="0" applyNumberFormat="1" applyFill="1"/>
    <xf numFmtId="174" fontId="0" fillId="7" borderId="0" xfId="1" applyNumberFormat="1" applyFont="1" applyFill="1" applyBorder="1" applyAlignment="1">
      <alignment horizontal="center"/>
    </xf>
    <xf numFmtId="174" fontId="0" fillId="7" borderId="13" xfId="1" applyNumberFormat="1" applyFont="1" applyFill="1" applyBorder="1" applyAlignment="1">
      <alignment horizontal="center"/>
    </xf>
    <xf numFmtId="174" fontId="0" fillId="7" borderId="14" xfId="1" applyNumberFormat="1" applyFont="1" applyFill="1" applyBorder="1" applyAlignment="1">
      <alignment horizontal="center"/>
    </xf>
    <xf numFmtId="174" fontId="0" fillId="3" borderId="0" xfId="1" applyNumberFormat="1" applyFont="1" applyFill="1" applyBorder="1" applyAlignment="1">
      <alignment horizontal="center"/>
    </xf>
    <xf numFmtId="174" fontId="0" fillId="3" borderId="13" xfId="1" applyNumberFormat="1" applyFont="1" applyFill="1" applyBorder="1" applyAlignment="1">
      <alignment horizontal="center"/>
    </xf>
    <xf numFmtId="174" fontId="8" fillId="7" borderId="0" xfId="1" applyNumberFormat="1" applyFont="1" applyFill="1" applyBorder="1" applyAlignment="1">
      <alignment horizontal="center"/>
    </xf>
    <xf numFmtId="174" fontId="8" fillId="7" borderId="13" xfId="1" applyNumberFormat="1" applyFont="1" applyFill="1" applyBorder="1" applyAlignment="1">
      <alignment horizontal="center"/>
    </xf>
    <xf numFmtId="174" fontId="8" fillId="7" borderId="14" xfId="1" applyNumberFormat="1" applyFont="1" applyFill="1" applyBorder="1" applyAlignment="1">
      <alignment horizontal="center"/>
    </xf>
    <xf numFmtId="174" fontId="8" fillId="3" borderId="0" xfId="1" applyNumberFormat="1" applyFont="1" applyFill="1" applyBorder="1" applyAlignment="1">
      <alignment horizontal="center"/>
    </xf>
    <xf numFmtId="174" fontId="8" fillId="3" borderId="13" xfId="1" applyNumberFormat="1" applyFont="1" applyFill="1" applyBorder="1" applyAlignment="1">
      <alignment horizontal="center"/>
    </xf>
    <xf numFmtId="0" fontId="10" fillId="6" borderId="1" xfId="0" applyFont="1" applyFill="1" applyBorder="1" applyAlignment="1"/>
    <xf numFmtId="174" fontId="0" fillId="3" borderId="2" xfId="1" applyNumberFormat="1" applyFont="1" applyFill="1" applyBorder="1" applyAlignment="1">
      <alignment horizontal="center"/>
    </xf>
    <xf numFmtId="174" fontId="8" fillId="3" borderId="2" xfId="1" applyNumberFormat="1" applyFont="1" applyFill="1" applyBorder="1" applyAlignment="1">
      <alignment horizontal="center"/>
    </xf>
    <xf numFmtId="174" fontId="8" fillId="7" borderId="0" xfId="0" applyNumberFormat="1" applyFont="1" applyFill="1" applyBorder="1"/>
    <xf numFmtId="174" fontId="8" fillId="3" borderId="0" xfId="0" applyNumberFormat="1" applyFont="1" applyFill="1" applyBorder="1"/>
    <xf numFmtId="174" fontId="8" fillId="3" borderId="2" xfId="0" applyNumberFormat="1" applyFont="1" applyFill="1" applyBorder="1"/>
    <xf numFmtId="173" fontId="8" fillId="7" borderId="0" xfId="0" applyNumberFormat="1" applyFont="1" applyFill="1" applyBorder="1" applyAlignment="1">
      <alignment horizontal="center"/>
    </xf>
    <xf numFmtId="173" fontId="8" fillId="3" borderId="0" xfId="0" applyNumberFormat="1" applyFont="1" applyFill="1" applyBorder="1" applyAlignment="1">
      <alignment horizontal="center"/>
    </xf>
    <xf numFmtId="173" fontId="8" fillId="3" borderId="2" xfId="0" applyNumberFormat="1" applyFont="1" applyFill="1" applyBorder="1" applyAlignment="1">
      <alignment horizontal="center"/>
    </xf>
    <xf numFmtId="0" fontId="13" fillId="6" borderId="3" xfId="0" applyFont="1" applyFill="1" applyBorder="1" applyAlignment="1">
      <alignment horizontal="left" indent="2"/>
    </xf>
    <xf numFmtId="0" fontId="0" fillId="7" borderId="4" xfId="0" applyFill="1" applyBorder="1"/>
    <xf numFmtId="0" fontId="0" fillId="3" borderId="4" xfId="0" applyFill="1" applyBorder="1"/>
    <xf numFmtId="0" fontId="0" fillId="3" borderId="5" xfId="0" applyFill="1" applyBorder="1"/>
    <xf numFmtId="174" fontId="0" fillId="3" borderId="14" xfId="1" applyNumberFormat="1" applyFont="1" applyFill="1" applyBorder="1" applyAlignment="1">
      <alignment horizontal="center"/>
    </xf>
    <xf numFmtId="174" fontId="8" fillId="3" borderId="14" xfId="1" applyNumberFormat="1" applyFont="1" applyFill="1" applyBorder="1" applyAlignment="1">
      <alignment horizontal="center"/>
    </xf>
    <xf numFmtId="174" fontId="8" fillId="3" borderId="14" xfId="0" applyNumberFormat="1" applyFont="1" applyFill="1" applyBorder="1"/>
    <xf numFmtId="174" fontId="8" fillId="3" borderId="13" xfId="0" applyNumberFormat="1" applyFont="1" applyFill="1" applyBorder="1"/>
    <xf numFmtId="173" fontId="8" fillId="3" borderId="14" xfId="0" applyNumberFormat="1" applyFont="1" applyFill="1" applyBorder="1" applyAlignment="1">
      <alignment horizontal="center"/>
    </xf>
    <xf numFmtId="173" fontId="8" fillId="3" borderId="13" xfId="0" applyNumberFormat="1" applyFont="1" applyFill="1" applyBorder="1" applyAlignment="1">
      <alignment horizontal="center"/>
    </xf>
    <xf numFmtId="0" fontId="0" fillId="3" borderId="32" xfId="0" applyFill="1" applyBorder="1"/>
    <xf numFmtId="0" fontId="0" fillId="3" borderId="47" xfId="0" applyFill="1" applyBorder="1"/>
    <xf numFmtId="174" fontId="8" fillId="7" borderId="14" xfId="0" applyNumberFormat="1" applyFont="1" applyFill="1" applyBorder="1"/>
    <xf numFmtId="173" fontId="8" fillId="7" borderId="14" xfId="0" applyNumberFormat="1" applyFont="1" applyFill="1" applyBorder="1" applyAlignment="1">
      <alignment horizontal="center"/>
    </xf>
    <xf numFmtId="173" fontId="8" fillId="7" borderId="13" xfId="0" applyNumberFormat="1" applyFont="1" applyFill="1" applyBorder="1" applyAlignment="1">
      <alignment horizontal="center"/>
    </xf>
    <xf numFmtId="0" fontId="0" fillId="7" borderId="32" xfId="0" applyFill="1" applyBorder="1"/>
    <xf numFmtId="174" fontId="0" fillId="7" borderId="36" xfId="1" applyNumberFormat="1" applyFont="1" applyFill="1" applyBorder="1" applyAlignment="1">
      <alignment horizontal="center"/>
    </xf>
    <xf numFmtId="174" fontId="8" fillId="7" borderId="36" xfId="1" applyNumberFormat="1" applyFont="1" applyFill="1" applyBorder="1" applyAlignment="1">
      <alignment horizontal="center"/>
    </xf>
    <xf numFmtId="173" fontId="8" fillId="7" borderId="36" xfId="0" applyNumberFormat="1" applyFont="1" applyFill="1" applyBorder="1" applyAlignment="1">
      <alignment horizontal="center"/>
    </xf>
    <xf numFmtId="0" fontId="0" fillId="6" borderId="1" xfId="0" applyFill="1" applyBorder="1" applyAlignment="1">
      <alignment horizontal="left" indent="2"/>
    </xf>
    <xf numFmtId="0" fontId="7" fillId="6" borderId="45" xfId="0" applyFont="1" applyFill="1" applyBorder="1" applyAlignment="1">
      <alignment horizontal="left" indent="2"/>
    </xf>
    <xf numFmtId="0" fontId="8" fillId="6" borderId="45" xfId="0" applyFont="1" applyFill="1" applyBorder="1" applyAlignment="1">
      <alignment horizontal="left"/>
    </xf>
    <xf numFmtId="0" fontId="7" fillId="6" borderId="26" xfId="0" applyFont="1" applyFill="1" applyBorder="1" applyAlignment="1">
      <alignment horizontal="left" indent="1"/>
    </xf>
    <xf numFmtId="0" fontId="7" fillId="10" borderId="12" xfId="0" applyFont="1" applyFill="1" applyBorder="1"/>
    <xf numFmtId="0" fontId="7" fillId="10" borderId="13" xfId="0" applyFont="1" applyFill="1" applyBorder="1"/>
    <xf numFmtId="9" fontId="7" fillId="5" borderId="23" xfId="0" applyNumberFormat="1" applyFont="1" applyFill="1" applyBorder="1" applyAlignment="1" applyProtection="1">
      <alignment horizontal="center" vertical="center"/>
      <protection locked="0"/>
    </xf>
    <xf numFmtId="167" fontId="13" fillId="7" borderId="0" xfId="1" applyNumberFormat="1" applyFont="1" applyFill="1" applyBorder="1" applyAlignment="1" applyProtection="1">
      <alignment horizontal="center" vertical="center"/>
    </xf>
    <xf numFmtId="167" fontId="13" fillId="3" borderId="0" xfId="1" applyNumberFormat="1" applyFont="1" applyFill="1" applyBorder="1" applyAlignment="1" applyProtection="1">
      <alignment horizontal="center" vertical="center"/>
    </xf>
    <xf numFmtId="167" fontId="13" fillId="11" borderId="0" xfId="1" applyNumberFormat="1" applyFont="1" applyFill="1" applyBorder="1" applyAlignment="1" applyProtection="1">
      <alignment horizontal="center" vertical="center"/>
    </xf>
    <xf numFmtId="167" fontId="13" fillId="10" borderId="0" xfId="1" applyNumberFormat="1" applyFont="1" applyFill="1" applyBorder="1" applyAlignment="1" applyProtection="1">
      <alignment horizontal="center" vertical="center"/>
    </xf>
    <xf numFmtId="43" fontId="0" fillId="7" borderId="36" xfId="0" applyNumberFormat="1" applyFill="1" applyBorder="1"/>
    <xf numFmtId="2" fontId="0" fillId="7" borderId="0" xfId="0" applyNumberFormat="1" applyFill="1" applyBorder="1" applyAlignment="1">
      <alignment horizontal="center"/>
    </xf>
    <xf numFmtId="169" fontId="0" fillId="7" borderId="0" xfId="0" applyNumberFormat="1" applyFill="1" applyBorder="1" applyAlignment="1">
      <alignment horizontal="center"/>
    </xf>
    <xf numFmtId="169" fontId="0" fillId="3" borderId="0" xfId="0" applyNumberFormat="1" applyFill="1" applyBorder="1" applyAlignment="1">
      <alignment horizontal="center"/>
    </xf>
    <xf numFmtId="169" fontId="0" fillId="11" borderId="0" xfId="0" applyNumberFormat="1" applyFill="1" applyBorder="1" applyAlignment="1">
      <alignment horizontal="center"/>
    </xf>
    <xf numFmtId="169" fontId="0" fillId="10" borderId="0" xfId="0" applyNumberFormat="1" applyFill="1" applyBorder="1" applyAlignment="1">
      <alignment horizontal="center"/>
    </xf>
    <xf numFmtId="0" fontId="7" fillId="10" borderId="16" xfId="0" applyFont="1" applyFill="1" applyBorder="1" applyAlignment="1">
      <alignment horizontal="left" vertical="center"/>
    </xf>
    <xf numFmtId="0" fontId="7" fillId="10" borderId="16" xfId="1" applyNumberFormat="1" applyFont="1" applyFill="1" applyBorder="1" applyAlignment="1" applyProtection="1">
      <alignment horizontal="center"/>
      <protection locked="0"/>
    </xf>
    <xf numFmtId="0" fontId="7" fillId="11" borderId="16" xfId="0" applyFont="1" applyFill="1" applyBorder="1" applyAlignment="1">
      <alignment horizontal="left" vertical="center"/>
    </xf>
    <xf numFmtId="0" fontId="7" fillId="11" borderId="16" xfId="1" applyNumberFormat="1" applyFont="1" applyFill="1" applyBorder="1" applyAlignment="1" applyProtection="1">
      <alignment horizontal="center"/>
      <protection locked="0"/>
    </xf>
    <xf numFmtId="167" fontId="10" fillId="11" borderId="0" xfId="0" applyNumberFormat="1" applyFont="1" applyFill="1" applyBorder="1" applyAlignment="1" applyProtection="1">
      <alignment horizontal="center" vertical="center"/>
    </xf>
    <xf numFmtId="167" fontId="10" fillId="10" borderId="0" xfId="0" applyNumberFormat="1" applyFont="1" applyFill="1" applyBorder="1" applyAlignment="1" applyProtection="1">
      <alignment horizontal="center" vertical="center"/>
    </xf>
    <xf numFmtId="167" fontId="10" fillId="7" borderId="0" xfId="0" applyNumberFormat="1" applyFont="1" applyFill="1" applyBorder="1" applyAlignment="1" applyProtection="1">
      <alignment horizontal="center" vertical="center"/>
    </xf>
    <xf numFmtId="167" fontId="10" fillId="3" borderId="0" xfId="0" applyNumberFormat="1" applyFont="1" applyFill="1" applyBorder="1" applyAlignment="1" applyProtection="1">
      <alignment horizontal="center" vertical="center"/>
    </xf>
    <xf numFmtId="0" fontId="0" fillId="7" borderId="0" xfId="0" applyNumberFormat="1" applyFill="1" applyBorder="1"/>
    <xf numFmtId="0" fontId="0" fillId="3" borderId="0" xfId="0" applyNumberFormat="1" applyFill="1"/>
    <xf numFmtId="0" fontId="0" fillId="3" borderId="0" xfId="0" applyNumberFormat="1" applyFill="1" applyBorder="1"/>
    <xf numFmtId="0" fontId="0" fillId="10" borderId="0" xfId="0" applyNumberFormat="1" applyFill="1" applyBorder="1"/>
    <xf numFmtId="0" fontId="0" fillId="11" borderId="0" xfId="0" applyNumberFormat="1" applyFill="1" applyBorder="1"/>
    <xf numFmtId="2" fontId="7" fillId="11" borderId="0" xfId="0" applyNumberFormat="1" applyFont="1" applyFill="1" applyBorder="1"/>
    <xf numFmtId="43" fontId="0" fillId="3" borderId="16" xfId="0" applyNumberFormat="1" applyFill="1" applyBorder="1"/>
    <xf numFmtId="43" fontId="0" fillId="7" borderId="16" xfId="0" applyNumberFormat="1" applyFill="1" applyBorder="1"/>
    <xf numFmtId="43" fontId="0" fillId="10" borderId="16" xfId="0" applyNumberFormat="1" applyFill="1" applyBorder="1"/>
    <xf numFmtId="43" fontId="0" fillId="10" borderId="0" xfId="0" applyNumberFormat="1" applyFill="1" applyBorder="1"/>
    <xf numFmtId="43" fontId="0" fillId="11" borderId="16" xfId="0" applyNumberFormat="1" applyFill="1" applyBorder="1"/>
    <xf numFmtId="43" fontId="0" fillId="11" borderId="0" xfId="0" applyNumberFormat="1" applyFill="1" applyBorder="1"/>
    <xf numFmtId="0" fontId="7" fillId="0" borderId="0" xfId="0" applyFont="1" applyFill="1" applyBorder="1" applyProtection="1">
      <protection locked="0"/>
    </xf>
    <xf numFmtId="168" fontId="7" fillId="7" borderId="14" xfId="4" applyNumberFormat="1" applyFont="1" applyFill="1" applyBorder="1" applyAlignment="1">
      <alignment horizontal="center"/>
    </xf>
    <xf numFmtId="1" fontId="7" fillId="7" borderId="14" xfId="0" applyNumberFormat="1" applyFont="1" applyFill="1" applyBorder="1" applyAlignment="1">
      <alignment horizontal="center"/>
    </xf>
    <xf numFmtId="2" fontId="0" fillId="7" borderId="14" xfId="0" applyNumberFormat="1" applyFill="1" applyBorder="1" applyAlignment="1">
      <alignment horizontal="center"/>
    </xf>
    <xf numFmtId="0" fontId="0" fillId="7" borderId="14" xfId="0" applyFill="1" applyBorder="1" applyAlignment="1">
      <alignment horizontal="center"/>
    </xf>
    <xf numFmtId="171" fontId="0" fillId="7" borderId="14" xfId="0" applyNumberFormat="1" applyFill="1" applyBorder="1" applyAlignment="1">
      <alignment horizontal="center"/>
    </xf>
    <xf numFmtId="2" fontId="7" fillId="7" borderId="14" xfId="1" applyNumberFormat="1" applyFont="1" applyFill="1" applyBorder="1" applyAlignment="1">
      <alignment horizontal="center"/>
    </xf>
    <xf numFmtId="169" fontId="0" fillId="7" borderId="14" xfId="0" applyNumberFormat="1" applyFill="1" applyBorder="1" applyAlignment="1">
      <alignment horizontal="center"/>
    </xf>
    <xf numFmtId="168" fontId="7" fillId="3" borderId="0" xfId="4" applyNumberFormat="1" applyFont="1" applyFill="1" applyBorder="1" applyAlignment="1">
      <alignment horizontal="center"/>
    </xf>
    <xf numFmtId="2" fontId="0" fillId="3" borderId="0" xfId="0" applyNumberFormat="1" applyFill="1" applyBorder="1" applyAlignment="1">
      <alignment horizontal="center"/>
    </xf>
    <xf numFmtId="1" fontId="0" fillId="3" borderId="0" xfId="0" applyNumberFormat="1" applyFill="1" applyBorder="1" applyAlignment="1">
      <alignment horizontal="center"/>
    </xf>
    <xf numFmtId="168" fontId="7" fillId="10" borderId="0" xfId="4" applyNumberFormat="1" applyFont="1" applyFill="1" applyBorder="1" applyAlignment="1">
      <alignment horizontal="center"/>
    </xf>
    <xf numFmtId="2" fontId="0" fillId="10" borderId="0" xfId="0" applyNumberFormat="1" applyFill="1" applyBorder="1" applyAlignment="1">
      <alignment horizontal="center"/>
    </xf>
    <xf numFmtId="0" fontId="7" fillId="11" borderId="13" xfId="0" applyFont="1" applyFill="1" applyBorder="1" applyAlignment="1">
      <alignment horizontal="center"/>
    </xf>
    <xf numFmtId="168" fontId="7" fillId="11" borderId="13" xfId="4" applyNumberFormat="1" applyFont="1" applyFill="1" applyBorder="1" applyAlignment="1">
      <alignment horizontal="center"/>
    </xf>
    <xf numFmtId="1" fontId="7" fillId="11" borderId="13" xfId="0" applyNumberFormat="1" applyFont="1" applyFill="1" applyBorder="1" applyAlignment="1">
      <alignment horizontal="center"/>
    </xf>
    <xf numFmtId="2" fontId="0" fillId="11" borderId="13" xfId="0" applyNumberFormat="1" applyFill="1" applyBorder="1" applyAlignment="1">
      <alignment horizontal="center"/>
    </xf>
    <xf numFmtId="0" fontId="0" fillId="11" borderId="13" xfId="0" applyFill="1" applyBorder="1" applyAlignment="1">
      <alignment horizontal="center"/>
    </xf>
    <xf numFmtId="171" fontId="0" fillId="11" borderId="13" xfId="0" applyNumberFormat="1" applyFill="1" applyBorder="1" applyAlignment="1">
      <alignment horizontal="center"/>
    </xf>
    <xf numFmtId="2" fontId="7" fillId="11" borderId="13" xfId="1" applyNumberFormat="1" applyFont="1" applyFill="1" applyBorder="1" applyAlignment="1">
      <alignment horizontal="center"/>
    </xf>
    <xf numFmtId="169" fontId="0" fillId="11" borderId="13" xfId="0" applyNumberFormat="1" applyFill="1" applyBorder="1" applyAlignment="1">
      <alignment horizontal="center"/>
    </xf>
    <xf numFmtId="0" fontId="0" fillId="5" borderId="0" xfId="0" applyFill="1"/>
    <xf numFmtId="0" fontId="7" fillId="0" borderId="14" xfId="0" applyFont="1" applyFill="1" applyBorder="1" applyProtection="1">
      <protection locked="0"/>
    </xf>
    <xf numFmtId="0" fontId="0" fillId="0" borderId="14" xfId="0" applyFill="1" applyBorder="1" applyProtection="1">
      <protection locked="0"/>
    </xf>
    <xf numFmtId="0" fontId="0" fillId="0" borderId="0" xfId="0" applyFill="1" applyBorder="1" applyProtection="1">
      <protection locked="0"/>
    </xf>
    <xf numFmtId="169" fontId="0" fillId="0" borderId="0" xfId="0" applyNumberFormat="1" applyFill="1" applyBorder="1" applyProtection="1">
      <protection locked="0"/>
    </xf>
    <xf numFmtId="1" fontId="0" fillId="7" borderId="14" xfId="0" applyNumberFormat="1" applyFill="1" applyBorder="1" applyAlignment="1">
      <alignment horizontal="center"/>
    </xf>
    <xf numFmtId="9" fontId="0" fillId="7" borderId="14" xfId="4" applyFont="1" applyFill="1" applyBorder="1" applyAlignment="1">
      <alignment horizontal="center"/>
    </xf>
    <xf numFmtId="168" fontId="0" fillId="7" borderId="14" xfId="4" applyNumberFormat="1" applyFont="1" applyFill="1" applyBorder="1" applyAlignment="1">
      <alignment horizontal="center"/>
    </xf>
    <xf numFmtId="9" fontId="0" fillId="3" borderId="0" xfId="4" applyFont="1" applyFill="1" applyBorder="1" applyAlignment="1">
      <alignment horizontal="center"/>
    </xf>
    <xf numFmtId="9" fontId="0" fillId="10" borderId="0" xfId="4" applyFont="1" applyFill="1" applyBorder="1" applyAlignment="1">
      <alignment horizontal="center"/>
    </xf>
    <xf numFmtId="9" fontId="0" fillId="11" borderId="13" xfId="4" applyFont="1" applyFill="1" applyBorder="1" applyAlignment="1">
      <alignment horizontal="center"/>
    </xf>
    <xf numFmtId="9" fontId="0" fillId="7" borderId="0" xfId="4" applyFont="1" applyFill="1" applyBorder="1" applyAlignment="1">
      <alignment horizontal="center"/>
    </xf>
    <xf numFmtId="1" fontId="0" fillId="10" borderId="0" xfId="0" applyNumberFormat="1" applyFill="1" applyBorder="1" applyAlignment="1">
      <alignment horizontal="center"/>
    </xf>
    <xf numFmtId="1" fontId="0" fillId="11" borderId="13" xfId="0" applyNumberFormat="1" applyFill="1" applyBorder="1" applyAlignment="1">
      <alignment horizontal="center"/>
    </xf>
    <xf numFmtId="9" fontId="7" fillId="7" borderId="14" xfId="4" applyFont="1" applyFill="1" applyBorder="1" applyAlignment="1">
      <alignment horizontal="center"/>
    </xf>
    <xf numFmtId="9" fontId="0" fillId="11" borderId="13" xfId="4" applyNumberFormat="1" applyFont="1" applyFill="1" applyBorder="1" applyAlignment="1">
      <alignment horizontal="center"/>
    </xf>
    <xf numFmtId="0" fontId="38" fillId="11" borderId="13" xfId="0" applyFont="1" applyFill="1" applyBorder="1" applyAlignment="1">
      <alignment horizontal="center"/>
    </xf>
    <xf numFmtId="0" fontId="7" fillId="0" borderId="68" xfId="0" applyFont="1" applyFill="1" applyBorder="1" applyAlignment="1">
      <alignment horizontal="left" indent="1"/>
    </xf>
    <xf numFmtId="0" fontId="0" fillId="11" borderId="0" xfId="0" applyFill="1" applyBorder="1" applyAlignment="1">
      <alignment horizontal="center"/>
    </xf>
    <xf numFmtId="0" fontId="0" fillId="7" borderId="0" xfId="0" applyFill="1" applyBorder="1" applyAlignment="1">
      <alignment horizontal="center"/>
    </xf>
    <xf numFmtId="0" fontId="8" fillId="10" borderId="0" xfId="0" applyFont="1" applyFill="1" applyBorder="1" applyAlignment="1">
      <alignment horizontal="center"/>
    </xf>
    <xf numFmtId="0" fontId="0" fillId="3" borderId="0" xfId="0" applyFill="1" applyBorder="1" applyAlignment="1">
      <alignment horizontal="center"/>
    </xf>
    <xf numFmtId="0" fontId="8" fillId="7" borderId="0" xfId="0" applyFont="1" applyFill="1" applyBorder="1" applyAlignment="1">
      <alignment horizontal="center"/>
    </xf>
    <xf numFmtId="170" fontId="0" fillId="3" borderId="0" xfId="0" applyNumberFormat="1" applyFill="1" applyBorder="1" applyAlignment="1">
      <alignment horizontal="center"/>
    </xf>
    <xf numFmtId="170" fontId="0" fillId="7" borderId="14" xfId="0" applyNumberFormat="1" applyFill="1" applyBorder="1" applyAlignment="1">
      <alignment horizontal="center"/>
    </xf>
    <xf numFmtId="170" fontId="0" fillId="10" borderId="0" xfId="0" applyNumberFormat="1" applyFill="1" applyBorder="1" applyAlignment="1">
      <alignment horizontal="center"/>
    </xf>
    <xf numFmtId="170" fontId="0" fillId="11" borderId="13" xfId="0" applyNumberFormat="1" applyFill="1" applyBorder="1" applyAlignment="1">
      <alignment horizontal="center"/>
    </xf>
    <xf numFmtId="0" fontId="8" fillId="10" borderId="0" xfId="0" applyFont="1" applyFill="1" applyBorder="1" applyAlignment="1">
      <alignment horizontal="center"/>
    </xf>
    <xf numFmtId="171" fontId="0" fillId="3" borderId="0" xfId="0" applyNumberFormat="1"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40" fillId="11" borderId="0" xfId="0" applyFont="1" applyFill="1" applyBorder="1" applyAlignment="1"/>
    <xf numFmtId="43" fontId="7" fillId="3" borderId="0" xfId="0" applyNumberFormat="1" applyFont="1" applyFill="1" applyBorder="1"/>
    <xf numFmtId="43" fontId="0" fillId="10" borderId="33" xfId="0" applyNumberFormat="1" applyFill="1" applyBorder="1"/>
    <xf numFmtId="43" fontId="28" fillId="10" borderId="0" xfId="1" applyNumberFormat="1" applyFont="1" applyFill="1" applyBorder="1"/>
    <xf numFmtId="43" fontId="7" fillId="10" borderId="0" xfId="0" applyNumberFormat="1" applyFont="1" applyFill="1" applyBorder="1"/>
    <xf numFmtId="43" fontId="0" fillId="10" borderId="36" xfId="0" applyNumberFormat="1" applyFill="1" applyBorder="1"/>
    <xf numFmtId="43" fontId="28" fillId="11" borderId="0" xfId="1" applyNumberFormat="1" applyFont="1" applyFill="1" applyBorder="1"/>
    <xf numFmtId="0" fontId="8" fillId="0" borderId="13" xfId="0" applyFont="1" applyFill="1" applyBorder="1"/>
    <xf numFmtId="0" fontId="0" fillId="0" borderId="27" xfId="0" applyBorder="1"/>
    <xf numFmtId="0" fontId="7" fillId="3" borderId="0" xfId="0" applyFont="1" applyFill="1" applyBorder="1" applyAlignment="1">
      <alignment horizontal="left"/>
    </xf>
    <xf numFmtId="0" fontId="7" fillId="7" borderId="0" xfId="0" applyFont="1" applyFill="1" applyBorder="1" applyAlignment="1">
      <alignment horizontal="left"/>
    </xf>
    <xf numFmtId="0" fontId="7" fillId="3" borderId="0" xfId="0" applyFont="1" applyFill="1" applyBorder="1" applyAlignment="1" applyProtection="1">
      <alignment horizontal="left"/>
    </xf>
    <xf numFmtId="0" fontId="25" fillId="6" borderId="1" xfId="0" applyFont="1" applyFill="1" applyBorder="1"/>
    <xf numFmtId="0" fontId="7" fillId="10" borderId="33" xfId="0" applyFont="1" applyFill="1" applyBorder="1" applyAlignment="1">
      <alignment horizontal="center" wrapText="1"/>
    </xf>
    <xf numFmtId="0" fontId="7" fillId="11" borderId="33" xfId="0" applyFont="1" applyFill="1" applyBorder="1" applyAlignment="1">
      <alignment horizontal="center" wrapText="1"/>
    </xf>
    <xf numFmtId="0" fontId="8" fillId="0" borderId="68" xfId="0" applyFont="1" applyFill="1" applyBorder="1"/>
    <xf numFmtId="0" fontId="7" fillId="0" borderId="68" xfId="0" applyFont="1" applyFill="1" applyBorder="1" applyAlignment="1">
      <alignment horizontal="left"/>
    </xf>
    <xf numFmtId="0" fontId="7" fillId="0" borderId="71" xfId="0" applyFont="1" applyFill="1" applyBorder="1" applyAlignment="1">
      <alignment horizontal="left"/>
    </xf>
    <xf numFmtId="0" fontId="41" fillId="8" borderId="28" xfId="0" applyFont="1" applyFill="1" applyBorder="1" applyAlignment="1">
      <alignment horizontal="right" vertical="center"/>
    </xf>
    <xf numFmtId="0" fontId="41" fillId="15" borderId="1" xfId="0" applyFont="1" applyFill="1" applyBorder="1" applyAlignment="1">
      <alignment horizontal="right" vertical="center"/>
    </xf>
    <xf numFmtId="0" fontId="41" fillId="12" borderId="1" xfId="0" applyFont="1" applyFill="1" applyBorder="1" applyAlignment="1">
      <alignment horizontal="right" vertical="center"/>
    </xf>
    <xf numFmtId="0" fontId="7" fillId="0" borderId="2" xfId="0" applyFont="1" applyFill="1" applyBorder="1" applyProtection="1">
      <protection locked="0"/>
    </xf>
    <xf numFmtId="0" fontId="0" fillId="0" borderId="2" xfId="0" applyFill="1" applyBorder="1" applyProtection="1">
      <protection locked="0"/>
    </xf>
    <xf numFmtId="0" fontId="0" fillId="7" borderId="32" xfId="0" applyFill="1" applyBorder="1" applyAlignment="1">
      <alignment horizontal="center"/>
    </xf>
    <xf numFmtId="0" fontId="0" fillId="3" borderId="4" xfId="0" applyFill="1" applyBorder="1" applyAlignment="1">
      <alignment horizontal="center"/>
    </xf>
    <xf numFmtId="0" fontId="0" fillId="10" borderId="4" xfId="0" applyFill="1" applyBorder="1" applyAlignment="1">
      <alignment horizontal="center"/>
    </xf>
    <xf numFmtId="0" fontId="0" fillId="11" borderId="47" xfId="0" applyFill="1" applyBorder="1" applyAlignment="1">
      <alignment horizontal="center"/>
    </xf>
    <xf numFmtId="0" fontId="0" fillId="0" borderId="4" xfId="0" applyFill="1" applyBorder="1" applyProtection="1">
      <protection locked="0"/>
    </xf>
    <xf numFmtId="0" fontId="0" fillId="0" borderId="5" xfId="0" applyFill="1" applyBorder="1" applyProtection="1">
      <protection locked="0"/>
    </xf>
    <xf numFmtId="0" fontId="0" fillId="0" borderId="32" xfId="0" applyFill="1" applyBorder="1" applyProtection="1">
      <protection locked="0"/>
    </xf>
    <xf numFmtId="0" fontId="0" fillId="0" borderId="32" xfId="0" applyBorder="1"/>
    <xf numFmtId="0" fontId="0" fillId="0" borderId="0" xfId="0" applyAlignment="1">
      <alignment wrapText="1"/>
    </xf>
    <xf numFmtId="0" fontId="8" fillId="0" borderId="0" xfId="0" applyFont="1" applyAlignment="1">
      <alignment wrapText="1"/>
    </xf>
    <xf numFmtId="0" fontId="8" fillId="6" borderId="11" xfId="0" applyFont="1" applyFill="1" applyBorder="1" applyAlignment="1">
      <alignment wrapText="1"/>
    </xf>
    <xf numFmtId="0" fontId="8" fillId="6" borderId="17" xfId="0" applyFont="1" applyFill="1" applyBorder="1" applyAlignment="1">
      <alignment horizontal="center" wrapText="1"/>
    </xf>
    <xf numFmtId="0" fontId="8" fillId="6" borderId="20" xfId="0" applyFont="1" applyFill="1" applyBorder="1" applyAlignment="1">
      <alignment horizontal="center" wrapText="1"/>
    </xf>
    <xf numFmtId="0" fontId="7" fillId="11" borderId="13" xfId="0" applyFont="1" applyFill="1" applyBorder="1" applyAlignment="1">
      <alignment horizontal="left"/>
    </xf>
    <xf numFmtId="0" fontId="7" fillId="3" borderId="13" xfId="0" applyFont="1" applyFill="1" applyBorder="1" applyAlignment="1">
      <alignment horizontal="left"/>
    </xf>
    <xf numFmtId="0" fontId="0" fillId="3" borderId="21" xfId="0" applyFill="1" applyBorder="1"/>
    <xf numFmtId="0" fontId="25" fillId="6" borderId="17" xfId="0" applyFont="1" applyFill="1" applyBorder="1" applyAlignment="1">
      <alignment horizontal="center" vertical="center" wrapText="1"/>
    </xf>
    <xf numFmtId="0" fontId="0" fillId="0" borderId="0" xfId="0" applyAlignment="1"/>
    <xf numFmtId="0" fontId="0" fillId="0" borderId="0" xfId="0" applyBorder="1" applyAlignment="1"/>
    <xf numFmtId="0" fontId="7" fillId="7" borderId="33" xfId="0" applyFont="1" applyFill="1" applyBorder="1" applyAlignment="1">
      <alignment horizontal="center" wrapText="1"/>
    </xf>
    <xf numFmtId="0" fontId="25" fillId="6" borderId="1" xfId="0" applyFont="1" applyFill="1" applyBorder="1" applyAlignment="1">
      <alignment horizontal="left" vertical="center"/>
    </xf>
    <xf numFmtId="0" fontId="7" fillId="0" borderId="10" xfId="0" applyFont="1" applyBorder="1"/>
    <xf numFmtId="0" fontId="12" fillId="0" borderId="0" xfId="0" applyFont="1" applyFill="1" applyBorder="1" applyAlignment="1">
      <alignment wrapText="1"/>
    </xf>
    <xf numFmtId="0" fontId="12" fillId="0" borderId="1" xfId="0" applyFont="1" applyFill="1" applyBorder="1" applyAlignment="1">
      <alignment wrapText="1"/>
    </xf>
    <xf numFmtId="0" fontId="0" fillId="0" borderId="0" xfId="0" applyFill="1" applyAlignment="1">
      <alignment vertical="center"/>
    </xf>
    <xf numFmtId="0" fontId="7" fillId="0" borderId="11" xfId="0" applyFont="1" applyBorder="1"/>
    <xf numFmtId="0" fontId="0" fillId="0" borderId="20" xfId="0" applyBorder="1"/>
    <xf numFmtId="9" fontId="13" fillId="0" borderId="0" xfId="0" applyNumberFormat="1" applyFont="1" applyFill="1" applyBorder="1" applyAlignment="1">
      <alignment horizontal="center" vertical="center"/>
    </xf>
    <xf numFmtId="174" fontId="0" fillId="7" borderId="33" xfId="1" applyNumberFormat="1" applyFont="1" applyFill="1" applyBorder="1" applyAlignment="1">
      <alignment horizontal="center"/>
    </xf>
    <xf numFmtId="174" fontId="8" fillId="7" borderId="33" xfId="1" applyNumberFormat="1" applyFont="1" applyFill="1" applyBorder="1" applyAlignment="1">
      <alignment horizontal="center"/>
    </xf>
    <xf numFmtId="173" fontId="8" fillId="7" borderId="33" xfId="0" applyNumberFormat="1" applyFont="1" applyFill="1" applyBorder="1" applyAlignment="1">
      <alignment horizontal="center"/>
    </xf>
    <xf numFmtId="0" fontId="11" fillId="6" borderId="26" xfId="0" applyFont="1" applyFill="1" applyBorder="1" applyAlignment="1">
      <alignment horizontal="center" wrapText="1"/>
    </xf>
    <xf numFmtId="0" fontId="0" fillId="0" borderId="0" xfId="0" applyFill="1" applyAlignment="1">
      <alignment horizontal="right" vertical="center" wrapText="1"/>
    </xf>
    <xf numFmtId="0" fontId="0" fillId="0" borderId="0" xfId="0" applyAlignment="1">
      <alignment horizontal="right" vertical="center" wrapText="1"/>
    </xf>
    <xf numFmtId="0" fontId="8" fillId="0" borderId="0" xfId="0" applyFont="1" applyFill="1" applyBorder="1" applyAlignment="1">
      <alignment horizontal="center" vertical="center"/>
    </xf>
    <xf numFmtId="0" fontId="7" fillId="0" borderId="0" xfId="0" applyFont="1" applyFill="1" applyBorder="1" applyAlignment="1">
      <alignment horizontal="left"/>
    </xf>
    <xf numFmtId="0" fontId="0" fillId="0" borderId="16" xfId="0" applyBorder="1"/>
    <xf numFmtId="0" fontId="8" fillId="7" borderId="6" xfId="28" applyFont="1" applyFill="1" applyBorder="1" applyAlignment="1">
      <alignment horizontal="center" vertical="center"/>
    </xf>
    <xf numFmtId="0" fontId="11" fillId="6" borderId="1" xfId="28" applyFont="1" applyFill="1" applyBorder="1" applyAlignment="1">
      <alignment horizontal="center"/>
    </xf>
    <xf numFmtId="0" fontId="18" fillId="0" borderId="0" xfId="0" applyFont="1" applyAlignment="1">
      <alignment horizontal="center"/>
    </xf>
    <xf numFmtId="9" fontId="8" fillId="7" borderId="70" xfId="4" applyFont="1" applyFill="1" applyBorder="1" applyAlignment="1">
      <alignment horizontal="center" vertical="center"/>
    </xf>
    <xf numFmtId="9" fontId="8" fillId="7" borderId="84" xfId="4" applyFont="1" applyFill="1" applyBorder="1" applyAlignment="1">
      <alignment horizontal="center" vertical="center"/>
    </xf>
    <xf numFmtId="0" fontId="7" fillId="6" borderId="0" xfId="0" applyFont="1" applyFill="1" applyBorder="1"/>
    <xf numFmtId="9" fontId="7" fillId="7" borderId="62" xfId="0" applyNumberFormat="1" applyFont="1" applyFill="1" applyBorder="1" applyAlignment="1" applyProtection="1">
      <alignment horizontal="center" vertical="center"/>
    </xf>
    <xf numFmtId="9" fontId="7" fillId="7" borderId="0" xfId="0" applyNumberFormat="1" applyFont="1" applyFill="1" applyBorder="1" applyAlignment="1" applyProtection="1">
      <alignment horizontal="center" vertical="center"/>
    </xf>
    <xf numFmtId="43" fontId="7" fillId="7" borderId="0" xfId="1" applyFont="1" applyFill="1" applyBorder="1" applyAlignment="1" applyProtection="1">
      <alignment horizontal="right" vertical="center"/>
    </xf>
    <xf numFmtId="9" fontId="7" fillId="7" borderId="0" xfId="0" applyNumberFormat="1" applyFont="1" applyFill="1" applyBorder="1" applyAlignment="1" applyProtection="1">
      <alignment horizontal="left" vertical="center"/>
    </xf>
    <xf numFmtId="9" fontId="7" fillId="7" borderId="14" xfId="0" applyNumberFormat="1" applyFont="1" applyFill="1" applyBorder="1" applyAlignment="1" applyProtection="1">
      <alignment horizontal="center" vertical="center"/>
    </xf>
    <xf numFmtId="43" fontId="7" fillId="7" borderId="0" xfId="1" applyFont="1" applyFill="1" applyBorder="1" applyAlignment="1" applyProtection="1">
      <alignment horizontal="center" vertical="center"/>
    </xf>
    <xf numFmtId="9" fontId="7" fillId="7" borderId="13" xfId="0" applyNumberFormat="1" applyFont="1" applyFill="1" applyBorder="1" applyAlignment="1" applyProtection="1">
      <alignment horizontal="left" vertical="center"/>
    </xf>
    <xf numFmtId="43" fontId="7" fillId="7" borderId="0" xfId="0" applyNumberFormat="1" applyFont="1" applyFill="1" applyBorder="1" applyProtection="1"/>
    <xf numFmtId="43" fontId="7" fillId="7" borderId="36" xfId="1" applyFont="1" applyFill="1" applyBorder="1" applyAlignment="1" applyProtection="1">
      <alignment horizontal="center" vertical="center"/>
    </xf>
    <xf numFmtId="0" fontId="7" fillId="3" borderId="33" xfId="0" applyFont="1" applyFill="1" applyBorder="1"/>
    <xf numFmtId="9" fontId="7" fillId="3" borderId="0" xfId="0" applyNumberFormat="1" applyFont="1" applyFill="1" applyBorder="1" applyAlignment="1" applyProtection="1">
      <alignment horizontal="center" vertical="center"/>
    </xf>
    <xf numFmtId="43" fontId="7" fillId="3" borderId="0" xfId="1" applyFont="1" applyFill="1" applyBorder="1" applyAlignment="1" applyProtection="1">
      <alignment horizontal="right" vertical="center"/>
    </xf>
    <xf numFmtId="9" fontId="7" fillId="3" borderId="0" xfId="0" applyNumberFormat="1" applyFont="1" applyFill="1" applyBorder="1" applyAlignment="1" applyProtection="1">
      <alignment horizontal="left" vertical="center"/>
    </xf>
    <xf numFmtId="9" fontId="7" fillId="3" borderId="14" xfId="0" applyNumberFormat="1" applyFont="1" applyFill="1" applyBorder="1" applyAlignment="1" applyProtection="1">
      <alignment horizontal="center" vertical="center"/>
    </xf>
    <xf numFmtId="43" fontId="7" fillId="3" borderId="0" xfId="1" applyFont="1" applyFill="1" applyBorder="1" applyAlignment="1" applyProtection="1">
      <alignment horizontal="center" vertical="center"/>
    </xf>
    <xf numFmtId="9" fontId="7" fillId="3" borderId="13" xfId="0" applyNumberFormat="1" applyFont="1" applyFill="1" applyBorder="1" applyAlignment="1" applyProtection="1">
      <alignment horizontal="left" vertical="center"/>
    </xf>
    <xf numFmtId="43" fontId="7" fillId="3" borderId="0" xfId="0" applyNumberFormat="1" applyFont="1" applyFill="1" applyBorder="1" applyProtection="1"/>
    <xf numFmtId="43" fontId="7" fillId="3" borderId="2" xfId="1" applyFont="1" applyFill="1" applyBorder="1" applyAlignment="1" applyProtection="1">
      <alignment horizontal="center" vertical="center"/>
    </xf>
    <xf numFmtId="9" fontId="7" fillId="7" borderId="0" xfId="0" applyNumberFormat="1" applyFont="1" applyFill="1" applyBorder="1" applyAlignment="1">
      <alignment horizontal="center" vertical="center"/>
    </xf>
    <xf numFmtId="167" fontId="7" fillId="7" borderId="0" xfId="0" applyNumberFormat="1" applyFont="1" applyFill="1" applyBorder="1" applyProtection="1"/>
    <xf numFmtId="9" fontId="7" fillId="3" borderId="0" xfId="0" applyNumberFormat="1" applyFont="1" applyFill="1" applyBorder="1" applyAlignment="1">
      <alignment horizontal="center" vertical="center"/>
    </xf>
    <xf numFmtId="167" fontId="7" fillId="3" borderId="0" xfId="0" applyNumberFormat="1" applyFont="1" applyFill="1" applyBorder="1" applyProtection="1"/>
    <xf numFmtId="0" fontId="13" fillId="0" borderId="0" xfId="0" applyFont="1"/>
    <xf numFmtId="0" fontId="10" fillId="7" borderId="38" xfId="0" applyFont="1" applyFill="1" applyBorder="1" applyAlignment="1">
      <alignment horizontal="center" vertical="top" wrapText="1"/>
    </xf>
    <xf numFmtId="9" fontId="10" fillId="7" borderId="20" xfId="4" applyFont="1" applyFill="1" applyBorder="1" applyAlignment="1">
      <alignment horizontal="center" vertical="center" wrapText="1"/>
    </xf>
    <xf numFmtId="0" fontId="10" fillId="7" borderId="11" xfId="0" applyNumberFormat="1" applyFont="1" applyFill="1" applyBorder="1" applyAlignment="1">
      <alignment horizontal="center" vertical="top" wrapText="1"/>
    </xf>
    <xf numFmtId="0" fontId="10" fillId="7" borderId="17" xfId="0" applyNumberFormat="1" applyFont="1" applyFill="1" applyBorder="1" applyAlignment="1">
      <alignment horizontal="center" vertical="top" wrapText="1"/>
    </xf>
    <xf numFmtId="0" fontId="10" fillId="7" borderId="17" xfId="0" applyFont="1" applyFill="1" applyBorder="1" applyAlignment="1">
      <alignment horizontal="center" vertical="top" wrapText="1"/>
    </xf>
    <xf numFmtId="9" fontId="10" fillId="7" borderId="17" xfId="4" applyFont="1" applyFill="1" applyBorder="1" applyAlignment="1">
      <alignment horizontal="center" vertical="center" wrapText="1"/>
    </xf>
    <xf numFmtId="0" fontId="10" fillId="7" borderId="42" xfId="0" applyNumberFormat="1" applyFont="1" applyFill="1" applyBorder="1" applyAlignment="1">
      <alignment horizontal="center" vertical="center" wrapText="1"/>
    </xf>
    <xf numFmtId="0" fontId="10" fillId="3" borderId="38" xfId="0" applyFont="1" applyFill="1" applyBorder="1" applyAlignment="1">
      <alignment horizontal="center" vertical="top" wrapText="1"/>
    </xf>
    <xf numFmtId="9" fontId="10" fillId="3" borderId="20" xfId="4" applyFont="1" applyFill="1" applyBorder="1" applyAlignment="1">
      <alignment horizontal="center" vertical="center" wrapText="1"/>
    </xf>
    <xf numFmtId="0" fontId="10" fillId="3" borderId="11" xfId="0" applyNumberFormat="1" applyFont="1" applyFill="1" applyBorder="1" applyAlignment="1">
      <alignment horizontal="center" vertical="top" wrapText="1"/>
    </xf>
    <xf numFmtId="0" fontId="10" fillId="3" borderId="17" xfId="0" applyNumberFormat="1" applyFont="1" applyFill="1" applyBorder="1" applyAlignment="1">
      <alignment horizontal="center" vertical="top" wrapText="1"/>
    </xf>
    <xf numFmtId="0" fontId="10" fillId="3" borderId="17" xfId="0" applyFont="1" applyFill="1" applyBorder="1" applyAlignment="1">
      <alignment horizontal="center" vertical="top" wrapText="1"/>
    </xf>
    <xf numFmtId="9" fontId="10" fillId="3" borderId="17" xfId="4" applyFont="1" applyFill="1" applyBorder="1" applyAlignment="1">
      <alignment horizontal="center" vertical="center" wrapText="1"/>
    </xf>
    <xf numFmtId="0" fontId="10" fillId="3" borderId="25" xfId="0" applyNumberFormat="1" applyFont="1" applyFill="1" applyBorder="1" applyAlignment="1">
      <alignment horizontal="center" vertical="center" wrapText="1"/>
    </xf>
    <xf numFmtId="9" fontId="9" fillId="7" borderId="0" xfId="0" applyNumberFormat="1" applyFont="1" applyFill="1" applyBorder="1" applyAlignment="1">
      <alignment horizontal="center"/>
    </xf>
    <xf numFmtId="9" fontId="9" fillId="7" borderId="0" xfId="0" applyNumberFormat="1" applyFont="1" applyFill="1" applyBorder="1" applyAlignment="1" applyProtection="1">
      <alignment horizontal="center"/>
    </xf>
    <xf numFmtId="9" fontId="9" fillId="7" borderId="13" xfId="0" applyNumberFormat="1" applyFont="1" applyFill="1" applyBorder="1" applyAlignment="1" applyProtection="1">
      <alignment horizontal="center"/>
    </xf>
    <xf numFmtId="9" fontId="9" fillId="3" borderId="0" xfId="0" applyNumberFormat="1" applyFont="1" applyFill="1" applyBorder="1" applyAlignment="1">
      <alignment horizontal="center"/>
    </xf>
    <xf numFmtId="9" fontId="9" fillId="3" borderId="13" xfId="0" applyNumberFormat="1" applyFont="1" applyFill="1" applyBorder="1" applyAlignment="1" applyProtection="1">
      <alignment horizontal="center"/>
    </xf>
    <xf numFmtId="0" fontId="8" fillId="6" borderId="0" xfId="0" applyFont="1" applyFill="1" applyBorder="1" applyAlignment="1">
      <alignment horizontal="right"/>
    </xf>
    <xf numFmtId="0" fontId="8" fillId="7" borderId="33" xfId="0" applyFont="1" applyFill="1" applyBorder="1" applyAlignment="1">
      <alignment horizontal="right"/>
    </xf>
    <xf numFmtId="0" fontId="8" fillId="3" borderId="33" xfId="0" applyFont="1" applyFill="1" applyBorder="1" applyAlignment="1">
      <alignment horizontal="right"/>
    </xf>
    <xf numFmtId="0" fontId="9" fillId="6" borderId="0" xfId="0" applyFont="1" applyFill="1" applyBorder="1" applyAlignment="1">
      <alignment horizontal="center"/>
    </xf>
    <xf numFmtId="0" fontId="9" fillId="7" borderId="33" xfId="0" applyFont="1" applyFill="1" applyBorder="1" applyAlignment="1">
      <alignment horizontal="center"/>
    </xf>
    <xf numFmtId="0" fontId="9" fillId="3" borderId="33" xfId="0" applyFont="1" applyFill="1" applyBorder="1" applyAlignment="1">
      <alignment horizontal="center"/>
    </xf>
    <xf numFmtId="9" fontId="7" fillId="7" borderId="13" xfId="0" applyNumberFormat="1" applyFont="1" applyFill="1" applyBorder="1" applyAlignment="1" applyProtection="1">
      <alignment horizontal="center" vertical="center"/>
    </xf>
    <xf numFmtId="9" fontId="7" fillId="3" borderId="13" xfId="0" applyNumberFormat="1" applyFont="1" applyFill="1" applyBorder="1" applyAlignment="1" applyProtection="1">
      <alignment horizontal="center" vertical="center"/>
    </xf>
    <xf numFmtId="0" fontId="7" fillId="6" borderId="1" xfId="0" applyFont="1" applyFill="1" applyBorder="1" applyAlignment="1">
      <alignment horizontal="left" vertical="center" wrapText="1"/>
    </xf>
    <xf numFmtId="0" fontId="8" fillId="7" borderId="11" xfId="28" applyFont="1" applyFill="1" applyBorder="1" applyAlignment="1">
      <alignment horizontal="center" vertical="center"/>
    </xf>
    <xf numFmtId="9" fontId="8" fillId="7" borderId="70" xfId="0" applyNumberFormat="1" applyFont="1" applyFill="1" applyBorder="1" applyAlignment="1" applyProtection="1">
      <alignment horizontal="center" vertical="center"/>
    </xf>
    <xf numFmtId="9" fontId="8" fillId="7" borderId="0" xfId="0" applyNumberFormat="1" applyFont="1" applyFill="1" applyBorder="1" applyAlignment="1" applyProtection="1">
      <alignment horizontal="center" vertical="center"/>
    </xf>
    <xf numFmtId="43" fontId="8" fillId="7" borderId="70" xfId="1" applyFont="1" applyFill="1" applyBorder="1" applyAlignment="1" applyProtection="1">
      <alignment horizontal="right" vertical="center"/>
    </xf>
    <xf numFmtId="9" fontId="8" fillId="7" borderId="70" xfId="0" applyNumberFormat="1" applyFont="1" applyFill="1" applyBorder="1" applyAlignment="1" applyProtection="1">
      <alignment horizontal="left" vertical="center"/>
    </xf>
    <xf numFmtId="9" fontId="8" fillId="7" borderId="13" xfId="0" applyNumberFormat="1" applyFont="1" applyFill="1" applyBorder="1" applyAlignment="1" applyProtection="1">
      <alignment horizontal="left" vertical="center"/>
    </xf>
    <xf numFmtId="9" fontId="8" fillId="7" borderId="14" xfId="0" applyNumberFormat="1" applyFont="1" applyFill="1" applyBorder="1" applyAlignment="1">
      <alignment horizontal="center" vertical="center"/>
    </xf>
    <xf numFmtId="9" fontId="8" fillId="7" borderId="70" xfId="0" applyNumberFormat="1" applyFont="1" applyFill="1" applyBorder="1" applyAlignment="1">
      <alignment horizontal="center" vertical="center"/>
    </xf>
    <xf numFmtId="9" fontId="8" fillId="7" borderId="0" xfId="0" applyNumberFormat="1" applyFont="1" applyFill="1" applyBorder="1" applyAlignment="1">
      <alignment horizontal="center" vertical="center"/>
    </xf>
    <xf numFmtId="9" fontId="8" fillId="7" borderId="0" xfId="0" applyNumberFormat="1" applyFont="1" applyFill="1" applyBorder="1" applyAlignment="1" applyProtection="1">
      <alignment horizontal="right" vertical="center"/>
    </xf>
    <xf numFmtId="43" fontId="8" fillId="7" borderId="70" xfId="0" applyNumberFormat="1" applyFont="1" applyFill="1" applyBorder="1" applyProtection="1"/>
    <xf numFmtId="43" fontId="8" fillId="7" borderId="36" xfId="1" applyFont="1" applyFill="1" applyBorder="1" applyAlignment="1" applyProtection="1">
      <alignment horizontal="center" vertical="center"/>
    </xf>
    <xf numFmtId="9" fontId="8" fillId="3" borderId="70" xfId="0" applyNumberFormat="1" applyFont="1" applyFill="1" applyBorder="1" applyAlignment="1">
      <alignment horizontal="center" vertical="center"/>
    </xf>
    <xf numFmtId="9" fontId="8" fillId="3" borderId="0" xfId="0" applyNumberFormat="1" applyFont="1" applyFill="1" applyBorder="1" applyAlignment="1" applyProtection="1">
      <alignment horizontal="center" vertical="center"/>
    </xf>
    <xf numFmtId="43" fontId="8" fillId="3" borderId="70" xfId="1" applyFont="1" applyFill="1" applyBorder="1" applyAlignment="1" applyProtection="1">
      <alignment horizontal="right" vertical="center"/>
    </xf>
    <xf numFmtId="9" fontId="8" fillId="3" borderId="70" xfId="0" applyNumberFormat="1" applyFont="1" applyFill="1" applyBorder="1" applyAlignment="1" applyProtection="1">
      <alignment horizontal="left" vertical="center"/>
    </xf>
    <xf numFmtId="9" fontId="8" fillId="3" borderId="13" xfId="0" applyNumberFormat="1" applyFont="1" applyFill="1" applyBorder="1" applyAlignment="1" applyProtection="1">
      <alignment horizontal="left" vertical="center"/>
    </xf>
    <xf numFmtId="9" fontId="8" fillId="3" borderId="14" xfId="0" applyNumberFormat="1" applyFont="1" applyFill="1" applyBorder="1" applyAlignment="1">
      <alignment horizontal="center" vertical="center"/>
    </xf>
    <xf numFmtId="9" fontId="8" fillId="3" borderId="0" xfId="0" applyNumberFormat="1" applyFont="1" applyFill="1" applyBorder="1" applyAlignment="1">
      <alignment horizontal="center" vertical="center"/>
    </xf>
    <xf numFmtId="9" fontId="8" fillId="3" borderId="0" xfId="0" applyNumberFormat="1" applyFont="1" applyFill="1" applyBorder="1" applyAlignment="1" applyProtection="1">
      <alignment horizontal="right" vertical="center"/>
    </xf>
    <xf numFmtId="43" fontId="8" fillId="3" borderId="70" xfId="0" applyNumberFormat="1" applyFont="1" applyFill="1" applyBorder="1" applyProtection="1"/>
    <xf numFmtId="43" fontId="8" fillId="3" borderId="2" xfId="1" applyFont="1" applyFill="1" applyBorder="1" applyAlignment="1" applyProtection="1">
      <alignment horizontal="center" vertical="center"/>
    </xf>
    <xf numFmtId="9" fontId="8" fillId="7" borderId="70" xfId="0" applyNumberFormat="1" applyFont="1" applyFill="1" applyBorder="1" applyAlignment="1" applyProtection="1">
      <alignment horizontal="right" vertical="center"/>
    </xf>
    <xf numFmtId="9" fontId="8" fillId="7" borderId="13" xfId="0" applyNumberFormat="1" applyFont="1" applyFill="1" applyBorder="1" applyAlignment="1" applyProtection="1">
      <alignment horizontal="right" vertical="center"/>
    </xf>
    <xf numFmtId="9" fontId="8" fillId="7" borderId="14" xfId="0" applyNumberFormat="1" applyFont="1" applyFill="1" applyBorder="1" applyAlignment="1" applyProtection="1">
      <alignment horizontal="right" vertical="center"/>
    </xf>
    <xf numFmtId="9" fontId="8" fillId="3" borderId="70" xfId="0" applyNumberFormat="1" applyFont="1" applyFill="1" applyBorder="1" applyAlignment="1" applyProtection="1">
      <alignment horizontal="right" vertical="center"/>
    </xf>
    <xf numFmtId="9" fontId="8" fillId="3" borderId="13" xfId="0" applyNumberFormat="1" applyFont="1" applyFill="1" applyBorder="1" applyAlignment="1" applyProtection="1">
      <alignment horizontal="right" vertical="center"/>
    </xf>
    <xf numFmtId="9" fontId="8" fillId="3" borderId="14" xfId="0" applyNumberFormat="1" applyFont="1" applyFill="1" applyBorder="1" applyAlignment="1" applyProtection="1">
      <alignment horizontal="right" vertical="center"/>
    </xf>
    <xf numFmtId="9" fontId="8" fillId="7" borderId="70" xfId="0" applyNumberFormat="1" applyFont="1" applyFill="1" applyBorder="1" applyAlignment="1" applyProtection="1">
      <alignment horizontal="center"/>
    </xf>
    <xf numFmtId="9" fontId="8" fillId="7" borderId="0" xfId="0" applyNumberFormat="1" applyFont="1" applyFill="1" applyBorder="1" applyAlignment="1">
      <alignment horizontal="center"/>
    </xf>
    <xf numFmtId="43" fontId="8" fillId="7" borderId="70" xfId="1" applyFont="1" applyFill="1" applyBorder="1" applyAlignment="1" applyProtection="1">
      <alignment horizontal="right"/>
    </xf>
    <xf numFmtId="9" fontId="8" fillId="7" borderId="70" xfId="0" applyNumberFormat="1" applyFont="1" applyFill="1" applyBorder="1" applyAlignment="1" applyProtection="1">
      <alignment horizontal="right"/>
    </xf>
    <xf numFmtId="9" fontId="8" fillId="7" borderId="13" xfId="0" applyNumberFormat="1" applyFont="1" applyFill="1" applyBorder="1" applyAlignment="1" applyProtection="1">
      <alignment horizontal="right"/>
    </xf>
    <xf numFmtId="9" fontId="8" fillId="7" borderId="14" xfId="0" applyNumberFormat="1" applyFont="1" applyFill="1" applyBorder="1" applyAlignment="1" applyProtection="1">
      <alignment horizontal="right"/>
    </xf>
    <xf numFmtId="9" fontId="8" fillId="7" borderId="70" xfId="0" applyNumberFormat="1" applyFont="1" applyFill="1" applyBorder="1" applyAlignment="1">
      <alignment horizontal="center"/>
    </xf>
    <xf numFmtId="9" fontId="8" fillId="7" borderId="0" xfId="0" applyNumberFormat="1" applyFont="1" applyFill="1" applyBorder="1" applyAlignment="1" applyProtection="1">
      <alignment horizontal="right"/>
    </xf>
    <xf numFmtId="43" fontId="8" fillId="7" borderId="36" xfId="1" applyFont="1" applyFill="1" applyBorder="1" applyAlignment="1" applyProtection="1">
      <alignment horizontal="center"/>
    </xf>
    <xf numFmtId="9" fontId="8" fillId="3" borderId="70" xfId="0" applyNumberFormat="1" applyFont="1" applyFill="1" applyBorder="1" applyAlignment="1">
      <alignment horizontal="center"/>
    </xf>
    <xf numFmtId="9" fontId="8" fillId="3" borderId="0" xfId="0" applyNumberFormat="1" applyFont="1" applyFill="1" applyBorder="1" applyAlignment="1">
      <alignment horizontal="center"/>
    </xf>
    <xf numFmtId="43" fontId="8" fillId="3" borderId="70" xfId="1" applyFont="1" applyFill="1" applyBorder="1" applyAlignment="1" applyProtection="1">
      <alignment horizontal="right"/>
    </xf>
    <xf numFmtId="9" fontId="8" fillId="3" borderId="70" xfId="0" applyNumberFormat="1" applyFont="1" applyFill="1" applyBorder="1" applyAlignment="1" applyProtection="1">
      <alignment horizontal="right"/>
    </xf>
    <xf numFmtId="9" fontId="8" fillId="3" borderId="13" xfId="0" applyNumberFormat="1" applyFont="1" applyFill="1" applyBorder="1" applyAlignment="1" applyProtection="1">
      <alignment horizontal="right"/>
    </xf>
    <xf numFmtId="9" fontId="8" fillId="3" borderId="14" xfId="0" applyNumberFormat="1" applyFont="1" applyFill="1" applyBorder="1" applyAlignment="1" applyProtection="1">
      <alignment horizontal="right"/>
    </xf>
    <xf numFmtId="9" fontId="8" fillId="3" borderId="0" xfId="0" applyNumberFormat="1" applyFont="1" applyFill="1" applyBorder="1" applyAlignment="1" applyProtection="1">
      <alignment horizontal="right"/>
    </xf>
    <xf numFmtId="43" fontId="8" fillId="3" borderId="2" xfId="1" applyFont="1" applyFill="1" applyBorder="1" applyAlignment="1" applyProtection="1">
      <alignment horizontal="center"/>
    </xf>
    <xf numFmtId="0" fontId="10" fillId="10" borderId="38" xfId="0" applyFont="1" applyFill="1" applyBorder="1" applyAlignment="1">
      <alignment horizontal="center" vertical="top" wrapText="1"/>
    </xf>
    <xf numFmtId="9" fontId="10" fillId="10" borderId="20" xfId="4" applyFont="1" applyFill="1" applyBorder="1" applyAlignment="1">
      <alignment horizontal="center" vertical="center" wrapText="1"/>
    </xf>
    <xf numFmtId="0" fontId="10" fillId="10" borderId="11" xfId="0" applyNumberFormat="1" applyFont="1" applyFill="1" applyBorder="1" applyAlignment="1">
      <alignment horizontal="center" vertical="top" wrapText="1"/>
    </xf>
    <xf numFmtId="0" fontId="10" fillId="10" borderId="17" xfId="0" applyNumberFormat="1" applyFont="1" applyFill="1" applyBorder="1" applyAlignment="1">
      <alignment horizontal="center" vertical="top" wrapText="1"/>
    </xf>
    <xf numFmtId="0" fontId="10" fillId="10" borderId="17" xfId="0" applyFont="1" applyFill="1" applyBorder="1" applyAlignment="1">
      <alignment horizontal="center" vertical="top" wrapText="1"/>
    </xf>
    <xf numFmtId="0" fontId="10" fillId="10" borderId="42" xfId="0" applyNumberFormat="1" applyFont="1" applyFill="1" applyBorder="1" applyAlignment="1">
      <alignment horizontal="center" vertical="center" wrapText="1"/>
    </xf>
    <xf numFmtId="0" fontId="10" fillId="11" borderId="38" xfId="0" applyFont="1" applyFill="1" applyBorder="1" applyAlignment="1">
      <alignment horizontal="center" vertical="top" wrapText="1"/>
    </xf>
    <xf numFmtId="9" fontId="10" fillId="11" borderId="20" xfId="4" applyFont="1" applyFill="1" applyBorder="1" applyAlignment="1">
      <alignment horizontal="center" vertical="center" wrapText="1"/>
    </xf>
    <xf numFmtId="0" fontId="10" fillId="11" borderId="11" xfId="0" applyNumberFormat="1" applyFont="1" applyFill="1" applyBorder="1" applyAlignment="1">
      <alignment horizontal="center" vertical="top" wrapText="1"/>
    </xf>
    <xf numFmtId="0" fontId="10" fillId="11" borderId="17" xfId="0" applyNumberFormat="1" applyFont="1" applyFill="1" applyBorder="1" applyAlignment="1">
      <alignment horizontal="center" vertical="top" wrapText="1"/>
    </xf>
    <xf numFmtId="0" fontId="10" fillId="11" borderId="17" xfId="0" applyFont="1" applyFill="1" applyBorder="1" applyAlignment="1">
      <alignment horizontal="center" vertical="top" wrapText="1"/>
    </xf>
    <xf numFmtId="0" fontId="10" fillId="11" borderId="25" xfId="0" applyNumberFormat="1" applyFont="1" applyFill="1" applyBorder="1" applyAlignment="1">
      <alignment horizontal="center" vertical="center" wrapText="1"/>
    </xf>
    <xf numFmtId="9" fontId="9" fillId="10" borderId="0" xfId="0" applyNumberFormat="1" applyFont="1" applyFill="1" applyBorder="1" applyAlignment="1">
      <alignment horizontal="center"/>
    </xf>
    <xf numFmtId="9" fontId="7" fillId="10" borderId="0" xfId="0" applyNumberFormat="1" applyFont="1" applyFill="1" applyBorder="1" applyAlignment="1" applyProtection="1">
      <alignment horizontal="center" vertical="center"/>
    </xf>
    <xf numFmtId="9" fontId="7" fillId="10" borderId="14" xfId="0" applyNumberFormat="1" applyFont="1" applyFill="1" applyBorder="1" applyAlignment="1" applyProtection="1">
      <alignment horizontal="center" vertical="center"/>
    </xf>
    <xf numFmtId="9" fontId="9" fillId="10" borderId="13" xfId="0" applyNumberFormat="1" applyFont="1" applyFill="1" applyBorder="1" applyAlignment="1" applyProtection="1">
      <alignment horizontal="center"/>
    </xf>
    <xf numFmtId="167" fontId="7" fillId="10" borderId="0" xfId="0" applyNumberFormat="1" applyFont="1" applyFill="1" applyBorder="1" applyProtection="1"/>
    <xf numFmtId="43" fontId="7" fillId="10" borderId="36" xfId="1" applyFont="1" applyFill="1" applyBorder="1" applyAlignment="1" applyProtection="1">
      <alignment horizontal="center" vertical="center"/>
    </xf>
    <xf numFmtId="0" fontId="7" fillId="11" borderId="33" xfId="0" applyFont="1" applyFill="1" applyBorder="1"/>
    <xf numFmtId="9" fontId="9" fillId="11" borderId="0" xfId="0" applyNumberFormat="1" applyFont="1" applyFill="1" applyBorder="1" applyAlignment="1">
      <alignment horizontal="center"/>
    </xf>
    <xf numFmtId="9" fontId="7" fillId="11" borderId="0" xfId="0" applyNumberFormat="1" applyFont="1" applyFill="1" applyBorder="1" applyAlignment="1" applyProtection="1">
      <alignment horizontal="center" vertical="center"/>
    </xf>
    <xf numFmtId="9" fontId="7" fillId="11" borderId="14" xfId="0" applyNumberFormat="1" applyFont="1" applyFill="1" applyBorder="1" applyAlignment="1" applyProtection="1">
      <alignment horizontal="center" vertical="center"/>
    </xf>
    <xf numFmtId="9" fontId="9" fillId="11" borderId="13" xfId="0" applyNumberFormat="1" applyFont="1" applyFill="1" applyBorder="1" applyAlignment="1" applyProtection="1">
      <alignment horizontal="center"/>
    </xf>
    <xf numFmtId="167" fontId="7" fillId="11" borderId="0" xfId="0" applyNumberFormat="1" applyFont="1" applyFill="1" applyBorder="1" applyProtection="1"/>
    <xf numFmtId="43" fontId="7" fillId="11" borderId="2" xfId="1" applyFont="1" applyFill="1" applyBorder="1" applyAlignment="1" applyProtection="1">
      <alignment horizontal="center" vertical="center"/>
    </xf>
    <xf numFmtId="43" fontId="7" fillId="10" borderId="0" xfId="1" applyFont="1" applyFill="1" applyBorder="1" applyAlignment="1" applyProtection="1">
      <alignment horizontal="right" vertical="center"/>
    </xf>
    <xf numFmtId="9" fontId="7" fillId="10" borderId="0" xfId="0" applyNumberFormat="1" applyFont="1" applyFill="1" applyBorder="1" applyAlignment="1" applyProtection="1">
      <alignment horizontal="left" vertical="center"/>
    </xf>
    <xf numFmtId="43" fontId="7" fillId="10" borderId="0" xfId="1" applyFont="1" applyFill="1" applyBorder="1" applyAlignment="1" applyProtection="1">
      <alignment horizontal="center" vertical="center"/>
    </xf>
    <xf numFmtId="9" fontId="7" fillId="10" borderId="13" xfId="0" applyNumberFormat="1" applyFont="1" applyFill="1" applyBorder="1" applyAlignment="1" applyProtection="1">
      <alignment horizontal="left" vertical="center"/>
    </xf>
    <xf numFmtId="43" fontId="7" fillId="10" borderId="0" xfId="0" applyNumberFormat="1" applyFont="1" applyFill="1" applyBorder="1" applyProtection="1"/>
    <xf numFmtId="43" fontId="7" fillId="11" borderId="0" xfId="1" applyFont="1" applyFill="1" applyBorder="1" applyAlignment="1" applyProtection="1">
      <alignment horizontal="right" vertical="center"/>
    </xf>
    <xf numFmtId="9" fontId="7" fillId="11" borderId="0" xfId="0" applyNumberFormat="1" applyFont="1" applyFill="1" applyBorder="1" applyAlignment="1" applyProtection="1">
      <alignment horizontal="left" vertical="center"/>
    </xf>
    <xf numFmtId="43" fontId="7" fillId="11" borderId="0" xfId="1" applyFont="1" applyFill="1" applyBorder="1" applyAlignment="1" applyProtection="1">
      <alignment horizontal="center" vertical="center"/>
    </xf>
    <xf numFmtId="9" fontId="7" fillId="11" borderId="13" xfId="0" applyNumberFormat="1" applyFont="1" applyFill="1" applyBorder="1" applyAlignment="1" applyProtection="1">
      <alignment horizontal="left" vertical="center"/>
    </xf>
    <xf numFmtId="43" fontId="7" fillId="11" borderId="0" xfId="0" applyNumberFormat="1" applyFont="1" applyFill="1" applyBorder="1" applyProtection="1"/>
    <xf numFmtId="9" fontId="7" fillId="10" borderId="0" xfId="0" applyNumberFormat="1" applyFont="1" applyFill="1" applyBorder="1" applyAlignment="1">
      <alignment horizontal="center" vertical="center"/>
    </xf>
    <xf numFmtId="9" fontId="7" fillId="11" borderId="0" xfId="0" applyNumberFormat="1" applyFont="1" applyFill="1" applyBorder="1" applyAlignment="1">
      <alignment horizontal="center" vertical="center"/>
    </xf>
    <xf numFmtId="2" fontId="7" fillId="10" borderId="0" xfId="0" applyNumberFormat="1" applyFont="1" applyFill="1" applyBorder="1" applyAlignment="1" applyProtection="1">
      <alignment horizontal="right" vertical="center"/>
    </xf>
    <xf numFmtId="166" fontId="7" fillId="10" borderId="0" xfId="0" applyNumberFormat="1" applyFont="1" applyFill="1" applyBorder="1" applyProtection="1"/>
    <xf numFmtId="2" fontId="7" fillId="11" borderId="0" xfId="0" applyNumberFormat="1" applyFont="1" applyFill="1" applyBorder="1" applyAlignment="1" applyProtection="1">
      <alignment horizontal="right" vertical="center"/>
    </xf>
    <xf numFmtId="166" fontId="7" fillId="11" borderId="0" xfId="0" applyNumberFormat="1" applyFont="1" applyFill="1" applyBorder="1" applyProtection="1"/>
    <xf numFmtId="9" fontId="8" fillId="10" borderId="70" xfId="0" applyNumberFormat="1" applyFont="1" applyFill="1" applyBorder="1" applyAlignment="1">
      <alignment horizontal="center" vertical="center"/>
    </xf>
    <xf numFmtId="9" fontId="8" fillId="10" borderId="0" xfId="0" applyNumberFormat="1" applyFont="1" applyFill="1" applyBorder="1" applyAlignment="1" applyProtection="1">
      <alignment horizontal="center" vertical="center"/>
    </xf>
    <xf numFmtId="43" fontId="8" fillId="10" borderId="70" xfId="1" applyFont="1" applyFill="1" applyBorder="1" applyAlignment="1" applyProtection="1">
      <alignment horizontal="right" vertical="center"/>
    </xf>
    <xf numFmtId="9" fontId="8" fillId="10" borderId="70" xfId="0" applyNumberFormat="1" applyFont="1" applyFill="1" applyBorder="1" applyAlignment="1" applyProtection="1">
      <alignment horizontal="left" vertical="center"/>
    </xf>
    <xf numFmtId="9" fontId="8" fillId="10" borderId="13" xfId="0" applyNumberFormat="1" applyFont="1" applyFill="1" applyBorder="1" applyAlignment="1" applyProtection="1">
      <alignment horizontal="left" vertical="center"/>
    </xf>
    <xf numFmtId="9" fontId="8" fillId="10" borderId="14" xfId="0" applyNumberFormat="1" applyFont="1" applyFill="1" applyBorder="1" applyAlignment="1">
      <alignment horizontal="center" vertical="center"/>
    </xf>
    <xf numFmtId="9" fontId="8" fillId="10" borderId="0" xfId="0" applyNumberFormat="1" applyFont="1" applyFill="1" applyBorder="1" applyAlignment="1">
      <alignment horizontal="center" vertical="center"/>
    </xf>
    <xf numFmtId="9" fontId="8" fillId="10" borderId="0" xfId="0" applyNumberFormat="1" applyFont="1" applyFill="1" applyBorder="1" applyAlignment="1" applyProtection="1">
      <alignment horizontal="right" vertical="center"/>
    </xf>
    <xf numFmtId="43" fontId="8" fillId="10" borderId="70" xfId="0" applyNumberFormat="1" applyFont="1" applyFill="1" applyBorder="1" applyProtection="1"/>
    <xf numFmtId="43" fontId="8" fillId="10" borderId="36" xfId="1" applyFont="1" applyFill="1" applyBorder="1" applyAlignment="1" applyProtection="1">
      <alignment horizontal="center" vertical="center"/>
    </xf>
    <xf numFmtId="9" fontId="8" fillId="11" borderId="70" xfId="0" applyNumberFormat="1" applyFont="1" applyFill="1" applyBorder="1" applyAlignment="1">
      <alignment horizontal="center" vertical="center"/>
    </xf>
    <xf numFmtId="9" fontId="8" fillId="11" borderId="0" xfId="0" applyNumberFormat="1" applyFont="1" applyFill="1" applyBorder="1" applyAlignment="1" applyProtection="1">
      <alignment horizontal="center" vertical="center"/>
    </xf>
    <xf numFmtId="43" fontId="8" fillId="11" borderId="70" xfId="1" applyFont="1" applyFill="1" applyBorder="1" applyAlignment="1" applyProtection="1">
      <alignment horizontal="right" vertical="center"/>
    </xf>
    <xf numFmtId="9" fontId="8" fillId="11" borderId="70" xfId="0" applyNumberFormat="1" applyFont="1" applyFill="1" applyBorder="1" applyAlignment="1" applyProtection="1">
      <alignment horizontal="left" vertical="center"/>
    </xf>
    <xf numFmtId="9" fontId="8" fillId="11" borderId="13" xfId="0" applyNumberFormat="1" applyFont="1" applyFill="1" applyBorder="1" applyAlignment="1" applyProtection="1">
      <alignment horizontal="left" vertical="center"/>
    </xf>
    <xf numFmtId="9" fontId="8" fillId="11" borderId="14" xfId="0" applyNumberFormat="1" applyFont="1" applyFill="1" applyBorder="1" applyAlignment="1">
      <alignment horizontal="center" vertical="center"/>
    </xf>
    <xf numFmtId="9" fontId="8" fillId="11" borderId="0" xfId="0" applyNumberFormat="1" applyFont="1" applyFill="1" applyBorder="1" applyAlignment="1">
      <alignment horizontal="center" vertical="center"/>
    </xf>
    <xf numFmtId="9" fontId="8" fillId="11" borderId="0" xfId="0" applyNumberFormat="1" applyFont="1" applyFill="1" applyBorder="1" applyAlignment="1" applyProtection="1">
      <alignment horizontal="right" vertical="center"/>
    </xf>
    <xf numFmtId="43" fontId="8" fillId="11" borderId="70" xfId="0" applyNumberFormat="1" applyFont="1" applyFill="1" applyBorder="1" applyProtection="1"/>
    <xf numFmtId="43" fontId="8" fillId="11" borderId="2" xfId="1" applyFont="1" applyFill="1" applyBorder="1" applyAlignment="1" applyProtection="1">
      <alignment horizontal="center" vertical="center"/>
    </xf>
    <xf numFmtId="0" fontId="8" fillId="10" borderId="33" xfId="0" applyFont="1" applyFill="1" applyBorder="1" applyAlignment="1">
      <alignment horizontal="right"/>
    </xf>
    <xf numFmtId="0" fontId="8" fillId="11" borderId="33" xfId="0" applyFont="1" applyFill="1" applyBorder="1" applyAlignment="1">
      <alignment horizontal="right"/>
    </xf>
    <xf numFmtId="0" fontId="9" fillId="10" borderId="33" xfId="0" applyFont="1" applyFill="1" applyBorder="1" applyAlignment="1">
      <alignment horizontal="center"/>
    </xf>
    <xf numFmtId="0" fontId="9" fillId="11" borderId="33" xfId="0" applyFont="1" applyFill="1" applyBorder="1" applyAlignment="1">
      <alignment horizontal="center"/>
    </xf>
    <xf numFmtId="9" fontId="7" fillId="10" borderId="13" xfId="0" applyNumberFormat="1" applyFont="1" applyFill="1" applyBorder="1" applyAlignment="1" applyProtection="1">
      <alignment horizontal="center" vertical="center"/>
    </xf>
    <xf numFmtId="9" fontId="7" fillId="11" borderId="13"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right" vertical="center"/>
    </xf>
    <xf numFmtId="9" fontId="8" fillId="10" borderId="13" xfId="0" applyNumberFormat="1" applyFont="1" applyFill="1" applyBorder="1" applyAlignment="1" applyProtection="1">
      <alignment horizontal="right" vertical="center"/>
    </xf>
    <xf numFmtId="9" fontId="8" fillId="10" borderId="14" xfId="0" applyNumberFormat="1" applyFont="1" applyFill="1" applyBorder="1" applyAlignment="1" applyProtection="1">
      <alignment horizontal="right" vertical="center"/>
    </xf>
    <xf numFmtId="9" fontId="8" fillId="11" borderId="70" xfId="0" applyNumberFormat="1" applyFont="1" applyFill="1" applyBorder="1" applyAlignment="1" applyProtection="1">
      <alignment horizontal="right" vertical="center"/>
    </xf>
    <xf numFmtId="9" fontId="8" fillId="11" borderId="13" xfId="0" applyNumberFormat="1" applyFont="1" applyFill="1" applyBorder="1" applyAlignment="1" applyProtection="1">
      <alignment horizontal="right" vertical="center"/>
    </xf>
    <xf numFmtId="9" fontId="8" fillId="11" borderId="14" xfId="0" applyNumberFormat="1" applyFont="1" applyFill="1" applyBorder="1" applyAlignment="1" applyProtection="1">
      <alignment horizontal="right" vertical="center"/>
    </xf>
    <xf numFmtId="9" fontId="8" fillId="10" borderId="70" xfId="0" applyNumberFormat="1" applyFont="1" applyFill="1" applyBorder="1" applyAlignment="1">
      <alignment horizontal="center"/>
    </xf>
    <xf numFmtId="9" fontId="8" fillId="10" borderId="0" xfId="0" applyNumberFormat="1" applyFont="1" applyFill="1" applyBorder="1" applyAlignment="1">
      <alignment horizontal="center"/>
    </xf>
    <xf numFmtId="43" fontId="8" fillId="10" borderId="70" xfId="1" applyFont="1" applyFill="1" applyBorder="1" applyAlignment="1" applyProtection="1">
      <alignment horizontal="right"/>
    </xf>
    <xf numFmtId="9" fontId="8" fillId="10" borderId="70" xfId="0" applyNumberFormat="1" applyFont="1" applyFill="1" applyBorder="1" applyAlignment="1" applyProtection="1">
      <alignment horizontal="right"/>
    </xf>
    <xf numFmtId="9" fontId="8" fillId="10" borderId="13" xfId="0" applyNumberFormat="1" applyFont="1" applyFill="1" applyBorder="1" applyAlignment="1" applyProtection="1">
      <alignment horizontal="right"/>
    </xf>
    <xf numFmtId="9" fontId="8" fillId="10" borderId="14" xfId="0" applyNumberFormat="1" applyFont="1" applyFill="1" applyBorder="1" applyAlignment="1" applyProtection="1">
      <alignment horizontal="right"/>
    </xf>
    <xf numFmtId="9" fontId="8" fillId="10" borderId="0" xfId="0" applyNumberFormat="1" applyFont="1" applyFill="1" applyBorder="1" applyAlignment="1" applyProtection="1">
      <alignment horizontal="right"/>
    </xf>
    <xf numFmtId="43" fontId="8" fillId="10" borderId="36" xfId="1" applyFont="1" applyFill="1" applyBorder="1" applyAlignment="1" applyProtection="1">
      <alignment horizontal="center"/>
    </xf>
    <xf numFmtId="9" fontId="8" fillId="11" borderId="70" xfId="0" applyNumberFormat="1" applyFont="1" applyFill="1" applyBorder="1" applyAlignment="1">
      <alignment horizontal="center"/>
    </xf>
    <xf numFmtId="9" fontId="8" fillId="11" borderId="0" xfId="0" applyNumberFormat="1" applyFont="1" applyFill="1" applyBorder="1" applyAlignment="1">
      <alignment horizontal="center"/>
    </xf>
    <xf numFmtId="43" fontId="8" fillId="11" borderId="70" xfId="1" applyFont="1" applyFill="1" applyBorder="1" applyAlignment="1" applyProtection="1">
      <alignment horizontal="right"/>
    </xf>
    <xf numFmtId="9" fontId="8" fillId="11" borderId="70" xfId="0" applyNumberFormat="1" applyFont="1" applyFill="1" applyBorder="1" applyAlignment="1" applyProtection="1">
      <alignment horizontal="right"/>
    </xf>
    <xf numFmtId="9" fontId="8" fillId="11" borderId="13" xfId="0" applyNumberFormat="1" applyFont="1" applyFill="1" applyBorder="1" applyAlignment="1" applyProtection="1">
      <alignment horizontal="right"/>
    </xf>
    <xf numFmtId="9" fontId="8" fillId="11" borderId="14" xfId="0" applyNumberFormat="1" applyFont="1" applyFill="1" applyBorder="1" applyAlignment="1" applyProtection="1">
      <alignment horizontal="right"/>
    </xf>
    <xf numFmtId="9" fontId="8" fillId="11" borderId="0" xfId="0" applyNumberFormat="1" applyFont="1" applyFill="1" applyBorder="1" applyAlignment="1" applyProtection="1">
      <alignment horizontal="right"/>
    </xf>
    <xf numFmtId="43" fontId="8" fillId="11" borderId="2" xfId="1" applyFont="1" applyFill="1" applyBorder="1" applyAlignment="1" applyProtection="1">
      <alignment horizontal="center"/>
    </xf>
    <xf numFmtId="0" fontId="7" fillId="18" borderId="62" xfId="0" applyFont="1" applyFill="1" applyBorder="1" applyAlignment="1" applyProtection="1">
      <alignment horizontal="center"/>
    </xf>
    <xf numFmtId="0" fontId="8" fillId="3" borderId="6" xfId="28" applyFont="1" applyFill="1" applyBorder="1" applyAlignment="1">
      <alignment horizontal="center" vertical="center"/>
    </xf>
    <xf numFmtId="0" fontId="8" fillId="3" borderId="11" xfId="28" applyFont="1" applyFill="1" applyBorder="1" applyAlignment="1">
      <alignment horizontal="center" vertical="center"/>
    </xf>
    <xf numFmtId="9" fontId="8" fillId="3" borderId="70" xfId="4" applyFont="1" applyFill="1" applyBorder="1" applyAlignment="1">
      <alignment horizontal="center" vertical="center"/>
    </xf>
    <xf numFmtId="9" fontId="8" fillId="3" borderId="84" xfId="4" applyFont="1" applyFill="1" applyBorder="1" applyAlignment="1">
      <alignment horizontal="center" vertical="center"/>
    </xf>
    <xf numFmtId="0" fontId="7" fillId="6" borderId="28" xfId="28" applyFill="1" applyBorder="1"/>
    <xf numFmtId="0" fontId="8" fillId="6" borderId="26" xfId="28" applyFont="1" applyFill="1" applyBorder="1" applyAlignment="1">
      <alignment horizontal="center" vertical="center"/>
    </xf>
    <xf numFmtId="0" fontId="10" fillId="6" borderId="1" xfId="0" applyFont="1" applyFill="1" applyBorder="1" applyAlignment="1">
      <alignment horizontal="right" vertical="center"/>
    </xf>
    <xf numFmtId="0" fontId="10" fillId="6" borderId="1" xfId="0" applyFont="1" applyFill="1" applyBorder="1" applyAlignment="1">
      <alignment horizontal="right" vertical="center" wrapText="1"/>
    </xf>
    <xf numFmtId="0" fontId="8" fillId="7" borderId="86" xfId="28" applyFont="1" applyFill="1" applyBorder="1" applyAlignment="1">
      <alignment horizontal="center" vertical="center"/>
    </xf>
    <xf numFmtId="9" fontId="8" fillId="7" borderId="89" xfId="4" applyFont="1" applyFill="1" applyBorder="1" applyAlignment="1">
      <alignment horizontal="center" vertical="center"/>
    </xf>
    <xf numFmtId="0" fontId="8" fillId="3" borderId="20" xfId="28" applyFont="1" applyFill="1" applyBorder="1" applyAlignment="1">
      <alignment horizontal="center" vertical="center"/>
    </xf>
    <xf numFmtId="0" fontId="0" fillId="7" borderId="0" xfId="0" applyFill="1" applyBorder="1" applyAlignment="1">
      <alignment horizontal="center"/>
    </xf>
    <xf numFmtId="0" fontId="10" fillId="6" borderId="1" xfId="0" applyFont="1" applyFill="1" applyBorder="1" applyAlignment="1">
      <alignment horizontal="right"/>
    </xf>
    <xf numFmtId="9" fontId="8" fillId="7" borderId="70" xfId="4" applyFont="1" applyFill="1" applyBorder="1" applyAlignment="1" applyProtection="1">
      <alignment horizontal="center" vertical="center"/>
    </xf>
    <xf numFmtId="9" fontId="8" fillId="3" borderId="70" xfId="4" applyFont="1" applyFill="1" applyBorder="1" applyAlignment="1" applyProtection="1">
      <alignment horizontal="center" vertical="center"/>
    </xf>
    <xf numFmtId="0" fontId="44" fillId="6" borderId="24" xfId="28" applyFont="1" applyFill="1" applyBorder="1" applyAlignment="1">
      <alignment vertical="center"/>
    </xf>
    <xf numFmtId="9" fontId="45" fillId="3" borderId="58" xfId="4" applyFont="1" applyFill="1" applyBorder="1" applyAlignment="1">
      <alignment horizontal="center" vertical="center"/>
    </xf>
    <xf numFmtId="9" fontId="45" fillId="3" borderId="79" xfId="4" applyFont="1" applyFill="1" applyBorder="1" applyAlignment="1">
      <alignment horizontal="center" vertical="center"/>
    </xf>
    <xf numFmtId="0" fontId="13" fillId="0" borderId="1" xfId="0" applyFont="1" applyFill="1" applyBorder="1" applyAlignment="1">
      <alignment horizontal="left" indent="2"/>
    </xf>
    <xf numFmtId="9" fontId="13" fillId="0" borderId="1" xfId="0" applyNumberFormat="1" applyFont="1" applyFill="1" applyBorder="1" applyAlignment="1">
      <alignment horizontal="left" indent="2"/>
    </xf>
    <xf numFmtId="0" fontId="13" fillId="0" borderId="1" xfId="0" applyFont="1" applyFill="1" applyBorder="1"/>
    <xf numFmtId="0" fontId="10" fillId="0" borderId="1" xfId="0" applyFont="1" applyFill="1" applyBorder="1" applyAlignment="1">
      <alignment horizontal="right"/>
    </xf>
    <xf numFmtId="0" fontId="15" fillId="0" borderId="1" xfId="0" applyFont="1" applyFill="1" applyBorder="1" applyAlignment="1">
      <alignment horizontal="left"/>
    </xf>
    <xf numFmtId="0" fontId="10" fillId="0" borderId="1" xfId="0" applyFont="1" applyFill="1" applyBorder="1" applyAlignment="1">
      <alignment horizontal="right" wrapText="1"/>
    </xf>
    <xf numFmtId="9" fontId="45" fillId="7" borderId="95" xfId="4" applyFont="1" applyFill="1" applyBorder="1" applyAlignment="1">
      <alignment horizontal="center" vertical="center"/>
    </xf>
    <xf numFmtId="9" fontId="45" fillId="7" borderId="96" xfId="4" applyFont="1" applyFill="1" applyBorder="1" applyAlignment="1">
      <alignment horizontal="center" vertical="center"/>
    </xf>
    <xf numFmtId="9" fontId="45" fillId="7" borderId="97" xfId="4" applyFont="1" applyFill="1" applyBorder="1" applyAlignment="1">
      <alignment horizontal="center" vertical="center"/>
    </xf>
    <xf numFmtId="9" fontId="45" fillId="7" borderId="96" xfId="4" applyFont="1" applyFill="1" applyBorder="1" applyAlignment="1" applyProtection="1">
      <alignment horizontal="center" vertical="center"/>
    </xf>
    <xf numFmtId="0" fontId="8" fillId="10" borderId="86" xfId="28" applyFont="1" applyFill="1" applyBorder="1" applyAlignment="1">
      <alignment horizontal="center" vertical="center"/>
    </xf>
    <xf numFmtId="0" fontId="8" fillId="10" borderId="6" xfId="28" applyFont="1" applyFill="1" applyBorder="1" applyAlignment="1">
      <alignment horizontal="center" vertical="center"/>
    </xf>
    <xf numFmtId="0" fontId="8" fillId="10" borderId="11" xfId="28" applyFont="1" applyFill="1" applyBorder="1" applyAlignment="1">
      <alignment horizontal="center" vertical="center"/>
    </xf>
    <xf numFmtId="9" fontId="7" fillId="10" borderId="16" xfId="4" applyFont="1" applyFill="1" applyBorder="1" applyAlignment="1">
      <alignment horizontal="center"/>
    </xf>
    <xf numFmtId="9" fontId="8" fillId="10" borderId="70" xfId="4" applyFont="1" applyFill="1" applyBorder="1" applyAlignment="1" applyProtection="1">
      <alignment horizontal="center" vertical="center"/>
    </xf>
    <xf numFmtId="9" fontId="45" fillId="10" borderId="96" xfId="4" applyFont="1" applyFill="1" applyBorder="1" applyAlignment="1" applyProtection="1">
      <alignment horizontal="center" vertical="center"/>
    </xf>
    <xf numFmtId="9" fontId="8" fillId="10" borderId="89" xfId="4" applyFont="1" applyFill="1" applyBorder="1" applyAlignment="1">
      <alignment horizontal="center" vertical="center"/>
    </xf>
    <xf numFmtId="9" fontId="8" fillId="10" borderId="70" xfId="4" applyFont="1" applyFill="1" applyBorder="1" applyAlignment="1">
      <alignment horizontal="center" vertical="center"/>
    </xf>
    <xf numFmtId="9" fontId="8" fillId="10" borderId="84" xfId="4" applyFont="1" applyFill="1" applyBorder="1" applyAlignment="1">
      <alignment horizontal="center" vertical="center"/>
    </xf>
    <xf numFmtId="9" fontId="45" fillId="10" borderId="95" xfId="4" applyFont="1" applyFill="1" applyBorder="1" applyAlignment="1">
      <alignment horizontal="center" vertical="center"/>
    </xf>
    <xf numFmtId="9" fontId="45" fillId="10" borderId="96" xfId="4" applyFont="1" applyFill="1" applyBorder="1" applyAlignment="1">
      <alignment horizontal="center" vertical="center"/>
    </xf>
    <xf numFmtId="9" fontId="45" fillId="10" borderId="97" xfId="4" applyFont="1" applyFill="1" applyBorder="1" applyAlignment="1">
      <alignment horizontal="center" vertical="center"/>
    </xf>
    <xf numFmtId="0" fontId="8" fillId="11" borderId="6" xfId="28" applyFont="1" applyFill="1" applyBorder="1" applyAlignment="1">
      <alignment horizontal="center" vertical="center"/>
    </xf>
    <xf numFmtId="0" fontId="8" fillId="11" borderId="11" xfId="28" applyFont="1" applyFill="1" applyBorder="1" applyAlignment="1">
      <alignment horizontal="center" vertical="center"/>
    </xf>
    <xf numFmtId="9" fontId="7" fillId="11" borderId="16" xfId="4" applyFont="1" applyFill="1" applyBorder="1" applyAlignment="1">
      <alignment horizontal="center"/>
    </xf>
    <xf numFmtId="9" fontId="8" fillId="11" borderId="70" xfId="4" applyFont="1" applyFill="1" applyBorder="1" applyAlignment="1" applyProtection="1">
      <alignment horizontal="center" vertical="center"/>
    </xf>
    <xf numFmtId="9" fontId="45" fillId="11" borderId="58" xfId="4" applyFont="1" applyFill="1" applyBorder="1" applyAlignment="1">
      <alignment horizontal="center" vertical="center"/>
    </xf>
    <xf numFmtId="9" fontId="8" fillId="11" borderId="70" xfId="4" applyFont="1" applyFill="1" applyBorder="1" applyAlignment="1">
      <alignment horizontal="center" vertical="center"/>
    </xf>
    <xf numFmtId="9" fontId="8" fillId="11" borderId="84" xfId="4" applyFont="1" applyFill="1" applyBorder="1" applyAlignment="1">
      <alignment horizontal="center" vertical="center"/>
    </xf>
    <xf numFmtId="9" fontId="45" fillId="11" borderId="79" xfId="4" applyFont="1" applyFill="1" applyBorder="1" applyAlignment="1">
      <alignment horizontal="center" vertical="center"/>
    </xf>
    <xf numFmtId="9" fontId="7" fillId="9" borderId="62" xfId="0" applyNumberFormat="1" applyFont="1" applyFill="1" applyBorder="1" applyAlignment="1" applyProtection="1">
      <alignment horizontal="center" vertical="center"/>
    </xf>
    <xf numFmtId="9" fontId="7" fillId="10" borderId="0" xfId="1" applyNumberFormat="1" applyFont="1" applyFill="1" applyBorder="1" applyAlignment="1" applyProtection="1">
      <alignment horizontal="center" vertical="center"/>
    </xf>
    <xf numFmtId="9" fontId="7" fillId="10" borderId="36" xfId="1" applyNumberFormat="1" applyFont="1" applyFill="1" applyBorder="1" applyAlignment="1" applyProtection="1">
      <alignment horizontal="center" vertical="center"/>
    </xf>
    <xf numFmtId="9" fontId="7" fillId="11" borderId="33" xfId="0" applyNumberFormat="1" applyFont="1" applyFill="1" applyBorder="1"/>
    <xf numFmtId="9" fontId="7" fillId="11" borderId="0" xfId="1" applyNumberFormat="1" applyFont="1" applyFill="1" applyBorder="1" applyAlignment="1" applyProtection="1">
      <alignment horizontal="center" vertical="center"/>
    </xf>
    <xf numFmtId="9" fontId="7" fillId="18" borderId="62" xfId="0" applyNumberFormat="1" applyFont="1" applyFill="1" applyBorder="1" applyAlignment="1" applyProtection="1">
      <alignment horizontal="center" vertical="center"/>
    </xf>
    <xf numFmtId="9" fontId="7" fillId="11" borderId="62" xfId="0" applyNumberFormat="1" applyFont="1" applyFill="1" applyBorder="1" applyAlignment="1" applyProtection="1">
      <alignment horizontal="center" vertical="center"/>
    </xf>
    <xf numFmtId="0" fontId="0" fillId="7" borderId="33" xfId="0" applyFill="1" applyBorder="1" applyAlignment="1">
      <alignment horizontal="center"/>
    </xf>
    <xf numFmtId="0" fontId="0" fillId="7" borderId="13" xfId="0" applyFill="1" applyBorder="1" applyAlignment="1">
      <alignment horizontal="center"/>
    </xf>
    <xf numFmtId="174" fontId="8" fillId="7" borderId="33" xfId="0" applyNumberFormat="1" applyFont="1" applyFill="1" applyBorder="1" applyAlignment="1">
      <alignment horizontal="center"/>
    </xf>
    <xf numFmtId="174" fontId="8" fillId="7" borderId="0" xfId="0" applyNumberFormat="1" applyFont="1" applyFill="1" applyBorder="1" applyAlignment="1">
      <alignment horizontal="center"/>
    </xf>
    <xf numFmtId="174" fontId="8" fillId="7" borderId="13" xfId="0" applyNumberFormat="1" applyFont="1" applyFill="1" applyBorder="1" applyAlignment="1">
      <alignment horizontal="center"/>
    </xf>
    <xf numFmtId="0" fontId="0" fillId="7" borderId="46" xfId="0" applyFill="1" applyBorder="1" applyAlignment="1">
      <alignment horizontal="center"/>
    </xf>
    <xf numFmtId="0" fontId="0" fillId="7" borderId="18" xfId="0" applyFill="1" applyBorder="1" applyAlignment="1">
      <alignment horizontal="center"/>
    </xf>
    <xf numFmtId="0" fontId="0" fillId="7" borderId="12" xfId="0" applyFill="1" applyBorder="1" applyAlignment="1">
      <alignment horizontal="center"/>
    </xf>
    <xf numFmtId="0" fontId="0" fillId="7" borderId="43" xfId="0" applyFill="1" applyBorder="1" applyAlignment="1">
      <alignment horizontal="center"/>
    </xf>
    <xf numFmtId="0" fontId="0" fillId="7" borderId="4" xfId="0" applyFill="1" applyBorder="1" applyAlignment="1">
      <alignment horizontal="center"/>
    </xf>
    <xf numFmtId="0" fontId="0" fillId="7" borderId="47" xfId="0" applyFill="1" applyBorder="1" applyAlignment="1">
      <alignment horizontal="center"/>
    </xf>
    <xf numFmtId="0" fontId="0" fillId="7" borderId="36" xfId="0" applyFill="1" applyBorder="1" applyAlignment="1">
      <alignment horizontal="center"/>
    </xf>
    <xf numFmtId="174" fontId="8" fillId="7" borderId="36" xfId="0" applyNumberFormat="1" applyFont="1" applyFill="1" applyBorder="1" applyAlignment="1">
      <alignment horizontal="center"/>
    </xf>
    <xf numFmtId="0" fontId="0" fillId="7" borderId="41" xfId="0" applyFill="1" applyBorder="1" applyAlignment="1">
      <alignment horizontal="center"/>
    </xf>
    <xf numFmtId="0" fontId="0" fillId="7" borderId="44" xfId="0" applyFill="1" applyBorder="1" applyAlignment="1">
      <alignment horizontal="center"/>
    </xf>
    <xf numFmtId="174" fontId="0" fillId="3" borderId="33" xfId="1" applyNumberFormat="1" applyFont="1" applyFill="1" applyBorder="1" applyAlignment="1">
      <alignment horizontal="center"/>
    </xf>
    <xf numFmtId="174" fontId="8" fillId="3" borderId="33" xfId="1" applyNumberFormat="1" applyFont="1" applyFill="1" applyBorder="1" applyAlignment="1">
      <alignment horizontal="center"/>
    </xf>
    <xf numFmtId="174" fontId="8" fillId="3" borderId="33" xfId="0" applyNumberFormat="1" applyFont="1" applyFill="1" applyBorder="1"/>
    <xf numFmtId="173" fontId="8" fillId="3" borderId="33" xfId="0" applyNumberFormat="1" applyFont="1" applyFill="1" applyBorder="1" applyAlignment="1">
      <alignment horizontal="center"/>
    </xf>
    <xf numFmtId="0" fontId="0" fillId="3" borderId="43" xfId="0" applyFill="1" applyBorder="1"/>
    <xf numFmtId="0" fontId="0" fillId="0" borderId="0" xfId="0" applyBorder="1" applyAlignment="1">
      <alignment wrapText="1"/>
    </xf>
    <xf numFmtId="0" fontId="7" fillId="0" borderId="14" xfId="0" applyFont="1" applyBorder="1" applyAlignment="1">
      <alignment wrapText="1"/>
    </xf>
    <xf numFmtId="0" fontId="7" fillId="0" borderId="0" xfId="0" applyFont="1" applyBorder="1" applyAlignment="1">
      <alignment horizontal="center"/>
    </xf>
    <xf numFmtId="0" fontId="7" fillId="0" borderId="0" xfId="0" applyFont="1" applyBorder="1" applyAlignment="1">
      <alignment wrapText="1"/>
    </xf>
    <xf numFmtId="0" fontId="7" fillId="0" borderId="13" xfId="0" applyFont="1" applyBorder="1" applyAlignment="1">
      <alignment wrapText="1"/>
    </xf>
    <xf numFmtId="0" fontId="0" fillId="0" borderId="13" xfId="0" applyBorder="1" applyAlignment="1">
      <alignment wrapText="1"/>
    </xf>
    <xf numFmtId="0" fontId="7" fillId="0" borderId="14" xfId="0" applyFont="1" applyFill="1" applyBorder="1" applyAlignment="1">
      <alignment wrapText="1"/>
    </xf>
    <xf numFmtId="0" fontId="0" fillId="0" borderId="0" xfId="0" applyBorder="1" applyAlignment="1">
      <alignment horizontal="center"/>
    </xf>
    <xf numFmtId="0" fontId="0" fillId="0" borderId="14" xfId="0" applyBorder="1" applyAlignment="1">
      <alignment wrapText="1"/>
    </xf>
    <xf numFmtId="0" fontId="7" fillId="0" borderId="14" xfId="0" applyFont="1" applyFill="1" applyBorder="1" applyAlignment="1">
      <alignment horizontal="left" wrapText="1"/>
    </xf>
    <xf numFmtId="0" fontId="7" fillId="0" borderId="16" xfId="0" applyFont="1" applyBorder="1" applyAlignment="1">
      <alignment horizontal="center"/>
    </xf>
    <xf numFmtId="0" fontId="0" fillId="0" borderId="16" xfId="0" applyBorder="1" applyAlignment="1">
      <alignment wrapText="1"/>
    </xf>
    <xf numFmtId="0" fontId="0" fillId="0" borderId="21" xfId="0" applyBorder="1" applyAlignment="1">
      <alignment wrapText="1"/>
    </xf>
    <xf numFmtId="0" fontId="8" fillId="6" borderId="17" xfId="0" applyFont="1" applyFill="1" applyBorder="1" applyAlignment="1">
      <alignment wrapText="1"/>
    </xf>
    <xf numFmtId="0" fontId="7" fillId="0" borderId="0" xfId="0" applyFont="1" applyFill="1" applyAlignment="1">
      <alignment wrapText="1"/>
    </xf>
    <xf numFmtId="0" fontId="7" fillId="0" borderId="21" xfId="0" applyFont="1" applyBorder="1" applyAlignment="1">
      <alignment wrapText="1"/>
    </xf>
    <xf numFmtId="0" fontId="0" fillId="7" borderId="0" xfId="0" applyFill="1" applyBorder="1" applyAlignment="1">
      <alignment horizontal="center"/>
    </xf>
    <xf numFmtId="0" fontId="3" fillId="0" borderId="0" xfId="6" applyFont="1" applyBorder="1"/>
    <xf numFmtId="0" fontId="0" fillId="3" borderId="22" xfId="0" applyFill="1" applyBorder="1"/>
    <xf numFmtId="0" fontId="7" fillId="7" borderId="16" xfId="0" applyFont="1" applyFill="1" applyBorder="1" applyAlignment="1">
      <alignment wrapText="1"/>
    </xf>
    <xf numFmtId="0" fontId="8" fillId="7" borderId="0" xfId="0" applyFont="1" applyFill="1" applyBorder="1" applyAlignment="1">
      <alignment wrapText="1"/>
    </xf>
    <xf numFmtId="0" fontId="8" fillId="7" borderId="0" xfId="0" applyFont="1" applyFill="1" applyBorder="1" applyAlignment="1">
      <alignment horizontal="center" wrapText="1"/>
    </xf>
    <xf numFmtId="0" fontId="9" fillId="7" borderId="0" xfId="0" applyFont="1" applyFill="1" applyBorder="1" applyAlignment="1">
      <alignment horizontal="center"/>
    </xf>
    <xf numFmtId="171" fontId="0" fillId="11" borderId="0" xfId="0" applyNumberFormat="1" applyFill="1" applyBorder="1" applyAlignment="1">
      <alignment horizontal="center"/>
    </xf>
    <xf numFmtId="171" fontId="0" fillId="3" borderId="0" xfId="0" applyNumberFormat="1" applyFill="1" applyBorder="1" applyAlignment="1">
      <alignment horizontal="center"/>
    </xf>
    <xf numFmtId="0" fontId="0" fillId="3" borderId="0" xfId="0" applyFill="1" applyBorder="1" applyAlignment="1">
      <alignment horizontal="center"/>
    </xf>
    <xf numFmtId="171" fontId="7" fillId="3" borderId="0" xfId="1" applyNumberFormat="1" applyFont="1" applyFill="1" applyBorder="1" applyAlignment="1">
      <alignment horizontal="center"/>
    </xf>
    <xf numFmtId="171" fontId="7" fillId="10" borderId="0" xfId="1" applyNumberFormat="1" applyFont="1" applyFill="1" applyBorder="1" applyAlignment="1">
      <alignment horizontal="center"/>
    </xf>
    <xf numFmtId="2" fontId="7" fillId="10" borderId="0" xfId="1" applyNumberFormat="1" applyFont="1" applyFill="1" applyBorder="1" applyAlignment="1">
      <alignment horizontal="center"/>
    </xf>
    <xf numFmtId="171" fontId="0" fillId="7" borderId="0" xfId="0" applyNumberFormat="1" applyFill="1" applyBorder="1" applyAlignment="1">
      <alignment horizontal="center"/>
    </xf>
    <xf numFmtId="0" fontId="0" fillId="7" borderId="0" xfId="0" applyFill="1" applyBorder="1" applyAlignment="1">
      <alignment horizontal="center"/>
    </xf>
    <xf numFmtId="0" fontId="9" fillId="3" borderId="0" xfId="0" applyFont="1" applyFill="1" applyBorder="1" applyAlignment="1">
      <alignment horizontal="center"/>
    </xf>
    <xf numFmtId="0" fontId="9" fillId="10" borderId="0" xfId="0" applyFont="1"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171" fontId="7" fillId="7" borderId="0" xfId="1" applyNumberFormat="1" applyFont="1" applyFill="1" applyBorder="1" applyAlignment="1">
      <alignment horizontal="center"/>
    </xf>
    <xf numFmtId="2" fontId="7" fillId="7" borderId="0" xfId="1" applyNumberFormat="1" applyFont="1" applyFill="1" applyBorder="1" applyAlignment="1">
      <alignment horizontal="center"/>
    </xf>
    <xf numFmtId="171" fontId="7" fillId="11" borderId="0" xfId="1" applyNumberFormat="1" applyFont="1" applyFill="1" applyBorder="1" applyAlignment="1">
      <alignment horizontal="center"/>
    </xf>
    <xf numFmtId="2" fontId="7" fillId="11" borderId="0" xfId="1" applyNumberFormat="1" applyFont="1" applyFill="1" applyBorder="1" applyAlignment="1">
      <alignment horizontal="center"/>
    </xf>
    <xf numFmtId="0" fontId="7" fillId="5" borderId="23" xfId="0" applyFont="1" applyFill="1" applyBorder="1" applyAlignment="1" applyProtection="1">
      <alignment horizontal="center"/>
      <protection locked="0"/>
    </xf>
    <xf numFmtId="0" fontId="32" fillId="12" borderId="41" xfId="0" applyFont="1" applyFill="1" applyBorder="1" applyAlignment="1">
      <alignment horizontal="center"/>
    </xf>
    <xf numFmtId="169" fontId="7" fillId="0" borderId="23" xfId="0" applyNumberFormat="1" applyFont="1" applyFill="1" applyBorder="1" applyAlignment="1" applyProtection="1">
      <alignment horizontal="center"/>
      <protection locked="0"/>
    </xf>
    <xf numFmtId="0" fontId="7" fillId="0" borderId="16" xfId="0" applyFont="1" applyFill="1" applyBorder="1" applyAlignment="1">
      <alignment horizontal="center"/>
    </xf>
    <xf numFmtId="0" fontId="9" fillId="0" borderId="0" xfId="0" applyFont="1" applyBorder="1"/>
    <xf numFmtId="0" fontId="9" fillId="0" borderId="0" xfId="0" applyFont="1" applyBorder="1" applyAlignment="1">
      <alignment horizontal="center"/>
    </xf>
    <xf numFmtId="1" fontId="0" fillId="7" borderId="0" xfId="0" applyNumberFormat="1" applyFill="1" applyBorder="1" applyAlignment="1">
      <alignment horizontal="center"/>
    </xf>
    <xf numFmtId="0" fontId="8" fillId="7" borderId="33" xfId="0" applyFont="1" applyFill="1" applyBorder="1" applyAlignment="1">
      <alignment vertical="center" wrapText="1"/>
    </xf>
    <xf numFmtId="0" fontId="8" fillId="7" borderId="0" xfId="0" applyFont="1" applyFill="1" applyBorder="1" applyAlignment="1">
      <alignment vertical="center" wrapText="1"/>
    </xf>
    <xf numFmtId="0" fontId="8" fillId="3" borderId="33" xfId="0" applyFont="1" applyFill="1" applyBorder="1" applyAlignment="1">
      <alignment wrapText="1"/>
    </xf>
    <xf numFmtId="0" fontId="8" fillId="3" borderId="0" xfId="0" applyFont="1" applyFill="1" applyBorder="1" applyAlignment="1">
      <alignment wrapText="1"/>
    </xf>
    <xf numFmtId="0" fontId="9" fillId="0" borderId="1" xfId="0" applyFont="1" applyBorder="1"/>
    <xf numFmtId="0" fontId="9" fillId="0" borderId="2" xfId="0" applyFont="1" applyBorder="1" applyAlignment="1">
      <alignment horizontal="center"/>
    </xf>
    <xf numFmtId="0" fontId="0" fillId="0" borderId="1" xfId="0" applyFill="1" applyBorder="1"/>
    <xf numFmtId="0" fontId="0" fillId="0" borderId="2" xfId="0" applyBorder="1" applyAlignment="1">
      <alignment horizontal="center"/>
    </xf>
    <xf numFmtId="0" fontId="7" fillId="0" borderId="2" xfId="0" applyFont="1" applyFill="1" applyBorder="1" applyAlignment="1">
      <alignment horizontal="center"/>
    </xf>
    <xf numFmtId="0" fontId="0" fillId="0" borderId="26" xfId="0" applyFill="1" applyBorder="1"/>
    <xf numFmtId="0" fontId="7" fillId="0" borderId="27" xfId="0" applyFont="1" applyFill="1" applyBorder="1" applyAlignment="1">
      <alignment horizontal="center"/>
    </xf>
    <xf numFmtId="0" fontId="30" fillId="3" borderId="0" xfId="0" applyFont="1" applyFill="1" applyBorder="1" applyAlignment="1">
      <alignment wrapText="1"/>
    </xf>
    <xf numFmtId="0" fontId="30" fillId="3" borderId="16" xfId="0" applyFont="1" applyFill="1" applyBorder="1" applyAlignment="1">
      <alignment wrapText="1"/>
    </xf>
    <xf numFmtId="164" fontId="8" fillId="7" borderId="14" xfId="0" applyNumberFormat="1" applyFont="1" applyFill="1" applyBorder="1" applyAlignment="1">
      <alignment horizontal="right"/>
    </xf>
    <xf numFmtId="0" fontId="8" fillId="7" borderId="16" xfId="0" applyFont="1" applyFill="1" applyBorder="1"/>
    <xf numFmtId="0" fontId="8" fillId="7" borderId="15" xfId="0" applyFont="1" applyFill="1" applyBorder="1"/>
    <xf numFmtId="0" fontId="8" fillId="3" borderId="35" xfId="0" applyFont="1" applyFill="1" applyBorder="1"/>
    <xf numFmtId="0" fontId="8" fillId="3" borderId="16" xfId="0" applyFont="1" applyFill="1" applyBorder="1"/>
    <xf numFmtId="0" fontId="8" fillId="10" borderId="33" xfId="0" applyFont="1" applyFill="1" applyBorder="1"/>
    <xf numFmtId="0" fontId="8" fillId="11" borderId="33" xfId="0" applyFont="1" applyFill="1" applyBorder="1"/>
    <xf numFmtId="0" fontId="8" fillId="11" borderId="2" xfId="0" applyFont="1" applyFill="1" applyBorder="1"/>
    <xf numFmtId="0" fontId="0" fillId="7" borderId="62" xfId="0" applyFill="1" applyBorder="1" applyAlignment="1" applyProtection="1">
      <alignment horizontal="center"/>
    </xf>
    <xf numFmtId="0" fontId="7" fillId="3" borderId="62" xfId="0" applyFont="1" applyFill="1" applyBorder="1" applyAlignment="1" applyProtection="1">
      <alignment horizontal="center"/>
    </xf>
    <xf numFmtId="0" fontId="0" fillId="11" borderId="33" xfId="0" applyFill="1" applyBorder="1" applyProtection="1"/>
    <xf numFmtId="0" fontId="0" fillId="11" borderId="0" xfId="0" applyFill="1" applyProtection="1"/>
    <xf numFmtId="0" fontId="7" fillId="0" borderId="16" xfId="0" applyFont="1" applyBorder="1" applyAlignment="1">
      <alignment wrapText="1"/>
    </xf>
    <xf numFmtId="0" fontId="7" fillId="5" borderId="13" xfId="0" applyFont="1" applyFill="1" applyBorder="1" applyAlignment="1">
      <alignment horizontal="left"/>
    </xf>
    <xf numFmtId="0" fontId="0" fillId="5" borderId="13" xfId="0" applyFill="1" applyBorder="1"/>
    <xf numFmtId="0" fontId="7" fillId="5" borderId="22" xfId="0" applyFont="1" applyFill="1" applyBorder="1" applyAlignment="1">
      <alignment horizontal="left"/>
    </xf>
    <xf numFmtId="0" fontId="7" fillId="5" borderId="20" xfId="0" applyFont="1" applyFill="1" applyBorder="1" applyAlignment="1">
      <alignment horizontal="left"/>
    </xf>
    <xf numFmtId="0" fontId="16" fillId="6" borderId="1" xfId="0" applyFont="1" applyFill="1" applyBorder="1" applyProtection="1"/>
    <xf numFmtId="0" fontId="32" fillId="12" borderId="41" xfId="0" applyFont="1" applyFill="1" applyBorder="1" applyAlignment="1" applyProtection="1">
      <alignment horizontal="center"/>
    </xf>
    <xf numFmtId="0" fontId="16" fillId="6" borderId="26" xfId="0" applyFont="1" applyFill="1" applyBorder="1" applyProtection="1"/>
    <xf numFmtId="0" fontId="0" fillId="6" borderId="1" xfId="0" applyFill="1" applyBorder="1" applyProtection="1"/>
    <xf numFmtId="0" fontId="0" fillId="7" borderId="33" xfId="0" applyFill="1" applyBorder="1" applyProtection="1"/>
    <xf numFmtId="0" fontId="0" fillId="3" borderId="33" xfId="0" applyFill="1" applyBorder="1" applyProtection="1"/>
    <xf numFmtId="0" fontId="0" fillId="10" borderId="33" xfId="0" applyFill="1" applyBorder="1" applyProtection="1"/>
    <xf numFmtId="0" fontId="9" fillId="6" borderId="1" xfId="0" applyFont="1" applyFill="1" applyBorder="1" applyProtection="1"/>
    <xf numFmtId="0" fontId="7" fillId="6" borderId="1" xfId="0" applyFont="1" applyFill="1" applyBorder="1" applyAlignment="1" applyProtection="1">
      <alignment horizontal="left" indent="2"/>
    </xf>
    <xf numFmtId="2" fontId="0" fillId="7" borderId="0" xfId="0" applyNumberFormat="1" applyFill="1" applyBorder="1" applyProtection="1"/>
    <xf numFmtId="2" fontId="0" fillId="3" borderId="0" xfId="0" applyNumberFormat="1" applyFill="1" applyBorder="1" applyProtection="1"/>
    <xf numFmtId="2" fontId="0" fillId="10" borderId="0" xfId="0" applyNumberFormat="1" applyFill="1" applyBorder="1" applyProtection="1"/>
    <xf numFmtId="2" fontId="0" fillId="11" borderId="0" xfId="0" applyNumberFormat="1" applyFill="1" applyBorder="1" applyProtection="1"/>
    <xf numFmtId="169" fontId="0" fillId="7" borderId="0" xfId="0" applyNumberFormat="1" applyFill="1" applyBorder="1" applyProtection="1"/>
    <xf numFmtId="169" fontId="0" fillId="10" borderId="0" xfId="0" applyNumberFormat="1" applyFill="1" applyBorder="1" applyProtection="1"/>
    <xf numFmtId="1" fontId="0" fillId="3" borderId="0" xfId="0" applyNumberFormat="1" applyFill="1" applyBorder="1" applyProtection="1"/>
    <xf numFmtId="0" fontId="0" fillId="6" borderId="26" xfId="0" applyFill="1" applyBorder="1" applyProtection="1"/>
    <xf numFmtId="0" fontId="0" fillId="7" borderId="35" xfId="0" applyFill="1" applyBorder="1" applyProtection="1"/>
    <xf numFmtId="0" fontId="0" fillId="10" borderId="35" xfId="0" applyFill="1" applyBorder="1" applyProtection="1"/>
    <xf numFmtId="0" fontId="9" fillId="3" borderId="0" xfId="0" applyFont="1" applyFill="1" applyBorder="1" applyAlignment="1" applyProtection="1">
      <alignment vertical="center"/>
    </xf>
    <xf numFmtId="0" fontId="9" fillId="11" borderId="0" xfId="0" applyFont="1" applyFill="1" applyBorder="1" applyAlignment="1" applyProtection="1">
      <alignment vertical="center"/>
    </xf>
    <xf numFmtId="165" fontId="26" fillId="7" borderId="0" xfId="1" applyNumberFormat="1" applyFont="1" applyFill="1" applyBorder="1" applyProtection="1"/>
    <xf numFmtId="165" fontId="7" fillId="7" borderId="0" xfId="0" applyNumberFormat="1" applyFont="1" applyFill="1" applyBorder="1" applyAlignment="1" applyProtection="1">
      <alignment horizontal="right"/>
    </xf>
    <xf numFmtId="165" fontId="26" fillId="3" borderId="0" xfId="1" applyNumberFormat="1" applyFont="1" applyFill="1" applyBorder="1" applyProtection="1"/>
    <xf numFmtId="165" fontId="0" fillId="3" borderId="0" xfId="0" applyNumberFormat="1" applyFill="1" applyBorder="1" applyProtection="1"/>
    <xf numFmtId="165" fontId="7" fillId="3" borderId="0" xfId="0" applyNumberFormat="1" applyFont="1" applyFill="1" applyBorder="1" applyAlignment="1" applyProtection="1">
      <alignment horizontal="right"/>
    </xf>
    <xf numFmtId="165" fontId="0" fillId="10" borderId="33" xfId="0" applyNumberFormat="1" applyFill="1" applyBorder="1" applyProtection="1"/>
    <xf numFmtId="165" fontId="26" fillId="10" borderId="0" xfId="1" applyNumberFormat="1" applyFont="1" applyFill="1" applyBorder="1" applyProtection="1"/>
    <xf numFmtId="165" fontId="7" fillId="10" borderId="0" xfId="0" applyNumberFormat="1" applyFont="1" applyFill="1" applyBorder="1" applyAlignment="1" applyProtection="1">
      <alignment horizontal="right"/>
    </xf>
    <xf numFmtId="165" fontId="0" fillId="10" borderId="36" xfId="0" applyNumberFormat="1" applyFill="1" applyBorder="1" applyProtection="1"/>
    <xf numFmtId="165" fontId="0" fillId="11" borderId="0" xfId="0" applyNumberFormat="1" applyFill="1" applyBorder="1" applyProtection="1"/>
    <xf numFmtId="165" fontId="26" fillId="11" borderId="0" xfId="1" applyNumberFormat="1" applyFont="1" applyFill="1" applyBorder="1" applyProtection="1"/>
    <xf numFmtId="165" fontId="7" fillId="11" borderId="0" xfId="0" applyNumberFormat="1" applyFont="1" applyFill="1" applyBorder="1" applyAlignment="1" applyProtection="1">
      <alignment horizontal="right"/>
    </xf>
    <xf numFmtId="164" fontId="26" fillId="7" borderId="0" xfId="1" applyNumberFormat="1" applyFont="1" applyFill="1" applyBorder="1" applyProtection="1"/>
    <xf numFmtId="43" fontId="0" fillId="7" borderId="0" xfId="0" applyNumberFormat="1" applyFill="1" applyBorder="1" applyProtection="1"/>
    <xf numFmtId="164" fontId="26" fillId="3" borderId="0" xfId="1" applyNumberFormat="1" applyFont="1" applyFill="1" applyBorder="1" applyProtection="1"/>
    <xf numFmtId="43" fontId="0" fillId="3" borderId="0" xfId="0" applyNumberFormat="1" applyFill="1" applyBorder="1" applyProtection="1"/>
    <xf numFmtId="164" fontId="26" fillId="10" borderId="0" xfId="1" applyNumberFormat="1" applyFont="1" applyFill="1" applyBorder="1" applyProtection="1"/>
    <xf numFmtId="43" fontId="0" fillId="10" borderId="0" xfId="0" applyNumberFormat="1" applyFill="1" applyBorder="1" applyProtection="1"/>
    <xf numFmtId="164" fontId="26" fillId="11" borderId="0" xfId="1" applyNumberFormat="1" applyFont="1" applyFill="1" applyBorder="1" applyProtection="1"/>
    <xf numFmtId="43" fontId="0" fillId="11" borderId="0" xfId="0" applyNumberFormat="1" applyFill="1" applyBorder="1" applyProtection="1"/>
    <xf numFmtId="164" fontId="7" fillId="7" borderId="0" xfId="0" applyNumberFormat="1" applyFont="1" applyFill="1" applyBorder="1" applyAlignment="1" applyProtection="1">
      <alignment horizontal="right"/>
    </xf>
    <xf numFmtId="164" fontId="7" fillId="3" borderId="0" xfId="0" applyNumberFormat="1" applyFont="1" applyFill="1" applyBorder="1" applyAlignment="1" applyProtection="1">
      <alignment horizontal="right"/>
    </xf>
    <xf numFmtId="164" fontId="7" fillId="10" borderId="0" xfId="0" applyNumberFormat="1" applyFont="1" applyFill="1" applyBorder="1" applyAlignment="1" applyProtection="1">
      <alignment horizontal="right"/>
    </xf>
    <xf numFmtId="164" fontId="7" fillId="11" borderId="0" xfId="0" applyNumberFormat="1" applyFont="1" applyFill="1" applyBorder="1" applyAlignment="1" applyProtection="1">
      <alignment horizontal="right"/>
    </xf>
    <xf numFmtId="0" fontId="9" fillId="6" borderId="45" xfId="0" applyFont="1" applyFill="1" applyBorder="1" applyProtection="1"/>
    <xf numFmtId="0" fontId="7" fillId="6" borderId="1" xfId="0" applyFont="1" applyFill="1" applyBorder="1" applyProtection="1"/>
    <xf numFmtId="164" fontId="26" fillId="7" borderId="0" xfId="1" applyNumberFormat="1" applyFont="1" applyFill="1" applyBorder="1" applyAlignment="1" applyProtection="1">
      <alignment horizontal="right"/>
    </xf>
    <xf numFmtId="164" fontId="26" fillId="3" borderId="0" xfId="1" applyNumberFormat="1" applyFont="1" applyFill="1" applyBorder="1" applyAlignment="1" applyProtection="1">
      <alignment horizontal="right"/>
    </xf>
    <xf numFmtId="164" fontId="26" fillId="10" borderId="0" xfId="1" applyNumberFormat="1" applyFont="1" applyFill="1" applyBorder="1" applyAlignment="1" applyProtection="1">
      <alignment horizontal="right"/>
    </xf>
    <xf numFmtId="164" fontId="26" fillId="11" borderId="0" xfId="1" applyNumberFormat="1" applyFont="1" applyFill="1" applyBorder="1" applyAlignment="1" applyProtection="1">
      <alignment horizontal="right"/>
    </xf>
    <xf numFmtId="164" fontId="7" fillId="11" borderId="0" xfId="0" applyNumberFormat="1" applyFont="1" applyFill="1" applyBorder="1" applyAlignment="1" applyProtection="1"/>
    <xf numFmtId="164" fontId="28" fillId="7" borderId="0" xfId="1" applyNumberFormat="1" applyFont="1" applyFill="1" applyBorder="1" applyProtection="1"/>
    <xf numFmtId="164" fontId="28" fillId="3" borderId="0" xfId="1" applyNumberFormat="1" applyFont="1" applyFill="1" applyBorder="1" applyProtection="1"/>
    <xf numFmtId="164" fontId="28" fillId="10" borderId="0" xfId="1" applyNumberFormat="1" applyFont="1" applyFill="1" applyBorder="1" applyProtection="1"/>
    <xf numFmtId="164" fontId="28" fillId="11" borderId="0" xfId="1" applyNumberFormat="1" applyFont="1" applyFill="1" applyBorder="1" applyProtection="1"/>
    <xf numFmtId="0" fontId="0" fillId="7" borderId="0" xfId="0" applyFill="1" applyProtection="1"/>
    <xf numFmtId="0" fontId="0" fillId="3" borderId="0" xfId="0" applyFill="1" applyProtection="1"/>
    <xf numFmtId="0" fontId="0" fillId="10" borderId="0" xfId="0" applyFill="1" applyProtection="1"/>
    <xf numFmtId="168" fontId="7" fillId="7" borderId="0" xfId="4" applyNumberFormat="1" applyFont="1" applyFill="1" applyBorder="1" applyAlignment="1" applyProtection="1">
      <alignment horizontal="center" vertical="center"/>
    </xf>
    <xf numFmtId="10" fontId="7" fillId="7" borderId="0" xfId="4" applyNumberFormat="1" applyFont="1" applyFill="1" applyBorder="1" applyAlignment="1" applyProtection="1">
      <alignment horizontal="center" vertical="center"/>
    </xf>
    <xf numFmtId="168" fontId="7" fillId="10" borderId="0" xfId="4" applyNumberFormat="1" applyFont="1" applyFill="1" applyBorder="1" applyAlignment="1" applyProtection="1">
      <alignment horizontal="center" vertical="center"/>
    </xf>
    <xf numFmtId="0" fontId="7" fillId="0" borderId="0" xfId="0" applyFont="1" applyProtection="1"/>
    <xf numFmtId="170" fontId="7" fillId="0" borderId="0" xfId="0" applyNumberFormat="1" applyFont="1" applyFill="1" applyProtection="1"/>
    <xf numFmtId="9" fontId="7" fillId="0" borderId="0" xfId="0" applyNumberFormat="1" applyFont="1" applyProtection="1"/>
    <xf numFmtId="0" fontId="7" fillId="0" borderId="1" xfId="0" applyFont="1" applyBorder="1" applyProtection="1"/>
    <xf numFmtId="0" fontId="7" fillId="0" borderId="0" xfId="0" applyFont="1" applyBorder="1" applyProtection="1"/>
    <xf numFmtId="0" fontId="7" fillId="0" borderId="0" xfId="0" applyFont="1" applyFill="1" applyProtection="1"/>
    <xf numFmtId="0" fontId="7" fillId="3" borderId="14" xfId="0" applyFont="1" applyFill="1" applyBorder="1" applyProtection="1"/>
    <xf numFmtId="0" fontId="0" fillId="3" borderId="38" xfId="0" applyFill="1" applyBorder="1" applyProtection="1"/>
    <xf numFmtId="0" fontId="0" fillId="3" borderId="17" xfId="0" applyFill="1" applyBorder="1" applyProtection="1"/>
    <xf numFmtId="0" fontId="0" fillId="0" borderId="0" xfId="0" applyProtection="1"/>
    <xf numFmtId="0" fontId="7" fillId="0" borderId="0" xfId="0" applyFont="1" applyFill="1" applyBorder="1" applyAlignment="1" applyProtection="1">
      <alignment horizontal="center"/>
    </xf>
    <xf numFmtId="0" fontId="7" fillId="11" borderId="14" xfId="0" applyFont="1" applyFill="1" applyBorder="1" applyProtection="1"/>
    <xf numFmtId="9" fontId="7" fillId="5" borderId="0" xfId="0" applyNumberFormat="1" applyFont="1" applyFill="1" applyBorder="1" applyAlignment="1" applyProtection="1">
      <alignment horizontal="left"/>
    </xf>
    <xf numFmtId="9" fontId="7" fillId="5" borderId="0" xfId="0" applyNumberFormat="1" applyFont="1" applyFill="1" applyBorder="1" applyAlignment="1" applyProtection="1">
      <alignment horizontal="center"/>
    </xf>
    <xf numFmtId="169" fontId="7" fillId="5" borderId="0" xfId="0" applyNumberFormat="1" applyFont="1" applyFill="1" applyBorder="1" applyAlignment="1" applyProtection="1">
      <alignment horizontal="center"/>
    </xf>
    <xf numFmtId="0" fontId="7" fillId="5" borderId="0" xfId="0" applyNumberFormat="1" applyFont="1" applyFill="1" applyBorder="1" applyAlignment="1" applyProtection="1">
      <alignment horizontal="center"/>
    </xf>
    <xf numFmtId="164" fontId="7" fillId="5" borderId="0" xfId="1" applyNumberFormat="1" applyFont="1" applyFill="1" applyBorder="1" applyAlignment="1" applyProtection="1">
      <alignment horizontal="center"/>
    </xf>
    <xf numFmtId="0" fontId="7" fillId="5" borderId="0" xfId="0" applyNumberFormat="1" applyFont="1" applyFill="1" applyBorder="1" applyAlignment="1" applyProtection="1">
      <alignment horizontal="center" vertical="center"/>
    </xf>
    <xf numFmtId="0" fontId="7" fillId="5" borderId="0" xfId="0" applyFont="1" applyFill="1" applyBorder="1" applyAlignment="1" applyProtection="1">
      <alignment horizontal="center" vertical="center"/>
    </xf>
    <xf numFmtId="0" fontId="7" fillId="5" borderId="0" xfId="1" applyNumberFormat="1" applyFont="1" applyFill="1" applyBorder="1" applyAlignment="1" applyProtection="1">
      <alignment horizontal="center"/>
    </xf>
    <xf numFmtId="0" fontId="7" fillId="3" borderId="0"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13" fillId="6" borderId="16" xfId="0" applyFont="1" applyFill="1" applyBorder="1" applyAlignment="1" applyProtection="1">
      <alignment horizontal="left" vertical="center" wrapText="1"/>
    </xf>
    <xf numFmtId="9" fontId="13" fillId="7" borderId="0" xfId="0" applyNumberFormat="1" applyFont="1" applyFill="1" applyBorder="1" applyAlignment="1" applyProtection="1">
      <alignment horizontal="center"/>
    </xf>
    <xf numFmtId="0" fontId="13" fillId="7" borderId="0" xfId="0" applyFont="1" applyFill="1" applyBorder="1" applyAlignment="1" applyProtection="1">
      <alignment horizontal="left" vertical="center"/>
    </xf>
    <xf numFmtId="9" fontId="13" fillId="3" borderId="0" xfId="0" applyNumberFormat="1" applyFont="1" applyFill="1" applyBorder="1" applyAlignment="1" applyProtection="1">
      <alignment horizontal="center"/>
    </xf>
    <xf numFmtId="0" fontId="13" fillId="3" borderId="0" xfId="0" applyFont="1" applyFill="1" applyBorder="1" applyAlignment="1" applyProtection="1">
      <alignment horizontal="left" vertical="center"/>
    </xf>
    <xf numFmtId="0" fontId="13" fillId="10" borderId="35" xfId="0" applyFont="1" applyFill="1" applyBorder="1" applyAlignment="1" applyProtection="1">
      <alignment horizontal="left" vertical="center" wrapText="1"/>
    </xf>
    <xf numFmtId="9" fontId="13" fillId="10" borderId="16" xfId="0" applyNumberFormat="1" applyFont="1" applyFill="1" applyBorder="1" applyAlignment="1" applyProtection="1">
      <alignment horizontal="center"/>
    </xf>
    <xf numFmtId="0" fontId="13" fillId="10" borderId="16" xfId="0" applyFont="1" applyFill="1" applyBorder="1" applyAlignment="1" applyProtection="1">
      <alignment horizontal="left" vertical="center"/>
    </xf>
    <xf numFmtId="0" fontId="13" fillId="10" borderId="16" xfId="0" applyFont="1" applyFill="1" applyBorder="1" applyAlignment="1" applyProtection="1">
      <alignment horizontal="center" vertical="center"/>
    </xf>
    <xf numFmtId="0" fontId="13" fillId="10" borderId="16" xfId="0" applyNumberFormat="1" applyFont="1" applyFill="1" applyBorder="1" applyAlignment="1" applyProtection="1">
      <alignment horizontal="center" vertical="center"/>
    </xf>
    <xf numFmtId="164" fontId="13" fillId="10" borderId="16" xfId="1" applyNumberFormat="1" applyFont="1" applyFill="1" applyBorder="1" applyProtection="1"/>
    <xf numFmtId="0" fontId="7" fillId="10" borderId="16" xfId="0" applyFont="1" applyFill="1" applyBorder="1" applyAlignment="1" applyProtection="1">
      <alignment horizontal="left" vertical="center"/>
    </xf>
    <xf numFmtId="0" fontId="7" fillId="10" borderId="16" xfId="0" applyNumberFormat="1" applyFont="1" applyFill="1" applyBorder="1" applyAlignment="1" applyProtection="1">
      <alignment horizontal="center" vertical="center"/>
    </xf>
    <xf numFmtId="0" fontId="7" fillId="10" borderId="21" xfId="0" applyFont="1" applyFill="1" applyBorder="1" applyAlignment="1" applyProtection="1">
      <alignment horizontal="left" vertical="center"/>
    </xf>
    <xf numFmtId="164" fontId="13" fillId="10" borderId="15" xfId="1" applyNumberFormat="1" applyFont="1" applyFill="1" applyBorder="1" applyProtection="1"/>
    <xf numFmtId="0" fontId="13" fillId="10" borderId="16" xfId="0" applyFont="1" applyFill="1" applyBorder="1" applyAlignment="1" applyProtection="1">
      <alignment horizontal="center"/>
    </xf>
    <xf numFmtId="164" fontId="13" fillId="10" borderId="37" xfId="1" applyNumberFormat="1" applyFont="1" applyFill="1" applyBorder="1" applyProtection="1"/>
    <xf numFmtId="0" fontId="13" fillId="11" borderId="35" xfId="0" applyFont="1" applyFill="1" applyBorder="1" applyAlignment="1" applyProtection="1">
      <alignment horizontal="left" vertical="center" wrapText="1"/>
    </xf>
    <xf numFmtId="9" fontId="13" fillId="11" borderId="16" xfId="0" applyNumberFormat="1" applyFont="1" applyFill="1" applyBorder="1" applyAlignment="1" applyProtection="1">
      <alignment horizontal="center"/>
    </xf>
    <xf numFmtId="0" fontId="13" fillId="11" borderId="16" xfId="0" applyFont="1" applyFill="1" applyBorder="1" applyAlignment="1" applyProtection="1">
      <alignment horizontal="left" vertical="center"/>
    </xf>
    <xf numFmtId="0" fontId="13" fillId="11" borderId="16" xfId="0" applyFont="1" applyFill="1" applyBorder="1" applyAlignment="1" applyProtection="1">
      <alignment horizontal="center" vertical="center"/>
    </xf>
    <xf numFmtId="164" fontId="13" fillId="11" borderId="16" xfId="1" applyNumberFormat="1" applyFont="1" applyFill="1" applyBorder="1" applyProtection="1"/>
    <xf numFmtId="0" fontId="7" fillId="11" borderId="16" xfId="0" applyFont="1" applyFill="1" applyBorder="1" applyAlignment="1" applyProtection="1">
      <alignment horizontal="left" vertical="center"/>
    </xf>
    <xf numFmtId="0" fontId="7" fillId="11" borderId="16" xfId="0" applyNumberFormat="1" applyFont="1" applyFill="1" applyBorder="1" applyAlignment="1" applyProtection="1">
      <alignment horizontal="center" vertical="center"/>
    </xf>
    <xf numFmtId="0" fontId="7" fillId="11" borderId="21" xfId="0" applyFont="1" applyFill="1" applyBorder="1" applyAlignment="1" applyProtection="1">
      <alignment horizontal="left" vertical="center"/>
    </xf>
    <xf numFmtId="164" fontId="13" fillId="11" borderId="15" xfId="1" applyNumberFormat="1" applyFont="1" applyFill="1" applyBorder="1" applyProtection="1"/>
    <xf numFmtId="0" fontId="13" fillId="11" borderId="16" xfId="0" applyFont="1" applyFill="1" applyBorder="1" applyAlignment="1" applyProtection="1">
      <alignment horizontal="center"/>
    </xf>
    <xf numFmtId="164" fontId="13" fillId="11" borderId="27" xfId="1" applyNumberFormat="1" applyFont="1" applyFill="1" applyBorder="1" applyProtection="1"/>
    <xf numFmtId="0" fontId="13" fillId="6" borderId="0" xfId="0" applyFont="1" applyFill="1" applyBorder="1" applyAlignment="1" applyProtection="1">
      <alignment horizontal="left" vertical="center" wrapText="1"/>
    </xf>
    <xf numFmtId="0" fontId="13" fillId="10" borderId="33" xfId="0" applyFont="1" applyFill="1" applyBorder="1" applyAlignment="1" applyProtection="1">
      <alignment horizontal="left" vertical="center" wrapText="1"/>
    </xf>
    <xf numFmtId="9" fontId="13" fillId="10" borderId="0" xfId="0" applyNumberFormat="1" applyFont="1" applyFill="1" applyBorder="1" applyAlignment="1" applyProtection="1">
      <alignment horizontal="center"/>
    </xf>
    <xf numFmtId="0" fontId="13" fillId="10" borderId="0" xfId="0" applyFont="1" applyFill="1" applyBorder="1" applyAlignment="1" applyProtection="1">
      <alignment horizontal="left" vertical="center"/>
    </xf>
    <xf numFmtId="164" fontId="13" fillId="10" borderId="0" xfId="1" applyNumberFormat="1" applyFont="1" applyFill="1" applyBorder="1" applyProtection="1"/>
    <xf numFmtId="164" fontId="13" fillId="10" borderId="14" xfId="1" applyNumberFormat="1" applyFont="1" applyFill="1" applyBorder="1" applyProtection="1"/>
    <xf numFmtId="0" fontId="13" fillId="10" borderId="0" xfId="0" applyFont="1" applyFill="1" applyBorder="1" applyAlignment="1" applyProtection="1">
      <alignment horizontal="center"/>
    </xf>
    <xf numFmtId="164" fontId="13" fillId="10" borderId="36" xfId="1" applyNumberFormat="1" applyFont="1" applyFill="1" applyBorder="1" applyProtection="1"/>
    <xf numFmtId="0" fontId="13" fillId="11" borderId="33" xfId="0" applyFont="1" applyFill="1" applyBorder="1" applyAlignment="1" applyProtection="1">
      <alignment horizontal="left" vertical="center" wrapText="1"/>
    </xf>
    <xf numFmtId="9" fontId="13" fillId="11" borderId="0" xfId="0" applyNumberFormat="1" applyFont="1" applyFill="1" applyBorder="1" applyAlignment="1" applyProtection="1">
      <alignment horizontal="center"/>
    </xf>
    <xf numFmtId="0" fontId="13" fillId="11" borderId="0" xfId="0" applyFont="1" applyFill="1" applyBorder="1" applyAlignment="1" applyProtection="1">
      <alignment horizontal="left" vertical="center"/>
    </xf>
    <xf numFmtId="164" fontId="13" fillId="11" borderId="0" xfId="1" applyNumberFormat="1" applyFont="1" applyFill="1" applyBorder="1" applyProtection="1"/>
    <xf numFmtId="164" fontId="13" fillId="11" borderId="14" xfId="1" applyNumberFormat="1" applyFont="1" applyFill="1" applyBorder="1" applyProtection="1"/>
    <xf numFmtId="0" fontId="13" fillId="11" borderId="0" xfId="0" applyFont="1" applyFill="1" applyBorder="1" applyAlignment="1" applyProtection="1">
      <alignment horizontal="center"/>
    </xf>
    <xf numFmtId="164" fontId="13" fillId="11" borderId="2" xfId="1" applyNumberFormat="1" applyFont="1" applyFill="1" applyBorder="1" applyProtection="1"/>
    <xf numFmtId="170" fontId="7" fillId="0" borderId="23" xfId="0" applyNumberFormat="1" applyFont="1" applyFill="1" applyBorder="1" applyProtection="1">
      <protection locked="0"/>
    </xf>
    <xf numFmtId="0" fontId="7" fillId="6" borderId="1" xfId="0" applyFont="1" applyFill="1" applyBorder="1" applyAlignment="1" applyProtection="1">
      <alignment horizontal="left" vertical="center" wrapText="1" indent="2"/>
    </xf>
    <xf numFmtId="0" fontId="8" fillId="6" borderId="45" xfId="0" applyFont="1" applyFill="1" applyBorder="1" applyAlignment="1" applyProtection="1">
      <alignment horizontal="left" vertical="center"/>
    </xf>
    <xf numFmtId="0" fontId="0" fillId="7" borderId="17" xfId="0" applyFill="1" applyBorder="1" applyProtection="1"/>
    <xf numFmtId="170" fontId="0" fillId="0" borderId="23" xfId="0" applyNumberFormat="1" applyFill="1" applyBorder="1" applyProtection="1">
      <protection locked="0"/>
    </xf>
    <xf numFmtId="170" fontId="7" fillId="0" borderId="23" xfId="0" applyNumberFormat="1" applyFont="1" applyFill="1" applyBorder="1" applyAlignment="1" applyProtection="1">
      <alignment horizontal="center"/>
      <protection locked="0"/>
    </xf>
    <xf numFmtId="0" fontId="0" fillId="7" borderId="0" xfId="0" applyFill="1" applyBorder="1" applyAlignment="1" applyProtection="1">
      <alignment horizontal="center"/>
    </xf>
    <xf numFmtId="0" fontId="7" fillId="10" borderId="0" xfId="0" applyNumberFormat="1" applyFont="1" applyFill="1" applyBorder="1" applyProtection="1"/>
    <xf numFmtId="0" fontId="7" fillId="0" borderId="15" xfId="0" applyFont="1" applyBorder="1" applyAlignment="1">
      <alignment wrapText="1"/>
    </xf>
    <xf numFmtId="0" fontId="0" fillId="7" borderId="0" xfId="0" applyFill="1" applyBorder="1" applyAlignment="1">
      <alignment horizontal="center"/>
    </xf>
    <xf numFmtId="0" fontId="9" fillId="3" borderId="0" xfId="0" applyFont="1" applyFill="1" applyBorder="1" applyAlignment="1">
      <alignment horizontal="center"/>
    </xf>
    <xf numFmtId="0" fontId="0" fillId="3" borderId="0" xfId="0" applyFill="1" applyBorder="1" applyAlignment="1">
      <alignment horizontal="center"/>
    </xf>
    <xf numFmtId="0" fontId="0" fillId="0" borderId="25" xfId="0" applyBorder="1"/>
    <xf numFmtId="0" fontId="8" fillId="3" borderId="16" xfId="0" applyFont="1" applyFill="1" applyBorder="1" applyAlignment="1">
      <alignment horizontal="center" wrapText="1"/>
    </xf>
    <xf numFmtId="0" fontId="8" fillId="7" borderId="16" xfId="0" applyFont="1" applyFill="1" applyBorder="1" applyAlignment="1">
      <alignment horizontal="center" vertical="center" wrapText="1"/>
    </xf>
    <xf numFmtId="0" fontId="8" fillId="3" borderId="0" xfId="0" applyFont="1" applyFill="1" applyBorder="1" applyAlignment="1">
      <alignment horizontal="center" wrapText="1"/>
    </xf>
    <xf numFmtId="0" fontId="0" fillId="10" borderId="17" xfId="0" applyFill="1" applyBorder="1" applyAlignment="1">
      <alignment horizontal="center"/>
    </xf>
    <xf numFmtId="166" fontId="26" fillId="7" borderId="0" xfId="1" applyNumberFormat="1" applyFont="1" applyFill="1" applyBorder="1" applyAlignment="1" applyProtection="1">
      <alignment horizontal="center"/>
    </xf>
    <xf numFmtId="0" fontId="7" fillId="7" borderId="0" xfId="0" applyFont="1" applyFill="1" applyBorder="1" applyAlignment="1">
      <alignment wrapText="1"/>
    </xf>
    <xf numFmtId="176" fontId="26" fillId="3" borderId="0" xfId="1" applyNumberFormat="1" applyFont="1" applyFill="1" applyBorder="1" applyAlignment="1" applyProtection="1">
      <alignment horizontal="center"/>
    </xf>
    <xf numFmtId="9" fontId="7" fillId="7" borderId="0" xfId="4" applyFont="1" applyFill="1" applyBorder="1" applyAlignment="1">
      <alignment horizontal="center"/>
    </xf>
    <xf numFmtId="0" fontId="7" fillId="6" borderId="1" xfId="0" quotePrefix="1" applyFont="1" applyFill="1" applyBorder="1" applyAlignment="1">
      <alignment horizontal="left" wrapText="1" indent="2"/>
    </xf>
    <xf numFmtId="0" fontId="7" fillId="0" borderId="0" xfId="0" quotePrefix="1" applyFont="1"/>
    <xf numFmtId="0" fontId="0" fillId="6" borderId="76" xfId="0" applyFill="1" applyBorder="1" applyAlignment="1">
      <alignment horizontal="left" indent="1"/>
    </xf>
    <xf numFmtId="0" fontId="8" fillId="6" borderId="78" xfId="0" applyFont="1" applyFill="1" applyBorder="1" applyAlignment="1">
      <alignment horizontal="center" vertical="center"/>
    </xf>
    <xf numFmtId="0" fontId="8" fillId="6" borderId="58" xfId="0" applyFont="1" applyFill="1" applyBorder="1" applyAlignment="1">
      <alignment horizontal="center" vertical="center"/>
    </xf>
    <xf numFmtId="0" fontId="8" fillId="6" borderId="79" xfId="0" applyFont="1" applyFill="1" applyBorder="1" applyAlignment="1">
      <alignment horizontal="center" vertical="center"/>
    </xf>
    <xf numFmtId="0" fontId="8" fillId="6" borderId="29" xfId="0" applyFont="1" applyFill="1" applyBorder="1" applyAlignment="1">
      <alignment horizontal="left" vertical="center" indent="1"/>
    </xf>
    <xf numFmtId="0" fontId="8" fillId="6" borderId="78" xfId="0" applyFont="1" applyFill="1" applyBorder="1" applyAlignment="1">
      <alignment horizontal="center" vertical="center" wrapText="1"/>
    </xf>
    <xf numFmtId="0" fontId="8" fillId="6" borderId="60" xfId="0" applyFont="1" applyFill="1" applyBorder="1" applyAlignment="1">
      <alignment horizontal="center" vertical="center" wrapText="1"/>
    </xf>
    <xf numFmtId="0" fontId="7" fillId="6" borderId="0" xfId="0" applyFont="1" applyFill="1" applyBorder="1" applyAlignment="1">
      <alignment horizontal="left" indent="1"/>
    </xf>
    <xf numFmtId="0" fontId="0" fillId="6" borderId="0" xfId="0" applyFill="1" applyBorder="1" applyAlignment="1">
      <alignment horizontal="left" indent="1"/>
    </xf>
    <xf numFmtId="0" fontId="7" fillId="6" borderId="22" xfId="0" applyFont="1" applyFill="1" applyBorder="1" applyAlignment="1">
      <alignment horizontal="left" indent="1"/>
    </xf>
    <xf numFmtId="0" fontId="0" fillId="6" borderId="77" xfId="0" applyFill="1" applyBorder="1" applyAlignment="1">
      <alignment horizontal="left" indent="1"/>
    </xf>
    <xf numFmtId="0" fontId="0" fillId="6" borderId="76" xfId="0" applyFill="1" applyBorder="1" applyAlignment="1">
      <alignment horizontal="left" vertical="center"/>
    </xf>
    <xf numFmtId="9" fontId="7" fillId="6" borderId="1" xfId="0" applyNumberFormat="1" applyFont="1" applyFill="1" applyBorder="1" applyAlignment="1">
      <alignment horizontal="left" indent="1"/>
    </xf>
    <xf numFmtId="0" fontId="7" fillId="6" borderId="3" xfId="0" applyFont="1" applyFill="1" applyBorder="1" applyAlignment="1">
      <alignment horizontal="left" indent="1"/>
    </xf>
    <xf numFmtId="0" fontId="0" fillId="6" borderId="4" xfId="0" applyFill="1" applyBorder="1" applyAlignment="1">
      <alignment horizontal="left" indent="1"/>
    </xf>
    <xf numFmtId="0" fontId="8" fillId="6" borderId="4" xfId="0" applyFont="1" applyFill="1" applyBorder="1" applyAlignment="1">
      <alignment horizontal="left" vertical="center" indent="1"/>
    </xf>
    <xf numFmtId="0" fontId="0" fillId="6" borderId="1" xfId="0" applyFill="1" applyBorder="1" applyAlignment="1">
      <alignment horizontal="left" indent="1"/>
    </xf>
    <xf numFmtId="0" fontId="7" fillId="6" borderId="68" xfId="0" applyFont="1" applyFill="1" applyBorder="1" applyAlignment="1">
      <alignment horizontal="left" indent="1"/>
    </xf>
    <xf numFmtId="0" fontId="0" fillId="6" borderId="3" xfId="0" applyFill="1" applyBorder="1"/>
    <xf numFmtId="0" fontId="7" fillId="0" borderId="14" xfId="0" applyFont="1" applyFill="1" applyBorder="1" applyAlignment="1" applyProtection="1">
      <alignment horizontal="left"/>
      <protection locked="0"/>
    </xf>
    <xf numFmtId="0" fontId="7" fillId="0" borderId="0" xfId="0" applyFont="1" applyFill="1" applyBorder="1" applyAlignment="1" applyProtection="1">
      <alignment horizontal="left"/>
      <protection locked="0"/>
    </xf>
    <xf numFmtId="0" fontId="7" fillId="0" borderId="2" xfId="0" applyFont="1" applyFill="1" applyBorder="1" applyAlignment="1" applyProtection="1">
      <alignment horizontal="left"/>
      <protection locked="0"/>
    </xf>
    <xf numFmtId="0" fontId="0" fillId="0" borderId="0" xfId="0" applyFill="1" applyAlignment="1">
      <alignment horizontal="left"/>
    </xf>
    <xf numFmtId="0" fontId="0" fillId="0" borderId="0" xfId="0" applyAlignment="1">
      <alignment horizontal="left"/>
    </xf>
    <xf numFmtId="9" fontId="7" fillId="10" borderId="14" xfId="4" applyFont="1" applyFill="1" applyBorder="1" applyAlignment="1">
      <alignment horizontal="center"/>
    </xf>
    <xf numFmtId="9" fontId="7" fillId="7" borderId="0" xfId="4" applyFont="1" applyFill="1" applyBorder="1" applyAlignment="1" applyProtection="1">
      <alignment horizontal="left"/>
    </xf>
    <xf numFmtId="168" fontId="7" fillId="7" borderId="0" xfId="4" applyNumberFormat="1" applyFont="1" applyFill="1" applyBorder="1" applyAlignment="1" applyProtection="1">
      <alignment horizontal="center"/>
    </xf>
    <xf numFmtId="168" fontId="7" fillId="5" borderId="23" xfId="4" applyNumberFormat="1" applyFont="1" applyFill="1" applyBorder="1" applyAlignment="1" applyProtection="1">
      <alignment horizontal="center"/>
      <protection locked="0"/>
    </xf>
    <xf numFmtId="0" fontId="7" fillId="0" borderId="23" xfId="4" applyNumberFormat="1" applyFont="1" applyFill="1" applyBorder="1" applyAlignment="1" applyProtection="1">
      <alignment horizontal="center" vertical="center"/>
      <protection locked="0"/>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27" xfId="0" applyFont="1" applyFill="1" applyBorder="1" applyAlignment="1">
      <alignment horizontal="center" vertical="center" wrapText="1"/>
    </xf>
    <xf numFmtId="9" fontId="7" fillId="7" borderId="0" xfId="4" applyFont="1" applyFill="1" applyBorder="1" applyAlignment="1">
      <alignment horizontal="center"/>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168" fontId="7" fillId="7" borderId="62" xfId="4" applyNumberFormat="1" applyFont="1" applyFill="1" applyBorder="1" applyAlignment="1" applyProtection="1">
      <alignment horizontal="center"/>
    </xf>
    <xf numFmtId="168" fontId="7" fillId="3" borderId="62" xfId="4" applyNumberFormat="1" applyFont="1" applyFill="1" applyBorder="1" applyAlignment="1" applyProtection="1">
      <alignment horizontal="center"/>
    </xf>
    <xf numFmtId="0" fontId="7" fillId="7" borderId="23" xfId="0" applyFont="1" applyFill="1" applyBorder="1" applyAlignment="1">
      <alignment horizontal="center"/>
    </xf>
    <xf numFmtId="168" fontId="7" fillId="5" borderId="23" xfId="4" applyNumberFormat="1" applyFont="1" applyFill="1" applyBorder="1" applyAlignment="1" applyProtection="1">
      <alignment horizontal="center" vertical="center"/>
      <protection locked="0"/>
    </xf>
    <xf numFmtId="168" fontId="7" fillId="5" borderId="23" xfId="4" applyNumberFormat="1" applyFont="1" applyFill="1" applyBorder="1" applyAlignment="1" applyProtection="1">
      <alignment horizontal="center"/>
      <protection locked="0"/>
    </xf>
    <xf numFmtId="0" fontId="0" fillId="0" borderId="17" xfId="0" applyBorder="1"/>
    <xf numFmtId="168" fontId="7" fillId="7" borderId="0" xfId="0" applyNumberFormat="1" applyFont="1" applyFill="1" applyBorder="1" applyAlignment="1">
      <alignment horizontal="center"/>
    </xf>
    <xf numFmtId="168" fontId="7" fillId="7" borderId="0" xfId="4" applyNumberFormat="1" applyFont="1" applyFill="1" applyBorder="1" applyAlignment="1">
      <alignment horizontal="center"/>
    </xf>
    <xf numFmtId="9" fontId="30" fillId="7" borderId="14" xfId="4" applyFont="1" applyFill="1" applyBorder="1" applyAlignment="1" applyProtection="1">
      <alignment wrapText="1"/>
    </xf>
    <xf numFmtId="168" fontId="7" fillId="3" borderId="0" xfId="0" applyNumberFormat="1" applyFont="1" applyFill="1" applyBorder="1" applyAlignment="1">
      <alignment horizontal="center"/>
    </xf>
    <xf numFmtId="9" fontId="7" fillId="3" borderId="0" xfId="4" applyFont="1" applyFill="1" applyBorder="1" applyAlignment="1" applyProtection="1">
      <alignment horizontal="left"/>
    </xf>
    <xf numFmtId="168" fontId="7" fillId="3" borderId="0" xfId="4" applyNumberFormat="1" applyFont="1" applyFill="1" applyBorder="1" applyAlignment="1" applyProtection="1">
      <alignment horizontal="center"/>
    </xf>
    <xf numFmtId="168" fontId="7" fillId="3" borderId="0" xfId="0" applyNumberFormat="1" applyFont="1" applyFill="1" applyBorder="1" applyAlignment="1" applyProtection="1">
      <alignment horizontal="center"/>
    </xf>
    <xf numFmtId="9" fontId="7" fillId="3" borderId="14" xfId="4" applyFont="1" applyFill="1" applyBorder="1" applyAlignment="1" applyProtection="1">
      <alignment horizontal="center"/>
    </xf>
    <xf numFmtId="0" fontId="7" fillId="7" borderId="15" xfId="0" applyFont="1" applyFill="1" applyBorder="1" applyAlignment="1">
      <alignment horizontal="center"/>
    </xf>
    <xf numFmtId="9" fontId="7" fillId="7" borderId="16" xfId="4" applyFont="1" applyFill="1" applyBorder="1" applyAlignment="1" applyProtection="1">
      <alignment horizontal="center" vertical="center"/>
    </xf>
    <xf numFmtId="0" fontId="7" fillId="0" borderId="23" xfId="4" applyNumberFormat="1" applyFont="1" applyFill="1" applyBorder="1" applyAlignment="1" applyProtection="1">
      <alignment horizontal="center" vertical="center"/>
      <protection locked="0"/>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9" fontId="7" fillId="7" borderId="16" xfId="0" applyNumberFormat="1" applyFont="1" applyFill="1" applyBorder="1" applyAlignment="1">
      <alignment horizontal="center" vertical="center"/>
    </xf>
    <xf numFmtId="0" fontId="7" fillId="7" borderId="15" xfId="0" applyNumberFormat="1" applyFont="1" applyFill="1" applyBorder="1" applyAlignment="1">
      <alignment horizontal="center" vertical="center" wrapText="1"/>
    </xf>
    <xf numFmtId="0" fontId="7" fillId="7" borderId="16" xfId="0" applyNumberFormat="1" applyFont="1" applyFill="1" applyBorder="1" applyAlignment="1">
      <alignment horizontal="center" vertical="center" wrapText="1"/>
    </xf>
    <xf numFmtId="0" fontId="7" fillId="7" borderId="37" xfId="0" applyNumberFormat="1" applyFont="1" applyFill="1" applyBorder="1" applyAlignment="1">
      <alignment horizontal="center" vertical="center" wrapText="1"/>
    </xf>
    <xf numFmtId="9" fontId="7" fillId="3" borderId="16" xfId="0" applyNumberFormat="1" applyFont="1" applyFill="1" applyBorder="1" applyAlignment="1">
      <alignment horizontal="center" vertical="center"/>
    </xf>
    <xf numFmtId="9" fontId="7" fillId="3" borderId="21" xfId="0" applyNumberFormat="1" applyFont="1" applyFill="1" applyBorder="1" applyAlignment="1">
      <alignment horizontal="center" vertical="center"/>
    </xf>
    <xf numFmtId="0" fontId="7" fillId="6" borderId="1" xfId="0" quotePrefix="1" applyFont="1" applyFill="1" applyBorder="1" applyAlignment="1">
      <alignment horizontal="left" wrapText="1" indent="2"/>
    </xf>
    <xf numFmtId="0" fontId="0" fillId="0" borderId="17" xfId="0" applyBorder="1"/>
    <xf numFmtId="0" fontId="7" fillId="5" borderId="23" xfId="0" applyFont="1" applyFill="1" applyBorder="1" applyAlignment="1" applyProtection="1">
      <alignment horizontal="center"/>
      <protection locked="0"/>
    </xf>
    <xf numFmtId="0" fontId="17" fillId="0" borderId="1" xfId="0" applyFont="1" applyFill="1" applyBorder="1" applyAlignment="1">
      <alignment horizontal="left" vertical="center"/>
    </xf>
    <xf numFmtId="0" fontId="7" fillId="0" borderId="27" xfId="0" applyFont="1" applyFill="1" applyBorder="1" applyAlignment="1">
      <alignment horizontal="center" vertical="center"/>
    </xf>
    <xf numFmtId="0" fontId="17" fillId="0" borderId="26" xfId="0" applyFont="1" applyBorder="1"/>
    <xf numFmtId="0" fontId="17" fillId="0" borderId="16" xfId="0" applyFont="1" applyBorder="1"/>
    <xf numFmtId="0" fontId="7" fillId="0" borderId="24"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16" xfId="0" applyFont="1" applyFill="1" applyBorder="1"/>
    <xf numFmtId="168" fontId="7" fillId="3" borderId="62" xfId="4" applyNumberFormat="1" applyFont="1" applyFill="1" applyBorder="1" applyAlignment="1">
      <alignment horizontal="center"/>
    </xf>
    <xf numFmtId="0" fontId="7" fillId="7" borderId="62" xfId="4" applyNumberFormat="1" applyFont="1" applyFill="1" applyBorder="1" applyAlignment="1" applyProtection="1">
      <alignment horizontal="center" vertical="center"/>
    </xf>
    <xf numFmtId="0" fontId="7" fillId="3" borderId="62" xfId="4" applyNumberFormat="1" applyFont="1" applyFill="1" applyBorder="1" applyAlignment="1">
      <alignment horizontal="center"/>
    </xf>
    <xf numFmtId="168" fontId="7" fillId="3" borderId="18" xfId="0" applyNumberFormat="1" applyFont="1" applyFill="1" applyBorder="1" applyProtection="1"/>
    <xf numFmtId="168" fontId="7" fillId="3" borderId="0" xfId="0" applyNumberFormat="1" applyFont="1" applyFill="1" applyBorder="1" applyAlignment="1" applyProtection="1">
      <alignment horizontal="center" vertical="center"/>
    </xf>
    <xf numFmtId="168" fontId="7" fillId="3" borderId="0" xfId="0" applyNumberFormat="1" applyFont="1" applyFill="1" applyBorder="1" applyProtection="1"/>
    <xf numFmtId="9" fontId="7" fillId="3" borderId="16" xfId="0" applyNumberFormat="1" applyFont="1" applyFill="1" applyBorder="1" applyAlignment="1">
      <alignment horizontal="center"/>
    </xf>
    <xf numFmtId="0" fontId="10" fillId="7" borderId="38" xfId="0" applyFont="1" applyFill="1" applyBorder="1" applyAlignment="1">
      <alignment vertical="center" wrapText="1"/>
    </xf>
    <xf numFmtId="168" fontId="13" fillId="7" borderId="16" xfId="0" applyNumberFormat="1" applyFont="1" applyFill="1" applyBorder="1" applyAlignment="1">
      <alignment horizontal="center" vertical="center"/>
    </xf>
    <xf numFmtId="168" fontId="7" fillId="7" borderId="18" xfId="0" applyNumberFormat="1" applyFont="1" applyFill="1" applyBorder="1"/>
    <xf numFmtId="168" fontId="7" fillId="7" borderId="0" xfId="0" applyNumberFormat="1" applyFont="1" applyFill="1" applyBorder="1" applyAlignment="1">
      <alignment horizontal="left" vertical="center" indent="1"/>
    </xf>
    <xf numFmtId="168" fontId="13" fillId="7" borderId="0" xfId="4" applyNumberFormat="1" applyFont="1" applyFill="1" applyBorder="1" applyAlignment="1">
      <alignment horizontal="center"/>
    </xf>
    <xf numFmtId="168" fontId="13" fillId="7" borderId="0" xfId="0" applyNumberFormat="1" applyFont="1" applyFill="1" applyBorder="1" applyAlignment="1">
      <alignment horizontal="center" vertical="center"/>
    </xf>
    <xf numFmtId="168" fontId="7" fillId="7" borderId="0" xfId="0" applyNumberFormat="1" applyFont="1" applyFill="1" applyBorder="1"/>
    <xf numFmtId="9" fontId="19" fillId="7" borderId="0" xfId="0" applyNumberFormat="1" applyFont="1" applyFill="1" applyBorder="1" applyAlignment="1">
      <alignment horizontal="center" vertical="center"/>
    </xf>
    <xf numFmtId="168" fontId="13" fillId="7" borderId="0" xfId="0" applyNumberFormat="1" applyFont="1" applyFill="1" applyBorder="1" applyAlignment="1">
      <alignment horizontal="center"/>
    </xf>
    <xf numFmtId="168" fontId="7" fillId="3" borderId="13" xfId="0" applyNumberFormat="1" applyFont="1" applyFill="1" applyBorder="1" applyAlignment="1">
      <alignment horizontal="center" vertical="center"/>
    </xf>
    <xf numFmtId="0" fontId="7" fillId="3" borderId="0" xfId="4" applyNumberFormat="1" applyFont="1" applyFill="1" applyBorder="1" applyAlignment="1">
      <alignment horizontal="center"/>
    </xf>
    <xf numFmtId="0" fontId="8" fillId="7" borderId="17" xfId="0" applyFont="1" applyFill="1" applyBorder="1" applyAlignment="1">
      <alignment vertical="center" wrapText="1"/>
    </xf>
    <xf numFmtId="0" fontId="8" fillId="7" borderId="20" xfId="0" applyFont="1" applyFill="1" applyBorder="1" applyAlignment="1">
      <alignment vertical="center" wrapText="1"/>
    </xf>
    <xf numFmtId="0" fontId="8" fillId="3" borderId="38" xfId="0" applyFont="1" applyFill="1" applyBorder="1" applyAlignment="1">
      <alignment vertical="center" wrapText="1"/>
    </xf>
    <xf numFmtId="0" fontId="8" fillId="3" borderId="17" xfId="0" applyFont="1" applyFill="1" applyBorder="1" applyAlignment="1">
      <alignment vertical="center" wrapText="1"/>
    </xf>
    <xf numFmtId="9" fontId="7" fillId="3" borderId="0" xfId="4" applyNumberFormat="1" applyFont="1" applyFill="1" applyBorder="1" applyAlignment="1" applyProtection="1">
      <alignment horizontal="center"/>
    </xf>
    <xf numFmtId="0" fontId="8" fillId="6" borderId="45" xfId="0" applyFont="1" applyFill="1" applyBorder="1" applyAlignment="1">
      <alignment vertical="center" wrapText="1"/>
    </xf>
    <xf numFmtId="9" fontId="30" fillId="3" borderId="13" xfId="4" applyFont="1" applyFill="1" applyBorder="1" applyAlignment="1" applyProtection="1">
      <alignment vertical="top" wrapText="1"/>
    </xf>
    <xf numFmtId="9" fontId="30" fillId="3" borderId="21" xfId="4" applyFont="1" applyFill="1" applyBorder="1" applyAlignment="1" applyProtection="1">
      <alignment vertical="top" wrapText="1"/>
    </xf>
    <xf numFmtId="168" fontId="8" fillId="7" borderId="62" xfId="4" applyNumberFormat="1" applyFont="1" applyFill="1" applyBorder="1" applyAlignment="1" applyProtection="1">
      <alignment horizontal="center"/>
    </xf>
    <xf numFmtId="168" fontId="8" fillId="3" borderId="62" xfId="4" applyNumberFormat="1" applyFont="1" applyFill="1" applyBorder="1" applyAlignment="1" applyProtection="1">
      <alignment horizontal="center"/>
    </xf>
    <xf numFmtId="9" fontId="7" fillId="3" borderId="13" xfId="0" applyNumberFormat="1" applyFont="1" applyFill="1" applyBorder="1" applyAlignment="1">
      <alignment horizontal="center" vertical="center"/>
    </xf>
    <xf numFmtId="0" fontId="7" fillId="7" borderId="0" xfId="0" applyNumberFormat="1" applyFont="1" applyFill="1" applyBorder="1" applyAlignment="1">
      <alignment horizontal="left" vertical="center"/>
    </xf>
    <xf numFmtId="9" fontId="7" fillId="7" borderId="33" xfId="0" applyNumberFormat="1" applyFont="1" applyFill="1" applyBorder="1" applyAlignment="1">
      <alignment horizontal="left" vertical="center" indent="1"/>
    </xf>
    <xf numFmtId="9" fontId="7" fillId="7" borderId="35" xfId="0" applyNumberFormat="1" applyFont="1" applyFill="1" applyBorder="1" applyAlignment="1">
      <alignment horizontal="left" vertical="center" indent="1"/>
    </xf>
    <xf numFmtId="0" fontId="7" fillId="7" borderId="16" xfId="0" applyNumberFormat="1" applyFont="1" applyFill="1" applyBorder="1" applyAlignment="1">
      <alignment horizontal="left" vertical="center"/>
    </xf>
    <xf numFmtId="0" fontId="8" fillId="6" borderId="1" xfId="0" applyFont="1" applyFill="1" applyBorder="1" applyAlignment="1">
      <alignment horizontal="left" vertical="center"/>
    </xf>
    <xf numFmtId="0" fontId="8" fillId="6" borderId="26" xfId="0" applyFont="1" applyFill="1" applyBorder="1" applyAlignment="1">
      <alignment horizontal="left" vertical="center"/>
    </xf>
    <xf numFmtId="1" fontId="7" fillId="7" borderId="62" xfId="4" applyNumberFormat="1" applyFont="1" applyFill="1" applyBorder="1" applyAlignment="1" applyProtection="1">
      <alignment horizontal="center"/>
    </xf>
    <xf numFmtId="1" fontId="7" fillId="5" borderId="23" xfId="4" applyNumberFormat="1" applyFont="1" applyFill="1" applyBorder="1" applyAlignment="1" applyProtection="1">
      <alignment horizontal="center"/>
      <protection locked="0"/>
    </xf>
    <xf numFmtId="1" fontId="7" fillId="7" borderId="0" xfId="4" applyNumberFormat="1" applyFont="1" applyFill="1" applyBorder="1" applyAlignment="1">
      <alignment horizontal="center"/>
    </xf>
    <xf numFmtId="1" fontId="7" fillId="7" borderId="16" xfId="4" applyNumberFormat="1" applyFont="1" applyFill="1" applyBorder="1" applyAlignment="1">
      <alignment horizontal="center"/>
    </xf>
    <xf numFmtId="1" fontId="7" fillId="7" borderId="0" xfId="0" applyNumberFormat="1" applyFont="1" applyFill="1" applyBorder="1"/>
    <xf numFmtId="1" fontId="7" fillId="7" borderId="16" xfId="0" applyNumberFormat="1" applyFont="1" applyFill="1" applyBorder="1"/>
    <xf numFmtId="1" fontId="0" fillId="3" borderId="0" xfId="0" applyNumberFormat="1" applyFill="1"/>
    <xf numFmtId="1" fontId="7" fillId="3" borderId="16" xfId="0" applyNumberFormat="1" applyFont="1" applyFill="1" applyBorder="1" applyAlignment="1">
      <alignment horizontal="center" vertical="center"/>
    </xf>
    <xf numFmtId="9" fontId="7" fillId="3" borderId="33" xfId="0" applyNumberFormat="1" applyFont="1" applyFill="1" applyBorder="1" applyAlignment="1">
      <alignment horizontal="left" vertical="center" indent="1"/>
    </xf>
    <xf numFmtId="9" fontId="7" fillId="3" borderId="35" xfId="0" applyNumberFormat="1" applyFont="1" applyFill="1" applyBorder="1" applyAlignment="1">
      <alignment horizontal="left" vertical="center" indent="1"/>
    </xf>
    <xf numFmtId="1" fontId="7" fillId="3" borderId="62" xfId="4" applyNumberFormat="1" applyFont="1" applyFill="1" applyBorder="1" applyAlignment="1" applyProtection="1">
      <alignment horizontal="center"/>
    </xf>
    <xf numFmtId="2" fontId="7" fillId="10" borderId="0" xfId="1" applyNumberFormat="1" applyFont="1" applyFill="1" applyBorder="1" applyAlignment="1">
      <alignment horizontal="center"/>
    </xf>
    <xf numFmtId="0" fontId="0" fillId="0" borderId="25" xfId="0" applyBorder="1"/>
    <xf numFmtId="10" fontId="7" fillId="7" borderId="62" xfId="4" applyNumberFormat="1" applyFont="1" applyFill="1" applyBorder="1" applyAlignment="1" applyProtection="1">
      <alignment horizontal="center"/>
    </xf>
    <xf numFmtId="168" fontId="7" fillId="7" borderId="18" xfId="0" applyNumberFormat="1" applyFont="1" applyFill="1" applyBorder="1" applyProtection="1"/>
    <xf numFmtId="168" fontId="7" fillId="7" borderId="16" xfId="4" applyNumberFormat="1" applyFont="1" applyFill="1" applyBorder="1" applyAlignment="1">
      <alignment horizontal="center"/>
    </xf>
    <xf numFmtId="0" fontId="17" fillId="0" borderId="0" xfId="0" applyFont="1" applyFill="1" applyBorder="1" applyAlignment="1">
      <alignment horizontal="center"/>
    </xf>
    <xf numFmtId="0" fontId="17" fillId="0" borderId="2" xfId="0" applyFont="1" applyFill="1" applyBorder="1" applyAlignment="1">
      <alignment horizontal="center"/>
    </xf>
    <xf numFmtId="10" fontId="7" fillId="3" borderId="62" xfId="4" applyNumberFormat="1" applyFont="1" applyFill="1" applyBorder="1" applyAlignment="1" applyProtection="1">
      <alignment horizontal="center"/>
    </xf>
    <xf numFmtId="9" fontId="7" fillId="0" borderId="0" xfId="4" applyFont="1" applyFill="1" applyBorder="1" applyAlignment="1" applyProtection="1">
      <alignment horizontal="center"/>
      <protection locked="0"/>
    </xf>
    <xf numFmtId="9" fontId="0" fillId="0" borderId="0" xfId="0" applyNumberFormat="1" applyBorder="1" applyAlignment="1">
      <alignment horizontal="center"/>
    </xf>
    <xf numFmtId="168" fontId="0" fillId="0" borderId="0" xfId="0" applyNumberFormat="1" applyBorder="1" applyAlignment="1">
      <alignment horizontal="center"/>
    </xf>
    <xf numFmtId="0" fontId="0" fillId="0" borderId="0" xfId="0" applyNumberFormat="1" applyBorder="1" applyAlignment="1">
      <alignment horizontal="center"/>
    </xf>
    <xf numFmtId="0" fontId="9" fillId="3" borderId="0" xfId="0" applyFont="1" applyFill="1" applyBorder="1" applyAlignment="1">
      <alignment horizontal="center"/>
    </xf>
    <xf numFmtId="0" fontId="9" fillId="7" borderId="0" xfId="0" applyFont="1" applyFill="1" applyBorder="1" applyAlignment="1">
      <alignment horizontal="center"/>
    </xf>
    <xf numFmtId="0" fontId="8" fillId="7" borderId="1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30" fillId="0" borderId="0" xfId="0" applyFont="1"/>
    <xf numFmtId="0" fontId="40" fillId="6" borderId="45" xfId="0" applyFont="1" applyFill="1" applyBorder="1"/>
    <xf numFmtId="0" fontId="30" fillId="0" borderId="0" xfId="0" applyFont="1" applyFill="1"/>
    <xf numFmtId="0" fontId="13" fillId="7" borderId="38" xfId="0" applyFont="1" applyFill="1" applyBorder="1" applyAlignment="1">
      <alignment vertical="center"/>
    </xf>
    <xf numFmtId="0" fontId="7" fillId="7" borderId="17" xfId="0" applyFont="1" applyFill="1" applyBorder="1" applyAlignment="1">
      <alignment vertical="center"/>
    </xf>
    <xf numFmtId="0" fontId="7" fillId="3" borderId="17" xfId="0" applyFont="1" applyFill="1" applyBorder="1" applyAlignment="1">
      <alignment vertical="center"/>
    </xf>
    <xf numFmtId="0" fontId="7" fillId="0" borderId="0" xfId="0" applyFont="1" applyFill="1" applyAlignment="1">
      <alignment vertical="center"/>
    </xf>
    <xf numFmtId="0" fontId="7" fillId="7" borderId="15" xfId="0" applyNumberFormat="1" applyFont="1" applyFill="1" applyBorder="1" applyAlignment="1">
      <alignment horizontal="center" vertical="center" wrapText="1"/>
    </xf>
    <xf numFmtId="0" fontId="7" fillId="7" borderId="16" xfId="0" applyNumberFormat="1" applyFont="1" applyFill="1" applyBorder="1" applyAlignment="1">
      <alignment horizontal="center" vertical="center" wrapText="1"/>
    </xf>
    <xf numFmtId="0" fontId="8" fillId="3" borderId="20" xfId="0" applyFont="1" applyFill="1" applyBorder="1" applyAlignment="1">
      <alignment horizontal="center" vertical="center" wrapText="1"/>
    </xf>
    <xf numFmtId="9" fontId="7" fillId="7" borderId="0" xfId="4" applyFont="1" applyFill="1"/>
    <xf numFmtId="0" fontId="40" fillId="6" borderId="1" xfId="0" applyFont="1" applyFill="1" applyBorder="1" applyAlignment="1">
      <alignment horizontal="left"/>
    </xf>
    <xf numFmtId="0" fontId="38" fillId="6" borderId="1" xfId="0" applyFont="1" applyFill="1" applyBorder="1" applyAlignment="1">
      <alignment horizontal="left" indent="1"/>
    </xf>
    <xf numFmtId="0" fontId="38" fillId="6" borderId="1" xfId="0" applyFont="1" applyFill="1" applyBorder="1" applyAlignment="1">
      <alignment horizontal="left" indent="2"/>
    </xf>
    <xf numFmtId="0" fontId="38" fillId="6" borderId="1" xfId="0" applyFont="1" applyFill="1" applyBorder="1"/>
    <xf numFmtId="0" fontId="30" fillId="0" borderId="0" xfId="0" applyFont="1" applyProtection="1"/>
    <xf numFmtId="0" fontId="30" fillId="0" borderId="0" xfId="0" quotePrefix="1" applyFont="1" applyFill="1" applyProtection="1"/>
    <xf numFmtId="2" fontId="7" fillId="0" borderId="0" xfId="0" applyNumberFormat="1" applyFont="1"/>
    <xf numFmtId="0" fontId="36" fillId="6" borderId="34" xfId="0" applyFont="1" applyFill="1" applyBorder="1" applyAlignment="1">
      <alignment vertical="center"/>
    </xf>
    <xf numFmtId="0" fontId="14" fillId="0" borderId="1" xfId="0" applyFont="1" applyBorder="1" applyAlignment="1" applyProtection="1">
      <alignment vertical="center"/>
    </xf>
    <xf numFmtId="170" fontId="14" fillId="0" borderId="0" xfId="0" applyNumberFormat="1" applyFont="1" applyFill="1" applyBorder="1" applyAlignment="1" applyProtection="1">
      <alignment vertical="center"/>
    </xf>
    <xf numFmtId="0" fontId="14" fillId="0" borderId="0" xfId="0" applyFont="1" applyFill="1" applyAlignment="1">
      <alignment vertical="center"/>
    </xf>
    <xf numFmtId="0" fontId="14" fillId="0" borderId="0" xfId="0" applyFont="1" applyAlignment="1">
      <alignment vertical="center"/>
    </xf>
    <xf numFmtId="0" fontId="14" fillId="0" borderId="0" xfId="0" applyFont="1" applyAlignment="1" applyProtection="1">
      <alignment vertical="center"/>
    </xf>
    <xf numFmtId="170" fontId="14" fillId="0" borderId="0" xfId="0" applyNumberFormat="1" applyFont="1" applyFill="1" applyAlignment="1" applyProtection="1">
      <alignment vertical="center"/>
    </xf>
    <xf numFmtId="0" fontId="8" fillId="7" borderId="11" xfId="0" applyFont="1" applyFill="1" applyBorder="1" applyAlignment="1">
      <alignment vertical="center" wrapText="1"/>
    </xf>
    <xf numFmtId="0" fontId="8" fillId="7" borderId="42" xfId="0" applyFont="1" applyFill="1" applyBorder="1" applyAlignment="1">
      <alignment vertical="center" wrapText="1"/>
    </xf>
    <xf numFmtId="0" fontId="8" fillId="3" borderId="11" xfId="0" applyFont="1" applyFill="1" applyBorder="1" applyAlignment="1">
      <alignment vertical="center" wrapText="1"/>
    </xf>
    <xf numFmtId="0" fontId="8" fillId="3" borderId="25" xfId="0" applyFont="1" applyFill="1" applyBorder="1" applyAlignment="1">
      <alignment vertical="center" wrapText="1"/>
    </xf>
    <xf numFmtId="0" fontId="7" fillId="6" borderId="45" xfId="0" quotePrefix="1" applyFont="1" applyFill="1" applyBorder="1" applyAlignment="1">
      <alignment horizontal="left" vertical="center" indent="2"/>
    </xf>
    <xf numFmtId="44" fontId="7" fillId="7" borderId="0" xfId="41" applyFont="1" applyFill="1" applyBorder="1" applyAlignment="1" applyProtection="1">
      <alignment horizontal="center"/>
    </xf>
    <xf numFmtId="177" fontId="7" fillId="7" borderId="0" xfId="41" applyNumberFormat="1" applyFont="1" applyFill="1" applyBorder="1" applyAlignment="1">
      <alignment horizontal="center"/>
    </xf>
    <xf numFmtId="0" fontId="8" fillId="7" borderId="33" xfId="0" applyFont="1" applyFill="1" applyBorder="1"/>
    <xf numFmtId="0" fontId="8" fillId="7" borderId="14" xfId="0" applyFont="1" applyFill="1" applyBorder="1"/>
    <xf numFmtId="0" fontId="8" fillId="3" borderId="14" xfId="0" applyFont="1" applyFill="1" applyBorder="1"/>
    <xf numFmtId="0" fontId="8" fillId="3" borderId="2" xfId="0" applyFont="1" applyFill="1" applyBorder="1"/>
    <xf numFmtId="177" fontId="7" fillId="3" borderId="0" xfId="41" applyNumberFormat="1" applyFont="1" applyFill="1" applyBorder="1" applyAlignment="1">
      <alignment horizontal="center"/>
    </xf>
    <xf numFmtId="0" fontId="0" fillId="7" borderId="0" xfId="0" applyFill="1" applyBorder="1" applyAlignment="1">
      <alignment horizontal="center"/>
    </xf>
    <xf numFmtId="0" fontId="7" fillId="7" borderId="0" xfId="0" applyFont="1" applyFill="1" applyBorder="1" applyAlignment="1">
      <alignment horizontal="left"/>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0" fontId="0" fillId="0" borderId="17" xfId="0" applyBorder="1"/>
    <xf numFmtId="0" fontId="36" fillId="6" borderId="34" xfId="0" applyFont="1" applyFill="1" applyBorder="1" applyAlignment="1">
      <alignment vertical="center" wrapText="1"/>
    </xf>
    <xf numFmtId="0" fontId="8" fillId="6" borderId="1" xfId="0" applyFont="1" applyFill="1" applyBorder="1" applyAlignment="1">
      <alignment vertical="center" wrapText="1"/>
    </xf>
    <xf numFmtId="0" fontId="7" fillId="6" borderId="40" xfId="0" quotePrefix="1" applyFont="1" applyFill="1" applyBorder="1" applyAlignment="1">
      <alignment horizontal="left" indent="2"/>
    </xf>
    <xf numFmtId="0" fontId="13" fillId="6" borderId="26" xfId="0" applyFont="1" applyFill="1" applyBorder="1" applyAlignment="1">
      <alignment vertical="center"/>
    </xf>
    <xf numFmtId="168" fontId="13" fillId="7" borderId="35" xfId="0" applyNumberFormat="1" applyFont="1" applyFill="1" applyBorder="1"/>
    <xf numFmtId="168" fontId="13" fillId="7" borderId="16" xfId="0" applyNumberFormat="1" applyFont="1" applyFill="1" applyBorder="1"/>
    <xf numFmtId="9" fontId="7" fillId="7" borderId="16" xfId="4" applyFont="1" applyFill="1" applyBorder="1"/>
    <xf numFmtId="9" fontId="7" fillId="7" borderId="16" xfId="4" applyFont="1" applyFill="1" applyBorder="1" applyProtection="1"/>
    <xf numFmtId="168" fontId="7" fillId="3" borderId="35" xfId="0" applyNumberFormat="1" applyFont="1" applyFill="1" applyBorder="1"/>
    <xf numFmtId="168" fontId="7" fillId="3" borderId="16" xfId="0" applyNumberFormat="1" applyFont="1" applyFill="1" applyBorder="1"/>
    <xf numFmtId="9" fontId="7" fillId="3" borderId="16" xfId="4" applyFont="1" applyFill="1" applyBorder="1" applyProtection="1"/>
    <xf numFmtId="168" fontId="7" fillId="3" borderId="16" xfId="0" applyNumberFormat="1" applyFont="1" applyFill="1" applyBorder="1" applyProtection="1"/>
    <xf numFmtId="168" fontId="7" fillId="3" borderId="21" xfId="0" applyNumberFormat="1" applyFont="1" applyFill="1" applyBorder="1" applyProtection="1"/>
    <xf numFmtId="0" fontId="8" fillId="6" borderId="45" xfId="0" applyFont="1" applyFill="1" applyBorder="1" applyAlignment="1">
      <alignment wrapText="1"/>
    </xf>
    <xf numFmtId="0" fontId="7" fillId="7" borderId="0" xfId="0" applyNumberFormat="1" applyFont="1" applyFill="1" applyBorder="1" applyProtection="1"/>
    <xf numFmtId="0" fontId="7" fillId="3" borderId="62" xfId="4" applyNumberFormat="1" applyFont="1" applyFill="1" applyBorder="1" applyAlignment="1" applyProtection="1">
      <alignment horizontal="center" vertical="center"/>
    </xf>
    <xf numFmtId="9" fontId="30" fillId="7" borderId="0" xfId="4" applyFont="1" applyFill="1" applyBorder="1" applyAlignment="1" applyProtection="1">
      <alignment vertical="top" wrapText="1"/>
    </xf>
    <xf numFmtId="9" fontId="30" fillId="7" borderId="16" xfId="4" applyFont="1" applyFill="1" applyBorder="1" applyAlignment="1" applyProtection="1">
      <alignment vertical="top" wrapText="1"/>
    </xf>
    <xf numFmtId="9" fontId="30" fillId="3" borderId="0" xfId="4" applyFont="1" applyFill="1" applyBorder="1" applyAlignment="1" applyProtection="1">
      <alignment vertical="top" wrapText="1"/>
    </xf>
    <xf numFmtId="9" fontId="30" fillId="3" borderId="16" xfId="4" applyFont="1" applyFill="1" applyBorder="1" applyAlignment="1" applyProtection="1">
      <alignment vertical="top" wrapText="1"/>
    </xf>
    <xf numFmtId="0" fontId="8" fillId="7" borderId="0" xfId="0" applyFont="1" applyFill="1" applyBorder="1" applyAlignment="1">
      <alignment horizontal="left"/>
    </xf>
    <xf numFmtId="0" fontId="8" fillId="7" borderId="0" xfId="4" applyNumberFormat="1" applyFont="1" applyFill="1" applyBorder="1" applyAlignment="1" applyProtection="1">
      <alignment horizontal="center"/>
    </xf>
    <xf numFmtId="0" fontId="8" fillId="3" borderId="0" xfId="0" applyFont="1" applyFill="1" applyBorder="1" applyAlignment="1">
      <alignment horizontal="left"/>
    </xf>
    <xf numFmtId="0" fontId="8" fillId="3" borderId="0" xfId="4" applyNumberFormat="1" applyFont="1" applyFill="1" applyBorder="1" applyAlignment="1" applyProtection="1">
      <alignment horizontal="center"/>
    </xf>
    <xf numFmtId="0" fontId="7" fillId="7" borderId="62" xfId="1" applyNumberFormat="1" applyFont="1" applyFill="1" applyBorder="1" applyAlignment="1" applyProtection="1">
      <alignment horizontal="center"/>
    </xf>
    <xf numFmtId="0" fontId="7" fillId="3" borderId="62" xfId="1" applyNumberFormat="1" applyFont="1" applyFill="1" applyBorder="1" applyAlignment="1" applyProtection="1">
      <alignment horizontal="center"/>
    </xf>
    <xf numFmtId="0" fontId="8" fillId="6" borderId="1" xfId="0" quotePrefix="1" applyFont="1" applyFill="1" applyBorder="1" applyAlignment="1">
      <alignment horizontal="left"/>
    </xf>
    <xf numFmtId="0" fontId="7" fillId="0" borderId="0" xfId="0" quotePrefix="1" applyFont="1" applyProtection="1"/>
    <xf numFmtId="1" fontId="7" fillId="0" borderId="0" xfId="0" applyNumberFormat="1" applyFont="1"/>
    <xf numFmtId="0" fontId="7" fillId="6" borderId="0" xfId="0" applyFont="1" applyFill="1"/>
    <xf numFmtId="0" fontId="0" fillId="7" borderId="100" xfId="0" applyFill="1" applyBorder="1"/>
    <xf numFmtId="0" fontId="0" fillId="7" borderId="99" xfId="0" applyFill="1" applyBorder="1"/>
    <xf numFmtId="0" fontId="7" fillId="7" borderId="35" xfId="0" applyFont="1" applyFill="1" applyBorder="1" applyAlignment="1">
      <alignment horizontal="left"/>
    </xf>
    <xf numFmtId="0" fontId="7" fillId="7" borderId="15" xfId="0" applyNumberFormat="1" applyFont="1" applyFill="1" applyBorder="1" applyAlignment="1">
      <alignment horizontal="center" vertical="center" wrapText="1"/>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0" fontId="0" fillId="0" borderId="17" xfId="0" applyBorder="1"/>
    <xf numFmtId="170" fontId="7" fillId="7" borderId="14" xfId="0" applyNumberFormat="1" applyFont="1" applyFill="1" applyBorder="1" applyAlignment="1">
      <alignment horizontal="center"/>
    </xf>
    <xf numFmtId="0" fontId="7" fillId="6" borderId="28" xfId="0" applyFont="1" applyFill="1" applyBorder="1"/>
    <xf numFmtId="0" fontId="9" fillId="7" borderId="18" xfId="0" applyFont="1" applyFill="1" applyBorder="1" applyAlignment="1">
      <alignment horizontal="center" vertical="center"/>
    </xf>
    <xf numFmtId="0" fontId="9" fillId="3" borderId="18" xfId="0" applyFont="1" applyFill="1" applyBorder="1" applyAlignment="1">
      <alignment horizontal="center" vertical="center"/>
    </xf>
    <xf numFmtId="0" fontId="0" fillId="3" borderId="18" xfId="0" applyFill="1" applyBorder="1" applyAlignment="1">
      <alignment horizontal="center"/>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7" fillId="7" borderId="62" xfId="4" applyNumberFormat="1" applyFont="1" applyFill="1" applyBorder="1" applyAlignment="1" applyProtection="1">
      <alignment horizontal="center"/>
    </xf>
    <xf numFmtId="0" fontId="7" fillId="3" borderId="62" xfId="4" applyNumberFormat="1" applyFont="1" applyFill="1" applyBorder="1" applyAlignment="1" applyProtection="1">
      <alignment horizontal="center"/>
    </xf>
    <xf numFmtId="168" fontId="7" fillId="7" borderId="0" xfId="0" applyNumberFormat="1" applyFont="1" applyFill="1" applyBorder="1" applyProtection="1"/>
    <xf numFmtId="0" fontId="38" fillId="6" borderId="1" xfId="0" applyFont="1" applyFill="1" applyBorder="1" applyAlignment="1">
      <alignment horizontal="left" indent="3"/>
    </xf>
    <xf numFmtId="0" fontId="7" fillId="0" borderId="23" xfId="0" applyFont="1" applyBorder="1"/>
    <xf numFmtId="0" fontId="7" fillId="0" borderId="12" xfId="0" applyFont="1" applyBorder="1"/>
    <xf numFmtId="0" fontId="7" fillId="0" borderId="13" xfId="0" applyFont="1" applyBorder="1"/>
    <xf numFmtId="0" fontId="7" fillId="0" borderId="21" xfId="0" applyFont="1" applyBorder="1"/>
    <xf numFmtId="0" fontId="7" fillId="7" borderId="14" xfId="4" applyNumberFormat="1" applyFont="1" applyFill="1" applyBorder="1" applyAlignment="1">
      <alignment horizontal="center"/>
    </xf>
    <xf numFmtId="0" fontId="22" fillId="6" borderId="40" xfId="0" applyFont="1" applyFill="1" applyBorder="1" applyAlignment="1">
      <alignment horizontal="left" vertical="top" wrapText="1" indent="1"/>
    </xf>
    <xf numFmtId="0" fontId="7" fillId="10" borderId="0" xfId="4" applyNumberFormat="1" applyFont="1" applyFill="1" applyBorder="1" applyAlignment="1">
      <alignment horizontal="center"/>
    </xf>
    <xf numFmtId="0" fontId="7" fillId="6" borderId="13" xfId="0" applyFont="1" applyFill="1" applyBorder="1" applyAlignment="1">
      <alignment horizontal="left" indent="1"/>
    </xf>
    <xf numFmtId="0" fontId="7" fillId="11" borderId="13" xfId="4" applyNumberFormat="1" applyFont="1" applyFill="1" applyBorder="1" applyAlignment="1">
      <alignment horizontal="center"/>
    </xf>
    <xf numFmtId="0" fontId="13" fillId="7" borderId="18" xfId="0" applyFont="1" applyFill="1" applyBorder="1" applyAlignment="1"/>
    <xf numFmtId="0" fontId="7" fillId="3" borderId="0" xfId="0" applyFont="1" applyFill="1" applyBorder="1" applyAlignment="1"/>
    <xf numFmtId="0" fontId="7" fillId="0" borderId="0" xfId="0" applyFont="1" applyAlignment="1"/>
    <xf numFmtId="0" fontId="8" fillId="0" borderId="0" xfId="0" applyFont="1" applyAlignment="1">
      <alignment vertical="top"/>
    </xf>
    <xf numFmtId="0" fontId="0" fillId="4" borderId="6" xfId="0" applyFill="1" applyBorder="1" applyAlignment="1">
      <alignment horizontal="center"/>
    </xf>
    <xf numFmtId="0" fontId="10" fillId="7" borderId="23" xfId="0" applyFont="1" applyFill="1" applyBorder="1" applyAlignment="1"/>
    <xf numFmtId="0" fontId="7" fillId="6" borderId="1" xfId="0" quotePrefix="1" applyFont="1" applyFill="1" applyBorder="1" applyAlignment="1">
      <alignment horizontal="left" indent="4"/>
    </xf>
    <xf numFmtId="0" fontId="7" fillId="6" borderId="45" xfId="0" applyFont="1" applyFill="1" applyBorder="1" applyAlignment="1">
      <alignment horizontal="left" indent="1"/>
    </xf>
    <xf numFmtId="0" fontId="7" fillId="7" borderId="0" xfId="0" applyFont="1" applyFill="1" applyBorder="1" applyAlignment="1">
      <alignment horizontal="left"/>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8" fillId="14" borderId="0" xfId="0" applyFont="1" applyFill="1" applyBorder="1" applyAlignment="1">
      <alignment horizontal="center" vertical="center"/>
    </xf>
    <xf numFmtId="0" fontId="0" fillId="0" borderId="17" xfId="0" applyBorder="1"/>
    <xf numFmtId="0" fontId="0" fillId="0" borderId="25" xfId="0" applyBorder="1"/>
    <xf numFmtId="169" fontId="7" fillId="3" borderId="0" xfId="0" applyNumberFormat="1" applyFont="1" applyFill="1" applyBorder="1" applyAlignment="1" applyProtection="1">
      <alignment horizontal="center"/>
    </xf>
    <xf numFmtId="2" fontId="7" fillId="3" borderId="0" xfId="0" applyNumberFormat="1" applyFont="1" applyFill="1" applyBorder="1" applyAlignment="1" applyProtection="1">
      <alignment horizontal="center"/>
    </xf>
    <xf numFmtId="0" fontId="7" fillId="3" borderId="14" xfId="0" applyFont="1" applyFill="1" applyBorder="1" applyAlignment="1" applyProtection="1">
      <alignment horizontal="center"/>
    </xf>
    <xf numFmtId="168" fontId="7" fillId="3" borderId="14" xfId="4" applyNumberFormat="1" applyFont="1" applyFill="1" applyBorder="1" applyAlignment="1" applyProtection="1">
      <alignment horizontal="center"/>
    </xf>
    <xf numFmtId="0" fontId="7" fillId="7" borderId="12" xfId="0" applyFont="1" applyFill="1" applyBorder="1"/>
    <xf numFmtId="0" fontId="7" fillId="7" borderId="13" xfId="0" applyFont="1" applyFill="1" applyBorder="1"/>
    <xf numFmtId="0" fontId="7" fillId="7" borderId="21" xfId="0" applyFont="1" applyFill="1" applyBorder="1"/>
    <xf numFmtId="0" fontId="7" fillId="3" borderId="13" xfId="0" applyFont="1" applyFill="1" applyBorder="1" applyAlignment="1" applyProtection="1">
      <alignment horizontal="center"/>
    </xf>
    <xf numFmtId="0" fontId="7" fillId="7" borderId="46" xfId="0" applyFont="1" applyFill="1" applyBorder="1" applyAlignment="1">
      <alignment horizontal="center"/>
    </xf>
    <xf numFmtId="0" fontId="8" fillId="6" borderId="1" xfId="0" applyFont="1" applyFill="1" applyBorder="1" applyAlignment="1">
      <alignment horizontal="left" wrapText="1"/>
    </xf>
    <xf numFmtId="168" fontId="7" fillId="7" borderId="16" xfId="4" applyNumberFormat="1" applyFont="1" applyFill="1" applyBorder="1" applyAlignment="1" applyProtection="1">
      <alignment horizontal="center"/>
    </xf>
    <xf numFmtId="0" fontId="7" fillId="7" borderId="37" xfId="0" applyFont="1" applyFill="1" applyBorder="1" applyAlignment="1" applyProtection="1">
      <alignment horizontal="center"/>
    </xf>
    <xf numFmtId="168" fontId="7" fillId="3" borderId="16" xfId="4" applyNumberFormat="1" applyFont="1" applyFill="1" applyBorder="1" applyAlignment="1" applyProtection="1">
      <alignment horizontal="center"/>
    </xf>
    <xf numFmtId="168" fontId="7" fillId="3" borderId="21" xfId="4" applyNumberFormat="1" applyFont="1" applyFill="1" applyBorder="1" applyAlignment="1" applyProtection="1">
      <alignment horizontal="center"/>
    </xf>
    <xf numFmtId="0" fontId="7" fillId="9" borderId="16" xfId="0" applyFont="1" applyFill="1" applyBorder="1" applyAlignment="1" applyProtection="1">
      <alignment horizontal="center"/>
    </xf>
    <xf numFmtId="0" fontId="7" fillId="3" borderId="27" xfId="0" applyFont="1" applyFill="1" applyBorder="1" applyAlignment="1" applyProtection="1">
      <alignment horizontal="center"/>
    </xf>
    <xf numFmtId="0" fontId="0" fillId="0" borderId="17" xfId="0" applyBorder="1"/>
    <xf numFmtId="0" fontId="0" fillId="0" borderId="25" xfId="0" applyBorder="1"/>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7" fillId="0" borderId="92" xfId="0" applyFont="1" applyBorder="1"/>
    <xf numFmtId="0" fontId="0" fillId="13" borderId="11" xfId="0" applyFill="1" applyBorder="1" applyAlignment="1">
      <alignment horizontal="center"/>
    </xf>
    <xf numFmtId="0" fontId="7" fillId="4" borderId="11" xfId="0" applyFont="1" applyFill="1" applyBorder="1" applyAlignment="1">
      <alignment horizontal="center"/>
    </xf>
    <xf numFmtId="0" fontId="7" fillId="10" borderId="11" xfId="0" applyFont="1" applyFill="1" applyBorder="1" applyAlignment="1">
      <alignment horizontal="center"/>
    </xf>
    <xf numFmtId="0" fontId="0" fillId="0" borderId="49" xfId="0" applyBorder="1"/>
    <xf numFmtId="0" fontId="7" fillId="13" borderId="25" xfId="0" applyFont="1" applyFill="1" applyBorder="1" applyAlignment="1">
      <alignment horizontal="center"/>
    </xf>
    <xf numFmtId="0" fontId="7" fillId="13" borderId="7" xfId="0" applyFont="1" applyFill="1" applyBorder="1" applyAlignment="1">
      <alignment horizontal="center"/>
    </xf>
    <xf numFmtId="0" fontId="7" fillId="0" borderId="14" xfId="0" applyFont="1" applyFill="1" applyBorder="1"/>
    <xf numFmtId="0" fontId="7" fillId="0" borderId="32" xfId="0" applyFont="1" applyBorder="1"/>
    <xf numFmtId="0" fontId="0" fillId="0" borderId="14" xfId="0" applyBorder="1"/>
    <xf numFmtId="0" fontId="7" fillId="0" borderId="15" xfId="0" applyFont="1" applyBorder="1" applyAlignment="1">
      <alignment horizontal="center"/>
    </xf>
    <xf numFmtId="0" fontId="0" fillId="0" borderId="11" xfId="0" applyBorder="1"/>
    <xf numFmtId="0" fontId="7" fillId="0" borderId="11" xfId="0" applyFont="1" applyFill="1" applyBorder="1" applyAlignment="1">
      <alignment horizontal="center" vertical="center"/>
    </xf>
    <xf numFmtId="0" fontId="7" fillId="0" borderId="15" xfId="0" applyFont="1" applyFill="1" applyBorder="1"/>
    <xf numFmtId="0" fontId="7" fillId="0" borderId="14" xfId="0" applyFont="1" applyFill="1" applyBorder="1" applyAlignment="1">
      <alignment horizontal="center" vertical="center"/>
    </xf>
    <xf numFmtId="0" fontId="0" fillId="0" borderId="15" xfId="0" applyBorder="1"/>
    <xf numFmtId="0" fontId="0" fillId="10" borderId="20" xfId="0" applyFill="1" applyBorder="1" applyAlignment="1">
      <alignment horizontal="center"/>
    </xf>
    <xf numFmtId="0" fontId="7" fillId="0" borderId="47" xfId="0" applyFont="1" applyBorder="1"/>
    <xf numFmtId="0" fontId="0" fillId="0" borderId="13" xfId="0" applyBorder="1"/>
    <xf numFmtId="0" fontId="7" fillId="0" borderId="21" xfId="0" applyFont="1" applyBorder="1" applyAlignment="1">
      <alignment horizontal="center"/>
    </xf>
    <xf numFmtId="0" fontId="7" fillId="3" borderId="6" xfId="0" applyFont="1" applyFill="1" applyBorder="1" applyAlignment="1">
      <alignment horizontal="center"/>
    </xf>
    <xf numFmtId="0" fontId="0" fillId="0" borderId="12" xfId="0" applyBorder="1"/>
    <xf numFmtId="0" fontId="0" fillId="3" borderId="6" xfId="0" applyFill="1" applyBorder="1" applyAlignment="1">
      <alignment horizontal="center"/>
    </xf>
    <xf numFmtId="0" fontId="0" fillId="0" borderId="21" xfId="0" applyBorder="1"/>
    <xf numFmtId="0" fontId="0" fillId="3" borderId="20" xfId="0" applyFill="1" applyBorder="1" applyAlignment="1">
      <alignment horizontal="center"/>
    </xf>
    <xf numFmtId="0" fontId="0" fillId="0" borderId="10" xfId="0" applyBorder="1"/>
    <xf numFmtId="0" fontId="7" fillId="0" borderId="15" xfId="0" applyFont="1" applyFill="1" applyBorder="1" applyAlignment="1">
      <alignment horizontal="center" vertical="center"/>
    </xf>
    <xf numFmtId="0" fontId="0" fillId="13" borderId="11" xfId="0" applyFill="1" applyBorder="1" applyAlignment="1">
      <alignment horizontal="center"/>
    </xf>
    <xf numFmtId="1" fontId="0" fillId="0" borderId="0" xfId="0" applyNumberFormat="1" applyBorder="1" applyAlignment="1">
      <alignment horizontal="center"/>
    </xf>
    <xf numFmtId="0" fontId="7" fillId="0" borderId="57" xfId="0" applyFont="1" applyFill="1" applyBorder="1"/>
    <xf numFmtId="0" fontId="0" fillId="0" borderId="58" xfId="0" applyBorder="1" applyAlignment="1">
      <alignment horizontal="center"/>
    </xf>
    <xf numFmtId="0" fontId="0" fillId="0" borderId="59" xfId="0" applyBorder="1" applyAlignment="1">
      <alignment horizontal="center"/>
    </xf>
    <xf numFmtId="0" fontId="0" fillId="0" borderId="57" xfId="0" applyBorder="1"/>
    <xf numFmtId="0" fontId="0" fillId="0" borderId="78" xfId="0" applyBorder="1"/>
    <xf numFmtId="0" fontId="0" fillId="0" borderId="58" xfId="0" applyBorder="1"/>
    <xf numFmtId="0" fontId="0" fillId="0" borderId="79" xfId="0" applyBorder="1"/>
    <xf numFmtId="0" fontId="0" fillId="0" borderId="59" xfId="0" applyBorder="1"/>
    <xf numFmtId="0" fontId="7" fillId="0" borderId="15" xfId="0" applyFont="1" applyBorder="1" applyAlignment="1">
      <alignment horizontal="center"/>
    </xf>
    <xf numFmtId="0" fontId="7" fillId="0" borderId="16"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13" borderId="11" xfId="0" applyFill="1" applyBorder="1" applyAlignment="1">
      <alignment horizontal="center"/>
    </xf>
    <xf numFmtId="0" fontId="7" fillId="3" borderId="0" xfId="0" applyFont="1" applyFill="1" applyBorder="1" applyAlignment="1">
      <alignment horizontal="left"/>
    </xf>
    <xf numFmtId="0" fontId="7" fillId="7" borderId="0" xfId="0" applyFont="1" applyFill="1" applyBorder="1" applyAlignment="1">
      <alignment horizontal="left"/>
    </xf>
    <xf numFmtId="0" fontId="0" fillId="0" borderId="17" xfId="0" applyBorder="1"/>
    <xf numFmtId="0" fontId="0" fillId="0" borderId="25" xfId="0" applyBorder="1"/>
    <xf numFmtId="0" fontId="0" fillId="0" borderId="18" xfId="0" applyBorder="1"/>
    <xf numFmtId="0" fontId="0" fillId="0" borderId="23" xfId="0" applyBorder="1"/>
    <xf numFmtId="0" fontId="0" fillId="0" borderId="19" xfId="0" applyBorder="1"/>
    <xf numFmtId="9" fontId="7" fillId="7" borderId="13" xfId="0" applyNumberFormat="1" applyFont="1" applyFill="1" applyBorder="1"/>
    <xf numFmtId="9" fontId="7" fillId="7" borderId="0" xfId="0" applyNumberFormat="1" applyFont="1" applyFill="1" applyBorder="1" applyAlignment="1">
      <alignment horizontal="center"/>
    </xf>
    <xf numFmtId="9" fontId="7" fillId="7" borderId="0" xfId="0" applyNumberFormat="1" applyFont="1" applyFill="1"/>
    <xf numFmtId="0" fontId="9" fillId="0" borderId="26" xfId="0" applyFont="1" applyBorder="1"/>
    <xf numFmtId="0" fontId="8" fillId="0" borderId="16" xfId="0" applyFont="1" applyBorder="1"/>
    <xf numFmtId="0" fontId="8" fillId="0" borderId="16" xfId="0" applyFont="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0" borderId="17" xfId="0" applyBorder="1"/>
    <xf numFmtId="0" fontId="0" fillId="0" borderId="25" xfId="0" applyBorder="1"/>
    <xf numFmtId="168" fontId="0" fillId="3" borderId="0" xfId="4" applyNumberFormat="1" applyFont="1" applyFill="1" applyBorder="1" applyAlignment="1">
      <alignment horizontal="center"/>
    </xf>
    <xf numFmtId="168" fontId="0" fillId="10" borderId="0" xfId="4" applyNumberFormat="1" applyFont="1" applyFill="1" applyBorder="1" applyAlignment="1">
      <alignment horizontal="center"/>
    </xf>
    <xf numFmtId="168" fontId="0" fillId="11" borderId="13" xfId="4" applyNumberFormat="1" applyFont="1" applyFill="1" applyBorder="1" applyAlignment="1">
      <alignment horizontal="center"/>
    </xf>
    <xf numFmtId="0" fontId="7" fillId="7" borderId="22" xfId="0" applyFont="1" applyFill="1" applyBorder="1" applyAlignment="1">
      <alignment horizontal="left"/>
    </xf>
    <xf numFmtId="0" fontId="7" fillId="3" borderId="11" xfId="0" applyFont="1" applyFill="1" applyBorder="1" applyAlignment="1">
      <alignment horizontal="center"/>
    </xf>
    <xf numFmtId="0" fontId="7" fillId="10" borderId="17" xfId="0" applyFont="1" applyFill="1" applyBorder="1" applyAlignment="1">
      <alignment horizontal="center"/>
    </xf>
    <xf numFmtId="0" fontId="7" fillId="13" borderId="11" xfId="0" applyFont="1" applyFill="1" applyBorder="1" applyAlignment="1">
      <alignment horizontal="center"/>
    </xf>
    <xf numFmtId="0" fontId="7" fillId="0" borderId="30" xfId="0" applyFont="1" applyFill="1" applyBorder="1"/>
    <xf numFmtId="0" fontId="7" fillId="0" borderId="31" xfId="0" applyFont="1" applyBorder="1"/>
    <xf numFmtId="0" fontId="9" fillId="3" borderId="0" xfId="0" applyFont="1" applyFill="1" applyBorder="1" applyAlignment="1">
      <alignment horizontal="center"/>
    </xf>
    <xf numFmtId="0" fontId="9" fillId="7" borderId="0" xfId="0" applyFont="1" applyFill="1" applyBorder="1" applyAlignment="1">
      <alignment horizontal="center"/>
    </xf>
    <xf numFmtId="0" fontId="0" fillId="10" borderId="11" xfId="0"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7" fillId="5" borderId="23" xfId="0" applyFont="1" applyFill="1" applyBorder="1" applyAlignment="1" applyProtection="1">
      <alignment horizontal="center"/>
      <protection locked="0"/>
    </xf>
    <xf numFmtId="168" fontId="7" fillId="5" borderId="23" xfId="4" applyNumberFormat="1" applyFont="1" applyFill="1" applyBorder="1" applyAlignment="1" applyProtection="1">
      <alignment horizontal="center" vertical="center"/>
      <protection locked="0"/>
    </xf>
    <xf numFmtId="9" fontId="7" fillId="10" borderId="0" xfId="4"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7" fillId="11" borderId="0" xfId="0" applyFont="1" applyFill="1" applyBorder="1" applyAlignment="1">
      <alignment horizontal="left"/>
    </xf>
    <xf numFmtId="0" fontId="7" fillId="10" borderId="0" xfId="0" applyFont="1" applyFill="1" applyBorder="1" applyAlignment="1">
      <alignment horizontal="left"/>
    </xf>
    <xf numFmtId="0" fontId="0" fillId="0" borderId="17" xfId="0" applyBorder="1"/>
    <xf numFmtId="0" fontId="7" fillId="11" borderId="0" xfId="0" applyFont="1" applyFill="1" applyBorder="1" applyAlignment="1" applyProtection="1">
      <alignment horizontal="left"/>
    </xf>
    <xf numFmtId="0" fontId="8" fillId="3" borderId="20" xfId="0" applyFont="1" applyFill="1" applyBorder="1" applyAlignment="1">
      <alignment horizontal="center" vertical="center" wrapText="1"/>
    </xf>
    <xf numFmtId="0" fontId="7" fillId="0" borderId="91" xfId="0" applyFont="1" applyFill="1" applyBorder="1"/>
    <xf numFmtId="0" fontId="7" fillId="0" borderId="13" xfId="0" applyFont="1" applyFill="1" applyBorder="1" applyAlignment="1">
      <alignment horizontal="center" vertical="center"/>
    </xf>
    <xf numFmtId="0" fontId="7" fillId="0" borderId="0" xfId="0" applyFont="1" applyFill="1" applyBorder="1" applyAlignment="1">
      <alignment horizontal="right" vertical="center"/>
    </xf>
    <xf numFmtId="0" fontId="7" fillId="0" borderId="67" xfId="0" applyFont="1" applyFill="1" applyBorder="1" applyAlignment="1">
      <alignment horizontal="center" vertical="center"/>
    </xf>
    <xf numFmtId="0" fontId="17" fillId="0" borderId="67" xfId="0" applyFont="1" applyFill="1" applyBorder="1" applyAlignment="1">
      <alignment horizontal="left" vertical="center"/>
    </xf>
    <xf numFmtId="0" fontId="17" fillId="0" borderId="68" xfId="0" applyFont="1" applyFill="1" applyBorder="1" applyAlignment="1">
      <alignment horizontal="right" vertical="center"/>
    </xf>
    <xf numFmtId="0" fontId="7" fillId="0" borderId="68" xfId="0" applyFont="1" applyFill="1" applyBorder="1" applyAlignment="1">
      <alignment horizontal="right" vertical="center"/>
    </xf>
    <xf numFmtId="0" fontId="7" fillId="0" borderId="71" xfId="0" applyFont="1" applyFill="1" applyBorder="1" applyAlignment="1">
      <alignment horizontal="right" vertical="center"/>
    </xf>
    <xf numFmtId="178" fontId="0" fillId="0" borderId="13" xfId="41" applyNumberFormat="1" applyFont="1" applyBorder="1"/>
    <xf numFmtId="44" fontId="0" fillId="0" borderId="13" xfId="41" applyFont="1" applyBorder="1"/>
    <xf numFmtId="44" fontId="0" fillId="0" borderId="47" xfId="41" applyFont="1" applyBorder="1"/>
    <xf numFmtId="0" fontId="8" fillId="14" borderId="54" xfId="0" applyFont="1" applyFill="1" applyBorder="1"/>
    <xf numFmtId="0" fontId="0" fillId="14" borderId="53" xfId="0" applyFill="1" applyBorder="1"/>
    <xf numFmtId="0" fontId="0" fillId="14" borderId="49" xfId="0" applyFill="1" applyBorder="1"/>
    <xf numFmtId="0" fontId="9" fillId="7" borderId="0" xfId="0" applyFont="1" applyFill="1" applyBorder="1" applyAlignment="1">
      <alignment horizontal="center"/>
    </xf>
    <xf numFmtId="0" fontId="9" fillId="3" borderId="0" xfId="0" applyFont="1"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7" fillId="7" borderId="0" xfId="0" applyFont="1" applyFill="1" applyBorder="1" applyAlignment="1">
      <alignment horizontal="left"/>
    </xf>
    <xf numFmtId="0" fontId="7" fillId="6" borderId="1" xfId="0" quotePrefix="1" applyFont="1" applyFill="1" applyBorder="1" applyAlignment="1">
      <alignment horizontal="left" wrapText="1" indent="2"/>
    </xf>
    <xf numFmtId="0" fontId="7" fillId="3" borderId="0" xfId="0" applyFont="1" applyFill="1" applyBorder="1" applyAlignment="1">
      <alignment horizontal="left"/>
    </xf>
    <xf numFmtId="168" fontId="7" fillId="5" borderId="23" xfId="4" applyNumberFormat="1" applyFont="1" applyFill="1" applyBorder="1" applyAlignment="1" applyProtection="1">
      <alignment horizontal="center" vertical="center"/>
      <protection locked="0"/>
    </xf>
    <xf numFmtId="0" fontId="0" fillId="0" borderId="17" xfId="0" applyBorder="1"/>
    <xf numFmtId="9" fontId="0" fillId="0" borderId="0" xfId="0" applyNumberFormat="1"/>
    <xf numFmtId="0" fontId="8" fillId="6" borderId="45" xfId="0" applyFont="1" applyFill="1" applyBorder="1" applyAlignment="1">
      <alignment horizontal="left" indent="2"/>
    </xf>
    <xf numFmtId="164" fontId="8" fillId="7" borderId="0" xfId="1" applyNumberFormat="1" applyFont="1" applyFill="1" applyBorder="1" applyAlignment="1" applyProtection="1">
      <alignment horizontal="center"/>
    </xf>
    <xf numFmtId="164" fontId="8" fillId="3" borderId="0" xfId="1" applyNumberFormat="1" applyFont="1" applyFill="1" applyBorder="1" applyAlignment="1" applyProtection="1">
      <alignment horizontal="center"/>
    </xf>
    <xf numFmtId="0" fontId="47" fillId="0" borderId="0" xfId="0" applyFont="1" applyProtection="1"/>
    <xf numFmtId="44" fontId="0" fillId="7" borderId="14" xfId="41" applyFont="1" applyFill="1" applyBorder="1" applyAlignment="1">
      <alignment horizontal="right"/>
    </xf>
    <xf numFmtId="44" fontId="0" fillId="3" borderId="0" xfId="41" applyFont="1" applyFill="1" applyBorder="1" applyAlignment="1">
      <alignment horizontal="right"/>
    </xf>
    <xf numFmtId="44" fontId="0" fillId="10" borderId="0" xfId="41" applyFont="1" applyFill="1" applyBorder="1" applyAlignment="1">
      <alignment horizontal="right"/>
    </xf>
    <xf numFmtId="44" fontId="0" fillId="11" borderId="0" xfId="41" applyFont="1" applyFill="1" applyBorder="1" applyAlignment="1">
      <alignment horizontal="right"/>
    </xf>
    <xf numFmtId="44" fontId="7" fillId="7" borderId="14" xfId="41" applyFont="1" applyFill="1" applyBorder="1" applyAlignment="1">
      <alignment horizontal="right"/>
    </xf>
    <xf numFmtId="44" fontId="7" fillId="3" borderId="0" xfId="41" applyFont="1" applyFill="1" applyBorder="1" applyAlignment="1">
      <alignment horizontal="right"/>
    </xf>
    <xf numFmtId="44" fontId="7" fillId="10" borderId="0" xfId="41" applyFont="1" applyFill="1" applyBorder="1" applyAlignment="1">
      <alignment horizontal="right"/>
    </xf>
    <xf numFmtId="9" fontId="7" fillId="11" borderId="33" xfId="0" applyNumberFormat="1" applyFont="1" applyFill="1" applyBorder="1" applyAlignment="1">
      <alignment horizontal="left" vertical="center" indent="1"/>
    </xf>
    <xf numFmtId="9" fontId="7" fillId="11" borderId="35" xfId="0" applyNumberFormat="1" applyFont="1" applyFill="1" applyBorder="1" applyAlignment="1">
      <alignment horizontal="left" vertical="center" indent="1"/>
    </xf>
    <xf numFmtId="0" fontId="10" fillId="10" borderId="38" xfId="0" applyFont="1" applyFill="1" applyBorder="1" applyAlignment="1">
      <alignment vertical="center" wrapText="1"/>
    </xf>
    <xf numFmtId="0" fontId="8" fillId="10" borderId="17" xfId="0" applyFont="1" applyFill="1" applyBorder="1" applyAlignment="1">
      <alignment vertical="center" wrapText="1"/>
    </xf>
    <xf numFmtId="0" fontId="8" fillId="10" borderId="20" xfId="0" applyFont="1" applyFill="1" applyBorder="1" applyAlignment="1">
      <alignment vertical="center" wrapText="1"/>
    </xf>
    <xf numFmtId="168" fontId="7" fillId="10" borderId="18" xfId="0" applyNumberFormat="1" applyFont="1" applyFill="1" applyBorder="1"/>
    <xf numFmtId="168" fontId="7" fillId="10" borderId="0" xfId="0" applyNumberFormat="1" applyFont="1" applyFill="1" applyBorder="1" applyAlignment="1">
      <alignment horizontal="left" vertical="center" indent="1"/>
    </xf>
    <xf numFmtId="168" fontId="13" fillId="10" borderId="0" xfId="0" applyNumberFormat="1" applyFont="1" applyFill="1" applyBorder="1" applyAlignment="1">
      <alignment horizontal="center" vertical="center"/>
    </xf>
    <xf numFmtId="9" fontId="7" fillId="10" borderId="16" xfId="4" applyFont="1" applyFill="1" applyBorder="1" applyProtection="1"/>
    <xf numFmtId="9" fontId="30" fillId="10" borderId="0" xfId="4" applyFont="1" applyFill="1" applyBorder="1" applyAlignment="1" applyProtection="1">
      <alignment vertical="top" wrapText="1"/>
    </xf>
    <xf numFmtId="168" fontId="8" fillId="10" borderId="62" xfId="4" applyNumberFormat="1" applyFont="1" applyFill="1" applyBorder="1" applyAlignment="1" applyProtection="1">
      <alignment horizontal="center"/>
    </xf>
    <xf numFmtId="9" fontId="30" fillId="10" borderId="16" xfId="4" applyFont="1" applyFill="1" applyBorder="1" applyAlignment="1" applyProtection="1">
      <alignment vertical="top" wrapText="1"/>
    </xf>
    <xf numFmtId="168" fontId="7" fillId="10" borderId="16" xfId="4" applyNumberFormat="1" applyFont="1" applyFill="1" applyBorder="1" applyAlignment="1">
      <alignment horizontal="center"/>
    </xf>
    <xf numFmtId="10" fontId="7" fillId="10" borderId="0" xfId="4" applyNumberFormat="1" applyFont="1" applyFill="1" applyBorder="1" applyAlignment="1" applyProtection="1">
      <alignment horizontal="center" vertical="center"/>
    </xf>
    <xf numFmtId="9" fontId="7" fillId="10" borderId="16" xfId="4" applyFont="1" applyFill="1" applyBorder="1" applyAlignment="1">
      <alignment horizontal="center" vertical="center"/>
    </xf>
    <xf numFmtId="9" fontId="7" fillId="10" borderId="16" xfId="4" applyFont="1" applyFill="1" applyBorder="1" applyAlignment="1" applyProtection="1">
      <alignment horizontal="center" vertical="center"/>
    </xf>
    <xf numFmtId="168" fontId="7" fillId="10" borderId="18" xfId="0" applyNumberFormat="1" applyFont="1" applyFill="1" applyBorder="1" applyProtection="1"/>
    <xf numFmtId="168" fontId="7" fillId="10" borderId="0" xfId="0" applyNumberFormat="1" applyFont="1" applyFill="1" applyBorder="1" applyProtection="1"/>
    <xf numFmtId="9" fontId="7" fillId="10" borderId="16" xfId="0" applyNumberFormat="1" applyFont="1" applyFill="1" applyBorder="1" applyAlignment="1">
      <alignment horizontal="center" vertical="center"/>
    </xf>
    <xf numFmtId="0" fontId="7" fillId="10" borderId="15" xfId="0" applyFont="1" applyFill="1" applyBorder="1" applyAlignment="1">
      <alignment horizontal="center"/>
    </xf>
    <xf numFmtId="168" fontId="13" fillId="10" borderId="0" xfId="4" applyNumberFormat="1" applyFont="1" applyFill="1" applyBorder="1" applyAlignment="1">
      <alignment horizontal="center"/>
    </xf>
    <xf numFmtId="168" fontId="13" fillId="10" borderId="35" xfId="0" applyNumberFormat="1" applyFont="1" applyFill="1" applyBorder="1"/>
    <xf numFmtId="168" fontId="13" fillId="10" borderId="16" xfId="0" applyNumberFormat="1" applyFont="1" applyFill="1" applyBorder="1"/>
    <xf numFmtId="168" fontId="7" fillId="10" borderId="0" xfId="0" applyNumberFormat="1" applyFont="1" applyFill="1" applyBorder="1"/>
    <xf numFmtId="168" fontId="13" fillId="10" borderId="0" xfId="0" applyNumberFormat="1" applyFont="1" applyFill="1" applyBorder="1" applyAlignment="1">
      <alignment horizontal="center"/>
    </xf>
    <xf numFmtId="9" fontId="19" fillId="10" borderId="0" xfId="0" applyNumberFormat="1" applyFont="1" applyFill="1" applyBorder="1" applyAlignment="1">
      <alignment horizontal="center" vertical="center"/>
    </xf>
    <xf numFmtId="168" fontId="7" fillId="10" borderId="62" xfId="4" applyNumberFormat="1" applyFont="1" applyFill="1" applyBorder="1" applyAlignment="1" applyProtection="1">
      <alignment horizontal="center"/>
    </xf>
    <xf numFmtId="9" fontId="13" fillId="10" borderId="35" xfId="0" applyNumberFormat="1" applyFont="1" applyFill="1" applyBorder="1" applyAlignment="1">
      <alignment horizontal="center"/>
    </xf>
    <xf numFmtId="0" fontId="7" fillId="10" borderId="62" xfId="4" applyNumberFormat="1" applyFont="1" applyFill="1" applyBorder="1" applyAlignment="1" applyProtection="1">
      <alignment horizontal="center" vertical="center"/>
    </xf>
    <xf numFmtId="9" fontId="7" fillId="10" borderId="16" xfId="4" applyFont="1" applyFill="1" applyBorder="1"/>
    <xf numFmtId="9" fontId="7" fillId="10" borderId="33" xfId="0" applyNumberFormat="1" applyFont="1" applyFill="1" applyBorder="1" applyAlignment="1">
      <alignment horizontal="left" vertical="center" indent="1"/>
    </xf>
    <xf numFmtId="0" fontId="7" fillId="10" borderId="0" xfId="0" applyNumberFormat="1" applyFont="1" applyFill="1" applyBorder="1" applyAlignment="1">
      <alignment horizontal="left" vertical="center"/>
    </xf>
    <xf numFmtId="9" fontId="7" fillId="10" borderId="35" xfId="0" applyNumberFormat="1" applyFont="1" applyFill="1" applyBorder="1" applyAlignment="1">
      <alignment horizontal="left" vertical="center" indent="1"/>
    </xf>
    <xf numFmtId="0" fontId="7" fillId="10" borderId="16" xfId="0" applyNumberFormat="1" applyFont="1" applyFill="1" applyBorder="1" applyAlignment="1">
      <alignment horizontal="left" vertical="center"/>
    </xf>
    <xf numFmtId="168" fontId="13" fillId="10" borderId="35" xfId="0" applyNumberFormat="1" applyFont="1" applyFill="1" applyBorder="1" applyAlignment="1">
      <alignment horizontal="center" vertical="center"/>
    </xf>
    <xf numFmtId="168" fontId="13" fillId="10" borderId="16" xfId="0" applyNumberFormat="1" applyFont="1" applyFill="1" applyBorder="1" applyAlignment="1">
      <alignment horizontal="center" vertical="center"/>
    </xf>
    <xf numFmtId="0" fontId="7" fillId="10" borderId="62" xfId="4" applyNumberFormat="1" applyFont="1" applyFill="1" applyBorder="1" applyAlignment="1" applyProtection="1">
      <alignment horizontal="center"/>
    </xf>
    <xf numFmtId="0" fontId="7" fillId="10" borderId="62" xfId="0" applyFont="1" applyFill="1" applyBorder="1" applyAlignment="1" applyProtection="1">
      <alignment horizontal="center"/>
    </xf>
    <xf numFmtId="0" fontId="7" fillId="10" borderId="16" xfId="0" applyNumberFormat="1" applyFont="1" applyFill="1" applyBorder="1" applyAlignment="1">
      <alignment horizontal="center" vertical="center" wrapText="1"/>
    </xf>
    <xf numFmtId="0" fontId="7" fillId="10" borderId="15" xfId="0" applyFont="1" applyFill="1" applyBorder="1" applyAlignment="1">
      <alignment horizontal="center" vertical="center" wrapText="1"/>
    </xf>
    <xf numFmtId="0" fontId="7" fillId="10" borderId="16" xfId="0" applyFont="1" applyFill="1" applyBorder="1" applyAlignment="1">
      <alignment horizontal="center" vertical="center" wrapText="1"/>
    </xf>
    <xf numFmtId="0" fontId="7" fillId="10" borderId="37" xfId="0" applyFont="1" applyFill="1" applyBorder="1" applyAlignment="1">
      <alignment horizontal="center" vertical="center" wrapText="1"/>
    </xf>
    <xf numFmtId="0" fontId="7" fillId="10" borderId="37" xfId="0" applyNumberFormat="1" applyFont="1" applyFill="1" applyBorder="1" applyAlignment="1">
      <alignment horizontal="center" vertical="center" wrapText="1"/>
    </xf>
    <xf numFmtId="1" fontId="7" fillId="10" borderId="0" xfId="4" applyNumberFormat="1" applyFont="1" applyFill="1" applyBorder="1" applyAlignment="1">
      <alignment horizontal="center"/>
    </xf>
    <xf numFmtId="1" fontId="7" fillId="10" borderId="62" xfId="4" applyNumberFormat="1" applyFont="1" applyFill="1" applyBorder="1" applyAlignment="1" applyProtection="1">
      <alignment horizontal="center"/>
    </xf>
    <xf numFmtId="1" fontId="7" fillId="10" borderId="16" xfId="4" applyNumberFormat="1" applyFont="1" applyFill="1" applyBorder="1" applyAlignment="1">
      <alignment horizontal="center"/>
    </xf>
    <xf numFmtId="1" fontId="7" fillId="10" borderId="0" xfId="0" applyNumberFormat="1" applyFont="1" applyFill="1" applyBorder="1"/>
    <xf numFmtId="1" fontId="7" fillId="10" borderId="16" xfId="0" applyNumberFormat="1" applyFont="1" applyFill="1" applyBorder="1"/>
    <xf numFmtId="0" fontId="8" fillId="11" borderId="38" xfId="0" applyFont="1" applyFill="1" applyBorder="1" applyAlignment="1">
      <alignment vertical="center" wrapText="1"/>
    </xf>
    <xf numFmtId="0" fontId="8" fillId="11" borderId="17" xfId="0" applyFont="1" applyFill="1" applyBorder="1" applyAlignment="1">
      <alignment vertical="center" wrapText="1"/>
    </xf>
    <xf numFmtId="0" fontId="8" fillId="11" borderId="20" xfId="0" applyFont="1" applyFill="1" applyBorder="1" applyAlignment="1">
      <alignment horizontal="center" vertical="center" wrapText="1"/>
    </xf>
    <xf numFmtId="168" fontId="7" fillId="11" borderId="18" xfId="0" applyNumberFormat="1" applyFont="1" applyFill="1" applyBorder="1" applyProtection="1"/>
    <xf numFmtId="168" fontId="7" fillId="11" borderId="0" xfId="0" applyNumberFormat="1" applyFont="1" applyFill="1" applyBorder="1" applyAlignment="1" applyProtection="1">
      <alignment horizontal="center" vertical="center"/>
    </xf>
    <xf numFmtId="168" fontId="7" fillId="11" borderId="0" xfId="4" applyNumberFormat="1" applyFont="1" applyFill="1" applyBorder="1" applyAlignment="1">
      <alignment horizontal="center"/>
    </xf>
    <xf numFmtId="168" fontId="7" fillId="11" borderId="0" xfId="4" applyNumberFormat="1" applyFont="1" applyFill="1" applyBorder="1" applyAlignment="1" applyProtection="1">
      <alignment horizontal="center"/>
    </xf>
    <xf numFmtId="9" fontId="7" fillId="11" borderId="0" xfId="4" applyNumberFormat="1" applyFont="1" applyFill="1" applyBorder="1" applyAlignment="1" applyProtection="1">
      <alignment horizontal="center"/>
    </xf>
    <xf numFmtId="168" fontId="7" fillId="11" borderId="62" xfId="4" applyNumberFormat="1" applyFont="1" applyFill="1" applyBorder="1" applyAlignment="1" applyProtection="1">
      <alignment horizontal="center"/>
    </xf>
    <xf numFmtId="0" fontId="7" fillId="11" borderId="62" xfId="4" applyNumberFormat="1" applyFont="1" applyFill="1" applyBorder="1" applyAlignment="1">
      <alignment horizontal="center"/>
    </xf>
    <xf numFmtId="168" fontId="7" fillId="11" borderId="35" xfId="0" applyNumberFormat="1" applyFont="1" applyFill="1" applyBorder="1"/>
    <xf numFmtId="168" fontId="7" fillId="11" borderId="16" xfId="0" applyNumberFormat="1" applyFont="1" applyFill="1" applyBorder="1"/>
    <xf numFmtId="9" fontId="7" fillId="11" borderId="16" xfId="4" applyFont="1" applyFill="1" applyBorder="1" applyProtection="1"/>
    <xf numFmtId="168" fontId="7" fillId="11" borderId="16" xfId="0" applyNumberFormat="1" applyFont="1" applyFill="1" applyBorder="1" applyProtection="1"/>
    <xf numFmtId="168" fontId="7" fillId="11" borderId="21" xfId="0" applyNumberFormat="1" applyFont="1" applyFill="1" applyBorder="1" applyProtection="1"/>
    <xf numFmtId="168" fontId="7" fillId="11" borderId="62" xfId="4" applyNumberFormat="1" applyFont="1" applyFill="1" applyBorder="1" applyAlignment="1">
      <alignment horizontal="center"/>
    </xf>
    <xf numFmtId="168" fontId="8" fillId="11" borderId="62" xfId="4" applyNumberFormat="1" applyFont="1" applyFill="1" applyBorder="1" applyAlignment="1" applyProtection="1">
      <alignment horizontal="center"/>
    </xf>
    <xf numFmtId="9" fontId="30" fillId="11" borderId="13" xfId="4" applyFont="1" applyFill="1" applyBorder="1" applyAlignment="1" applyProtection="1">
      <alignment vertical="top" wrapText="1"/>
    </xf>
    <xf numFmtId="9" fontId="30" fillId="11" borderId="21" xfId="4" applyFont="1" applyFill="1" applyBorder="1" applyAlignment="1" applyProtection="1">
      <alignment vertical="top" wrapText="1"/>
    </xf>
    <xf numFmtId="9" fontId="30" fillId="11" borderId="0" xfId="4" applyFont="1" applyFill="1" applyBorder="1" applyAlignment="1" applyProtection="1">
      <alignment vertical="top" wrapText="1"/>
    </xf>
    <xf numFmtId="0" fontId="7" fillId="11" borderId="62" xfId="4" applyNumberFormat="1" applyFont="1" applyFill="1" applyBorder="1" applyAlignment="1" applyProtection="1">
      <alignment horizontal="center" vertical="center"/>
    </xf>
    <xf numFmtId="9" fontId="30" fillId="11" borderId="16" xfId="4" applyFont="1" applyFill="1" applyBorder="1" applyAlignment="1" applyProtection="1">
      <alignment vertical="top" wrapText="1"/>
    </xf>
    <xf numFmtId="168" fontId="7" fillId="11" borderId="0" xfId="0" applyNumberFormat="1" applyFont="1" applyFill="1" applyBorder="1" applyProtection="1"/>
    <xf numFmtId="168" fontId="7" fillId="11" borderId="0" xfId="0" applyNumberFormat="1" applyFont="1" applyFill="1" applyBorder="1" applyAlignment="1">
      <alignment horizontal="center"/>
    </xf>
    <xf numFmtId="0" fontId="7" fillId="11" borderId="35" xfId="0" applyNumberFormat="1" applyFont="1" applyFill="1" applyBorder="1" applyAlignment="1">
      <alignment horizontal="center"/>
    </xf>
    <xf numFmtId="0" fontId="7" fillId="11" borderId="16" xfId="0" applyNumberFormat="1" applyFont="1" applyFill="1" applyBorder="1" applyAlignment="1">
      <alignment horizontal="center"/>
    </xf>
    <xf numFmtId="0" fontId="7" fillId="11" borderId="16" xfId="0" applyNumberFormat="1" applyFont="1" applyFill="1" applyBorder="1"/>
    <xf numFmtId="9" fontId="7" fillId="11" borderId="16" xfId="0" applyNumberFormat="1" applyFont="1" applyFill="1" applyBorder="1" applyAlignment="1">
      <alignment horizontal="center"/>
    </xf>
    <xf numFmtId="9" fontId="7" fillId="11" borderId="21" xfId="0" applyNumberFormat="1" applyFont="1" applyFill="1" applyBorder="1" applyAlignment="1">
      <alignment horizontal="center"/>
    </xf>
    <xf numFmtId="0" fontId="7" fillId="11" borderId="16" xfId="0" applyFont="1" applyFill="1" applyBorder="1" applyAlignment="1">
      <alignment horizontal="center" vertical="center" wrapText="1"/>
    </xf>
    <xf numFmtId="0" fontId="7" fillId="11" borderId="27" xfId="0" applyFont="1" applyFill="1" applyBorder="1" applyAlignment="1">
      <alignment horizontal="center" vertical="center" wrapText="1"/>
    </xf>
    <xf numFmtId="168" fontId="7" fillId="11" borderId="16" xfId="0" applyNumberFormat="1" applyFont="1" applyFill="1" applyBorder="1" applyAlignment="1">
      <alignment horizontal="center" vertical="center"/>
    </xf>
    <xf numFmtId="0" fontId="7" fillId="11" borderId="62" xfId="4" applyNumberFormat="1" applyFont="1" applyFill="1" applyBorder="1" applyAlignment="1" applyProtection="1">
      <alignment horizontal="center"/>
    </xf>
    <xf numFmtId="0" fontId="7" fillId="11" borderId="0" xfId="4" applyNumberFormat="1" applyFont="1" applyFill="1" applyBorder="1" applyAlignment="1">
      <alignment horizontal="center"/>
    </xf>
    <xf numFmtId="9" fontId="7" fillId="11" borderId="21" xfId="0" applyNumberFormat="1" applyFont="1" applyFill="1" applyBorder="1" applyAlignment="1">
      <alignment horizontal="center" vertical="center"/>
    </xf>
    <xf numFmtId="9" fontId="7" fillId="11" borderId="13" xfId="0" applyNumberFormat="1" applyFont="1" applyFill="1" applyBorder="1" applyAlignment="1">
      <alignment horizontal="center" vertical="center"/>
    </xf>
    <xf numFmtId="9" fontId="7" fillId="11" borderId="16" xfId="0" applyNumberFormat="1" applyFont="1" applyFill="1" applyBorder="1" applyAlignment="1">
      <alignment horizontal="center" vertical="center"/>
    </xf>
    <xf numFmtId="168" fontId="7" fillId="11" borderId="13" xfId="0" applyNumberFormat="1" applyFont="1" applyFill="1" applyBorder="1" applyAlignment="1">
      <alignment horizontal="center" vertical="center"/>
    </xf>
    <xf numFmtId="1" fontId="0" fillId="11" borderId="0" xfId="0" applyNumberFormat="1" applyFill="1"/>
    <xf numFmtId="1" fontId="7" fillId="11" borderId="62" xfId="4" applyNumberFormat="1" applyFont="1" applyFill="1" applyBorder="1" applyAlignment="1" applyProtection="1">
      <alignment horizontal="center"/>
    </xf>
    <xf numFmtId="1" fontId="7" fillId="11" borderId="16" xfId="0" applyNumberFormat="1" applyFont="1" applyFill="1" applyBorder="1" applyAlignment="1">
      <alignment horizontal="center" vertical="center"/>
    </xf>
    <xf numFmtId="0" fontId="8" fillId="10" borderId="17"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7" fillId="11" borderId="17" xfId="0" applyFont="1" applyFill="1" applyBorder="1" applyAlignment="1">
      <alignment vertical="center"/>
    </xf>
    <xf numFmtId="0" fontId="8" fillId="11" borderId="11" xfId="0" applyFont="1" applyFill="1" applyBorder="1" applyAlignment="1">
      <alignment vertical="center" wrapText="1"/>
    </xf>
    <xf numFmtId="1" fontId="7" fillId="11" borderId="62" xfId="0" applyNumberFormat="1" applyFont="1" applyFill="1" applyBorder="1" applyAlignment="1" applyProtection="1">
      <alignment horizontal="center"/>
    </xf>
    <xf numFmtId="0" fontId="7" fillId="11" borderId="4" xfId="0" applyFont="1" applyFill="1" applyBorder="1"/>
    <xf numFmtId="10" fontId="7" fillId="11" borderId="4" xfId="0" applyNumberFormat="1" applyFont="1" applyFill="1" applyBorder="1" applyAlignment="1">
      <alignment horizontal="center"/>
    </xf>
    <xf numFmtId="10" fontId="7" fillId="11" borderId="4" xfId="4" applyNumberFormat="1" applyFont="1" applyFill="1" applyBorder="1"/>
    <xf numFmtId="169" fontId="7" fillId="11" borderId="4" xfId="0" applyNumberFormat="1" applyFont="1" applyFill="1" applyBorder="1"/>
    <xf numFmtId="169" fontId="7" fillId="11" borderId="32" xfId="0" applyNumberFormat="1" applyFont="1" applyFill="1" applyBorder="1"/>
    <xf numFmtId="1" fontId="7" fillId="11" borderId="4" xfId="0" applyNumberFormat="1" applyFont="1" applyFill="1" applyBorder="1" applyAlignment="1">
      <alignment horizontal="center"/>
    </xf>
    <xf numFmtId="0" fontId="13" fillId="10" borderId="38" xfId="0" applyFont="1" applyFill="1" applyBorder="1" applyAlignment="1">
      <alignment vertical="center"/>
    </xf>
    <xf numFmtId="0" fontId="7" fillId="10" borderId="17" xfId="0" applyFont="1" applyFill="1" applyBorder="1" applyAlignment="1">
      <alignment vertical="center"/>
    </xf>
    <xf numFmtId="0" fontId="8" fillId="10" borderId="11" xfId="0" applyFont="1" applyFill="1" applyBorder="1" applyAlignment="1">
      <alignment vertical="center" wrapText="1"/>
    </xf>
    <xf numFmtId="0" fontId="8" fillId="10" borderId="42" xfId="0" applyFont="1" applyFill="1" applyBorder="1" applyAlignment="1">
      <alignment vertical="center" wrapText="1"/>
    </xf>
    <xf numFmtId="0" fontId="7" fillId="10" borderId="43" xfId="0" quotePrefix="1" applyFont="1" applyFill="1" applyBorder="1" applyAlignment="1">
      <alignment horizontal="left" indent="2"/>
    </xf>
    <xf numFmtId="10" fontId="7" fillId="10" borderId="4" xfId="0" applyNumberFormat="1" applyFont="1" applyFill="1" applyBorder="1" applyAlignment="1">
      <alignment horizontal="center"/>
    </xf>
    <xf numFmtId="10" fontId="7" fillId="10" borderId="4" xfId="4" applyNumberFormat="1" applyFont="1" applyFill="1" applyBorder="1"/>
    <xf numFmtId="169" fontId="7" fillId="10" borderId="4" xfId="0" applyNumberFormat="1" applyFont="1" applyFill="1" applyBorder="1"/>
    <xf numFmtId="169" fontId="7" fillId="10" borderId="32" xfId="0" applyNumberFormat="1" applyFont="1" applyFill="1" applyBorder="1"/>
    <xf numFmtId="1" fontId="7" fillId="10" borderId="4" xfId="0" applyNumberFormat="1" applyFont="1" applyFill="1" applyBorder="1" applyAlignment="1">
      <alignment horizontal="center"/>
    </xf>
    <xf numFmtId="1" fontId="7" fillId="10" borderId="44" xfId="0" applyNumberFormat="1" applyFont="1" applyFill="1" applyBorder="1" applyAlignment="1">
      <alignment horizontal="center"/>
    </xf>
    <xf numFmtId="0" fontId="8" fillId="11" borderId="25" xfId="0" applyFont="1" applyFill="1" applyBorder="1" applyAlignment="1">
      <alignment vertical="center" wrapText="1"/>
    </xf>
    <xf numFmtId="1" fontId="7" fillId="11" borderId="5" xfId="0" applyNumberFormat="1" applyFont="1" applyFill="1" applyBorder="1" applyAlignment="1">
      <alignment horizontal="center"/>
    </xf>
    <xf numFmtId="9" fontId="7" fillId="10" borderId="0" xfId="4" applyFont="1" applyFill="1" applyBorder="1" applyAlignment="1">
      <alignment horizontal="center"/>
    </xf>
    <xf numFmtId="0" fontId="7" fillId="10" borderId="0" xfId="0" applyFont="1" applyFill="1" applyBorder="1" applyAlignment="1">
      <alignment horizontal="left"/>
    </xf>
    <xf numFmtId="0" fontId="7" fillId="11" borderId="0" xfId="0" applyFont="1" applyFill="1" applyBorder="1" applyAlignment="1">
      <alignment horizontal="left"/>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36" fillId="6" borderId="39" xfId="0" applyFont="1" applyFill="1" applyBorder="1" applyAlignment="1">
      <alignment horizontal="left" vertical="center"/>
    </xf>
    <xf numFmtId="0" fontId="7" fillId="0" borderId="9" xfId="0" applyFont="1" applyFill="1" applyBorder="1" applyAlignment="1">
      <alignment horizontal="left" vertical="center"/>
    </xf>
    <xf numFmtId="0" fontId="8" fillId="0" borderId="20" xfId="0" applyFont="1" applyFill="1" applyBorder="1" applyAlignment="1">
      <alignment vertical="center"/>
    </xf>
    <xf numFmtId="0" fontId="7" fillId="0" borderId="20" xfId="0" applyFont="1" applyFill="1" applyBorder="1" applyAlignment="1">
      <alignment horizontal="left" vertical="center"/>
    </xf>
    <xf numFmtId="0" fontId="7" fillId="5" borderId="20" xfId="0" applyFont="1" applyFill="1" applyBorder="1" applyAlignment="1">
      <alignment horizontal="left" vertical="center"/>
    </xf>
    <xf numFmtId="1" fontId="7" fillId="3" borderId="0" xfId="0" applyNumberFormat="1" applyFont="1" applyFill="1" applyBorder="1" applyAlignment="1">
      <alignment horizontal="center" vertical="center"/>
    </xf>
    <xf numFmtId="1" fontId="7" fillId="11" borderId="0" xfId="0" applyNumberFormat="1" applyFont="1" applyFill="1" applyBorder="1" applyAlignment="1">
      <alignment horizontal="center" vertical="center"/>
    </xf>
    <xf numFmtId="168" fontId="7" fillId="3" borderId="21" xfId="0" applyNumberFormat="1" applyFont="1" applyFill="1" applyBorder="1" applyAlignment="1">
      <alignment horizontal="center" vertical="center"/>
    </xf>
    <xf numFmtId="168" fontId="7" fillId="11" borderId="21" xfId="0" applyNumberFormat="1" applyFont="1" applyFill="1" applyBorder="1" applyAlignment="1">
      <alignment horizontal="center" vertical="center"/>
    </xf>
    <xf numFmtId="0" fontId="0" fillId="0" borderId="71" xfId="0" applyBorder="1"/>
    <xf numFmtId="0" fontId="7" fillId="7" borderId="0" xfId="0" applyFont="1" applyFill="1" applyBorder="1" applyAlignment="1">
      <alignment horizontal="left" indent="2"/>
    </xf>
    <xf numFmtId="9" fontId="0" fillId="0" borderId="0" xfId="4" applyFont="1" applyBorder="1" applyAlignment="1">
      <alignment horizontal="center"/>
    </xf>
    <xf numFmtId="0" fontId="0" fillId="0" borderId="0" xfId="4" applyNumberFormat="1" applyFont="1" applyBorder="1" applyAlignment="1">
      <alignment horizontal="center"/>
    </xf>
    <xf numFmtId="168" fontId="0" fillId="0" borderId="0" xfId="4" applyNumberFormat="1" applyFont="1" applyBorder="1" applyAlignment="1">
      <alignment horizontal="center"/>
    </xf>
    <xf numFmtId="1" fontId="0" fillId="0" borderId="0" xfId="4" applyNumberFormat="1" applyFont="1" applyBorder="1" applyAlignment="1">
      <alignment horizontal="center"/>
    </xf>
    <xf numFmtId="0" fontId="0" fillId="0" borderId="93" xfId="0" applyBorder="1"/>
    <xf numFmtId="0" fontId="49" fillId="16" borderId="79" xfId="0" applyFont="1" applyFill="1" applyBorder="1" applyAlignment="1">
      <alignment horizontal="center" vertical="center"/>
    </xf>
    <xf numFmtId="0" fontId="49" fillId="12" borderId="58" xfId="0" applyFont="1" applyFill="1" applyBorder="1" applyAlignment="1">
      <alignment horizontal="center" vertical="center"/>
    </xf>
    <xf numFmtId="0" fontId="49" fillId="15" borderId="58" xfId="0" applyFont="1" applyFill="1" applyBorder="1" applyAlignment="1">
      <alignment horizontal="center" vertical="center"/>
    </xf>
    <xf numFmtId="0" fontId="49" fillId="8" borderId="78" xfId="0" applyFont="1" applyFill="1" applyBorder="1" applyAlignment="1">
      <alignment horizontal="center" vertical="center"/>
    </xf>
    <xf numFmtId="0" fontId="7" fillId="3" borderId="36" xfId="0" applyFont="1" applyFill="1" applyBorder="1" applyAlignment="1">
      <alignment horizontal="center"/>
    </xf>
    <xf numFmtId="0" fontId="8" fillId="7" borderId="18" xfId="0" applyFont="1" applyFill="1" applyBorder="1" applyAlignment="1">
      <alignment wrapText="1"/>
    </xf>
    <xf numFmtId="0" fontId="8" fillId="7" borderId="41" xfId="0" applyFont="1" applyFill="1" applyBorder="1" applyAlignment="1">
      <alignment wrapText="1"/>
    </xf>
    <xf numFmtId="0" fontId="7" fillId="7" borderId="33" xfId="0" applyFont="1" applyFill="1" applyBorder="1" applyAlignment="1"/>
    <xf numFmtId="0" fontId="7" fillId="7" borderId="0" xfId="0" applyFont="1" applyFill="1" applyBorder="1" applyAlignment="1"/>
    <xf numFmtId="0" fontId="7" fillId="7" borderId="14" xfId="0" applyFont="1" applyFill="1" applyBorder="1" applyAlignment="1"/>
    <xf numFmtId="0" fontId="8" fillId="10" borderId="18" xfId="0" applyFont="1" applyFill="1" applyBorder="1" applyAlignment="1">
      <alignment wrapText="1"/>
    </xf>
    <xf numFmtId="0" fontId="8" fillId="10" borderId="41" xfId="0" applyFont="1" applyFill="1" applyBorder="1" applyAlignment="1">
      <alignment wrapText="1"/>
    </xf>
    <xf numFmtId="0" fontId="7" fillId="10" borderId="0" xfId="0" applyFont="1" applyFill="1" applyBorder="1" applyAlignment="1"/>
    <xf numFmtId="0" fontId="7" fillId="10" borderId="14" xfId="0" applyFont="1" applyFill="1" applyBorder="1" applyAlignment="1"/>
    <xf numFmtId="9" fontId="7" fillId="10" borderId="0" xfId="4" applyFont="1" applyFill="1"/>
    <xf numFmtId="0" fontId="7" fillId="10" borderId="46" xfId="0" applyFont="1" applyFill="1" applyBorder="1" applyAlignment="1">
      <alignment horizontal="center"/>
    </xf>
    <xf numFmtId="0" fontId="7" fillId="10" borderId="23" xfId="0" applyFont="1" applyFill="1" applyBorder="1" applyAlignment="1">
      <alignment horizontal="center"/>
    </xf>
    <xf numFmtId="9" fontId="7" fillId="10" borderId="13" xfId="0" applyNumberFormat="1" applyFont="1" applyFill="1" applyBorder="1"/>
    <xf numFmtId="9" fontId="7" fillId="10" borderId="0" xfId="0" applyNumberFormat="1" applyFont="1" applyFill="1" applyBorder="1" applyAlignment="1">
      <alignment horizontal="center"/>
    </xf>
    <xf numFmtId="9" fontId="7" fillId="10" borderId="0" xfId="0" applyNumberFormat="1" applyFont="1" applyFill="1"/>
    <xf numFmtId="168" fontId="7" fillId="10" borderId="16" xfId="4" applyNumberFormat="1" applyFont="1" applyFill="1" applyBorder="1" applyAlignment="1" applyProtection="1">
      <alignment horizontal="center"/>
    </xf>
    <xf numFmtId="0" fontId="7" fillId="10" borderId="37" xfId="0" applyFont="1" applyFill="1" applyBorder="1" applyAlignment="1" applyProtection="1">
      <alignment horizontal="center"/>
    </xf>
    <xf numFmtId="0" fontId="10" fillId="10" borderId="23" xfId="0" applyFont="1" applyFill="1" applyBorder="1" applyAlignment="1"/>
    <xf numFmtId="0" fontId="7" fillId="11" borderId="0" xfId="0" applyFont="1" applyFill="1" applyBorder="1" applyAlignment="1"/>
    <xf numFmtId="0" fontId="7" fillId="11" borderId="14" xfId="0" applyFont="1" applyFill="1" applyBorder="1" applyAlignment="1" applyProtection="1">
      <alignment horizontal="center"/>
    </xf>
    <xf numFmtId="169" fontId="7" fillId="11" borderId="0" xfId="0" applyNumberFormat="1" applyFont="1" applyFill="1" applyBorder="1" applyAlignment="1" applyProtection="1">
      <alignment horizontal="center"/>
    </xf>
    <xf numFmtId="0" fontId="7" fillId="11" borderId="21" xfId="0" applyFont="1" applyFill="1" applyBorder="1" applyAlignment="1">
      <alignment horizontal="center"/>
    </xf>
    <xf numFmtId="0" fontId="7" fillId="11" borderId="13" xfId="0" applyFont="1" applyFill="1" applyBorder="1" applyAlignment="1" applyProtection="1">
      <alignment horizontal="center"/>
    </xf>
    <xf numFmtId="168" fontId="7" fillId="11" borderId="14" xfId="4" applyNumberFormat="1" applyFont="1" applyFill="1" applyBorder="1" applyAlignment="1" applyProtection="1">
      <alignment horizontal="center"/>
    </xf>
    <xf numFmtId="168" fontId="7" fillId="11" borderId="16" xfId="4" applyNumberFormat="1" applyFont="1" applyFill="1" applyBorder="1" applyAlignment="1" applyProtection="1">
      <alignment horizontal="center"/>
    </xf>
    <xf numFmtId="168" fontId="7" fillId="11" borderId="21" xfId="4" applyNumberFormat="1" applyFont="1" applyFill="1" applyBorder="1" applyAlignment="1" applyProtection="1">
      <alignment horizontal="center"/>
    </xf>
    <xf numFmtId="0" fontId="7" fillId="11" borderId="27" xfId="0" applyFont="1" applyFill="1" applyBorder="1" applyAlignment="1" applyProtection="1">
      <alignment horizontal="center"/>
    </xf>
    <xf numFmtId="2" fontId="7" fillId="11" borderId="0" xfId="0" applyNumberFormat="1" applyFont="1" applyFill="1" applyBorder="1" applyAlignment="1" applyProtection="1">
      <alignment horizontal="center"/>
    </xf>
    <xf numFmtId="0" fontId="0" fillId="10" borderId="0" xfId="0" applyFill="1" applyBorder="1" applyAlignment="1">
      <alignment horizontal="center"/>
    </xf>
    <xf numFmtId="0" fontId="0" fillId="3" borderId="0" xfId="0" applyFill="1" applyBorder="1" applyAlignment="1">
      <alignment horizontal="center"/>
    </xf>
    <xf numFmtId="9" fontId="7" fillId="10" borderId="0" xfId="4"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8" fillId="7" borderId="0" xfId="0" applyFont="1" applyFill="1" applyBorder="1" applyAlignment="1">
      <alignment horizontal="center" wrapText="1"/>
    </xf>
    <xf numFmtId="0" fontId="8" fillId="3" borderId="0" xfId="0" applyFont="1" applyFill="1" applyBorder="1" applyAlignment="1">
      <alignment horizontal="center" wrapText="1"/>
    </xf>
    <xf numFmtId="9" fontId="8" fillId="7" borderId="0" xfId="4" applyFont="1" applyFill="1" applyBorder="1" applyAlignment="1">
      <alignment horizontal="center"/>
    </xf>
    <xf numFmtId="9" fontId="8" fillId="10" borderId="0" xfId="4" applyFont="1" applyFill="1" applyBorder="1" applyAlignment="1">
      <alignment horizontal="center"/>
    </xf>
    <xf numFmtId="0" fontId="7" fillId="0" borderId="58" xfId="0" applyFont="1" applyFill="1" applyBorder="1"/>
    <xf numFmtId="0" fontId="0" fillId="0" borderId="13" xfId="0" applyBorder="1" applyAlignment="1">
      <alignment horizontal="center"/>
    </xf>
    <xf numFmtId="169" fontId="7" fillId="7" borderId="14" xfId="0" applyNumberFormat="1" applyFont="1" applyFill="1" applyBorder="1" applyAlignment="1">
      <alignment horizontal="center"/>
    </xf>
    <xf numFmtId="0" fontId="30" fillId="0" borderId="1" xfId="0" applyFont="1" applyFill="1" applyBorder="1"/>
    <xf numFmtId="0" fontId="0" fillId="3" borderId="0" xfId="0" applyFill="1" applyBorder="1" applyAlignment="1">
      <alignment horizontal="center"/>
    </xf>
    <xf numFmtId="0" fontId="0" fillId="7" borderId="0" xfId="0" applyFill="1" applyBorder="1" applyAlignment="1">
      <alignment horizontal="center"/>
    </xf>
    <xf numFmtId="0" fontId="9" fillId="10" borderId="0" xfId="0" applyFon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0" fontId="7" fillId="7" borderId="0" xfId="0" applyFont="1" applyFill="1" applyBorder="1" applyAlignment="1">
      <alignment horizontal="left"/>
    </xf>
    <xf numFmtId="0" fontId="7" fillId="10" borderId="0" xfId="0" applyFont="1" applyFill="1" applyBorder="1" applyAlignment="1">
      <alignment horizontal="left"/>
    </xf>
    <xf numFmtId="0" fontId="7" fillId="5" borderId="23" xfId="0" applyFont="1" applyFill="1" applyBorder="1" applyAlignment="1" applyProtection="1">
      <alignment horizontal="center"/>
      <protection locked="0"/>
    </xf>
    <xf numFmtId="0" fontId="7" fillId="11" borderId="0" xfId="0" applyFont="1" applyFill="1" applyBorder="1" applyAlignment="1" applyProtection="1">
      <alignment horizontal="left"/>
    </xf>
    <xf numFmtId="0" fontId="7" fillId="11" borderId="0" xfId="0" applyFont="1" applyFill="1" applyBorder="1" applyAlignment="1">
      <alignment horizontal="left"/>
    </xf>
    <xf numFmtId="0" fontId="10" fillId="6" borderId="1" xfId="0" applyFont="1" applyFill="1" applyBorder="1" applyAlignment="1">
      <alignment horizontal="right"/>
    </xf>
    <xf numFmtId="0" fontId="10" fillId="6" borderId="0" xfId="0" applyFont="1" applyFill="1" applyBorder="1" applyAlignment="1">
      <alignment horizontal="right"/>
    </xf>
    <xf numFmtId="0" fontId="8" fillId="10" borderId="0" xfId="0" applyFont="1" applyFill="1" applyBorder="1" applyAlignment="1">
      <alignment horizontal="center" wrapText="1"/>
    </xf>
    <xf numFmtId="0" fontId="8" fillId="11" borderId="0" xfId="0" applyFont="1" applyFill="1" applyBorder="1" applyAlignment="1">
      <alignment horizontal="center" wrapText="1"/>
    </xf>
    <xf numFmtId="0" fontId="7" fillId="11" borderId="104" xfId="0" applyFont="1" applyFill="1" applyBorder="1" applyAlignment="1">
      <alignment horizontal="center"/>
    </xf>
    <xf numFmtId="169" fontId="7" fillId="11" borderId="13" xfId="0" applyNumberFormat="1" applyFont="1" applyFill="1" applyBorder="1" applyAlignment="1">
      <alignment horizontal="center"/>
    </xf>
    <xf numFmtId="44" fontId="0" fillId="11" borderId="13" xfId="41" applyFont="1" applyFill="1" applyBorder="1" applyAlignment="1">
      <alignment horizontal="right"/>
    </xf>
    <xf numFmtId="44" fontId="7" fillId="11" borderId="13" xfId="41" applyFont="1" applyFill="1" applyBorder="1" applyAlignment="1">
      <alignment horizontal="right"/>
    </xf>
    <xf numFmtId="169" fontId="7" fillId="7" borderId="0" xfId="0" applyNumberFormat="1" applyFont="1" applyFill="1" applyBorder="1" applyAlignment="1" applyProtection="1">
      <alignment horizontal="center"/>
    </xf>
    <xf numFmtId="169" fontId="7" fillId="10" borderId="0" xfId="0" applyNumberFormat="1" applyFont="1" applyFill="1" applyBorder="1" applyAlignment="1" applyProtection="1">
      <alignment horizontal="center"/>
    </xf>
    <xf numFmtId="9" fontId="7" fillId="11" borderId="0" xfId="4" applyFont="1" applyFill="1" applyBorder="1" applyAlignment="1" applyProtection="1">
      <alignment horizontal="left"/>
    </xf>
    <xf numFmtId="10" fontId="7" fillId="11" borderId="62" xfId="4" applyNumberFormat="1" applyFont="1" applyFill="1" applyBorder="1" applyAlignment="1" applyProtection="1">
      <alignment horizontal="center"/>
    </xf>
    <xf numFmtId="168" fontId="7" fillId="10" borderId="0" xfId="4" applyNumberFormat="1" applyFont="1" applyFill="1" applyBorder="1" applyAlignment="1" applyProtection="1">
      <alignment horizontal="center"/>
    </xf>
    <xf numFmtId="168" fontId="7" fillId="10" borderId="0" xfId="0" applyNumberFormat="1" applyFont="1" applyFill="1" applyBorder="1" applyAlignment="1">
      <alignment horizontal="center"/>
    </xf>
    <xf numFmtId="9" fontId="30" fillId="10" borderId="14" xfId="4" applyFont="1" applyFill="1" applyBorder="1" applyAlignment="1" applyProtection="1">
      <alignment wrapText="1"/>
    </xf>
    <xf numFmtId="9" fontId="7" fillId="10" borderId="0" xfId="4" applyFont="1" applyFill="1" applyBorder="1" applyAlignment="1" applyProtection="1">
      <alignment horizontal="left"/>
    </xf>
    <xf numFmtId="10" fontId="7" fillId="10" borderId="62" xfId="4" applyNumberFormat="1" applyFont="1" applyFill="1" applyBorder="1" applyAlignment="1" applyProtection="1">
      <alignment horizontal="center"/>
    </xf>
    <xf numFmtId="168" fontId="7" fillId="11" borderId="0" xfId="0" applyNumberFormat="1" applyFont="1" applyFill="1" applyBorder="1" applyAlignment="1" applyProtection="1">
      <alignment horizontal="center"/>
    </xf>
    <xf numFmtId="9" fontId="7" fillId="11" borderId="14" xfId="4" applyFont="1" applyFill="1" applyBorder="1" applyAlignment="1" applyProtection="1">
      <alignment horizontal="center"/>
    </xf>
    <xf numFmtId="9" fontId="8" fillId="7" borderId="33" xfId="4" applyFont="1" applyFill="1" applyBorder="1" applyAlignment="1">
      <alignment horizontal="center"/>
    </xf>
    <xf numFmtId="9" fontId="8" fillId="7" borderId="0" xfId="4" applyFont="1" applyFill="1" applyBorder="1" applyAlignment="1" applyProtection="1">
      <alignment horizontal="center"/>
    </xf>
    <xf numFmtId="9" fontId="8" fillId="3" borderId="0" xfId="4" applyFont="1" applyFill="1" applyBorder="1" applyAlignment="1" applyProtection="1">
      <alignment horizontal="center"/>
    </xf>
    <xf numFmtId="9" fontId="8" fillId="10" borderId="33" xfId="4" applyFont="1" applyFill="1" applyBorder="1" applyAlignment="1">
      <alignment horizontal="center"/>
    </xf>
    <xf numFmtId="9" fontId="8" fillId="10" borderId="0" xfId="4" applyFont="1" applyFill="1" applyBorder="1" applyAlignment="1" applyProtection="1">
      <alignment horizontal="center"/>
    </xf>
    <xf numFmtId="9" fontId="8" fillId="11" borderId="0" xfId="4" applyFont="1" applyFill="1" applyBorder="1" applyAlignment="1" applyProtection="1">
      <alignment horizontal="center"/>
    </xf>
    <xf numFmtId="9" fontId="7" fillId="7" borderId="0" xfId="4" applyFont="1" applyFill="1" applyBorder="1" applyAlignment="1">
      <alignment horizontal="center" wrapText="1"/>
    </xf>
    <xf numFmtId="9" fontId="7" fillId="10" borderId="0" xfId="4" applyFont="1" applyFill="1" applyBorder="1" applyAlignment="1">
      <alignment horizontal="center" wrapText="1"/>
    </xf>
    <xf numFmtId="9" fontId="7" fillId="11" borderId="0" xfId="4" applyFont="1" applyFill="1" applyBorder="1" applyAlignment="1">
      <alignment horizontal="center" wrapText="1"/>
    </xf>
    <xf numFmtId="9" fontId="7" fillId="3" borderId="0" xfId="4" applyFont="1" applyFill="1" applyBorder="1" applyAlignment="1">
      <alignment horizontal="center" wrapText="1"/>
    </xf>
    <xf numFmtId="164" fontId="7" fillId="7" borderId="62" xfId="1" applyNumberFormat="1" applyFont="1" applyFill="1" applyBorder="1" applyAlignment="1">
      <alignment horizontal="right"/>
    </xf>
    <xf numFmtId="164" fontId="7" fillId="3" borderId="62" xfId="1" applyNumberFormat="1" applyFont="1" applyFill="1" applyBorder="1" applyAlignment="1">
      <alignment horizontal="right"/>
    </xf>
    <xf numFmtId="164" fontId="8" fillId="7" borderId="62" xfId="1" applyNumberFormat="1" applyFont="1" applyFill="1" applyBorder="1" applyAlignment="1">
      <alignment horizontal="right"/>
    </xf>
    <xf numFmtId="164" fontId="8" fillId="3" borderId="62" xfId="1" applyNumberFormat="1" applyFont="1" applyFill="1" applyBorder="1" applyAlignment="1">
      <alignment horizontal="right"/>
    </xf>
    <xf numFmtId="0" fontId="0" fillId="4" borderId="11" xfId="0" applyFill="1" applyBorder="1" applyAlignment="1">
      <alignment horizontal="center"/>
    </xf>
    <xf numFmtId="0" fontId="7" fillId="7" borderId="0" xfId="0" applyFont="1" applyFill="1" applyBorder="1" applyAlignment="1">
      <alignment horizontal="left"/>
    </xf>
    <xf numFmtId="0" fontId="7" fillId="10" borderId="0" xfId="0" applyFont="1" applyFill="1" applyBorder="1" applyAlignment="1">
      <alignment horizontal="left"/>
    </xf>
    <xf numFmtId="0" fontId="7" fillId="7" borderId="0" xfId="4" applyNumberFormat="1" applyFont="1" applyFill="1" applyBorder="1" applyAlignment="1" applyProtection="1">
      <alignment horizontal="center" vertical="center"/>
    </xf>
    <xf numFmtId="0" fontId="7" fillId="10" borderId="0" xfId="4" applyNumberFormat="1" applyFont="1" applyFill="1" applyBorder="1" applyAlignment="1" applyProtection="1">
      <alignment horizontal="center" vertical="center"/>
    </xf>
    <xf numFmtId="0" fontId="0" fillId="10" borderId="100" xfId="0" applyFill="1" applyBorder="1"/>
    <xf numFmtId="164" fontId="7" fillId="10" borderId="62" xfId="1" applyNumberFormat="1" applyFont="1" applyFill="1" applyBorder="1" applyAlignment="1">
      <alignment horizontal="right"/>
    </xf>
    <xf numFmtId="0" fontId="7" fillId="10" borderId="62" xfId="1" applyNumberFormat="1" applyFont="1" applyFill="1" applyBorder="1" applyAlignment="1" applyProtection="1">
      <alignment horizontal="center"/>
    </xf>
    <xf numFmtId="0" fontId="0" fillId="10" borderId="99" xfId="0" applyFill="1" applyBorder="1"/>
    <xf numFmtId="0" fontId="8" fillId="10" borderId="0" xfId="0" applyFont="1" applyFill="1" applyBorder="1" applyAlignment="1">
      <alignment horizontal="left"/>
    </xf>
    <xf numFmtId="164" fontId="8" fillId="10" borderId="62" xfId="1" applyNumberFormat="1" applyFont="1" applyFill="1" applyBorder="1" applyAlignment="1">
      <alignment horizontal="right"/>
    </xf>
    <xf numFmtId="0" fontId="8" fillId="10" borderId="14" xfId="0" applyFont="1" applyFill="1" applyBorder="1"/>
    <xf numFmtId="0" fontId="8" fillId="10" borderId="0" xfId="4" applyNumberFormat="1" applyFont="1" applyFill="1" applyBorder="1" applyAlignment="1" applyProtection="1">
      <alignment horizontal="center"/>
    </xf>
    <xf numFmtId="177" fontId="7" fillId="10" borderId="0" xfId="41" applyNumberFormat="1" applyFont="1" applyFill="1" applyBorder="1" applyAlignment="1">
      <alignment horizontal="center"/>
    </xf>
    <xf numFmtId="0" fontId="7" fillId="10" borderId="22" xfId="0" applyFont="1" applyFill="1" applyBorder="1" applyAlignment="1">
      <alignment horizontal="left"/>
    </xf>
    <xf numFmtId="164" fontId="8" fillId="10" borderId="0" xfId="1" applyNumberFormat="1" applyFont="1" applyFill="1" applyBorder="1" applyAlignment="1" applyProtection="1">
      <alignment horizontal="center"/>
    </xf>
    <xf numFmtId="44" fontId="7" fillId="10" borderId="0" xfId="41" applyFont="1" applyFill="1" applyBorder="1" applyAlignment="1" applyProtection="1">
      <alignment horizontal="center"/>
    </xf>
    <xf numFmtId="164" fontId="7" fillId="11" borderId="62" xfId="1" applyNumberFormat="1" applyFont="1" applyFill="1" applyBorder="1" applyAlignment="1">
      <alignment horizontal="right"/>
    </xf>
    <xf numFmtId="0" fontId="7" fillId="11" borderId="62" xfId="1" applyNumberFormat="1" applyFont="1" applyFill="1" applyBorder="1" applyAlignment="1" applyProtection="1">
      <alignment horizontal="center"/>
    </xf>
    <xf numFmtId="0" fontId="0" fillId="11" borderId="21" xfId="0" applyFill="1" applyBorder="1"/>
    <xf numFmtId="0" fontId="8" fillId="11" borderId="0" xfId="0" applyFont="1" applyFill="1" applyBorder="1" applyAlignment="1">
      <alignment horizontal="left"/>
    </xf>
    <xf numFmtId="164" fontId="8" fillId="11" borderId="62" xfId="1" applyNumberFormat="1" applyFont="1" applyFill="1" applyBorder="1" applyAlignment="1">
      <alignment horizontal="right"/>
    </xf>
    <xf numFmtId="0" fontId="8" fillId="11" borderId="14" xfId="0" applyFont="1" applyFill="1" applyBorder="1"/>
    <xf numFmtId="0" fontId="8" fillId="11" borderId="0" xfId="4" applyNumberFormat="1" applyFont="1" applyFill="1" applyBorder="1" applyAlignment="1" applyProtection="1">
      <alignment horizontal="center"/>
    </xf>
    <xf numFmtId="177" fontId="7" fillId="11" borderId="0" xfId="41" applyNumberFormat="1" applyFont="1" applyFill="1" applyBorder="1" applyAlignment="1">
      <alignment horizontal="center"/>
    </xf>
    <xf numFmtId="164" fontId="8" fillId="11" borderId="0" xfId="1" applyNumberFormat="1" applyFont="1" applyFill="1" applyBorder="1" applyAlignment="1" applyProtection="1">
      <alignment horizontal="center"/>
    </xf>
    <xf numFmtId="0" fontId="0" fillId="7" borderId="105" xfId="0" applyFill="1" applyBorder="1"/>
    <xf numFmtId="0" fontId="0" fillId="10" borderId="105" xfId="0" applyFill="1" applyBorder="1"/>
    <xf numFmtId="0" fontId="0" fillId="11" borderId="104" xfId="0" applyFill="1" applyBorder="1" applyAlignment="1">
      <alignment horizontal="center"/>
    </xf>
    <xf numFmtId="0" fontId="17" fillId="0" borderId="24" xfId="0" applyFont="1" applyBorder="1" applyAlignment="1">
      <alignment vertical="center" wrapText="1"/>
    </xf>
    <xf numFmtId="0" fontId="7" fillId="0" borderId="3" xfId="0" applyFont="1" applyFill="1" applyBorder="1"/>
    <xf numFmtId="43" fontId="7" fillId="10" borderId="0" xfId="1" applyFont="1" applyFill="1" applyBorder="1" applyProtection="1"/>
    <xf numFmtId="170" fontId="7" fillId="7" borderId="62" xfId="0" applyNumberFormat="1" applyFont="1" applyFill="1" applyBorder="1" applyProtection="1"/>
    <xf numFmtId="170" fontId="7" fillId="3" borderId="62" xfId="0" applyNumberFormat="1" applyFont="1" applyFill="1" applyBorder="1" applyProtection="1"/>
    <xf numFmtId="170" fontId="0" fillId="18" borderId="62" xfId="0" applyNumberFormat="1" applyFill="1" applyBorder="1" applyProtection="1"/>
    <xf numFmtId="170" fontId="0" fillId="11" borderId="62" xfId="0" applyNumberFormat="1" applyFill="1" applyBorder="1" applyProtection="1"/>
    <xf numFmtId="0" fontId="8" fillId="7" borderId="17" xfId="0" applyFont="1" applyFill="1" applyBorder="1" applyAlignment="1">
      <alignment horizontal="left" indent="1"/>
    </xf>
    <xf numFmtId="0" fontId="8" fillId="3" borderId="17" xfId="0" applyFont="1" applyFill="1" applyBorder="1" applyAlignment="1">
      <alignment horizontal="left" indent="1"/>
    </xf>
    <xf numFmtId="0" fontId="10" fillId="6" borderId="1" xfId="0" applyFont="1" applyFill="1" applyBorder="1" applyAlignment="1">
      <alignment vertical="center"/>
    </xf>
    <xf numFmtId="0" fontId="8" fillId="10" borderId="17" xfId="0" applyFont="1" applyFill="1" applyBorder="1" applyAlignment="1">
      <alignment horizontal="left" indent="1"/>
    </xf>
    <xf numFmtId="0" fontId="8" fillId="11" borderId="17" xfId="0" applyFont="1" applyFill="1" applyBorder="1" applyAlignment="1">
      <alignment horizontal="left" indent="1"/>
    </xf>
    <xf numFmtId="0" fontId="0" fillId="3" borderId="62" xfId="0" applyFill="1" applyBorder="1" applyAlignment="1" applyProtection="1">
      <alignment horizontal="center"/>
    </xf>
    <xf numFmtId="170" fontId="0" fillId="3" borderId="0" xfId="0" applyNumberFormat="1" applyFill="1" applyBorder="1"/>
    <xf numFmtId="168" fontId="0" fillId="0" borderId="13" xfId="0" applyNumberFormat="1" applyBorder="1" applyAlignment="1">
      <alignment horizontal="center"/>
    </xf>
    <xf numFmtId="0" fontId="0" fillId="0" borderId="2" xfId="0" applyBorder="1" applyAlignment="1">
      <alignment horizontal="left"/>
    </xf>
    <xf numFmtId="0" fontId="7" fillId="0" borderId="2" xfId="0" applyFont="1" applyBorder="1" applyAlignment="1">
      <alignment horizontal="left"/>
    </xf>
    <xf numFmtId="0" fontId="13" fillId="10" borderId="0" xfId="0" applyFont="1" applyFill="1" applyBorder="1"/>
    <xf numFmtId="43" fontId="13" fillId="10" borderId="33" xfId="0" applyNumberFormat="1" applyFont="1" applyFill="1" applyBorder="1" applyAlignment="1">
      <alignment vertical="center"/>
    </xf>
    <xf numFmtId="43" fontId="13" fillId="10" borderId="0" xfId="0" applyNumberFormat="1" applyFont="1" applyFill="1" applyBorder="1" applyAlignment="1">
      <alignment vertical="center"/>
    </xf>
    <xf numFmtId="43" fontId="13" fillId="10" borderId="0" xfId="0" applyNumberFormat="1" applyFont="1" applyFill="1" applyBorder="1" applyAlignment="1">
      <alignment horizontal="center" vertical="center"/>
    </xf>
    <xf numFmtId="43" fontId="13" fillId="10" borderId="0" xfId="0" applyNumberFormat="1" applyFont="1" applyFill="1" applyBorder="1"/>
    <xf numFmtId="43" fontId="13" fillId="10" borderId="36" xfId="0" applyNumberFormat="1" applyFont="1" applyFill="1" applyBorder="1" applyAlignment="1">
      <alignment vertical="center"/>
    </xf>
    <xf numFmtId="43" fontId="13" fillId="10" borderId="33" xfId="0" applyNumberFormat="1" applyFont="1" applyFill="1" applyBorder="1" applyAlignment="1">
      <alignment horizontal="center" vertical="center"/>
    </xf>
    <xf numFmtId="43" fontId="10" fillId="10" borderId="0" xfId="0" applyNumberFormat="1" applyFont="1" applyFill="1" applyBorder="1" applyAlignment="1">
      <alignment horizontal="center" vertical="center"/>
    </xf>
    <xf numFmtId="43" fontId="13" fillId="10" borderId="36" xfId="0" applyNumberFormat="1" applyFont="1" applyFill="1" applyBorder="1" applyAlignment="1">
      <alignment horizontal="center" vertical="center"/>
    </xf>
    <xf numFmtId="0" fontId="13" fillId="10" borderId="33" xfId="0" applyFont="1" applyFill="1" applyBorder="1" applyAlignment="1">
      <alignment vertical="center"/>
    </xf>
    <xf numFmtId="0" fontId="13" fillId="10" borderId="0" xfId="0" applyFont="1" applyFill="1" applyBorder="1" applyAlignment="1">
      <alignment vertical="center"/>
    </xf>
    <xf numFmtId="0" fontId="13" fillId="10" borderId="36" xfId="0" applyFont="1" applyFill="1" applyBorder="1" applyAlignment="1">
      <alignment vertical="center"/>
    </xf>
    <xf numFmtId="43" fontId="10" fillId="10" borderId="0" xfId="0" applyNumberFormat="1" applyFont="1" applyFill="1" applyBorder="1" applyAlignment="1">
      <alignment vertical="center"/>
    </xf>
    <xf numFmtId="172" fontId="13" fillId="10" borderId="0" xfId="0" applyNumberFormat="1" applyFont="1" applyFill="1" applyBorder="1" applyAlignment="1">
      <alignment vertical="center"/>
    </xf>
    <xf numFmtId="43" fontId="13" fillId="10" borderId="46" xfId="0" applyNumberFormat="1" applyFont="1" applyFill="1" applyBorder="1" applyAlignment="1">
      <alignment vertical="center"/>
    </xf>
    <xf numFmtId="43" fontId="13" fillId="10" borderId="18" xfId="0" applyNumberFormat="1" applyFont="1" applyFill="1" applyBorder="1" applyAlignment="1">
      <alignment vertical="center"/>
    </xf>
    <xf numFmtId="43" fontId="13" fillId="10" borderId="18" xfId="0" applyNumberFormat="1" applyFont="1" applyFill="1" applyBorder="1" applyAlignment="1">
      <alignment horizontal="center" vertical="center"/>
    </xf>
    <xf numFmtId="43" fontId="13" fillId="10" borderId="18" xfId="0" applyNumberFormat="1" applyFont="1" applyFill="1" applyBorder="1"/>
    <xf numFmtId="43" fontId="13" fillId="10" borderId="41" xfId="0" applyNumberFormat="1" applyFont="1" applyFill="1" applyBorder="1" applyAlignment="1">
      <alignment vertical="center"/>
    </xf>
    <xf numFmtId="43" fontId="10" fillId="10" borderId="33" xfId="0" applyNumberFormat="1" applyFont="1" applyFill="1" applyBorder="1" applyAlignment="1">
      <alignment vertical="center"/>
    </xf>
    <xf numFmtId="43" fontId="13" fillId="10" borderId="0" xfId="0" applyNumberFormat="1" applyFont="1" applyFill="1" applyBorder="1" applyAlignment="1">
      <alignment horizontal="left" vertical="center"/>
    </xf>
    <xf numFmtId="43" fontId="13" fillId="10" borderId="35" xfId="0" applyNumberFormat="1" applyFont="1" applyFill="1" applyBorder="1" applyAlignment="1">
      <alignment vertical="center"/>
    </xf>
    <xf numFmtId="43" fontId="13" fillId="10" borderId="16" xfId="0" applyNumberFormat="1" applyFont="1" applyFill="1" applyBorder="1" applyAlignment="1">
      <alignment vertical="center"/>
    </xf>
    <xf numFmtId="43" fontId="13" fillId="10" borderId="16" xfId="0" applyNumberFormat="1" applyFont="1" applyFill="1" applyBorder="1" applyAlignment="1">
      <alignment horizontal="center" vertical="center"/>
    </xf>
    <xf numFmtId="43" fontId="13" fillId="10" borderId="16" xfId="0" applyNumberFormat="1" applyFont="1" applyFill="1" applyBorder="1"/>
    <xf numFmtId="43" fontId="13" fillId="10" borderId="37" xfId="0" applyNumberFormat="1" applyFont="1" applyFill="1" applyBorder="1" applyAlignment="1">
      <alignment vertical="center"/>
    </xf>
    <xf numFmtId="43" fontId="13" fillId="11" borderId="33" xfId="0" applyNumberFormat="1" applyFont="1" applyFill="1" applyBorder="1" applyAlignment="1">
      <alignment vertical="center"/>
    </xf>
    <xf numFmtId="43" fontId="13" fillId="11" borderId="0" xfId="0" applyNumberFormat="1" applyFont="1" applyFill="1" applyBorder="1" applyAlignment="1">
      <alignment vertical="center"/>
    </xf>
    <xf numFmtId="43" fontId="13" fillId="11" borderId="0" xfId="0" applyNumberFormat="1" applyFont="1" applyFill="1" applyBorder="1" applyAlignment="1">
      <alignment horizontal="center" vertical="center"/>
    </xf>
    <xf numFmtId="43" fontId="13" fillId="11" borderId="2" xfId="0" applyNumberFormat="1" applyFont="1" applyFill="1" applyBorder="1" applyAlignment="1">
      <alignment vertical="center"/>
    </xf>
    <xf numFmtId="43" fontId="13" fillId="11" borderId="33" xfId="0" applyNumberFormat="1" applyFont="1" applyFill="1" applyBorder="1" applyAlignment="1">
      <alignment horizontal="center" vertical="center"/>
    </xf>
    <xf numFmtId="43" fontId="10" fillId="11" borderId="0" xfId="0" applyNumberFormat="1" applyFont="1" applyFill="1" applyBorder="1" applyAlignment="1">
      <alignment horizontal="center" vertical="center"/>
    </xf>
    <xf numFmtId="43" fontId="13" fillId="11" borderId="2" xfId="0" applyNumberFormat="1" applyFont="1" applyFill="1" applyBorder="1" applyAlignment="1">
      <alignment horizontal="center" vertical="center"/>
    </xf>
    <xf numFmtId="0" fontId="13" fillId="11" borderId="33" xfId="0" applyFont="1" applyFill="1" applyBorder="1" applyAlignment="1">
      <alignment vertical="center"/>
    </xf>
    <xf numFmtId="0" fontId="13" fillId="11" borderId="0" xfId="0" applyFont="1" applyFill="1" applyBorder="1" applyAlignment="1">
      <alignment vertical="center"/>
    </xf>
    <xf numFmtId="0" fontId="13" fillId="11" borderId="2" xfId="0" applyFont="1" applyFill="1" applyBorder="1" applyAlignment="1">
      <alignment vertical="center"/>
    </xf>
    <xf numFmtId="43" fontId="10" fillId="11" borderId="0" xfId="0" applyNumberFormat="1" applyFont="1" applyFill="1" applyBorder="1" applyAlignment="1">
      <alignment vertical="center"/>
    </xf>
    <xf numFmtId="172" fontId="13" fillId="11" borderId="0" xfId="0" applyNumberFormat="1" applyFont="1" applyFill="1" applyBorder="1" applyAlignment="1">
      <alignment vertical="center"/>
    </xf>
    <xf numFmtId="43" fontId="13" fillId="11" borderId="46" xfId="0" applyNumberFormat="1" applyFont="1" applyFill="1" applyBorder="1" applyAlignment="1">
      <alignment vertical="center"/>
    </xf>
    <xf numFmtId="43" fontId="13" fillId="11" borderId="18" xfId="0" applyNumberFormat="1" applyFont="1" applyFill="1" applyBorder="1" applyAlignment="1">
      <alignment vertical="center"/>
    </xf>
    <xf numFmtId="43" fontId="13" fillId="11" borderId="18" xfId="0" applyNumberFormat="1" applyFont="1" applyFill="1" applyBorder="1" applyAlignment="1">
      <alignment horizontal="center" vertical="center"/>
    </xf>
    <xf numFmtId="43" fontId="13" fillId="11" borderId="18" xfId="0" applyNumberFormat="1" applyFont="1" applyFill="1" applyBorder="1"/>
    <xf numFmtId="43" fontId="13" fillId="11" borderId="19" xfId="0" applyNumberFormat="1" applyFont="1" applyFill="1" applyBorder="1" applyAlignment="1">
      <alignment vertical="center"/>
    </xf>
    <xf numFmtId="43" fontId="10" fillId="11" borderId="33" xfId="0" applyNumberFormat="1" applyFont="1" applyFill="1" applyBorder="1" applyAlignment="1">
      <alignment vertical="center"/>
    </xf>
    <xf numFmtId="43" fontId="13" fillId="11" borderId="0" xfId="0" applyNumberFormat="1" applyFont="1" applyFill="1" applyBorder="1" applyAlignment="1">
      <alignment horizontal="left" vertical="center"/>
    </xf>
    <xf numFmtId="43" fontId="13" fillId="11" borderId="2" xfId="0" applyNumberFormat="1" applyFont="1" applyFill="1" applyBorder="1" applyAlignment="1">
      <alignment horizontal="left" vertical="center"/>
    </xf>
    <xf numFmtId="43" fontId="13" fillId="11" borderId="35" xfId="0" applyNumberFormat="1" applyFont="1" applyFill="1" applyBorder="1" applyAlignment="1">
      <alignment vertical="center"/>
    </xf>
    <xf numFmtId="43" fontId="13" fillId="11" borderId="16" xfId="0" applyNumberFormat="1" applyFont="1" applyFill="1" applyBorder="1" applyAlignment="1">
      <alignment vertical="center"/>
    </xf>
    <xf numFmtId="43" fontId="13" fillId="11" borderId="16" xfId="0" applyNumberFormat="1" applyFont="1" applyFill="1" applyBorder="1" applyAlignment="1">
      <alignment horizontal="center" vertical="center"/>
    </xf>
    <xf numFmtId="43" fontId="13" fillId="11" borderId="16" xfId="0" applyNumberFormat="1" applyFont="1" applyFill="1" applyBorder="1"/>
    <xf numFmtId="43" fontId="13" fillId="11" borderId="27" xfId="0" applyNumberFormat="1" applyFont="1" applyFill="1" applyBorder="1" applyAlignment="1">
      <alignment vertical="center"/>
    </xf>
    <xf numFmtId="174" fontId="0" fillId="11" borderId="33" xfId="1" applyNumberFormat="1" applyFont="1" applyFill="1" applyBorder="1" applyAlignment="1">
      <alignment horizontal="center"/>
    </xf>
    <xf numFmtId="174" fontId="0" fillId="11" borderId="0" xfId="1" applyNumberFormat="1" applyFont="1" applyFill="1" applyBorder="1" applyAlignment="1">
      <alignment horizontal="center"/>
    </xf>
    <xf numFmtId="174" fontId="0" fillId="11" borderId="13" xfId="1" applyNumberFormat="1" applyFont="1" applyFill="1" applyBorder="1" applyAlignment="1">
      <alignment horizontal="center"/>
    </xf>
    <xf numFmtId="174" fontId="0" fillId="11" borderId="14" xfId="1" applyNumberFormat="1" applyFont="1" applyFill="1" applyBorder="1" applyAlignment="1">
      <alignment horizontal="center"/>
    </xf>
    <xf numFmtId="174" fontId="0" fillId="11" borderId="2" xfId="1" applyNumberFormat="1" applyFont="1" applyFill="1" applyBorder="1" applyAlignment="1">
      <alignment horizontal="center"/>
    </xf>
    <xf numFmtId="174" fontId="8" fillId="11" borderId="33" xfId="1" applyNumberFormat="1" applyFont="1" applyFill="1" applyBorder="1" applyAlignment="1">
      <alignment horizontal="center"/>
    </xf>
    <xf numFmtId="174" fontId="8" fillId="11" borderId="0" xfId="1" applyNumberFormat="1" applyFont="1" applyFill="1" applyBorder="1" applyAlignment="1">
      <alignment horizontal="center"/>
    </xf>
    <xf numFmtId="174" fontId="8" fillId="11" borderId="13" xfId="1" applyNumberFormat="1" applyFont="1" applyFill="1" applyBorder="1" applyAlignment="1">
      <alignment horizontal="center"/>
    </xf>
    <xf numFmtId="174" fontId="8" fillId="11" borderId="14" xfId="1" applyNumberFormat="1" applyFont="1" applyFill="1" applyBorder="1" applyAlignment="1">
      <alignment horizontal="center"/>
    </xf>
    <xf numFmtId="174" fontId="8" fillId="11" borderId="2" xfId="1" applyNumberFormat="1" applyFont="1" applyFill="1" applyBorder="1" applyAlignment="1">
      <alignment horizontal="center"/>
    </xf>
    <xf numFmtId="174" fontId="8" fillId="11" borderId="33" xfId="0" applyNumberFormat="1" applyFont="1" applyFill="1" applyBorder="1"/>
    <xf numFmtId="174" fontId="8" fillId="11" borderId="0" xfId="0" applyNumberFormat="1" applyFont="1" applyFill="1" applyBorder="1"/>
    <xf numFmtId="174" fontId="8" fillId="11" borderId="13" xfId="0" applyNumberFormat="1" applyFont="1" applyFill="1" applyBorder="1"/>
    <xf numFmtId="174" fontId="8" fillId="11" borderId="14" xfId="0" applyNumberFormat="1" applyFont="1" applyFill="1" applyBorder="1"/>
    <xf numFmtId="174" fontId="8" fillId="11" borderId="2" xfId="0" applyNumberFormat="1" applyFont="1" applyFill="1" applyBorder="1"/>
    <xf numFmtId="173" fontId="8" fillId="11" borderId="33" xfId="0" applyNumberFormat="1" applyFont="1" applyFill="1" applyBorder="1" applyAlignment="1">
      <alignment horizontal="center"/>
    </xf>
    <xf numFmtId="173" fontId="8" fillId="11" borderId="0" xfId="0" applyNumberFormat="1" applyFont="1" applyFill="1" applyBorder="1" applyAlignment="1">
      <alignment horizontal="center"/>
    </xf>
    <xf numFmtId="173" fontId="8" fillId="11" borderId="13" xfId="0" applyNumberFormat="1" applyFont="1" applyFill="1" applyBorder="1" applyAlignment="1">
      <alignment horizontal="center"/>
    </xf>
    <xf numFmtId="173" fontId="8" fillId="11" borderId="14" xfId="0" applyNumberFormat="1" applyFont="1" applyFill="1" applyBorder="1" applyAlignment="1">
      <alignment horizontal="center"/>
    </xf>
    <xf numFmtId="173" fontId="8" fillId="11" borderId="2" xfId="0" applyNumberFormat="1" applyFont="1" applyFill="1" applyBorder="1" applyAlignment="1">
      <alignment horizontal="center"/>
    </xf>
    <xf numFmtId="0" fontId="0" fillId="11" borderId="43" xfId="0" applyFill="1" applyBorder="1"/>
    <xf numFmtId="0" fontId="0" fillId="11" borderId="4" xfId="0" applyFill="1" applyBorder="1"/>
    <xf numFmtId="0" fontId="0" fillId="11" borderId="47" xfId="0" applyFill="1" applyBorder="1"/>
    <xf numFmtId="0" fontId="0" fillId="11" borderId="32" xfId="0" applyFill="1" applyBorder="1"/>
    <xf numFmtId="0" fontId="0" fillId="11" borderId="5" xfId="0" applyFill="1" applyBorder="1"/>
    <xf numFmtId="174" fontId="0" fillId="10" borderId="33" xfId="1" applyNumberFormat="1" applyFont="1" applyFill="1" applyBorder="1" applyAlignment="1">
      <alignment horizontal="center"/>
    </xf>
    <xf numFmtId="174" fontId="0" fillId="10" borderId="0" xfId="1" applyNumberFormat="1" applyFont="1" applyFill="1" applyBorder="1" applyAlignment="1">
      <alignment horizontal="center"/>
    </xf>
    <xf numFmtId="174" fontId="0" fillId="10" borderId="13" xfId="1" applyNumberFormat="1" applyFont="1" applyFill="1" applyBorder="1" applyAlignment="1">
      <alignment horizontal="center"/>
    </xf>
    <xf numFmtId="174" fontId="0" fillId="10" borderId="14" xfId="1" applyNumberFormat="1" applyFont="1" applyFill="1" applyBorder="1" applyAlignment="1">
      <alignment horizontal="center"/>
    </xf>
    <xf numFmtId="174" fontId="0" fillId="10" borderId="36" xfId="1" applyNumberFormat="1" applyFont="1" applyFill="1" applyBorder="1" applyAlignment="1">
      <alignment horizontal="center"/>
    </xf>
    <xf numFmtId="174" fontId="8" fillId="10" borderId="33" xfId="1" applyNumberFormat="1" applyFont="1" applyFill="1" applyBorder="1" applyAlignment="1">
      <alignment horizontal="center"/>
    </xf>
    <xf numFmtId="174" fontId="8" fillId="10" borderId="0" xfId="1" applyNumberFormat="1" applyFont="1" applyFill="1" applyBorder="1" applyAlignment="1">
      <alignment horizontal="center"/>
    </xf>
    <xf numFmtId="174" fontId="8" fillId="10" borderId="13" xfId="1" applyNumberFormat="1" applyFont="1" applyFill="1" applyBorder="1" applyAlignment="1">
      <alignment horizontal="center"/>
    </xf>
    <xf numFmtId="174" fontId="8" fillId="10" borderId="14" xfId="1" applyNumberFormat="1" applyFont="1" applyFill="1" applyBorder="1" applyAlignment="1">
      <alignment horizontal="center"/>
    </xf>
    <xf numFmtId="174" fontId="8" fillId="10" borderId="36" xfId="1" applyNumberFormat="1" applyFont="1" applyFill="1" applyBorder="1" applyAlignment="1">
      <alignment horizontal="center"/>
    </xf>
    <xf numFmtId="0" fontId="0" fillId="10" borderId="33" xfId="0" applyFill="1" applyBorder="1" applyAlignment="1">
      <alignment horizontal="center"/>
    </xf>
    <xf numFmtId="0" fontId="0" fillId="10" borderId="13" xfId="0" applyFill="1" applyBorder="1" applyAlignment="1">
      <alignment horizontal="center"/>
    </xf>
    <xf numFmtId="0" fontId="0" fillId="10" borderId="36" xfId="0" applyFill="1" applyBorder="1" applyAlignment="1">
      <alignment horizontal="center"/>
    </xf>
    <xf numFmtId="174" fontId="8" fillId="10" borderId="33" xfId="0" applyNumberFormat="1" applyFont="1" applyFill="1" applyBorder="1" applyAlignment="1">
      <alignment horizontal="center"/>
    </xf>
    <xf numFmtId="174" fontId="8" fillId="10" borderId="0" xfId="0" applyNumberFormat="1" applyFont="1" applyFill="1" applyBorder="1" applyAlignment="1">
      <alignment horizontal="center"/>
    </xf>
    <xf numFmtId="174" fontId="8" fillId="10" borderId="13" xfId="0" applyNumberFormat="1" applyFont="1" applyFill="1" applyBorder="1" applyAlignment="1">
      <alignment horizontal="center"/>
    </xf>
    <xf numFmtId="174" fontId="8" fillId="10" borderId="14" xfId="0" applyNumberFormat="1" applyFont="1" applyFill="1" applyBorder="1"/>
    <xf numFmtId="174" fontId="8" fillId="10" borderId="0" xfId="0" applyNumberFormat="1" applyFont="1" applyFill="1" applyBorder="1"/>
    <xf numFmtId="174" fontId="8" fillId="10" borderId="36" xfId="0" applyNumberFormat="1" applyFont="1" applyFill="1" applyBorder="1" applyAlignment="1">
      <alignment horizontal="center"/>
    </xf>
    <xf numFmtId="0" fontId="0" fillId="10" borderId="46" xfId="0" applyFill="1" applyBorder="1" applyAlignment="1">
      <alignment horizontal="center"/>
    </xf>
    <xf numFmtId="0" fontId="0" fillId="10" borderId="18" xfId="0" applyFill="1" applyBorder="1" applyAlignment="1">
      <alignment horizontal="center"/>
    </xf>
    <xf numFmtId="0" fontId="0" fillId="10" borderId="12" xfId="0" applyFill="1" applyBorder="1" applyAlignment="1">
      <alignment horizontal="center"/>
    </xf>
    <xf numFmtId="0" fontId="0" fillId="10" borderId="41" xfId="0" applyFill="1" applyBorder="1" applyAlignment="1">
      <alignment horizontal="center"/>
    </xf>
    <xf numFmtId="173" fontId="8" fillId="10" borderId="33" xfId="0" applyNumberFormat="1" applyFont="1" applyFill="1" applyBorder="1" applyAlignment="1">
      <alignment horizontal="center"/>
    </xf>
    <xf numFmtId="173" fontId="8" fillId="10" borderId="0" xfId="0" applyNumberFormat="1" applyFont="1" applyFill="1" applyBorder="1" applyAlignment="1">
      <alignment horizontal="center"/>
    </xf>
    <xf numFmtId="173" fontId="8" fillId="10" borderId="13" xfId="0" applyNumberFormat="1" applyFont="1" applyFill="1" applyBorder="1" applyAlignment="1">
      <alignment horizontal="center"/>
    </xf>
    <xf numFmtId="173" fontId="8" fillId="10" borderId="14" xfId="0" applyNumberFormat="1" applyFont="1" applyFill="1" applyBorder="1" applyAlignment="1">
      <alignment horizontal="center"/>
    </xf>
    <xf numFmtId="173" fontId="8" fillId="10" borderId="36" xfId="0" applyNumberFormat="1" applyFont="1" applyFill="1" applyBorder="1" applyAlignment="1">
      <alignment horizontal="center"/>
    </xf>
    <xf numFmtId="0" fontId="0" fillId="10" borderId="43" xfId="0" applyFill="1" applyBorder="1" applyAlignment="1">
      <alignment horizontal="center"/>
    </xf>
    <xf numFmtId="0" fontId="0" fillId="10" borderId="47" xfId="0" applyFill="1" applyBorder="1" applyAlignment="1">
      <alignment horizontal="center"/>
    </xf>
    <xf numFmtId="0" fontId="0" fillId="10" borderId="32" xfId="0" applyFill="1" applyBorder="1"/>
    <xf numFmtId="0" fontId="0" fillId="10" borderId="4" xfId="0" applyFill="1" applyBorder="1"/>
    <xf numFmtId="0" fontId="0" fillId="10" borderId="44" xfId="0"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0" fontId="0" fillId="10" borderId="0" xfId="0" applyFill="1" applyBorder="1" applyAlignment="1">
      <alignment horizontal="center"/>
    </xf>
    <xf numFmtId="0" fontId="8" fillId="10" borderId="0" xfId="0" applyFont="1" applyFill="1" applyBorder="1" applyAlignment="1">
      <alignment horizontal="center"/>
    </xf>
    <xf numFmtId="0" fontId="8" fillId="11" borderId="0" xfId="0" applyFont="1" applyFill="1" applyBorder="1" applyAlignment="1">
      <alignment horizontal="center"/>
    </xf>
    <xf numFmtId="0" fontId="8" fillId="3" borderId="0" xfId="0" applyFont="1" applyFill="1" applyBorder="1" applyAlignment="1">
      <alignment horizontal="center"/>
    </xf>
    <xf numFmtId="0" fontId="8" fillId="7" borderId="0" xfId="0" applyFont="1" applyFill="1" applyBorder="1" applyAlignment="1">
      <alignment horizontal="center"/>
    </xf>
    <xf numFmtId="0" fontId="0" fillId="7" borderId="43" xfId="0" applyFill="1" applyBorder="1"/>
    <xf numFmtId="0" fontId="0" fillId="10" borderId="43" xfId="0" applyFill="1" applyBorder="1"/>
    <xf numFmtId="0" fontId="0" fillId="10" borderId="44" xfId="0" applyFill="1" applyBorder="1"/>
    <xf numFmtId="43" fontId="8" fillId="7" borderId="18" xfId="1" applyNumberFormat="1" applyFont="1" applyFill="1" applyBorder="1"/>
    <xf numFmtId="43" fontId="8" fillId="7" borderId="18" xfId="0" applyNumberFormat="1" applyFont="1" applyFill="1" applyBorder="1"/>
    <xf numFmtId="43" fontId="8" fillId="3" borderId="46" xfId="0" applyNumberFormat="1" applyFont="1" applyFill="1" applyBorder="1"/>
    <xf numFmtId="43" fontId="8" fillId="3" borderId="18" xfId="1" applyNumberFormat="1" applyFont="1" applyFill="1" applyBorder="1"/>
    <xf numFmtId="43" fontId="8" fillId="3" borderId="18" xfId="0" applyNumberFormat="1" applyFont="1" applyFill="1" applyBorder="1"/>
    <xf numFmtId="43" fontId="8" fillId="10" borderId="46" xfId="0" applyNumberFormat="1" applyFont="1" applyFill="1" applyBorder="1"/>
    <xf numFmtId="43" fontId="8" fillId="10" borderId="18" xfId="1" applyNumberFormat="1" applyFont="1" applyFill="1" applyBorder="1"/>
    <xf numFmtId="43" fontId="8" fillId="10" borderId="18" xfId="0" applyNumberFormat="1" applyFont="1" applyFill="1" applyBorder="1"/>
    <xf numFmtId="43" fontId="8" fillId="10" borderId="41" xfId="0" applyNumberFormat="1" applyFont="1" applyFill="1" applyBorder="1"/>
    <xf numFmtId="43" fontId="8" fillId="11" borderId="18" xfId="0" applyNumberFormat="1" applyFont="1" applyFill="1" applyBorder="1"/>
    <xf numFmtId="43" fontId="8" fillId="11" borderId="18" xfId="1" applyNumberFormat="1" applyFont="1" applyFill="1" applyBorder="1"/>
    <xf numFmtId="0" fontId="8" fillId="11" borderId="18" xfId="0" applyFont="1" applyFill="1" applyBorder="1"/>
    <xf numFmtId="43" fontId="7" fillId="11" borderId="0" xfId="0" applyNumberFormat="1" applyFont="1" applyFill="1" applyBorder="1"/>
    <xf numFmtId="43" fontId="0" fillId="7" borderId="33" xfId="1" applyFont="1" applyFill="1" applyBorder="1"/>
    <xf numFmtId="43" fontId="0" fillId="7" borderId="0" xfId="1" applyFont="1" applyFill="1"/>
    <xf numFmtId="43" fontId="7" fillId="7" borderId="0" xfId="1" applyFont="1" applyFill="1"/>
    <xf numFmtId="43" fontId="0" fillId="7" borderId="0" xfId="1" applyFont="1" applyFill="1" applyBorder="1"/>
    <xf numFmtId="43" fontId="7" fillId="7" borderId="0" xfId="1" applyFont="1" applyFill="1" applyBorder="1"/>
    <xf numFmtId="43" fontId="0" fillId="3" borderId="33" xfId="1" applyFont="1" applyFill="1" applyBorder="1"/>
    <xf numFmtId="43" fontId="0" fillId="3" borderId="0" xfId="1" applyFont="1" applyFill="1"/>
    <xf numFmtId="43" fontId="7" fillId="3" borderId="0" xfId="1" applyFont="1" applyFill="1"/>
    <xf numFmtId="43" fontId="0" fillId="3" borderId="0" xfId="1" applyFont="1" applyFill="1" applyBorder="1"/>
    <xf numFmtId="43" fontId="7" fillId="3" borderId="0" xfId="1" applyFont="1" applyFill="1" applyBorder="1"/>
    <xf numFmtId="43" fontId="0" fillId="10" borderId="33" xfId="1" applyFont="1" applyFill="1" applyBorder="1"/>
    <xf numFmtId="43" fontId="0" fillId="10" borderId="0" xfId="1" applyFont="1" applyFill="1"/>
    <xf numFmtId="43" fontId="7" fillId="10" borderId="0" xfId="1" applyFont="1" applyFill="1"/>
    <xf numFmtId="43" fontId="0" fillId="10" borderId="0" xfId="1" applyFont="1" applyFill="1" applyBorder="1"/>
    <xf numFmtId="43" fontId="7" fillId="10" borderId="0" xfId="1" applyFont="1" applyFill="1" applyBorder="1"/>
    <xf numFmtId="43" fontId="0" fillId="10" borderId="36" xfId="1" applyFont="1" applyFill="1" applyBorder="1"/>
    <xf numFmtId="43" fontId="0" fillId="11" borderId="0" xfId="1" applyFont="1" applyFill="1" applyBorder="1"/>
    <xf numFmtId="43" fontId="0" fillId="11" borderId="0" xfId="1" applyFont="1" applyFill="1"/>
    <xf numFmtId="43" fontId="7" fillId="11" borderId="0" xfId="1" applyFont="1" applyFill="1"/>
    <xf numFmtId="43" fontId="7" fillId="11" borderId="0" xfId="1" applyFont="1" applyFill="1" applyBorder="1"/>
    <xf numFmtId="43" fontId="0" fillId="11" borderId="2" xfId="1" applyFont="1" applyFill="1" applyBorder="1"/>
    <xf numFmtId="0" fontId="7" fillId="6" borderId="45" xfId="0" applyNumberFormat="1" applyFont="1" applyFill="1" applyBorder="1" applyAlignment="1">
      <alignment horizontal="left" indent="1"/>
    </xf>
    <xf numFmtId="0" fontId="7" fillId="6" borderId="26" xfId="0" applyNumberFormat="1" applyFont="1" applyFill="1" applyBorder="1" applyAlignment="1">
      <alignment horizontal="left" indent="1"/>
    </xf>
    <xf numFmtId="0" fontId="38" fillId="6" borderId="1" xfId="0" quotePrefix="1" applyFont="1" applyFill="1" applyBorder="1" applyAlignment="1">
      <alignment horizontal="left" indent="2"/>
    </xf>
    <xf numFmtId="166" fontId="0" fillId="10" borderId="0" xfId="1" applyNumberFormat="1" applyFont="1" applyFill="1"/>
    <xf numFmtId="167" fontId="0" fillId="10" borderId="0" xfId="1" applyNumberFormat="1" applyFont="1" applyFill="1"/>
    <xf numFmtId="167" fontId="7" fillId="10" borderId="0" xfId="1" applyNumberFormat="1" applyFont="1" applyFill="1" applyBorder="1"/>
    <xf numFmtId="173" fontId="0" fillId="10" borderId="0" xfId="1" applyNumberFormat="1" applyFont="1" applyFill="1" applyBorder="1"/>
    <xf numFmtId="167" fontId="7" fillId="11" borderId="0" xfId="1" applyNumberFormat="1" applyFont="1" applyFill="1" applyBorder="1"/>
    <xf numFmtId="173" fontId="0" fillId="11" borderId="0" xfId="1" applyNumberFormat="1" applyFont="1" applyFill="1" applyBorder="1"/>
    <xf numFmtId="166" fontId="0" fillId="11" borderId="0" xfId="1" applyNumberFormat="1" applyFont="1" applyFill="1"/>
    <xf numFmtId="167" fontId="0" fillId="11" borderId="0" xfId="1" applyNumberFormat="1" applyFont="1" applyFill="1"/>
    <xf numFmtId="2" fontId="8" fillId="7" borderId="14" xfId="0" applyNumberFormat="1" applyFont="1" applyFill="1" applyBorder="1" applyAlignment="1">
      <alignment horizontal="center"/>
    </xf>
    <xf numFmtId="2" fontId="8" fillId="3" borderId="0" xfId="0" applyNumberFormat="1" applyFont="1" applyFill="1" applyBorder="1" applyAlignment="1">
      <alignment horizontal="center"/>
    </xf>
    <xf numFmtId="2" fontId="8" fillId="10" borderId="0" xfId="0" applyNumberFormat="1" applyFont="1" applyFill="1" applyBorder="1" applyAlignment="1">
      <alignment horizontal="center"/>
    </xf>
    <xf numFmtId="2" fontId="8" fillId="11" borderId="13" xfId="0" applyNumberFormat="1" applyFont="1" applyFill="1" applyBorder="1" applyAlignment="1">
      <alignment horizontal="center"/>
    </xf>
    <xf numFmtId="0" fontId="8" fillId="6" borderId="1" xfId="0" applyFont="1" applyFill="1" applyBorder="1" applyAlignment="1">
      <alignment wrapText="1"/>
    </xf>
    <xf numFmtId="0" fontId="8" fillId="6" borderId="0" xfId="0" applyFont="1" applyFill="1" applyBorder="1" applyAlignment="1">
      <alignment horizontal="left" wrapText="1"/>
    </xf>
    <xf numFmtId="0" fontId="8" fillId="0" borderId="14" xfId="0" applyFont="1" applyFill="1" applyBorder="1" applyAlignment="1" applyProtection="1">
      <alignment wrapText="1"/>
      <protection locked="0"/>
    </xf>
    <xf numFmtId="0" fontId="8" fillId="0" borderId="0" xfId="0" applyFont="1" applyFill="1" applyBorder="1" applyAlignment="1" applyProtection="1">
      <alignment wrapText="1"/>
      <protection locked="0"/>
    </xf>
    <xf numFmtId="0" fontId="8" fillId="0" borderId="2" xfId="0" applyFont="1" applyFill="1" applyBorder="1" applyAlignment="1" applyProtection="1">
      <alignment wrapText="1"/>
      <protection locked="0"/>
    </xf>
    <xf numFmtId="0" fontId="8" fillId="0" borderId="0" xfId="0" applyFont="1" applyFill="1" applyAlignment="1">
      <alignment wrapText="1"/>
    </xf>
    <xf numFmtId="2" fontId="8" fillId="7" borderId="14" xfId="0" applyNumberFormat="1" applyFont="1" applyFill="1" applyBorder="1" applyAlignment="1">
      <alignment horizontal="left"/>
    </xf>
    <xf numFmtId="0" fontId="0" fillId="0" borderId="93" xfId="0" applyBorder="1" applyAlignment="1">
      <alignment horizontal="center"/>
    </xf>
    <xf numFmtId="0" fontId="17" fillId="0" borderId="0" xfId="0" applyFont="1"/>
    <xf numFmtId="0" fontId="17" fillId="0" borderId="0" xfId="0" applyFont="1" applyAlignment="1">
      <alignment horizontal="right"/>
    </xf>
    <xf numFmtId="0" fontId="8" fillId="5" borderId="13" xfId="0" applyFont="1" applyFill="1" applyBorder="1" applyAlignment="1">
      <alignment horizontal="left"/>
    </xf>
    <xf numFmtId="169" fontId="8" fillId="7" borderId="14" xfId="0" applyNumberFormat="1" applyFont="1" applyFill="1" applyBorder="1"/>
    <xf numFmtId="169" fontId="8" fillId="7" borderId="36" xfId="0" applyNumberFormat="1" applyFont="1" applyFill="1" applyBorder="1"/>
    <xf numFmtId="169" fontId="8" fillId="3" borderId="14" xfId="0" applyNumberFormat="1" applyFont="1" applyFill="1" applyBorder="1"/>
    <xf numFmtId="169" fontId="8" fillId="3" borderId="2" xfId="0" applyNumberFormat="1" applyFont="1" applyFill="1" applyBorder="1"/>
    <xf numFmtId="0" fontId="8" fillId="5" borderId="13" xfId="0" applyFont="1" applyFill="1" applyBorder="1"/>
    <xf numFmtId="170" fontId="8" fillId="7" borderId="33" xfId="0" applyNumberFormat="1" applyFont="1" applyFill="1" applyBorder="1"/>
    <xf numFmtId="170" fontId="8" fillId="7" borderId="14" xfId="0" applyNumberFormat="1" applyFont="1" applyFill="1" applyBorder="1"/>
    <xf numFmtId="170" fontId="8" fillId="7" borderId="36" xfId="0" applyNumberFormat="1" applyFont="1" applyFill="1" applyBorder="1"/>
    <xf numFmtId="170" fontId="8" fillId="3" borderId="33" xfId="0" applyNumberFormat="1" applyFont="1" applyFill="1" applyBorder="1"/>
    <xf numFmtId="170" fontId="8" fillId="3" borderId="14" xfId="0" applyNumberFormat="1" applyFont="1" applyFill="1" applyBorder="1"/>
    <xf numFmtId="170" fontId="8" fillId="3" borderId="2" xfId="0" applyNumberFormat="1" applyFont="1" applyFill="1" applyBorder="1"/>
    <xf numFmtId="171" fontId="47" fillId="7" borderId="33" xfId="0" applyNumberFormat="1" applyFont="1" applyFill="1" applyBorder="1"/>
    <xf numFmtId="171" fontId="47" fillId="3" borderId="33" xfId="0" applyNumberFormat="1" applyFont="1" applyFill="1" applyBorder="1"/>
    <xf numFmtId="171" fontId="8" fillId="7" borderId="33" xfId="0" applyNumberFormat="1" applyFont="1" applyFill="1" applyBorder="1"/>
    <xf numFmtId="171" fontId="8" fillId="3" borderId="33" xfId="0" applyNumberFormat="1" applyFont="1" applyFill="1" applyBorder="1"/>
    <xf numFmtId="0" fontId="9" fillId="10" borderId="18" xfId="0" applyFont="1" applyFill="1" applyBorder="1" applyAlignment="1">
      <alignment horizontal="center" vertical="center"/>
    </xf>
    <xf numFmtId="169" fontId="8" fillId="10" borderId="14" xfId="0" applyNumberFormat="1" applyFont="1" applyFill="1" applyBorder="1"/>
    <xf numFmtId="169" fontId="8" fillId="10" borderId="36" xfId="0" applyNumberFormat="1" applyFont="1" applyFill="1" applyBorder="1"/>
    <xf numFmtId="170" fontId="8" fillId="10" borderId="33" xfId="0" applyNumberFormat="1" applyFont="1" applyFill="1" applyBorder="1"/>
    <xf numFmtId="170" fontId="8" fillId="10" borderId="14" xfId="0" applyNumberFormat="1" applyFont="1" applyFill="1" applyBorder="1"/>
    <xf numFmtId="170" fontId="8" fillId="10" borderId="36" xfId="0" applyNumberFormat="1" applyFont="1" applyFill="1" applyBorder="1"/>
    <xf numFmtId="171" fontId="47" fillId="10" borderId="33" xfId="0" applyNumberFormat="1" applyFont="1" applyFill="1" applyBorder="1"/>
    <xf numFmtId="171" fontId="8" fillId="10" borderId="33" xfId="0" applyNumberFormat="1" applyFont="1" applyFill="1" applyBorder="1"/>
    <xf numFmtId="0" fontId="9" fillId="11" borderId="18" xfId="0" applyFont="1" applyFill="1" applyBorder="1" applyAlignment="1">
      <alignment horizontal="center" vertical="center"/>
    </xf>
    <xf numFmtId="0" fontId="0" fillId="11" borderId="18" xfId="0" applyFill="1" applyBorder="1" applyAlignment="1">
      <alignment horizontal="center"/>
    </xf>
    <xf numFmtId="169" fontId="8" fillId="11" borderId="14" xfId="0" applyNumberFormat="1" applyFont="1" applyFill="1" applyBorder="1"/>
    <xf numFmtId="169" fontId="8" fillId="11" borderId="2" xfId="0" applyNumberFormat="1" applyFont="1" applyFill="1" applyBorder="1"/>
    <xf numFmtId="170" fontId="8" fillId="11" borderId="33" xfId="0" applyNumberFormat="1" applyFont="1" applyFill="1" applyBorder="1"/>
    <xf numFmtId="170" fontId="8" fillId="11" borderId="0" xfId="0" applyNumberFormat="1" applyFont="1" applyFill="1" applyBorder="1"/>
    <xf numFmtId="170" fontId="8" fillId="11" borderId="14" xfId="0" applyNumberFormat="1" applyFont="1" applyFill="1" applyBorder="1"/>
    <xf numFmtId="170" fontId="8" fillId="11" borderId="2" xfId="0" applyNumberFormat="1" applyFont="1" applyFill="1" applyBorder="1"/>
    <xf numFmtId="171" fontId="47" fillId="11" borderId="33" xfId="0" applyNumberFormat="1" applyFont="1" applyFill="1" applyBorder="1"/>
    <xf numFmtId="171" fontId="47" fillId="11" borderId="0" xfId="0" applyNumberFormat="1" applyFont="1" applyFill="1" applyBorder="1"/>
    <xf numFmtId="171" fontId="8" fillId="11" borderId="33" xfId="0" applyNumberFormat="1" applyFont="1" applyFill="1" applyBorder="1"/>
    <xf numFmtId="171" fontId="8" fillId="11" borderId="0" xfId="0" applyNumberFormat="1" applyFont="1" applyFill="1" applyBorder="1"/>
    <xf numFmtId="2" fontId="0" fillId="11" borderId="0" xfId="0" applyNumberFormat="1" applyFill="1" applyBorder="1" applyAlignment="1">
      <alignment horizontal="center"/>
    </xf>
    <xf numFmtId="0" fontId="7" fillId="6" borderId="1" xfId="1" applyNumberFormat="1" applyFont="1" applyFill="1" applyBorder="1" applyAlignment="1">
      <alignment horizontal="left" indent="1"/>
    </xf>
    <xf numFmtId="43" fontId="7" fillId="11" borderId="2" xfId="1" applyFont="1" applyFill="1" applyBorder="1"/>
    <xf numFmtId="0" fontId="7" fillId="7" borderId="0" xfId="0" applyNumberFormat="1" applyFont="1" applyFill="1"/>
    <xf numFmtId="0" fontId="0" fillId="7" borderId="16" xfId="0" applyNumberFormat="1" applyFill="1" applyBorder="1"/>
    <xf numFmtId="0" fontId="7" fillId="3" borderId="0" xfId="0" applyNumberFormat="1" applyFont="1" applyFill="1"/>
    <xf numFmtId="0" fontId="0" fillId="3" borderId="16" xfId="0" applyNumberFormat="1" applyFill="1" applyBorder="1"/>
    <xf numFmtId="0" fontId="0" fillId="10" borderId="16" xfId="0" applyNumberFormat="1" applyFill="1" applyBorder="1"/>
    <xf numFmtId="0" fontId="0" fillId="11" borderId="16" xfId="0" applyNumberFormat="1" applyFill="1" applyBorder="1"/>
    <xf numFmtId="0" fontId="8" fillId="11" borderId="18" xfId="0" applyNumberFormat="1" applyFont="1" applyFill="1" applyBorder="1"/>
    <xf numFmtId="0" fontId="8" fillId="10" borderId="18" xfId="0" applyNumberFormat="1" applyFont="1" applyFill="1" applyBorder="1"/>
    <xf numFmtId="0" fontId="8" fillId="3" borderId="18" xfId="0" applyNumberFormat="1" applyFont="1" applyFill="1" applyBorder="1"/>
    <xf numFmtId="0" fontId="8" fillId="7" borderId="18" xfId="0" applyNumberFormat="1" applyFont="1" applyFill="1" applyBorder="1"/>
    <xf numFmtId="0" fontId="7" fillId="7" borderId="0" xfId="1" applyNumberFormat="1" applyFont="1" applyFill="1"/>
    <xf numFmtId="0" fontId="7" fillId="7" borderId="0" xfId="1" applyNumberFormat="1" applyFont="1" applyFill="1" applyBorder="1"/>
    <xf numFmtId="0" fontId="7" fillId="3" borderId="0" xfId="1" applyNumberFormat="1" applyFont="1" applyFill="1"/>
    <xf numFmtId="0" fontId="7" fillId="3" borderId="0" xfId="1" applyNumberFormat="1" applyFont="1" applyFill="1" applyBorder="1"/>
    <xf numFmtId="0" fontId="7" fillId="10" borderId="0" xfId="1" applyNumberFormat="1" applyFont="1" applyFill="1"/>
    <xf numFmtId="0" fontId="7" fillId="10" borderId="0" xfId="1" applyNumberFormat="1" applyFont="1" applyFill="1" applyBorder="1"/>
    <xf numFmtId="0" fontId="7" fillId="11" borderId="0" xfId="1" applyNumberFormat="1" applyFont="1" applyFill="1"/>
    <xf numFmtId="0" fontId="7" fillId="11" borderId="0" xfId="1" applyNumberFormat="1" applyFont="1" applyFill="1" applyBorder="1"/>
    <xf numFmtId="0" fontId="13" fillId="7" borderId="33" xfId="0" applyFont="1" applyFill="1" applyBorder="1" applyAlignment="1" applyProtection="1">
      <alignment horizontal="left" vertical="center" wrapText="1"/>
    </xf>
    <xf numFmtId="164" fontId="13" fillId="7" borderId="0" xfId="1" applyNumberFormat="1" applyFont="1" applyFill="1" applyBorder="1" applyProtection="1"/>
    <xf numFmtId="164" fontId="13" fillId="7" borderId="14" xfId="1" applyNumberFormat="1" applyFont="1" applyFill="1" applyBorder="1" applyProtection="1"/>
    <xf numFmtId="0" fontId="13" fillId="7" borderId="0" xfId="0" applyFont="1" applyFill="1" applyBorder="1" applyAlignment="1" applyProtection="1">
      <alignment horizontal="center"/>
    </xf>
    <xf numFmtId="164" fontId="13" fillId="7" borderId="36" xfId="1" applyNumberFormat="1" applyFont="1" applyFill="1" applyBorder="1" applyProtection="1"/>
    <xf numFmtId="0" fontId="13" fillId="3" borderId="33" xfId="0" applyFont="1" applyFill="1" applyBorder="1" applyAlignment="1" applyProtection="1">
      <alignment horizontal="left" vertical="center" wrapText="1"/>
    </xf>
    <xf numFmtId="164" fontId="13" fillId="3" borderId="0" xfId="1" applyNumberFormat="1" applyFont="1" applyFill="1" applyBorder="1" applyProtection="1"/>
    <xf numFmtId="164" fontId="13" fillId="3" borderId="14" xfId="1" applyNumberFormat="1" applyFont="1" applyFill="1" applyBorder="1" applyProtection="1"/>
    <xf numFmtId="0" fontId="13" fillId="3" borderId="0" xfId="0" applyFont="1" applyFill="1" applyBorder="1" applyAlignment="1" applyProtection="1">
      <alignment horizontal="center"/>
    </xf>
    <xf numFmtId="164" fontId="13" fillId="3" borderId="2" xfId="1" applyNumberFormat="1" applyFont="1" applyFill="1" applyBorder="1" applyProtection="1"/>
    <xf numFmtId="164" fontId="7" fillId="5" borderId="14" xfId="1" applyNumberFormat="1" applyFont="1" applyFill="1" applyBorder="1" applyAlignment="1" applyProtection="1">
      <alignment horizontal="center"/>
      <protection locked="0"/>
    </xf>
    <xf numFmtId="0" fontId="36" fillId="6" borderId="1" xfId="0" applyFont="1" applyFill="1" applyBorder="1" applyAlignment="1">
      <alignment horizontal="left"/>
    </xf>
    <xf numFmtId="0" fontId="11" fillId="14" borderId="68" xfId="0" applyFont="1" applyFill="1" applyBorder="1" applyAlignment="1">
      <alignment horizontal="center" vertical="center" wrapText="1"/>
    </xf>
    <xf numFmtId="0" fontId="36" fillId="6" borderId="1" xfId="0" applyFont="1" applyFill="1" applyBorder="1" applyAlignment="1">
      <alignment horizontal="left" wrapText="1"/>
    </xf>
    <xf numFmtId="0" fontId="36" fillId="6" borderId="45" xfId="0" applyFont="1" applyFill="1" applyBorder="1" applyAlignment="1">
      <alignment horizontal="left"/>
    </xf>
    <xf numFmtId="0" fontId="7" fillId="0" borderId="25" xfId="0" applyFont="1" applyFill="1" applyBorder="1" applyAlignment="1">
      <alignment wrapText="1"/>
    </xf>
    <xf numFmtId="0" fontId="7" fillId="0" borderId="2" xfId="0" applyFont="1" applyFill="1" applyBorder="1" applyAlignment="1">
      <alignment wrapText="1"/>
    </xf>
    <xf numFmtId="0" fontId="7" fillId="0" borderId="27" xfId="0" applyFont="1" applyFill="1" applyBorder="1" applyAlignment="1">
      <alignment wrapText="1"/>
    </xf>
    <xf numFmtId="10" fontId="7" fillId="0" borderId="33" xfId="4" applyNumberFormat="1" applyFont="1" applyBorder="1" applyAlignment="1" applyProtection="1">
      <alignment horizontal="center"/>
      <protection locked="0"/>
    </xf>
    <xf numFmtId="10" fontId="7" fillId="0" borderId="0" xfId="4" applyNumberFormat="1" applyBorder="1" applyAlignment="1" applyProtection="1">
      <alignment horizontal="center"/>
      <protection locked="0"/>
    </xf>
    <xf numFmtId="10" fontId="7" fillId="0" borderId="13" xfId="4" applyNumberFormat="1" applyBorder="1" applyAlignment="1" applyProtection="1">
      <alignment horizontal="center"/>
      <protection locked="0"/>
    </xf>
    <xf numFmtId="10" fontId="7" fillId="0" borderId="0" xfId="4" applyNumberFormat="1" applyFont="1" applyBorder="1" applyAlignment="1" applyProtection="1">
      <alignment horizontal="center"/>
      <protection locked="0"/>
    </xf>
    <xf numFmtId="10" fontId="7" fillId="0" borderId="33" xfId="4" applyNumberFormat="1" applyBorder="1" applyAlignment="1" applyProtection="1">
      <alignment horizontal="center"/>
      <protection locked="0"/>
    </xf>
    <xf numFmtId="10" fontId="0" fillId="0" borderId="33" xfId="4" applyNumberFormat="1" applyFont="1" applyBorder="1" applyAlignment="1" applyProtection="1">
      <alignment horizontal="center"/>
      <protection locked="0"/>
    </xf>
    <xf numFmtId="10" fontId="0" fillId="0" borderId="0" xfId="4" applyNumberFormat="1" applyFont="1" applyBorder="1" applyAlignment="1" applyProtection="1">
      <alignment horizontal="center"/>
      <protection locked="0"/>
    </xf>
    <xf numFmtId="10" fontId="0" fillId="0" borderId="13" xfId="4" applyNumberFormat="1" applyFont="1" applyBorder="1" applyAlignment="1" applyProtection="1">
      <alignment horizontal="center"/>
      <protection locked="0"/>
    </xf>
    <xf numFmtId="0" fontId="7" fillId="7" borderId="0" xfId="1" applyNumberFormat="1" applyFont="1" applyFill="1" applyBorder="1" applyAlignment="1" applyProtection="1">
      <alignment horizontal="center"/>
    </xf>
    <xf numFmtId="0" fontId="7" fillId="3" borderId="0" xfId="1" applyNumberFormat="1" applyFont="1" applyFill="1" applyBorder="1" applyAlignment="1" applyProtection="1">
      <alignment horizontal="center"/>
    </xf>
    <xf numFmtId="0" fontId="7" fillId="10" borderId="0" xfId="1" applyNumberFormat="1" applyFont="1" applyFill="1" applyBorder="1" applyAlignment="1" applyProtection="1">
      <alignment horizontal="center"/>
    </xf>
    <xf numFmtId="0" fontId="7" fillId="11" borderId="0" xfId="1" applyNumberFormat="1" applyFont="1" applyFill="1" applyBorder="1" applyAlignment="1" applyProtection="1">
      <alignment horizontal="center"/>
    </xf>
    <xf numFmtId="0" fontId="12" fillId="0" borderId="0" xfId="15" applyFont="1" applyFill="1" applyBorder="1" applyAlignment="1">
      <alignment wrapText="1"/>
    </xf>
    <xf numFmtId="0" fontId="7" fillId="0" borderId="0" xfId="15" applyFill="1" applyBorder="1"/>
    <xf numFmtId="0" fontId="7" fillId="0" borderId="0" xfId="15" applyBorder="1"/>
    <xf numFmtId="0" fontId="7" fillId="0" borderId="0" xfId="15"/>
    <xf numFmtId="0" fontId="16" fillId="6" borderId="1" xfId="15" applyFont="1" applyFill="1" applyBorder="1"/>
    <xf numFmtId="0" fontId="16" fillId="6" borderId="26" xfId="15" applyFont="1" applyFill="1" applyBorder="1" applyAlignment="1">
      <alignment horizontal="right"/>
    </xf>
    <xf numFmtId="0" fontId="10" fillId="6" borderId="1" xfId="15" applyFont="1" applyFill="1" applyBorder="1" applyAlignment="1">
      <alignment vertical="center"/>
    </xf>
    <xf numFmtId="0" fontId="7" fillId="10" borderId="33" xfId="15" applyFill="1" applyBorder="1"/>
    <xf numFmtId="0" fontId="7" fillId="10" borderId="0" xfId="15" applyFill="1" applyBorder="1"/>
    <xf numFmtId="0" fontId="7" fillId="11" borderId="33" xfId="15" applyFill="1" applyBorder="1"/>
    <xf numFmtId="0" fontId="7" fillId="11" borderId="0" xfId="15" applyFill="1" applyBorder="1"/>
    <xf numFmtId="0" fontId="7" fillId="6" borderId="1" xfId="15" applyFill="1" applyBorder="1"/>
    <xf numFmtId="0" fontId="8" fillId="10" borderId="33" xfId="15" applyFont="1" applyFill="1" applyBorder="1" applyAlignment="1">
      <alignment vertical="center" wrapText="1"/>
    </xf>
    <xf numFmtId="0" fontId="8" fillId="10" borderId="0" xfId="15" applyFont="1" applyFill="1" applyBorder="1" applyAlignment="1">
      <alignment vertical="center" wrapText="1"/>
    </xf>
    <xf numFmtId="0" fontId="8" fillId="10" borderId="0" xfId="15" applyFont="1" applyFill="1" applyBorder="1" applyAlignment="1">
      <alignment horizontal="center" wrapText="1"/>
    </xf>
    <xf numFmtId="0" fontId="8" fillId="11" borderId="33" xfId="15" applyFont="1" applyFill="1" applyBorder="1" applyAlignment="1">
      <alignment wrapText="1"/>
    </xf>
    <xf numFmtId="0" fontId="8" fillId="11" borderId="0" xfId="15" applyFont="1" applyFill="1" applyBorder="1" applyAlignment="1">
      <alignment wrapText="1"/>
    </xf>
    <xf numFmtId="0" fontId="9" fillId="6" borderId="1" xfId="15" applyFont="1" applyFill="1" applyBorder="1"/>
    <xf numFmtId="0" fontId="8" fillId="11" borderId="16" xfId="15" applyFont="1" applyFill="1" applyBorder="1" applyAlignment="1">
      <alignment horizontal="center" wrapText="1"/>
    </xf>
    <xf numFmtId="0" fontId="9" fillId="11" borderId="0" xfId="15" applyFont="1" applyFill="1" applyBorder="1" applyAlignment="1">
      <alignment horizontal="center"/>
    </xf>
    <xf numFmtId="0" fontId="7" fillId="10" borderId="14" xfId="15" applyFill="1" applyBorder="1"/>
    <xf numFmtId="0" fontId="7" fillId="11" borderId="0" xfId="15" applyFill="1" applyBorder="1" applyAlignment="1">
      <alignment horizontal="center"/>
    </xf>
    <xf numFmtId="0" fontId="7" fillId="11" borderId="14" xfId="15" applyFill="1" applyBorder="1"/>
    <xf numFmtId="0" fontId="7" fillId="11" borderId="2" xfId="15" applyFill="1" applyBorder="1"/>
    <xf numFmtId="0" fontId="7" fillId="6" borderId="1" xfId="15" applyFont="1" applyFill="1" applyBorder="1" applyAlignment="1">
      <alignment horizontal="left" indent="2"/>
    </xf>
    <xf numFmtId="0" fontId="7" fillId="10" borderId="0" xfId="15" applyFill="1" applyBorder="1" applyAlignment="1">
      <alignment horizontal="center"/>
    </xf>
    <xf numFmtId="0" fontId="9" fillId="10" borderId="14" xfId="15" applyFont="1" applyFill="1" applyBorder="1" applyAlignment="1">
      <alignment vertical="center"/>
    </xf>
    <xf numFmtId="0" fontId="7" fillId="5" borderId="23" xfId="15" applyFill="1" applyBorder="1" applyAlignment="1" applyProtection="1">
      <alignment horizontal="center"/>
      <protection locked="0"/>
    </xf>
    <xf numFmtId="0" fontId="9" fillId="11" borderId="14" xfId="15" applyFont="1" applyFill="1" applyBorder="1" applyAlignment="1">
      <alignment vertical="center"/>
    </xf>
    <xf numFmtId="0" fontId="7" fillId="10" borderId="0" xfId="15" applyFill="1" applyBorder="1" applyAlignment="1" applyProtection="1">
      <alignment horizontal="center"/>
    </xf>
    <xf numFmtId="0" fontId="7" fillId="11" borderId="0" xfId="15" applyFill="1" applyBorder="1" applyAlignment="1" applyProtection="1">
      <alignment horizontal="center"/>
    </xf>
    <xf numFmtId="0" fontId="7" fillId="10" borderId="0" xfId="15" applyFill="1" applyBorder="1" applyProtection="1"/>
    <xf numFmtId="0" fontId="7" fillId="11" borderId="0" xfId="15" applyFill="1" applyBorder="1" applyProtection="1"/>
    <xf numFmtId="0" fontId="7" fillId="10" borderId="0" xfId="15" applyFont="1" applyFill="1" applyBorder="1"/>
    <xf numFmtId="0" fontId="7" fillId="11" borderId="0" xfId="15" applyFont="1" applyFill="1" applyBorder="1"/>
    <xf numFmtId="0" fontId="7" fillId="6" borderId="1" xfId="15" applyFill="1" applyBorder="1" applyAlignment="1">
      <alignment horizontal="left" indent="2"/>
    </xf>
    <xf numFmtId="1" fontId="7" fillId="10" borderId="0" xfId="15" applyNumberFormat="1" applyFill="1" applyBorder="1" applyAlignment="1">
      <alignment horizontal="center"/>
    </xf>
    <xf numFmtId="1" fontId="7" fillId="11" borderId="0" xfId="15" applyNumberFormat="1" applyFill="1" applyBorder="1" applyAlignment="1">
      <alignment horizontal="center"/>
    </xf>
    <xf numFmtId="164" fontId="7" fillId="10" borderId="14" xfId="15" applyNumberFormat="1" applyFont="1" applyFill="1" applyBorder="1" applyAlignment="1">
      <alignment horizontal="right"/>
    </xf>
    <xf numFmtId="164" fontId="7" fillId="11" borderId="14" xfId="15" applyNumberFormat="1" applyFont="1" applyFill="1" applyBorder="1" applyAlignment="1">
      <alignment horizontal="right"/>
    </xf>
    <xf numFmtId="0" fontId="7" fillId="6" borderId="45" xfId="15" applyFont="1" applyFill="1" applyBorder="1" applyAlignment="1">
      <alignment horizontal="left" indent="2"/>
    </xf>
    <xf numFmtId="0" fontId="7" fillId="10" borderId="0" xfId="15" applyFill="1"/>
    <xf numFmtId="0" fontId="7" fillId="10" borderId="0" xfId="15" applyFont="1" applyFill="1" applyBorder="1" applyAlignment="1">
      <alignment wrapText="1"/>
    </xf>
    <xf numFmtId="0" fontId="30" fillId="11" borderId="0" xfId="15" applyFont="1" applyFill="1" applyBorder="1" applyAlignment="1">
      <alignment wrapText="1"/>
    </xf>
    <xf numFmtId="0" fontId="8" fillId="6" borderId="1" xfId="15" applyFont="1" applyFill="1" applyBorder="1" applyAlignment="1">
      <alignment horizontal="right" indent="2"/>
    </xf>
    <xf numFmtId="0" fontId="8" fillId="10" borderId="0" xfId="15" applyFont="1" applyFill="1" applyBorder="1" applyAlignment="1">
      <alignment wrapText="1"/>
    </xf>
    <xf numFmtId="0" fontId="7" fillId="10" borderId="0" xfId="15" applyFont="1" applyFill="1" applyBorder="1" applyProtection="1"/>
    <xf numFmtId="0" fontId="8" fillId="11" borderId="0" xfId="15" applyFont="1" applyFill="1" applyBorder="1" applyAlignment="1">
      <alignment horizontal="center" wrapText="1"/>
    </xf>
    <xf numFmtId="0" fontId="7" fillId="6" borderId="26" xfId="15" applyFill="1" applyBorder="1"/>
    <xf numFmtId="0" fontId="7" fillId="10" borderId="35" xfId="15" applyFill="1" applyBorder="1"/>
    <xf numFmtId="0" fontId="7" fillId="10" borderId="16" xfId="15" applyFill="1" applyBorder="1"/>
    <xf numFmtId="0" fontId="7" fillId="10" borderId="16" xfId="15" applyFont="1" applyFill="1" applyBorder="1" applyAlignment="1">
      <alignment wrapText="1"/>
    </xf>
    <xf numFmtId="0" fontId="7" fillId="10" borderId="15" xfId="15" applyFill="1" applyBorder="1"/>
    <xf numFmtId="0" fontId="7" fillId="10" borderId="16" xfId="15" applyFill="1" applyBorder="1" applyProtection="1"/>
    <xf numFmtId="0" fontId="7" fillId="11" borderId="35" xfId="15" applyFill="1" applyBorder="1"/>
    <xf numFmtId="0" fontId="7" fillId="11" borderId="16" xfId="15" applyFill="1" applyBorder="1"/>
    <xf numFmtId="0" fontId="30" fillId="11" borderId="16" xfId="15" applyFont="1" applyFill="1" applyBorder="1" applyAlignment="1">
      <alignment wrapText="1"/>
    </xf>
    <xf numFmtId="0" fontId="7" fillId="11" borderId="15" xfId="15" applyFill="1" applyBorder="1"/>
    <xf numFmtId="0" fontId="7" fillId="11" borderId="27" xfId="15" applyFill="1" applyBorder="1"/>
    <xf numFmtId="0" fontId="8" fillId="6" borderId="1" xfId="15" applyFont="1" applyFill="1" applyBorder="1"/>
    <xf numFmtId="2" fontId="7" fillId="10" borderId="0" xfId="15" applyNumberFormat="1" applyFont="1" applyFill="1" applyBorder="1" applyProtection="1"/>
    <xf numFmtId="0" fontId="7" fillId="10" borderId="14" xfId="15" applyFill="1" applyBorder="1" applyProtection="1"/>
    <xf numFmtId="2" fontId="7" fillId="11" borderId="0" xfId="15" applyNumberFormat="1" applyFont="1" applyFill="1" applyBorder="1"/>
    <xf numFmtId="0" fontId="7" fillId="11" borderId="14" xfId="15" applyFill="1" applyBorder="1" applyProtection="1"/>
    <xf numFmtId="0" fontId="7" fillId="6" borderId="1" xfId="15" quotePrefix="1" applyFont="1" applyFill="1" applyBorder="1" applyAlignment="1">
      <alignment horizontal="left" indent="2"/>
    </xf>
    <xf numFmtId="166" fontId="7" fillId="10" borderId="0" xfId="1" applyNumberFormat="1" applyFont="1" applyFill="1" applyBorder="1" applyAlignment="1" applyProtection="1">
      <alignment horizontal="center"/>
    </xf>
    <xf numFmtId="0" fontId="7" fillId="10" borderId="22" xfId="15" applyFill="1" applyBorder="1" applyProtection="1"/>
    <xf numFmtId="176" fontId="7" fillId="11" borderId="0" xfId="1" applyNumberFormat="1" applyFont="1" applyFill="1" applyBorder="1" applyAlignment="1" applyProtection="1">
      <alignment horizontal="center"/>
    </xf>
    <xf numFmtId="0" fontId="7" fillId="11" borderId="22" xfId="15" applyFill="1" applyBorder="1" applyProtection="1"/>
    <xf numFmtId="0" fontId="7" fillId="10" borderId="62" xfId="15" applyFill="1" applyBorder="1" applyAlignment="1" applyProtection="1">
      <alignment horizontal="center"/>
    </xf>
    <xf numFmtId="0" fontId="7" fillId="11" borderId="62" xfId="15" applyFont="1" applyFill="1" applyBorder="1" applyAlignment="1" applyProtection="1">
      <alignment horizontal="center"/>
    </xf>
    <xf numFmtId="0" fontId="7" fillId="10" borderId="15" xfId="15" applyFill="1" applyBorder="1" applyProtection="1"/>
    <xf numFmtId="0" fontId="7" fillId="11" borderId="16" xfId="15" applyFill="1" applyBorder="1" applyProtection="1"/>
    <xf numFmtId="0" fontId="7" fillId="11" borderId="15" xfId="15" applyFill="1" applyBorder="1" applyProtection="1"/>
    <xf numFmtId="0" fontId="8" fillId="6" borderId="45" xfId="15" applyFont="1" applyFill="1" applyBorder="1" applyAlignment="1">
      <alignment horizontal="left"/>
    </xf>
    <xf numFmtId="0" fontId="7" fillId="10" borderId="33" xfId="15" applyFont="1" applyFill="1" applyBorder="1" applyAlignment="1">
      <alignment horizontal="center"/>
    </xf>
    <xf numFmtId="9" fontId="7" fillId="10" borderId="0" xfId="15" applyNumberFormat="1" applyFont="1" applyFill="1" applyBorder="1" applyAlignment="1" applyProtection="1">
      <alignment horizontal="center"/>
    </xf>
    <xf numFmtId="0" fontId="7" fillId="10" borderId="14" xfId="15" applyFont="1" applyFill="1" applyBorder="1" applyProtection="1"/>
    <xf numFmtId="0" fontId="7" fillId="10" borderId="36" xfId="15" applyFont="1" applyFill="1" applyBorder="1" applyAlignment="1" applyProtection="1">
      <alignment horizontal="center"/>
    </xf>
    <xf numFmtId="9" fontId="7" fillId="11" borderId="0" xfId="15" applyNumberFormat="1" applyFont="1" applyFill="1" applyBorder="1" applyAlignment="1" applyProtection="1">
      <alignment horizontal="center"/>
    </xf>
    <xf numFmtId="0" fontId="7" fillId="11" borderId="0" xfId="15" applyFont="1" applyFill="1" applyBorder="1" applyProtection="1"/>
    <xf numFmtId="0" fontId="7" fillId="11" borderId="14" xfId="15" applyFont="1" applyFill="1" applyBorder="1" applyProtection="1"/>
    <xf numFmtId="0" fontId="7" fillId="11" borderId="2" xfId="15" applyFont="1" applyFill="1" applyBorder="1" applyAlignment="1" applyProtection="1">
      <alignment horizontal="center"/>
    </xf>
    <xf numFmtId="0" fontId="2" fillId="0" borderId="0" xfId="42" applyBorder="1"/>
    <xf numFmtId="0" fontId="7" fillId="0" borderId="0" xfId="15" applyFont="1"/>
    <xf numFmtId="0" fontId="7" fillId="6" borderId="1" xfId="15" applyFont="1" applyFill="1" applyBorder="1"/>
    <xf numFmtId="0" fontId="7" fillId="10" borderId="0" xfId="15" applyFont="1" applyFill="1" applyBorder="1" applyAlignment="1">
      <alignment horizontal="center"/>
    </xf>
    <xf numFmtId="0" fontId="7" fillId="10" borderId="0" xfId="15" applyFont="1" applyFill="1" applyBorder="1" applyAlignment="1" applyProtection="1">
      <alignment horizontal="center"/>
    </xf>
    <xf numFmtId="0" fontId="7" fillId="11" borderId="0" xfId="15" applyFont="1" applyFill="1" applyBorder="1" applyAlignment="1">
      <alignment horizontal="center"/>
    </xf>
    <xf numFmtId="0" fontId="7" fillId="11" borderId="0" xfId="15" applyFont="1" applyFill="1" applyBorder="1" applyAlignment="1" applyProtection="1">
      <alignment horizontal="center"/>
    </xf>
    <xf numFmtId="0" fontId="7" fillId="0" borderId="0" xfId="15" applyFont="1" applyBorder="1"/>
    <xf numFmtId="0" fontId="2" fillId="0" borderId="0" xfId="43" applyFont="1" applyBorder="1"/>
    <xf numFmtId="0" fontId="8" fillId="6" borderId="45" xfId="15" applyFont="1" applyFill="1" applyBorder="1"/>
    <xf numFmtId="164" fontId="7" fillId="10" borderId="14" xfId="15" applyNumberFormat="1" applyFont="1" applyFill="1" applyBorder="1" applyAlignment="1" applyProtection="1">
      <alignment horizontal="right"/>
    </xf>
    <xf numFmtId="164" fontId="7" fillId="11" borderId="14" xfId="15" applyNumberFormat="1" applyFont="1" applyFill="1" applyBorder="1" applyAlignment="1" applyProtection="1">
      <alignment horizontal="right"/>
    </xf>
    <xf numFmtId="0" fontId="9" fillId="6" borderId="1" xfId="15" applyFont="1" applyFill="1" applyBorder="1" applyAlignment="1">
      <alignment horizontal="left" indent="2"/>
    </xf>
    <xf numFmtId="175" fontId="7" fillId="10" borderId="0" xfId="15" applyNumberFormat="1" applyFill="1" applyBorder="1"/>
    <xf numFmtId="175" fontId="7" fillId="11" borderId="0" xfId="15" applyNumberFormat="1" applyFill="1" applyBorder="1"/>
    <xf numFmtId="169" fontId="7" fillId="11" borderId="0" xfId="15" applyNumberFormat="1" applyFill="1" applyBorder="1"/>
    <xf numFmtId="169" fontId="7" fillId="11" borderId="0" xfId="15" applyNumberFormat="1" applyFill="1" applyBorder="1" applyProtection="1"/>
    <xf numFmtId="0" fontId="8" fillId="6" borderId="1" xfId="15" applyFont="1" applyFill="1" applyBorder="1" applyAlignment="1">
      <alignment horizontal="left"/>
    </xf>
    <xf numFmtId="0" fontId="8" fillId="10" borderId="0" xfId="15" applyFont="1" applyFill="1" applyBorder="1"/>
    <xf numFmtId="0" fontId="8" fillId="10" borderId="0" xfId="15" applyFont="1" applyFill="1" applyBorder="1" applyProtection="1"/>
    <xf numFmtId="164" fontId="8" fillId="10" borderId="14" xfId="15" applyNumberFormat="1" applyFont="1" applyFill="1" applyBorder="1" applyAlignment="1" applyProtection="1">
      <alignment horizontal="right"/>
    </xf>
    <xf numFmtId="0" fontId="8" fillId="11" borderId="33" xfId="15" applyFont="1" applyFill="1" applyBorder="1"/>
    <xf numFmtId="0" fontId="8" fillId="11" borderId="0" xfId="15" applyFont="1" applyFill="1" applyBorder="1"/>
    <xf numFmtId="0" fontId="8" fillId="11" borderId="0" xfId="15" applyFont="1" applyFill="1" applyBorder="1" applyProtection="1"/>
    <xf numFmtId="0" fontId="8" fillId="10" borderId="16" xfId="15" applyFont="1" applyFill="1" applyBorder="1"/>
    <xf numFmtId="0" fontId="8" fillId="10" borderId="16" xfId="15" applyFont="1" applyFill="1" applyBorder="1" applyProtection="1"/>
    <xf numFmtId="0" fontId="8" fillId="10" borderId="15" xfId="15" applyFont="1" applyFill="1" applyBorder="1" applyProtection="1"/>
    <xf numFmtId="0" fontId="8" fillId="11" borderId="35" xfId="15" applyFont="1" applyFill="1" applyBorder="1"/>
    <xf numFmtId="0" fontId="8" fillId="11" borderId="16" xfId="15" applyFont="1" applyFill="1" applyBorder="1"/>
    <xf numFmtId="0" fontId="8" fillId="11" borderId="16" xfId="15" applyFont="1" applyFill="1" applyBorder="1" applyProtection="1"/>
    <xf numFmtId="41" fontId="7" fillId="10" borderId="0" xfId="1" applyNumberFormat="1" applyFont="1" applyFill="1" applyBorder="1" applyAlignment="1" applyProtection="1"/>
    <xf numFmtId="41" fontId="7" fillId="11" borderId="0" xfId="1" applyNumberFormat="1" applyFont="1" applyFill="1" applyBorder="1" applyAlignment="1" applyProtection="1">
      <alignment horizontal="center"/>
    </xf>
    <xf numFmtId="2" fontId="7" fillId="10" borderId="0" xfId="15" applyNumberFormat="1" applyFont="1" applyFill="1" applyBorder="1" applyAlignment="1" applyProtection="1">
      <alignment horizontal="center"/>
    </xf>
    <xf numFmtId="2" fontId="7" fillId="11" borderId="0" xfId="15" applyNumberFormat="1" applyFont="1" applyFill="1" applyBorder="1" applyAlignment="1" applyProtection="1">
      <alignment horizontal="center"/>
    </xf>
    <xf numFmtId="0" fontId="7" fillId="11" borderId="33" xfId="15" applyFill="1" applyBorder="1" applyProtection="1"/>
    <xf numFmtId="0" fontId="7" fillId="11" borderId="2" xfId="15" applyFill="1" applyBorder="1" applyProtection="1"/>
    <xf numFmtId="0" fontId="9" fillId="6" borderId="40" xfId="15" applyFont="1" applyFill="1" applyBorder="1"/>
    <xf numFmtId="0" fontId="7" fillId="11" borderId="35" xfId="15" applyFill="1" applyBorder="1" applyProtection="1"/>
    <xf numFmtId="0" fontId="7" fillId="11" borderId="27" xfId="15" applyFill="1" applyBorder="1" applyProtection="1"/>
    <xf numFmtId="169" fontId="7" fillId="10" borderId="0" xfId="15" applyNumberFormat="1" applyFont="1" applyFill="1" applyBorder="1" applyAlignment="1" applyProtection="1">
      <alignment horizontal="center"/>
    </xf>
    <xf numFmtId="169" fontId="7" fillId="11" borderId="0" xfId="15" applyNumberFormat="1" applyFont="1" applyFill="1" applyBorder="1" applyAlignment="1" applyProtection="1">
      <alignment horizontal="center"/>
    </xf>
    <xf numFmtId="0" fontId="9" fillId="6" borderId="26" xfId="15" applyFont="1" applyFill="1" applyBorder="1"/>
    <xf numFmtId="43" fontId="7" fillId="10" borderId="0" xfId="1" applyFont="1" applyFill="1" applyBorder="1" applyAlignment="1" applyProtection="1">
      <alignment horizontal="left"/>
    </xf>
    <xf numFmtId="43" fontId="7" fillId="10" borderId="0" xfId="1" applyFont="1" applyFill="1" applyBorder="1" applyAlignment="1" applyProtection="1">
      <alignment horizontal="center"/>
    </xf>
    <xf numFmtId="43" fontId="7" fillId="11" borderId="0" xfId="1" applyFont="1" applyFill="1" applyBorder="1" applyAlignment="1" applyProtection="1">
      <alignment horizontal="center"/>
    </xf>
    <xf numFmtId="0" fontId="7" fillId="10" borderId="0" xfId="15" applyFill="1" applyBorder="1" applyAlignment="1" applyProtection="1">
      <alignment horizontal="left"/>
    </xf>
    <xf numFmtId="0" fontId="0" fillId="10" borderId="0" xfId="0" applyFill="1" applyBorder="1" applyAlignment="1">
      <alignment horizontal="center"/>
    </xf>
    <xf numFmtId="2" fontId="0" fillId="10" borderId="0" xfId="0" applyNumberFormat="1" applyFill="1" applyBorder="1" applyAlignment="1">
      <alignment horizontal="center"/>
    </xf>
    <xf numFmtId="0" fontId="7" fillId="0" borderId="93" xfId="0" applyFont="1" applyBorder="1" applyAlignment="1">
      <alignment horizontal="center"/>
    </xf>
    <xf numFmtId="0" fontId="8" fillId="11" borderId="0" xfId="0" applyFont="1" applyFill="1" applyBorder="1" applyAlignment="1"/>
    <xf numFmtId="0" fontId="8" fillId="10" borderId="0" xfId="0" applyFont="1" applyFill="1" applyBorder="1" applyAlignment="1"/>
    <xf numFmtId="0" fontId="7" fillId="10" borderId="0" xfId="0" applyNumberFormat="1" applyFont="1" applyFill="1"/>
    <xf numFmtId="0" fontId="7" fillId="11" borderId="0" xfId="0" applyNumberFormat="1" applyFont="1" applyFill="1"/>
    <xf numFmtId="168" fontId="7" fillId="0" borderId="13" xfId="0" applyNumberFormat="1" applyFont="1" applyFill="1" applyBorder="1" applyAlignment="1">
      <alignment horizontal="center"/>
    </xf>
    <xf numFmtId="0" fontId="7" fillId="3" borderId="0" xfId="0" applyFont="1" applyFill="1" applyBorder="1" applyAlignment="1" applyProtection="1">
      <alignment horizontal="left"/>
    </xf>
    <xf numFmtId="0" fontId="30" fillId="7" borderId="0" xfId="0" applyFont="1" applyFill="1" applyBorder="1" applyAlignment="1">
      <alignment horizontal="center" wrapText="1"/>
    </xf>
    <xf numFmtId="0" fontId="7" fillId="11" borderId="0" xfId="0" applyFont="1" applyFill="1" applyBorder="1" applyAlignment="1" applyProtection="1">
      <alignment horizontal="left"/>
    </xf>
    <xf numFmtId="0" fontId="7" fillId="10" borderId="0" xfId="0" applyFont="1" applyFill="1" applyBorder="1" applyAlignment="1" applyProtection="1">
      <alignment horizontal="right"/>
    </xf>
    <xf numFmtId="0" fontId="7" fillId="7" borderId="0" xfId="0" applyFont="1" applyFill="1" applyBorder="1" applyAlignment="1" applyProtection="1">
      <alignment horizontal="right"/>
    </xf>
    <xf numFmtId="0" fontId="7" fillId="7" borderId="0" xfId="0" applyFont="1" applyFill="1" applyBorder="1" applyAlignment="1" applyProtection="1">
      <alignment horizontal="left" indent="1"/>
    </xf>
    <xf numFmtId="0" fontId="7" fillId="7" borderId="14" xfId="0" applyNumberFormat="1" applyFont="1" applyFill="1" applyBorder="1" applyAlignment="1" applyProtection="1">
      <alignment horizontal="center" vertical="center" wrapText="1"/>
    </xf>
    <xf numFmtId="0" fontId="7" fillId="7" borderId="36" xfId="0" applyNumberFormat="1" applyFont="1" applyFill="1" applyBorder="1" applyAlignment="1" applyProtection="1">
      <alignment horizontal="center" vertical="center" wrapText="1"/>
    </xf>
    <xf numFmtId="0" fontId="7" fillId="3" borderId="0" xfId="0" applyFont="1" applyFill="1" applyBorder="1" applyAlignment="1" applyProtection="1">
      <alignment horizontal="left" indent="1"/>
    </xf>
    <xf numFmtId="0" fontId="7" fillId="3" borderId="0" xfId="0" applyNumberFormat="1" applyFont="1" applyFill="1" applyBorder="1" applyAlignment="1" applyProtection="1">
      <alignment horizontal="center"/>
    </xf>
    <xf numFmtId="9" fontId="7" fillId="3" borderId="0" xfId="0" applyNumberFormat="1" applyFont="1" applyFill="1" applyBorder="1" applyAlignment="1" applyProtection="1">
      <alignment horizontal="center"/>
    </xf>
    <xf numFmtId="0" fontId="7" fillId="3" borderId="14" xfId="0" applyFont="1" applyFill="1" applyBorder="1" applyAlignment="1" applyProtection="1">
      <alignment horizontal="center" vertical="center" wrapText="1"/>
    </xf>
    <xf numFmtId="0" fontId="7" fillId="3" borderId="2" xfId="0" applyFont="1" applyFill="1" applyBorder="1" applyAlignment="1" applyProtection="1">
      <alignment horizontal="center" vertical="center" wrapText="1"/>
    </xf>
    <xf numFmtId="0" fontId="7" fillId="10" borderId="33" xfId="0" applyFont="1" applyFill="1" applyBorder="1" applyAlignment="1" applyProtection="1">
      <alignment horizontal="left" indent="1"/>
    </xf>
    <xf numFmtId="0" fontId="7" fillId="10" borderId="0" xfId="0" applyFont="1" applyFill="1" applyBorder="1" applyAlignment="1" applyProtection="1">
      <alignment horizontal="left" indent="1"/>
    </xf>
    <xf numFmtId="0" fontId="7" fillId="10" borderId="14" xfId="0" applyNumberFormat="1" applyFont="1" applyFill="1" applyBorder="1" applyAlignment="1" applyProtection="1">
      <alignment horizontal="center" vertical="center" wrapText="1"/>
    </xf>
    <xf numFmtId="0" fontId="7" fillId="10" borderId="36" xfId="0" applyNumberFormat="1" applyFont="1" applyFill="1" applyBorder="1" applyAlignment="1" applyProtection="1">
      <alignment horizontal="center" vertical="center" wrapText="1"/>
    </xf>
    <xf numFmtId="0" fontId="7" fillId="11" borderId="0" xfId="0" applyFont="1" applyFill="1" applyBorder="1" applyAlignment="1" applyProtection="1">
      <alignment horizontal="left" indent="1"/>
    </xf>
    <xf numFmtId="0" fontId="7" fillId="11" borderId="0" xfId="0" applyNumberFormat="1" applyFont="1" applyFill="1" applyBorder="1" applyAlignment="1" applyProtection="1">
      <alignment horizontal="center"/>
    </xf>
    <xf numFmtId="9" fontId="7" fillId="11" borderId="0" xfId="0" applyNumberFormat="1" applyFont="1" applyFill="1" applyBorder="1" applyAlignment="1" applyProtection="1">
      <alignment horizontal="center"/>
    </xf>
    <xf numFmtId="0" fontId="7" fillId="11" borderId="14" xfId="0" applyFont="1" applyFill="1" applyBorder="1" applyAlignment="1" applyProtection="1">
      <alignment horizontal="center" vertical="center" wrapText="1"/>
    </xf>
    <xf numFmtId="0" fontId="7" fillId="7" borderId="14" xfId="0" applyFont="1" applyFill="1" applyBorder="1" applyAlignment="1" applyProtection="1">
      <alignment horizontal="center"/>
    </xf>
    <xf numFmtId="0" fontId="7" fillId="10" borderId="14" xfId="0" applyFont="1" applyFill="1" applyBorder="1" applyAlignment="1" applyProtection="1">
      <alignment horizontal="center"/>
    </xf>
    <xf numFmtId="0" fontId="7" fillId="3" borderId="33" xfId="0" applyFont="1" applyFill="1" applyBorder="1" applyProtection="1"/>
    <xf numFmtId="0" fontId="7" fillId="10" borderId="33" xfId="0" applyFont="1" applyFill="1" applyBorder="1" applyAlignment="1" applyProtection="1">
      <alignment horizontal="center"/>
    </xf>
    <xf numFmtId="0" fontId="7" fillId="11" borderId="33" xfId="0" applyFont="1" applyFill="1" applyBorder="1" applyProtection="1"/>
    <xf numFmtId="1" fontId="7" fillId="7" borderId="0" xfId="0" applyNumberFormat="1" applyFont="1" applyFill="1" applyBorder="1" applyProtection="1"/>
    <xf numFmtId="1" fontId="7" fillId="10" borderId="0" xfId="0" applyNumberFormat="1" applyFont="1" applyFill="1" applyBorder="1" applyProtection="1"/>
    <xf numFmtId="0" fontId="7" fillId="7" borderId="33" xfId="0" applyFont="1" applyFill="1" applyBorder="1" applyAlignment="1" applyProtection="1">
      <alignment horizontal="left" indent="1"/>
    </xf>
    <xf numFmtId="0" fontId="7" fillId="3" borderId="15" xfId="0" applyFont="1" applyFill="1" applyBorder="1" applyAlignment="1" applyProtection="1">
      <alignment horizontal="center"/>
    </xf>
    <xf numFmtId="0" fontId="7" fillId="11" borderId="15" xfId="0" applyFont="1" applyFill="1" applyBorder="1" applyAlignment="1" applyProtection="1">
      <alignment horizontal="center"/>
    </xf>
    <xf numFmtId="0" fontId="7" fillId="11" borderId="19" xfId="0" applyFont="1" applyFill="1" applyBorder="1" applyProtection="1"/>
    <xf numFmtId="0" fontId="7" fillId="7" borderId="15" xfId="0" applyFont="1" applyFill="1" applyBorder="1" applyAlignment="1" applyProtection="1">
      <alignment horizontal="center"/>
    </xf>
    <xf numFmtId="0" fontId="7" fillId="3" borderId="13" xfId="0" applyFont="1" applyFill="1" applyBorder="1" applyProtection="1"/>
    <xf numFmtId="0" fontId="7" fillId="3" borderId="21" xfId="0" applyFont="1" applyFill="1" applyBorder="1" applyAlignment="1" applyProtection="1">
      <alignment horizontal="center"/>
    </xf>
    <xf numFmtId="0" fontId="7" fillId="3" borderId="12" xfId="0" applyFont="1" applyFill="1" applyBorder="1" applyAlignment="1" applyProtection="1">
      <alignment horizontal="center"/>
    </xf>
    <xf numFmtId="0" fontId="7" fillId="3" borderId="18" xfId="0" applyFont="1" applyFill="1" applyBorder="1" applyAlignment="1" applyProtection="1">
      <alignment horizontal="center"/>
    </xf>
    <xf numFmtId="0" fontId="7" fillId="3" borderId="18" xfId="0" applyFont="1" applyFill="1" applyBorder="1" applyProtection="1"/>
    <xf numFmtId="0" fontId="7" fillId="3" borderId="23" xfId="0" applyFont="1" applyFill="1" applyBorder="1" applyAlignment="1" applyProtection="1">
      <alignment horizontal="center"/>
    </xf>
    <xf numFmtId="0" fontId="7" fillId="3" borderId="21" xfId="0" applyFont="1" applyFill="1" applyBorder="1" applyProtection="1"/>
    <xf numFmtId="0" fontId="7" fillId="11" borderId="13" xfId="0" applyFont="1" applyFill="1" applyBorder="1" applyProtection="1"/>
    <xf numFmtId="0" fontId="7" fillId="11" borderId="21" xfId="0" applyFont="1" applyFill="1" applyBorder="1" applyAlignment="1" applyProtection="1">
      <alignment horizontal="center"/>
    </xf>
    <xf numFmtId="0" fontId="7" fillId="11" borderId="12" xfId="0" applyFont="1" applyFill="1" applyBorder="1" applyAlignment="1" applyProtection="1">
      <alignment horizontal="center"/>
    </xf>
    <xf numFmtId="0" fontId="7" fillId="11" borderId="18" xfId="0" applyFont="1" applyFill="1" applyBorder="1" applyAlignment="1" applyProtection="1">
      <alignment horizontal="center"/>
    </xf>
    <xf numFmtId="0" fontId="7" fillId="11" borderId="18" xfId="0" applyFont="1" applyFill="1" applyBorder="1" applyProtection="1"/>
    <xf numFmtId="0" fontId="7" fillId="11" borderId="23" xfId="0" applyFont="1" applyFill="1" applyBorder="1" applyAlignment="1" applyProtection="1">
      <alignment horizontal="center"/>
    </xf>
    <xf numFmtId="0" fontId="7" fillId="11" borderId="21" xfId="0" applyFont="1" applyFill="1" applyBorder="1" applyProtection="1"/>
    <xf numFmtId="0" fontId="7" fillId="11" borderId="19" xfId="0" applyFont="1" applyFill="1" applyBorder="1" applyAlignment="1" applyProtection="1">
      <alignment horizontal="center"/>
    </xf>
    <xf numFmtId="0" fontId="30" fillId="3" borderId="65" xfId="0" applyFont="1" applyFill="1" applyBorder="1" applyAlignment="1">
      <alignment wrapText="1"/>
    </xf>
    <xf numFmtId="0" fontId="7" fillId="3" borderId="23" xfId="0" applyFont="1" applyFill="1" applyBorder="1" applyProtection="1"/>
    <xf numFmtId="0" fontId="10" fillId="3" borderId="18" xfId="0" applyFont="1" applyFill="1" applyBorder="1" applyAlignment="1" applyProtection="1"/>
    <xf numFmtId="0" fontId="10" fillId="3" borderId="12" xfId="0" applyFont="1" applyFill="1" applyBorder="1" applyAlignment="1" applyProtection="1"/>
    <xf numFmtId="0" fontId="30" fillId="3" borderId="0" xfId="0" applyFont="1" applyFill="1" applyBorder="1" applyAlignment="1" applyProtection="1">
      <alignment wrapText="1"/>
    </xf>
    <xf numFmtId="0" fontId="30" fillId="3" borderId="13" xfId="0" applyFont="1" applyFill="1" applyBorder="1" applyAlignment="1" applyProtection="1">
      <alignment wrapText="1"/>
    </xf>
    <xf numFmtId="0" fontId="30" fillId="3" borderId="0" xfId="0" applyFont="1" applyFill="1" applyBorder="1" applyAlignment="1" applyProtection="1">
      <alignment horizontal="left" wrapText="1"/>
    </xf>
    <xf numFmtId="0" fontId="30" fillId="11" borderId="65" xfId="0" applyFont="1" applyFill="1" applyBorder="1" applyAlignment="1">
      <alignment wrapText="1"/>
    </xf>
    <xf numFmtId="0" fontId="30" fillId="11" borderId="0" xfId="0" applyFont="1" applyFill="1" applyBorder="1" applyAlignment="1">
      <alignment wrapText="1"/>
    </xf>
    <xf numFmtId="0" fontId="7" fillId="11" borderId="23" xfId="0" applyFont="1" applyFill="1" applyBorder="1" applyProtection="1"/>
    <xf numFmtId="0" fontId="10" fillId="11" borderId="18" xfId="0" applyFont="1" applyFill="1" applyBorder="1" applyAlignment="1" applyProtection="1"/>
    <xf numFmtId="0" fontId="10" fillId="11" borderId="12" xfId="0" applyFont="1" applyFill="1" applyBorder="1" applyAlignment="1" applyProtection="1"/>
    <xf numFmtId="0" fontId="30" fillId="11" borderId="0" xfId="0" applyFont="1" applyFill="1" applyBorder="1" applyAlignment="1" applyProtection="1">
      <alignment wrapText="1"/>
    </xf>
    <xf numFmtId="0" fontId="30" fillId="11" borderId="13" xfId="0" applyFont="1" applyFill="1" applyBorder="1" applyAlignment="1" applyProtection="1">
      <alignment wrapText="1"/>
    </xf>
    <xf numFmtId="0" fontId="30" fillId="11" borderId="0" xfId="0" applyFont="1" applyFill="1" applyBorder="1" applyAlignment="1" applyProtection="1">
      <alignment horizontal="left" wrapText="1"/>
    </xf>
    <xf numFmtId="0" fontId="10" fillId="11" borderId="19" xfId="0" applyFont="1" applyFill="1" applyBorder="1" applyAlignment="1" applyProtection="1"/>
    <xf numFmtId="0" fontId="7" fillId="11" borderId="27" xfId="0" applyFont="1" applyFill="1" applyBorder="1" applyProtection="1"/>
    <xf numFmtId="0" fontId="30" fillId="7" borderId="65" xfId="0" applyFont="1" applyFill="1" applyBorder="1" applyAlignment="1">
      <alignment wrapText="1"/>
    </xf>
    <xf numFmtId="0" fontId="30" fillId="7" borderId="0" xfId="0" applyFont="1" applyFill="1" applyBorder="1" applyAlignment="1">
      <alignment wrapText="1"/>
    </xf>
    <xf numFmtId="0" fontId="30" fillId="10" borderId="65" xfId="0" applyFont="1" applyFill="1" applyBorder="1" applyAlignment="1">
      <alignment wrapText="1"/>
    </xf>
    <xf numFmtId="0" fontId="30" fillId="10" borderId="0" xfId="0" applyFont="1" applyFill="1" applyBorder="1" applyAlignment="1">
      <alignment wrapText="1"/>
    </xf>
    <xf numFmtId="0" fontId="7" fillId="10" borderId="18" xfId="0" applyFont="1" applyFill="1" applyBorder="1" applyProtection="1"/>
    <xf numFmtId="0" fontId="13" fillId="10" borderId="18" xfId="0" applyFont="1" applyFill="1" applyBorder="1" applyAlignment="1" applyProtection="1"/>
    <xf numFmtId="0" fontId="10" fillId="10" borderId="18" xfId="0" applyFont="1" applyFill="1" applyBorder="1" applyAlignment="1" applyProtection="1"/>
    <xf numFmtId="0" fontId="30" fillId="10" borderId="0" xfId="0" applyFont="1" applyFill="1" applyBorder="1" applyAlignment="1" applyProtection="1">
      <alignment wrapText="1"/>
    </xf>
    <xf numFmtId="0" fontId="30" fillId="10" borderId="0" xfId="0" applyFont="1" applyFill="1" applyBorder="1" applyAlignment="1" applyProtection="1">
      <alignment horizontal="center" wrapText="1"/>
    </xf>
    <xf numFmtId="0" fontId="30" fillId="10" borderId="0" xfId="0" applyFont="1" applyFill="1" applyBorder="1" applyAlignment="1" applyProtection="1">
      <alignment horizontal="left" wrapText="1"/>
    </xf>
    <xf numFmtId="0" fontId="7" fillId="10" borderId="41" xfId="0" applyFont="1" applyFill="1" applyBorder="1" applyAlignment="1" applyProtection="1">
      <alignment horizontal="center"/>
    </xf>
    <xf numFmtId="0" fontId="10" fillId="10" borderId="41" xfId="0" applyFont="1" applyFill="1" applyBorder="1" applyAlignment="1" applyProtection="1"/>
    <xf numFmtId="0" fontId="7" fillId="10" borderId="37" xfId="0" applyFont="1" applyFill="1" applyBorder="1" applyProtection="1"/>
    <xf numFmtId="0" fontId="7" fillId="11" borderId="35" xfId="0" applyFont="1" applyFill="1" applyBorder="1" applyProtection="1"/>
    <xf numFmtId="9" fontId="7" fillId="3" borderId="0" xfId="4" applyFont="1" applyFill="1" applyBorder="1" applyAlignment="1" applyProtection="1">
      <alignment horizontal="center" wrapText="1"/>
    </xf>
    <xf numFmtId="9" fontId="7" fillId="10" borderId="0" xfId="4" applyFont="1" applyFill="1" applyBorder="1" applyAlignment="1" applyProtection="1">
      <alignment horizontal="center" wrapText="1"/>
    </xf>
    <xf numFmtId="168" fontId="7" fillId="10" borderId="0" xfId="0" applyNumberFormat="1" applyFont="1" applyFill="1" applyBorder="1" applyAlignment="1" applyProtection="1">
      <alignment horizontal="center"/>
    </xf>
    <xf numFmtId="9" fontId="7" fillId="11" borderId="0" xfId="4" applyFont="1" applyFill="1" applyBorder="1" applyAlignment="1" applyProtection="1">
      <alignment horizontal="center" wrapText="1"/>
    </xf>
    <xf numFmtId="9" fontId="7" fillId="7" borderId="0" xfId="4" applyFont="1" applyFill="1" applyBorder="1" applyAlignment="1" applyProtection="1">
      <alignment horizontal="center" wrapText="1"/>
    </xf>
    <xf numFmtId="168" fontId="7" fillId="7" borderId="0" xfId="0" applyNumberFormat="1" applyFont="1" applyFill="1" applyBorder="1" applyAlignment="1" applyProtection="1">
      <alignment horizontal="center"/>
    </xf>
    <xf numFmtId="164" fontId="0" fillId="7" borderId="0" xfId="0" applyNumberFormat="1" applyFill="1" applyBorder="1" applyProtection="1"/>
    <xf numFmtId="164" fontId="0" fillId="3" borderId="0" xfId="0" applyNumberFormat="1" applyFill="1" applyBorder="1" applyProtection="1"/>
    <xf numFmtId="164" fontId="0" fillId="10" borderId="0" xfId="0" applyNumberFormat="1" applyFill="1" applyBorder="1" applyProtection="1"/>
    <xf numFmtId="164" fontId="0" fillId="11" borderId="0" xfId="0" applyNumberFormat="1" applyFill="1" applyBorder="1" applyProtection="1"/>
    <xf numFmtId="0" fontId="7" fillId="7" borderId="63" xfId="41" applyNumberFormat="1" applyFont="1" applyFill="1" applyBorder="1" applyAlignment="1" applyProtection="1">
      <alignment horizontal="center"/>
    </xf>
    <xf numFmtId="44" fontId="7" fillId="7" borderId="65" xfId="41" applyFont="1" applyFill="1" applyBorder="1" applyAlignment="1" applyProtection="1"/>
    <xf numFmtId="44" fontId="7" fillId="3" borderId="101" xfId="41" applyFont="1" applyFill="1" applyBorder="1" applyAlignment="1" applyProtection="1"/>
    <xf numFmtId="0" fontId="0" fillId="3" borderId="13" xfId="0" applyFill="1" applyBorder="1" applyProtection="1"/>
    <xf numFmtId="0" fontId="7" fillId="10" borderId="63" xfId="41" applyNumberFormat="1" applyFont="1" applyFill="1" applyBorder="1" applyAlignment="1" applyProtection="1">
      <alignment horizontal="center"/>
    </xf>
    <xf numFmtId="44" fontId="7" fillId="10" borderId="65" xfId="41" applyFont="1" applyFill="1" applyBorder="1" applyAlignment="1" applyProtection="1"/>
    <xf numFmtId="44" fontId="7" fillId="11" borderId="101" xfId="41" applyFont="1" applyFill="1" applyBorder="1" applyAlignment="1" applyProtection="1"/>
    <xf numFmtId="0" fontId="0" fillId="11" borderId="13" xfId="0" applyFill="1" applyBorder="1" applyProtection="1"/>
    <xf numFmtId="44" fontId="7" fillId="3" borderId="99" xfId="41" applyFont="1" applyFill="1" applyBorder="1" applyAlignment="1" applyProtection="1"/>
    <xf numFmtId="44" fontId="7" fillId="3" borderId="0" xfId="41" applyFont="1" applyFill="1" applyBorder="1" applyAlignment="1" applyProtection="1"/>
    <xf numFmtId="44" fontId="7" fillId="11" borderId="99" xfId="41" applyFont="1" applyFill="1" applyBorder="1" applyAlignment="1" applyProtection="1"/>
    <xf numFmtId="44" fontId="7" fillId="11" borderId="0" xfId="41" applyFont="1" applyFill="1" applyBorder="1" applyAlignment="1" applyProtection="1"/>
    <xf numFmtId="0" fontId="0" fillId="7" borderId="14" xfId="0" applyFill="1" applyBorder="1" applyProtection="1"/>
    <xf numFmtId="0" fontId="0" fillId="3" borderId="14" xfId="0" applyFill="1" applyBorder="1" applyProtection="1"/>
    <xf numFmtId="0" fontId="0" fillId="10" borderId="0" xfId="0" applyFill="1" applyBorder="1" applyAlignment="1" applyProtection="1">
      <alignment horizontal="center"/>
    </xf>
    <xf numFmtId="0" fontId="0" fillId="10" borderId="14" xfId="0" applyFill="1" applyBorder="1" applyProtection="1"/>
    <xf numFmtId="0" fontId="0" fillId="11" borderId="14" xfId="0" applyFill="1" applyBorder="1" applyProtection="1"/>
    <xf numFmtId="0" fontId="0" fillId="7" borderId="15" xfId="0" applyFill="1" applyBorder="1" applyProtection="1"/>
    <xf numFmtId="0" fontId="0" fillId="3" borderId="15" xfId="0" applyFill="1" applyBorder="1" applyProtection="1"/>
    <xf numFmtId="0" fontId="0" fillId="10" borderId="15" xfId="0" applyFill="1" applyBorder="1" applyProtection="1"/>
    <xf numFmtId="0" fontId="0" fillId="11" borderId="15" xfId="0" applyFill="1" applyBorder="1" applyProtection="1"/>
    <xf numFmtId="0" fontId="8" fillId="7" borderId="14" xfId="0" applyFont="1" applyFill="1" applyBorder="1" applyProtection="1"/>
    <xf numFmtId="164" fontId="7" fillId="7" borderId="0" xfId="1" applyNumberFormat="1" applyFont="1" applyFill="1" applyBorder="1" applyAlignment="1" applyProtection="1">
      <alignment horizontal="right"/>
    </xf>
    <xf numFmtId="0" fontId="8" fillId="3" borderId="33" xfId="0" applyFont="1" applyFill="1" applyBorder="1" applyProtection="1"/>
    <xf numFmtId="0" fontId="8" fillId="3" borderId="0" xfId="0" applyFont="1" applyFill="1" applyProtection="1"/>
    <xf numFmtId="0" fontId="8" fillId="3" borderId="14" xfId="0" applyFont="1" applyFill="1" applyBorder="1" applyProtection="1"/>
    <xf numFmtId="0" fontId="8" fillId="10" borderId="33" xfId="0" applyFont="1" applyFill="1" applyBorder="1" applyProtection="1"/>
    <xf numFmtId="0" fontId="8" fillId="10" borderId="14" xfId="0" applyFont="1" applyFill="1" applyBorder="1" applyProtection="1"/>
    <xf numFmtId="0" fontId="8" fillId="11" borderId="33" xfId="0" applyFont="1" applyFill="1" applyBorder="1" applyProtection="1"/>
    <xf numFmtId="0" fontId="8" fillId="11" borderId="0" xfId="0" applyFont="1" applyFill="1" applyProtection="1"/>
    <xf numFmtId="0" fontId="8" fillId="11" borderId="14" xfId="0" applyFont="1" applyFill="1" applyBorder="1" applyProtection="1"/>
    <xf numFmtId="0" fontId="7" fillId="10" borderId="62" xfId="41" applyNumberFormat="1" applyFont="1" applyFill="1" applyBorder="1" applyAlignment="1" applyProtection="1">
      <alignment horizontal="center"/>
    </xf>
    <xf numFmtId="169" fontId="9" fillId="7" borderId="0" xfId="0" applyNumberFormat="1" applyFont="1" applyFill="1" applyBorder="1" applyAlignment="1" applyProtection="1">
      <alignment horizontal="left" indent="2"/>
    </xf>
    <xf numFmtId="169" fontId="9" fillId="3" borderId="0" xfId="0" applyNumberFormat="1" applyFont="1" applyFill="1" applyBorder="1" applyAlignment="1" applyProtection="1">
      <alignment horizontal="left" indent="2"/>
    </xf>
    <xf numFmtId="169" fontId="9" fillId="10" borderId="0" xfId="0" applyNumberFormat="1" applyFont="1" applyFill="1" applyBorder="1" applyAlignment="1" applyProtection="1">
      <alignment horizontal="left" indent="2"/>
    </xf>
    <xf numFmtId="169" fontId="9" fillId="11" borderId="0" xfId="0" applyNumberFormat="1" applyFont="1" applyFill="1" applyBorder="1" applyAlignment="1" applyProtection="1">
      <alignment horizontal="left" indent="2"/>
    </xf>
    <xf numFmtId="10" fontId="7" fillId="7" borderId="14" xfId="4" applyNumberFormat="1" applyFont="1" applyFill="1" applyBorder="1" applyProtection="1"/>
    <xf numFmtId="10" fontId="7" fillId="3" borderId="0" xfId="0" applyNumberFormat="1" applyFont="1" applyFill="1" applyBorder="1" applyAlignment="1" applyProtection="1">
      <alignment horizontal="center"/>
    </xf>
    <xf numFmtId="10" fontId="7" fillId="3" borderId="14" xfId="4" applyNumberFormat="1" applyFont="1" applyFill="1" applyBorder="1" applyProtection="1"/>
    <xf numFmtId="10" fontId="7" fillId="10" borderId="14" xfId="4" applyNumberFormat="1" applyFont="1" applyFill="1" applyBorder="1" applyProtection="1"/>
    <xf numFmtId="10" fontId="7" fillId="11" borderId="0" xfId="0" applyNumberFormat="1" applyFont="1" applyFill="1" applyBorder="1" applyAlignment="1" applyProtection="1">
      <alignment horizontal="center"/>
    </xf>
    <xf numFmtId="10" fontId="7" fillId="11" borderId="14" xfId="4" applyNumberFormat="1" applyFont="1" applyFill="1" applyBorder="1" applyProtection="1"/>
    <xf numFmtId="177" fontId="7" fillId="7" borderId="0" xfId="41" applyNumberFormat="1" applyFont="1" applyFill="1" applyBorder="1" applyAlignment="1" applyProtection="1"/>
    <xf numFmtId="0" fontId="7" fillId="7" borderId="14" xfId="0" applyFont="1" applyFill="1" applyBorder="1" applyAlignment="1" applyProtection="1">
      <alignment horizontal="left"/>
    </xf>
    <xf numFmtId="177" fontId="7" fillId="3" borderId="0" xfId="41" applyNumberFormat="1" applyFont="1" applyFill="1" applyBorder="1" applyAlignment="1" applyProtection="1"/>
    <xf numFmtId="0" fontId="7" fillId="3" borderId="14" xfId="0" applyFont="1" applyFill="1" applyBorder="1" applyAlignment="1" applyProtection="1">
      <alignment horizontal="left"/>
    </xf>
    <xf numFmtId="177" fontId="7" fillId="10" borderId="0" xfId="41" applyNumberFormat="1" applyFont="1" applyFill="1" applyBorder="1" applyAlignment="1" applyProtection="1"/>
    <xf numFmtId="0" fontId="7" fillId="10" borderId="14" xfId="0" applyFont="1" applyFill="1" applyBorder="1" applyAlignment="1" applyProtection="1">
      <alignment horizontal="left"/>
    </xf>
    <xf numFmtId="177" fontId="7" fillId="11" borderId="0" xfId="41" applyNumberFormat="1" applyFont="1" applyFill="1" applyBorder="1" applyAlignment="1" applyProtection="1"/>
    <xf numFmtId="0" fontId="7" fillId="11" borderId="14" xfId="0" applyFont="1" applyFill="1" applyBorder="1" applyAlignment="1" applyProtection="1">
      <alignment horizontal="left"/>
    </xf>
    <xf numFmtId="177" fontId="7" fillId="7" borderId="0" xfId="41" applyNumberFormat="1" applyFont="1" applyFill="1" applyBorder="1" applyAlignment="1" applyProtection="1">
      <alignment horizontal="center"/>
    </xf>
    <xf numFmtId="177" fontId="7" fillId="7" borderId="0" xfId="0" applyNumberFormat="1" applyFont="1" applyFill="1" applyBorder="1" applyAlignment="1" applyProtection="1">
      <alignment horizontal="left"/>
    </xf>
    <xf numFmtId="177" fontId="7" fillId="7" borderId="0" xfId="41" applyNumberFormat="1" applyFont="1" applyFill="1" applyBorder="1" applyProtection="1"/>
    <xf numFmtId="177" fontId="7" fillId="3" borderId="0" xfId="41" applyNumberFormat="1" applyFont="1" applyFill="1" applyBorder="1" applyAlignment="1" applyProtection="1">
      <alignment horizontal="center"/>
    </xf>
    <xf numFmtId="177" fontId="7" fillId="3" borderId="0" xfId="41" applyNumberFormat="1" applyFont="1" applyFill="1" applyBorder="1" applyProtection="1"/>
    <xf numFmtId="177" fontId="7" fillId="10" borderId="0" xfId="41" applyNumberFormat="1" applyFont="1" applyFill="1" applyBorder="1" applyAlignment="1" applyProtection="1">
      <alignment horizontal="center"/>
    </xf>
    <xf numFmtId="177" fontId="7" fillId="10" borderId="0" xfId="0" applyNumberFormat="1" applyFont="1" applyFill="1" applyBorder="1" applyAlignment="1" applyProtection="1">
      <alignment horizontal="left"/>
    </xf>
    <xf numFmtId="177" fontId="7" fillId="10" borderId="0" xfId="41" applyNumberFormat="1" applyFont="1" applyFill="1" applyBorder="1" applyProtection="1"/>
    <xf numFmtId="177" fontId="7" fillId="11" borderId="0" xfId="41" applyNumberFormat="1" applyFont="1" applyFill="1" applyBorder="1" applyAlignment="1" applyProtection="1">
      <alignment horizontal="center"/>
    </xf>
    <xf numFmtId="177" fontId="7" fillId="11" borderId="0" xfId="41" applyNumberFormat="1" applyFont="1" applyFill="1" applyBorder="1" applyProtection="1"/>
    <xf numFmtId="9" fontId="8" fillId="7" borderId="0" xfId="0" applyNumberFormat="1" applyFont="1" applyFill="1" applyBorder="1" applyAlignment="1" applyProtection="1">
      <alignment horizontal="center"/>
    </xf>
    <xf numFmtId="9" fontId="10" fillId="7" borderId="0" xfId="0" applyNumberFormat="1" applyFont="1" applyFill="1" applyBorder="1" applyAlignment="1" applyProtection="1">
      <alignment horizontal="center" vertical="center"/>
    </xf>
    <xf numFmtId="9" fontId="8" fillId="3" borderId="70" xfId="0" applyNumberFormat="1" applyFont="1" applyFill="1" applyBorder="1" applyAlignment="1" applyProtection="1">
      <alignment horizontal="center" vertical="center"/>
    </xf>
    <xf numFmtId="9" fontId="8" fillId="3" borderId="70" xfId="0" applyNumberFormat="1" applyFont="1" applyFill="1" applyBorder="1" applyAlignment="1" applyProtection="1">
      <alignment horizontal="center"/>
    </xf>
    <xf numFmtId="9" fontId="8" fillId="3" borderId="0" xfId="0" applyNumberFormat="1" applyFont="1" applyFill="1" applyBorder="1" applyAlignment="1" applyProtection="1">
      <alignment horizontal="center"/>
    </xf>
    <xf numFmtId="9" fontId="10" fillId="3" borderId="0"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center"/>
    </xf>
    <xf numFmtId="9" fontId="8" fillId="10" borderId="0" xfId="0" applyNumberFormat="1" applyFont="1" applyFill="1" applyBorder="1" applyAlignment="1" applyProtection="1">
      <alignment horizontal="center"/>
    </xf>
    <xf numFmtId="9" fontId="10" fillId="10" borderId="0" xfId="0" applyNumberFormat="1" applyFont="1" applyFill="1" applyBorder="1" applyAlignment="1" applyProtection="1">
      <alignment horizontal="center" vertical="center"/>
    </xf>
    <xf numFmtId="9" fontId="8" fillId="11" borderId="70" xfId="0" applyNumberFormat="1" applyFont="1" applyFill="1" applyBorder="1" applyAlignment="1" applyProtection="1">
      <alignment horizontal="center" vertical="center"/>
    </xf>
    <xf numFmtId="9" fontId="8" fillId="11" borderId="70" xfId="0" applyNumberFormat="1" applyFont="1" applyFill="1" applyBorder="1" applyAlignment="1" applyProtection="1">
      <alignment horizontal="center"/>
    </xf>
    <xf numFmtId="9" fontId="8" fillId="11" borderId="0" xfId="0" applyNumberFormat="1" applyFont="1" applyFill="1" applyBorder="1" applyAlignment="1" applyProtection="1">
      <alignment horizontal="center"/>
    </xf>
    <xf numFmtId="9" fontId="10" fillId="11" borderId="0" xfId="0" applyNumberFormat="1" applyFont="1" applyFill="1" applyBorder="1" applyAlignment="1" applyProtection="1">
      <alignment horizontal="center" vertical="center"/>
    </xf>
    <xf numFmtId="0" fontId="0" fillId="7" borderId="22" xfId="0" applyFill="1" applyBorder="1" applyProtection="1"/>
    <xf numFmtId="9" fontId="7" fillId="7" borderId="0" xfId="0" applyNumberFormat="1" applyFont="1" applyFill="1" applyBorder="1" applyAlignment="1" applyProtection="1">
      <alignment horizontal="center"/>
    </xf>
    <xf numFmtId="2" fontId="7" fillId="7" borderId="0" xfId="0" applyNumberFormat="1" applyFont="1" applyFill="1" applyBorder="1" applyAlignment="1" applyProtection="1">
      <alignment horizontal="center"/>
    </xf>
    <xf numFmtId="43" fontId="7" fillId="7" borderId="0" xfId="1" applyFont="1" applyFill="1" applyBorder="1" applyAlignment="1" applyProtection="1">
      <alignment horizontal="left"/>
    </xf>
    <xf numFmtId="43" fontId="26" fillId="7" borderId="0" xfId="1" applyFont="1" applyFill="1" applyBorder="1" applyAlignment="1" applyProtection="1">
      <alignment horizontal="center"/>
    </xf>
    <xf numFmtId="0" fontId="0" fillId="7" borderId="0" xfId="0" applyFill="1" applyBorder="1" applyAlignment="1" applyProtection="1">
      <alignment horizontal="left"/>
    </xf>
    <xf numFmtId="41" fontId="26" fillId="3" borderId="0" xfId="1" applyNumberFormat="1" applyFont="1" applyFill="1" applyBorder="1" applyAlignment="1" applyProtection="1">
      <alignment horizontal="center"/>
    </xf>
    <xf numFmtId="164" fontId="7" fillId="3" borderId="14" xfId="0" applyNumberFormat="1" applyFont="1" applyFill="1" applyBorder="1" applyAlignment="1" applyProtection="1">
      <alignment horizontal="right"/>
    </xf>
    <xf numFmtId="43" fontId="26" fillId="3" borderId="0" xfId="1" applyFont="1" applyFill="1" applyBorder="1" applyAlignment="1" applyProtection="1">
      <alignment horizontal="center"/>
    </xf>
    <xf numFmtId="164" fontId="7" fillId="7" borderId="14" xfId="0" applyNumberFormat="1" applyFont="1" applyFill="1" applyBorder="1" applyAlignment="1" applyProtection="1">
      <alignment horizontal="right"/>
    </xf>
    <xf numFmtId="0" fontId="0" fillId="3" borderId="0" xfId="0" applyFill="1" applyBorder="1" applyAlignment="1" applyProtection="1">
      <alignment horizontal="center"/>
    </xf>
    <xf numFmtId="0" fontId="9" fillId="6" borderId="40" xfId="0" applyFont="1" applyFill="1" applyBorder="1" applyProtection="1"/>
    <xf numFmtId="0" fontId="8" fillId="6" borderId="45" xfId="0" applyFont="1" applyFill="1" applyBorder="1" applyProtection="1"/>
    <xf numFmtId="0" fontId="7" fillId="0" borderId="0" xfId="0" applyFont="1" applyFill="1" applyBorder="1" applyAlignment="1">
      <alignment horizontal="center" wrapText="1"/>
    </xf>
    <xf numFmtId="0" fontId="7" fillId="0" borderId="13" xfId="0" applyFont="1" applyFill="1" applyBorder="1" applyAlignment="1">
      <alignment horizontal="center" wrapText="1"/>
    </xf>
    <xf numFmtId="169" fontId="7" fillId="5" borderId="23" xfId="0" applyNumberFormat="1" applyFont="1" applyFill="1" applyBorder="1" applyAlignment="1" applyProtection="1">
      <alignment horizontal="center"/>
      <protection locked="0"/>
    </xf>
    <xf numFmtId="9" fontId="7" fillId="5" borderId="23" xfId="0" applyNumberFormat="1" applyFont="1" applyFill="1" applyBorder="1" applyAlignment="1" applyProtection="1">
      <alignment horizontal="center"/>
      <protection locked="0"/>
    </xf>
    <xf numFmtId="0" fontId="7" fillId="5" borderId="23" xfId="4" applyNumberFormat="1" applyFont="1" applyFill="1" applyBorder="1" applyAlignment="1" applyProtection="1">
      <alignment horizontal="center" vertical="center"/>
      <protection locked="0"/>
    </xf>
    <xf numFmtId="0" fontId="12" fillId="6" borderId="28" xfId="0" applyFont="1" applyFill="1" applyBorder="1" applyAlignment="1">
      <alignment horizontal="left" vertical="center"/>
    </xf>
    <xf numFmtId="0" fontId="12" fillId="6" borderId="1" xfId="0" applyFont="1" applyFill="1" applyBorder="1" applyAlignment="1">
      <alignment horizontal="left" vertical="center"/>
    </xf>
    <xf numFmtId="9" fontId="8" fillId="7" borderId="38" xfId="4" applyFont="1" applyFill="1" applyBorder="1" applyAlignment="1">
      <alignment horizontal="center" vertical="center"/>
    </xf>
    <xf numFmtId="9" fontId="8" fillId="7" borderId="17" xfId="4" applyFont="1" applyFill="1" applyBorder="1" applyAlignment="1">
      <alignment horizontal="center" vertical="center"/>
    </xf>
    <xf numFmtId="9" fontId="8" fillId="7" borderId="20" xfId="4" applyFont="1" applyFill="1" applyBorder="1" applyAlignment="1">
      <alignment horizontal="center" vertical="center"/>
    </xf>
    <xf numFmtId="9" fontId="8" fillId="7" borderId="17" xfId="4" applyFont="1" applyFill="1" applyBorder="1" applyAlignment="1" applyProtection="1">
      <alignment horizontal="center" vertical="center"/>
    </xf>
    <xf numFmtId="9" fontId="8" fillId="3" borderId="17" xfId="4" applyFont="1" applyFill="1" applyBorder="1" applyAlignment="1">
      <alignment horizontal="center" vertical="center"/>
    </xf>
    <xf numFmtId="9" fontId="8" fillId="3" borderId="20" xfId="4" applyFont="1" applyFill="1" applyBorder="1" applyAlignment="1">
      <alignment horizontal="center" vertical="center"/>
    </xf>
    <xf numFmtId="9" fontId="8" fillId="3" borderId="17" xfId="4" applyFont="1" applyFill="1" applyBorder="1" applyAlignment="1" applyProtection="1">
      <alignment horizontal="center" vertical="center"/>
    </xf>
    <xf numFmtId="9" fontId="8" fillId="10" borderId="38" xfId="4" applyFont="1" applyFill="1" applyBorder="1" applyAlignment="1">
      <alignment horizontal="center" vertical="center"/>
    </xf>
    <xf numFmtId="9" fontId="8" fillId="10" borderId="17" xfId="4" applyFont="1" applyFill="1" applyBorder="1" applyAlignment="1">
      <alignment horizontal="center" vertical="center"/>
    </xf>
    <xf numFmtId="9" fontId="8" fillId="10" borderId="20" xfId="4" applyFont="1" applyFill="1" applyBorder="1" applyAlignment="1">
      <alignment horizontal="center" vertical="center"/>
    </xf>
    <xf numFmtId="9" fontId="8" fillId="10" borderId="17" xfId="4" applyFont="1" applyFill="1" applyBorder="1" applyAlignment="1" applyProtection="1">
      <alignment horizontal="center" vertical="center"/>
    </xf>
    <xf numFmtId="9" fontId="8" fillId="11" borderId="17" xfId="4" applyFont="1" applyFill="1" applyBorder="1" applyAlignment="1">
      <alignment horizontal="center" vertical="center"/>
    </xf>
    <xf numFmtId="9" fontId="8" fillId="11" borderId="20" xfId="4" applyFont="1" applyFill="1" applyBorder="1" applyAlignment="1">
      <alignment horizontal="center" vertical="center"/>
    </xf>
    <xf numFmtId="9" fontId="8" fillId="11" borderId="17" xfId="4" applyFont="1" applyFill="1" applyBorder="1" applyAlignment="1" applyProtection="1">
      <alignment horizontal="center" vertical="center"/>
    </xf>
    <xf numFmtId="0" fontId="7" fillId="6" borderId="1" xfId="0" quotePrefix="1" applyFont="1" applyFill="1" applyBorder="1" applyAlignment="1">
      <alignment horizontal="left" wrapText="1" indent="2"/>
    </xf>
    <xf numFmtId="0" fontId="25" fillId="6" borderId="17" xfId="0" applyFont="1" applyFill="1" applyBorder="1" applyAlignment="1">
      <alignment horizontal="center" vertical="center" wrapText="1"/>
    </xf>
    <xf numFmtId="9" fontId="9" fillId="3" borderId="0" xfId="0" applyNumberFormat="1" applyFont="1" applyFill="1" applyBorder="1" applyAlignment="1" applyProtection="1">
      <alignment horizontal="center"/>
    </xf>
    <xf numFmtId="9" fontId="10" fillId="10" borderId="17" xfId="4" applyFont="1" applyFill="1" applyBorder="1" applyAlignment="1">
      <alignment horizontal="center" vertical="center" wrapText="1"/>
    </xf>
    <xf numFmtId="9" fontId="9" fillId="11" borderId="0" xfId="0" applyNumberFormat="1" applyFont="1" applyFill="1" applyBorder="1" applyAlignment="1" applyProtection="1">
      <alignment horizontal="center"/>
    </xf>
    <xf numFmtId="9" fontId="9" fillId="10" borderId="0" xfId="0" applyNumberFormat="1" applyFont="1" applyFill="1" applyBorder="1" applyAlignment="1" applyProtection="1">
      <alignment horizontal="center"/>
    </xf>
    <xf numFmtId="9" fontId="10" fillId="11" borderId="17" xfId="4" applyFont="1" applyFill="1" applyBorder="1" applyAlignment="1">
      <alignment horizontal="center" vertical="center" wrapText="1"/>
    </xf>
    <xf numFmtId="0" fontId="52" fillId="0" borderId="0" xfId="0" applyFont="1"/>
    <xf numFmtId="0" fontId="54" fillId="0" borderId="0" xfId="0" applyFont="1" applyAlignment="1"/>
    <xf numFmtId="0" fontId="51" fillId="0" borderId="0" xfId="0" applyFont="1" applyAlignment="1"/>
    <xf numFmtId="0" fontId="11" fillId="6" borderId="106" xfId="0" applyFont="1" applyFill="1" applyBorder="1" applyAlignment="1">
      <alignment horizontal="right" vertical="center"/>
    </xf>
    <xf numFmtId="0" fontId="41" fillId="8" borderId="23" xfId="0" applyFont="1" applyFill="1" applyBorder="1" applyAlignment="1" applyProtection="1">
      <alignment horizontal="left" vertical="center" indent="1"/>
    </xf>
    <xf numFmtId="0" fontId="41" fillId="15" borderId="14" xfId="0" applyFont="1" applyFill="1" applyBorder="1" applyAlignment="1" applyProtection="1">
      <alignment horizontal="left" vertical="center" indent="1"/>
    </xf>
    <xf numFmtId="0" fontId="41" fillId="12" borderId="14" xfId="0" applyFont="1" applyFill="1" applyBorder="1" applyAlignment="1" applyProtection="1">
      <alignment horizontal="left" vertical="center" indent="1"/>
    </xf>
    <xf numFmtId="2" fontId="8" fillId="10" borderId="0" xfId="0" applyNumberFormat="1" applyFont="1" applyFill="1" applyBorder="1"/>
    <xf numFmtId="2" fontId="8" fillId="7" borderId="0" xfId="0" applyNumberFormat="1" applyFont="1" applyFill="1" applyBorder="1"/>
    <xf numFmtId="2" fontId="8" fillId="3" borderId="0" xfId="0" applyNumberFormat="1" applyFont="1" applyFill="1" applyBorder="1"/>
    <xf numFmtId="0" fontId="10" fillId="3" borderId="23" xfId="0" applyNumberFormat="1" applyFont="1" applyFill="1" applyBorder="1" applyAlignment="1">
      <alignment vertical="center" wrapText="1"/>
    </xf>
    <xf numFmtId="0" fontId="10" fillId="3" borderId="15" xfId="0" applyNumberFormat="1" applyFont="1" applyFill="1" applyBorder="1" applyAlignment="1">
      <alignment vertical="center" wrapText="1"/>
    </xf>
    <xf numFmtId="0" fontId="10" fillId="3" borderId="16" xfId="0" applyNumberFormat="1" applyFont="1" applyFill="1" applyBorder="1" applyAlignment="1">
      <alignment vertical="center" wrapText="1"/>
    </xf>
    <xf numFmtId="0" fontId="10" fillId="3" borderId="27" xfId="0" applyNumberFormat="1" applyFont="1" applyFill="1" applyBorder="1" applyAlignment="1">
      <alignment vertical="center" wrapText="1"/>
    </xf>
    <xf numFmtId="0" fontId="13" fillId="0" borderId="0" xfId="0" applyFont="1" applyAlignment="1">
      <alignment vertical="center"/>
    </xf>
    <xf numFmtId="0" fontId="10" fillId="7" borderId="11" xfId="0" applyNumberFormat="1" applyFont="1" applyFill="1" applyBorder="1" applyAlignment="1">
      <alignment vertical="center" wrapText="1"/>
    </xf>
    <xf numFmtId="0" fontId="10" fillId="11" borderId="15" xfId="0" applyNumberFormat="1" applyFont="1" applyFill="1" applyBorder="1" applyAlignment="1">
      <alignment vertical="center" wrapText="1"/>
    </xf>
    <xf numFmtId="0" fontId="10" fillId="11" borderId="16" xfId="0" applyNumberFormat="1" applyFont="1" applyFill="1" applyBorder="1" applyAlignment="1">
      <alignment vertical="center" wrapText="1"/>
    </xf>
    <xf numFmtId="0" fontId="10" fillId="10" borderId="15" xfId="0" applyNumberFormat="1" applyFont="1" applyFill="1" applyBorder="1" applyAlignment="1">
      <alignment vertical="center" wrapText="1"/>
    </xf>
    <xf numFmtId="0" fontId="10" fillId="10" borderId="16" xfId="0" applyNumberFormat="1" applyFont="1" applyFill="1" applyBorder="1" applyAlignment="1">
      <alignment vertical="center" wrapText="1"/>
    </xf>
    <xf numFmtId="0" fontId="10" fillId="10" borderId="37" xfId="0" applyNumberFormat="1" applyFont="1" applyFill="1" applyBorder="1" applyAlignment="1">
      <alignment vertical="center" wrapText="1"/>
    </xf>
    <xf numFmtId="0" fontId="10" fillId="10" borderId="11" xfId="0" applyNumberFormat="1" applyFont="1" applyFill="1" applyBorder="1" applyAlignment="1">
      <alignment vertical="center" wrapText="1"/>
    </xf>
    <xf numFmtId="0" fontId="10" fillId="11" borderId="27" xfId="0" applyNumberFormat="1" applyFont="1" applyFill="1" applyBorder="1" applyAlignment="1">
      <alignment vertical="center" wrapText="1"/>
    </xf>
    <xf numFmtId="0" fontId="10" fillId="11" borderId="23" xfId="0" applyNumberFormat="1" applyFont="1" applyFill="1" applyBorder="1" applyAlignment="1">
      <alignment vertical="center" wrapText="1"/>
    </xf>
    <xf numFmtId="0" fontId="7" fillId="0" borderId="28" xfId="0" applyFont="1" applyFill="1" applyBorder="1" applyAlignment="1">
      <alignment horizontal="left"/>
    </xf>
    <xf numFmtId="168" fontId="7" fillId="0" borderId="12" xfId="4" applyNumberFormat="1" applyFont="1" applyFill="1" applyBorder="1" applyAlignment="1">
      <alignment horizontal="center"/>
    </xf>
    <xf numFmtId="49" fontId="7" fillId="5" borderId="23" xfId="0" applyNumberFormat="1" applyFont="1" applyFill="1" applyBorder="1" applyAlignment="1" applyProtection="1">
      <alignment horizontal="left"/>
      <protection locked="0"/>
    </xf>
    <xf numFmtId="49" fontId="7" fillId="6" borderId="16" xfId="0" applyNumberFormat="1" applyFont="1" applyFill="1" applyBorder="1" applyAlignment="1" applyProtection="1">
      <alignment horizontal="left"/>
    </xf>
    <xf numFmtId="49" fontId="13" fillId="6" borderId="0" xfId="0" applyNumberFormat="1" applyFont="1" applyFill="1" applyBorder="1" applyAlignment="1">
      <alignment horizontal="left" vertical="center" wrapText="1"/>
    </xf>
    <xf numFmtId="49" fontId="7" fillId="5" borderId="14" xfId="0" applyNumberFormat="1" applyFont="1" applyFill="1" applyBorder="1" applyAlignment="1" applyProtection="1">
      <alignment horizontal="left"/>
      <protection locked="0"/>
    </xf>
    <xf numFmtId="49" fontId="7" fillId="6" borderId="1" xfId="0" applyNumberFormat="1" applyFont="1" applyFill="1" applyBorder="1" applyAlignment="1">
      <alignment horizontal="left" indent="2"/>
    </xf>
    <xf numFmtId="49" fontId="10" fillId="6" borderId="1" xfId="0" applyNumberFormat="1" applyFont="1" applyFill="1" applyBorder="1" applyAlignment="1">
      <alignment horizontal="right" vertical="center"/>
    </xf>
    <xf numFmtId="49" fontId="10" fillId="6" borderId="1" xfId="0" applyNumberFormat="1" applyFont="1" applyFill="1" applyBorder="1" applyAlignment="1">
      <alignment horizontal="right" vertical="center" wrapText="1"/>
    </xf>
    <xf numFmtId="49" fontId="13" fillId="6" borderId="1" xfId="0" applyNumberFormat="1" applyFont="1" applyFill="1" applyBorder="1"/>
    <xf numFmtId="49" fontId="8" fillId="6" borderId="1" xfId="0" applyNumberFormat="1" applyFont="1" applyFill="1" applyBorder="1" applyAlignment="1">
      <alignment horizontal="right"/>
    </xf>
    <xf numFmtId="49" fontId="8" fillId="6" borderId="1" xfId="0" applyNumberFormat="1" applyFont="1" applyFill="1" applyBorder="1" applyAlignment="1">
      <alignment horizontal="right" wrapText="1"/>
    </xf>
    <xf numFmtId="49" fontId="13" fillId="6" borderId="1" xfId="0" applyNumberFormat="1" applyFont="1" applyFill="1" applyBorder="1" applyAlignment="1">
      <alignment horizontal="right"/>
    </xf>
    <xf numFmtId="0" fontId="7" fillId="6" borderId="1" xfId="0" applyNumberFormat="1" applyFont="1" applyFill="1" applyBorder="1" applyAlignment="1">
      <alignment horizontal="left" indent="2"/>
    </xf>
    <xf numFmtId="0" fontId="7" fillId="6" borderId="1" xfId="0" applyNumberFormat="1" applyFont="1" applyFill="1" applyBorder="1"/>
    <xf numFmtId="0" fontId="8" fillId="6" borderId="1" xfId="0" applyNumberFormat="1" applyFont="1" applyFill="1" applyBorder="1" applyAlignment="1">
      <alignment horizontal="right"/>
    </xf>
    <xf numFmtId="0" fontId="8" fillId="6" borderId="1" xfId="0" applyNumberFormat="1" applyFont="1" applyFill="1" applyBorder="1" applyAlignment="1">
      <alignment horizontal="right" wrapText="1"/>
    </xf>
    <xf numFmtId="0" fontId="13" fillId="6" borderId="1" xfId="0" applyNumberFormat="1" applyFont="1" applyFill="1" applyBorder="1" applyAlignment="1">
      <alignment horizontal="right"/>
    </xf>
    <xf numFmtId="0" fontId="1" fillId="0" borderId="0" xfId="6" applyFont="1" applyBorder="1"/>
    <xf numFmtId="0" fontId="0" fillId="0" borderId="17" xfId="0" applyBorder="1"/>
    <xf numFmtId="0" fontId="0" fillId="0" borderId="25" xfId="0" applyBorder="1"/>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171" fontId="7" fillId="7" borderId="62" xfId="0" applyNumberFormat="1" applyFont="1" applyFill="1" applyBorder="1" applyProtection="1"/>
    <xf numFmtId="171" fontId="7" fillId="3" borderId="62" xfId="0" applyNumberFormat="1" applyFont="1" applyFill="1" applyBorder="1" applyProtection="1"/>
    <xf numFmtId="171" fontId="0" fillId="18" borderId="62" xfId="0" applyNumberFormat="1" applyFill="1" applyBorder="1" applyProtection="1"/>
    <xf numFmtId="171" fontId="0" fillId="11" borderId="62" xfId="0" applyNumberFormat="1" applyFill="1" applyBorder="1" applyProtection="1"/>
    <xf numFmtId="0" fontId="8" fillId="0" borderId="17" xfId="0" applyFont="1" applyBorder="1" applyAlignment="1">
      <alignment horizontal="center" wrapText="1"/>
    </xf>
    <xf numFmtId="0" fontId="0" fillId="3" borderId="0" xfId="0" applyFill="1" applyBorder="1" applyAlignment="1">
      <alignment horizontal="center"/>
    </xf>
    <xf numFmtId="0" fontId="0" fillId="7" borderId="0" xfId="0"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7" fillId="0" borderId="1" xfId="0" applyFont="1" applyBorder="1" applyAlignment="1">
      <alignment horizontal="left"/>
    </xf>
    <xf numFmtId="164" fontId="13" fillId="6" borderId="62" xfId="1" applyNumberFormat="1" applyFont="1" applyFill="1" applyBorder="1" applyAlignment="1">
      <alignment horizontal="left" indent="2"/>
    </xf>
    <xf numFmtId="164" fontId="13" fillId="6" borderId="62" xfId="1" applyNumberFormat="1" applyFont="1" applyFill="1" applyBorder="1" applyAlignment="1">
      <alignment horizontal="center"/>
    </xf>
    <xf numFmtId="0" fontId="13" fillId="6" borderId="0" xfId="0" applyFont="1" applyFill="1" applyBorder="1" applyAlignment="1">
      <alignment horizontal="left"/>
    </xf>
    <xf numFmtId="0" fontId="13" fillId="6" borderId="0" xfId="0" applyNumberFormat="1" applyFont="1" applyFill="1" applyBorder="1" applyAlignment="1">
      <alignment horizontal="left"/>
    </xf>
    <xf numFmtId="43" fontId="13" fillId="19" borderId="23" xfId="1" applyFont="1" applyFill="1" applyBorder="1" applyAlignment="1" applyProtection="1">
      <alignment horizontal="center"/>
      <protection locked="0"/>
    </xf>
    <xf numFmtId="0" fontId="13" fillId="6" borderId="0" xfId="0" applyNumberFormat="1" applyFont="1" applyFill="1" applyBorder="1" applyAlignment="1">
      <alignment horizontal="center"/>
    </xf>
    <xf numFmtId="165" fontId="13" fillId="6" borderId="62" xfId="1" applyNumberFormat="1" applyFont="1" applyFill="1" applyBorder="1" applyAlignment="1">
      <alignment horizontal="left" indent="2"/>
    </xf>
    <xf numFmtId="43" fontId="13" fillId="6" borderId="62" xfId="1" applyNumberFormat="1" applyFont="1" applyFill="1" applyBorder="1" applyAlignment="1">
      <alignment horizontal="left" indent="2"/>
    </xf>
    <xf numFmtId="43" fontId="13" fillId="6" borderId="0" xfId="1" applyNumberFormat="1" applyFont="1" applyFill="1" applyBorder="1" applyAlignment="1">
      <alignment horizontal="left" indent="2"/>
    </xf>
    <xf numFmtId="165" fontId="13" fillId="19" borderId="23" xfId="1" applyNumberFormat="1" applyFont="1" applyFill="1" applyBorder="1" applyAlignment="1" applyProtection="1">
      <alignment horizontal="left" indent="2"/>
      <protection locked="0"/>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0" fillId="10" borderId="0" xfId="0" applyFill="1" applyBorder="1" applyAlignment="1">
      <alignment horizontal="center"/>
    </xf>
    <xf numFmtId="0" fontId="0" fillId="11" borderId="0" xfId="0" applyFill="1" applyBorder="1" applyAlignment="1">
      <alignment horizontal="center"/>
    </xf>
    <xf numFmtId="0" fontId="7" fillId="0" borderId="51" xfId="0" applyFont="1" applyFill="1" applyBorder="1"/>
    <xf numFmtId="0" fontId="0" fillId="0" borderId="51" xfId="0" applyBorder="1" applyAlignment="1">
      <alignment horizontal="center"/>
    </xf>
    <xf numFmtId="0" fontId="7" fillId="0" borderId="51" xfId="0" applyFont="1" applyBorder="1" applyAlignment="1">
      <alignment horizontal="left"/>
    </xf>
    <xf numFmtId="0" fontId="0" fillId="0" borderId="6" xfId="0" applyBorder="1" applyAlignment="1">
      <alignment vertical="center"/>
    </xf>
    <xf numFmtId="0" fontId="16" fillId="0" borderId="0" xfId="0" applyFont="1" applyFill="1" applyBorder="1" applyAlignment="1">
      <alignment vertical="center"/>
    </xf>
    <xf numFmtId="0" fontId="0" fillId="3" borderId="0" xfId="0" applyFill="1" applyBorder="1" applyAlignment="1">
      <alignment horizontal="center"/>
    </xf>
    <xf numFmtId="0" fontId="0" fillId="7" borderId="0" xfId="0" applyFill="1" applyBorder="1" applyAlignment="1">
      <alignment horizontal="center"/>
    </xf>
    <xf numFmtId="0" fontId="0" fillId="10" borderId="0" xfId="0"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0" fillId="0" borderId="17" xfId="0" applyBorder="1"/>
    <xf numFmtId="0" fontId="7" fillId="6" borderId="1" xfId="0" quotePrefix="1" applyFont="1" applyFill="1" applyBorder="1" applyAlignment="1">
      <alignment horizontal="left" wrapText="1" indent="2"/>
    </xf>
    <xf numFmtId="168" fontId="7" fillId="5" borderId="23" xfId="4" applyNumberFormat="1" applyFont="1" applyFill="1" applyBorder="1" applyAlignment="1" applyProtection="1">
      <alignment horizontal="center" vertical="center"/>
      <protection locked="0"/>
    </xf>
    <xf numFmtId="0" fontId="7" fillId="5" borderId="23" xfId="0" applyFont="1" applyFill="1" applyBorder="1" applyAlignment="1" applyProtection="1">
      <alignment horizontal="center"/>
      <protection locked="0"/>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0" borderId="16" xfId="0" applyBorder="1" applyAlignment="1">
      <alignment horizontal="center"/>
    </xf>
    <xf numFmtId="0" fontId="0" fillId="0" borderId="0" xfId="0" applyFont="1" applyFill="1" applyBorder="1"/>
    <xf numFmtId="0" fontId="0" fillId="0" borderId="17" xfId="0" applyBorder="1"/>
    <xf numFmtId="0" fontId="0" fillId="0" borderId="25" xfId="0" applyBorder="1"/>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168" fontId="7" fillId="5" borderId="23" xfId="4" applyNumberFormat="1" applyFont="1" applyFill="1" applyBorder="1" applyAlignment="1" applyProtection="1">
      <alignment horizontal="center" vertical="center"/>
      <protection locked="0"/>
    </xf>
    <xf numFmtId="0" fontId="7" fillId="11" borderId="0" xfId="0" applyFont="1" applyFill="1" applyBorder="1" applyAlignment="1" applyProtection="1">
      <alignment horizontal="left"/>
    </xf>
    <xf numFmtId="0" fontId="7" fillId="3" borderId="0" xfId="0" applyFont="1" applyFill="1" applyBorder="1" applyAlignment="1" applyProtection="1">
      <alignment horizontal="left"/>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8" fillId="0" borderId="17" xfId="0" applyFont="1" applyBorder="1" applyAlignment="1">
      <alignment wrapText="1"/>
    </xf>
    <xf numFmtId="0" fontId="7" fillId="0" borderId="2" xfId="0" applyFont="1" applyBorder="1" applyAlignment="1">
      <alignment horizontal="center"/>
    </xf>
    <xf numFmtId="0" fontId="0" fillId="0" borderId="1" xfId="0" applyBorder="1" applyAlignment="1">
      <alignment horizontal="center"/>
    </xf>
    <xf numFmtId="0" fontId="8" fillId="0" borderId="24" xfId="0" applyFont="1" applyBorder="1" applyAlignment="1">
      <alignment horizontal="center"/>
    </xf>
    <xf numFmtId="0" fontId="8" fillId="0" borderId="25" xfId="0" applyFont="1" applyBorder="1" applyAlignment="1">
      <alignment horizontal="center"/>
    </xf>
    <xf numFmtId="0" fontId="0" fillId="0" borderId="26" xfId="0" applyBorder="1" applyAlignment="1">
      <alignment horizontal="center"/>
    </xf>
    <xf numFmtId="0" fontId="8" fillId="0" borderId="11" xfId="0" applyFont="1" applyBorder="1" applyAlignment="1">
      <alignment horizontal="center" wrapText="1"/>
    </xf>
    <xf numFmtId="9" fontId="0" fillId="0" borderId="14" xfId="4" applyFont="1" applyBorder="1" applyAlignment="1">
      <alignment horizontal="center"/>
    </xf>
    <xf numFmtId="9" fontId="0" fillId="0" borderId="14" xfId="4" applyFont="1" applyFill="1" applyBorder="1" applyAlignment="1">
      <alignment horizontal="center"/>
    </xf>
    <xf numFmtId="9" fontId="0" fillId="0" borderId="15" xfId="4" applyFont="1" applyBorder="1" applyAlignment="1">
      <alignment horizontal="center"/>
    </xf>
    <xf numFmtId="0" fontId="37" fillId="0" borderId="0" xfId="8" applyFont="1"/>
    <xf numFmtId="0" fontId="59" fillId="0" borderId="0" xfId="0" applyFont="1"/>
    <xf numFmtId="0" fontId="37" fillId="0" borderId="0" xfId="14" applyFont="1" applyBorder="1" applyAlignment="1">
      <alignment horizontal="left"/>
    </xf>
    <xf numFmtId="0" fontId="7" fillId="0" borderId="6" xfId="0" applyFont="1" applyBorder="1"/>
    <xf numFmtId="0" fontId="0" fillId="0" borderId="22" xfId="0" applyBorder="1"/>
    <xf numFmtId="0" fontId="7" fillId="0" borderId="22" xfId="0" applyFont="1" applyBorder="1"/>
    <xf numFmtId="0" fontId="0" fillId="0" borderId="31" xfId="0" applyBorder="1"/>
    <xf numFmtId="0" fontId="7" fillId="0" borderId="14" xfId="15" applyBorder="1"/>
    <xf numFmtId="0" fontId="7" fillId="0" borderId="14" xfId="15" applyFont="1" applyBorder="1"/>
    <xf numFmtId="0" fontId="30" fillId="0" borderId="22" xfId="0" applyFont="1" applyBorder="1"/>
    <xf numFmtId="0" fontId="7" fillId="0" borderId="68" xfId="0" applyFont="1" applyBorder="1"/>
    <xf numFmtId="0" fontId="1" fillId="0" borderId="68" xfId="6" applyFont="1" applyBorder="1"/>
    <xf numFmtId="0" fontId="5" fillId="0" borderId="68" xfId="13" applyBorder="1" applyAlignment="1">
      <alignment horizontal="left"/>
    </xf>
    <xf numFmtId="0" fontId="7" fillId="0" borderId="22" xfId="0" applyFont="1" applyFill="1" applyBorder="1"/>
    <xf numFmtId="0" fontId="0" fillId="0" borderId="22" xfId="0" applyFill="1" applyBorder="1"/>
    <xf numFmtId="0" fontId="7" fillId="0" borderId="9" xfId="0" applyFont="1" applyFill="1" applyBorder="1" applyAlignment="1">
      <alignment vertical="center"/>
    </xf>
    <xf numFmtId="0" fontId="0" fillId="0" borderId="16" xfId="0" applyNumberFormat="1" applyBorder="1" applyAlignment="1">
      <alignment horizontal="center"/>
    </xf>
    <xf numFmtId="0" fontId="0" fillId="0" borderId="16" xfId="4" applyNumberFormat="1" applyFont="1" applyBorder="1" applyAlignment="1">
      <alignment horizontal="center"/>
    </xf>
    <xf numFmtId="0" fontId="0" fillId="0" borderId="92" xfId="0" applyBorder="1" applyAlignment="1">
      <alignment horizontal="center"/>
    </xf>
    <xf numFmtId="0" fontId="44" fillId="6" borderId="1" xfId="0" applyFont="1" applyFill="1" applyBorder="1" applyAlignment="1">
      <alignment horizontal="left"/>
    </xf>
    <xf numFmtId="0" fontId="44" fillId="6" borderId="1" xfId="0" applyFont="1" applyFill="1" applyBorder="1" applyAlignment="1">
      <alignment horizontal="left" wrapText="1"/>
    </xf>
    <xf numFmtId="0" fontId="7" fillId="6" borderId="1" xfId="0" applyFont="1" applyFill="1" applyBorder="1" applyAlignment="1">
      <alignment horizontal="left" wrapText="1" indent="1"/>
    </xf>
    <xf numFmtId="0" fontId="7" fillId="6" borderId="1" xfId="0" applyFont="1" applyFill="1" applyBorder="1" applyAlignment="1">
      <alignment horizontal="left" vertical="center" indent="1"/>
    </xf>
    <xf numFmtId="0" fontId="7" fillId="6" borderId="1" xfId="0" applyFont="1" applyFill="1" applyBorder="1" applyAlignment="1">
      <alignment horizontal="left" indent="4"/>
    </xf>
    <xf numFmtId="0" fontId="10" fillId="6" borderId="1" xfId="0" applyFont="1" applyFill="1" applyBorder="1" applyAlignment="1">
      <alignment horizontal="center" wrapText="1"/>
    </xf>
    <xf numFmtId="0" fontId="8" fillId="6" borderId="1" xfId="0" applyFont="1" applyFill="1" applyBorder="1" applyAlignment="1">
      <alignment horizontal="center" wrapText="1"/>
    </xf>
    <xf numFmtId="0" fontId="10" fillId="6" borderId="1" xfId="0" applyFont="1" applyFill="1" applyBorder="1" applyAlignment="1">
      <alignment horizontal="left" indent="1"/>
    </xf>
    <xf numFmtId="9" fontId="44" fillId="6" borderId="1" xfId="0" applyNumberFormat="1" applyFont="1" applyFill="1" applyBorder="1" applyAlignment="1"/>
    <xf numFmtId="9" fontId="44" fillId="6" borderId="1" xfId="0" applyNumberFormat="1" applyFont="1" applyFill="1" applyBorder="1" applyAlignment="1">
      <alignment horizontal="left"/>
    </xf>
    <xf numFmtId="2" fontId="8" fillId="7" borderId="14" xfId="0" applyNumberFormat="1" applyFont="1" applyFill="1" applyBorder="1" applyAlignment="1">
      <alignment horizontal="left" vertical="center"/>
    </xf>
    <xf numFmtId="44" fontId="28" fillId="7" borderId="0" xfId="41" applyFont="1" applyFill="1" applyBorder="1" applyProtection="1"/>
    <xf numFmtId="44" fontId="7" fillId="7" borderId="0" xfId="41" applyFont="1" applyFill="1" applyBorder="1" applyAlignment="1" applyProtection="1">
      <alignment horizontal="right"/>
    </xf>
    <xf numFmtId="44" fontId="28" fillId="7" borderId="0" xfId="41" applyFont="1" applyFill="1" applyBorder="1" applyAlignment="1" applyProtection="1"/>
    <xf numFmtId="44" fontId="28" fillId="3" borderId="0" xfId="41" applyFont="1" applyFill="1" applyBorder="1" applyAlignment="1" applyProtection="1"/>
    <xf numFmtId="44" fontId="7" fillId="3" borderId="0" xfId="41" applyFont="1" applyFill="1" applyBorder="1" applyAlignment="1" applyProtection="1">
      <alignment horizontal="right"/>
    </xf>
    <xf numFmtId="44" fontId="28" fillId="3" borderId="0" xfId="41" applyFont="1" applyFill="1" applyBorder="1" applyProtection="1"/>
    <xf numFmtId="44" fontId="28" fillId="11" borderId="0" xfId="41" applyFont="1" applyFill="1" applyBorder="1" applyAlignment="1" applyProtection="1"/>
    <xf numFmtId="44" fontId="7" fillId="11" borderId="0" xfId="41" applyFont="1" applyFill="1" applyBorder="1" applyAlignment="1" applyProtection="1">
      <alignment horizontal="right"/>
    </xf>
    <xf numFmtId="44" fontId="28" fillId="11" borderId="0" xfId="41" applyFont="1" applyFill="1" applyBorder="1" applyProtection="1"/>
    <xf numFmtId="44" fontId="28" fillId="10" borderId="0" xfId="41" applyFont="1" applyFill="1" applyBorder="1" applyAlignment="1" applyProtection="1"/>
    <xf numFmtId="44" fontId="7" fillId="10" borderId="0" xfId="41" applyFont="1" applyFill="1" applyBorder="1" applyAlignment="1" applyProtection="1">
      <alignment horizontal="right"/>
    </xf>
    <xf numFmtId="44" fontId="28" fillId="10" borderId="0" xfId="41" applyFont="1" applyFill="1" applyBorder="1" applyProtection="1"/>
    <xf numFmtId="0" fontId="8" fillId="6" borderId="1" xfId="0" applyFont="1" applyFill="1" applyBorder="1" applyAlignment="1">
      <alignment horizontal="left" indent="2"/>
    </xf>
    <xf numFmtId="0" fontId="9" fillId="6" borderId="3" xfId="0" applyFont="1" applyFill="1" applyBorder="1" applyProtection="1"/>
    <xf numFmtId="0" fontId="0" fillId="7" borderId="43" xfId="0" applyFill="1" applyBorder="1" applyProtection="1"/>
    <xf numFmtId="0" fontId="0" fillId="7" borderId="4" xfId="0" applyFill="1" applyBorder="1" applyProtection="1"/>
    <xf numFmtId="0" fontId="0" fillId="3" borderId="43" xfId="0" applyFill="1" applyBorder="1" applyProtection="1"/>
    <xf numFmtId="0" fontId="0" fillId="3" borderId="4" xfId="0" applyFill="1" applyBorder="1" applyProtection="1"/>
    <xf numFmtId="0" fontId="0" fillId="10" borderId="43" xfId="0" applyFill="1" applyBorder="1" applyProtection="1"/>
    <xf numFmtId="0" fontId="0" fillId="10" borderId="4" xfId="0" applyFill="1" applyBorder="1" applyProtection="1"/>
    <xf numFmtId="0" fontId="0" fillId="10" borderId="44" xfId="0" applyFill="1" applyBorder="1" applyProtection="1"/>
    <xf numFmtId="0" fontId="0" fillId="11" borderId="4" xfId="0" applyFill="1" applyBorder="1" applyProtection="1"/>
    <xf numFmtId="0" fontId="0" fillId="11" borderId="5" xfId="0" applyFill="1" applyBorder="1" applyProtection="1"/>
    <xf numFmtId="0" fontId="8" fillId="6" borderId="1" xfId="0" applyFont="1" applyFill="1" applyBorder="1" applyProtection="1"/>
    <xf numFmtId="0" fontId="9" fillId="6" borderId="1" xfId="0" applyFont="1" applyFill="1" applyBorder="1" applyAlignment="1">
      <alignment horizontal="left"/>
    </xf>
    <xf numFmtId="168" fontId="7" fillId="0" borderId="13" xfId="4" applyNumberFormat="1" applyFont="1" applyFill="1" applyBorder="1" applyAlignment="1">
      <alignment horizontal="center"/>
    </xf>
    <xf numFmtId="0" fontId="60" fillId="0" borderId="0" xfId="0" applyFont="1"/>
    <xf numFmtId="0" fontId="8" fillId="11" borderId="20" xfId="28" applyFont="1" applyFill="1" applyBorder="1" applyAlignment="1">
      <alignment horizontal="center" vertical="center"/>
    </xf>
    <xf numFmtId="0" fontId="7" fillId="5" borderId="68" xfId="0" applyFont="1" applyFill="1" applyBorder="1" applyAlignment="1">
      <alignment horizontal="left"/>
    </xf>
    <xf numFmtId="0" fontId="7" fillId="0" borderId="0" xfId="0" applyFont="1" applyFill="1" applyBorder="1" applyAlignment="1">
      <alignment wrapText="1"/>
    </xf>
    <xf numFmtId="9" fontId="10"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6" borderId="1" xfId="0" applyNumberFormat="1" applyFont="1" applyFill="1" applyBorder="1" applyAlignment="1">
      <alignment horizontal="left" indent="1"/>
    </xf>
    <xf numFmtId="0" fontId="13" fillId="6" borderId="1" xfId="0" applyFont="1" applyFill="1" applyBorder="1" applyAlignment="1">
      <alignment horizontal="left" indent="1"/>
    </xf>
    <xf numFmtId="9" fontId="13" fillId="6" borderId="1" xfId="0" applyNumberFormat="1" applyFont="1" applyFill="1" applyBorder="1" applyAlignment="1">
      <alignment horizontal="left" indent="1"/>
    </xf>
    <xf numFmtId="0" fontId="13" fillId="6" borderId="1" xfId="0" applyFont="1" applyFill="1" applyBorder="1" applyAlignment="1">
      <alignment horizontal="left" indent="3"/>
    </xf>
    <xf numFmtId="0" fontId="13" fillId="6" borderId="1" xfId="0" applyFont="1" applyFill="1" applyBorder="1" applyAlignment="1">
      <alignment horizontal="left"/>
    </xf>
    <xf numFmtId="0" fontId="60" fillId="0" borderId="22" xfId="0" applyFont="1" applyBorder="1"/>
    <xf numFmtId="0" fontId="0" fillId="0" borderId="17" xfId="0" applyBorder="1"/>
    <xf numFmtId="0" fontId="0" fillId="0" borderId="25" xfId="0" applyBorder="1"/>
    <xf numFmtId="0" fontId="7" fillId="6" borderId="1" xfId="0" quotePrefix="1" applyFont="1" applyFill="1" applyBorder="1" applyAlignment="1">
      <alignment horizontal="left" wrapText="1" indent="2"/>
    </xf>
    <xf numFmtId="9" fontId="30" fillId="7" borderId="0" xfId="4" applyFont="1" applyFill="1" applyBorder="1" applyAlignment="1" applyProtection="1">
      <alignment horizontal="center" wrapText="1"/>
    </xf>
    <xf numFmtId="9" fontId="30" fillId="3" borderId="0" xfId="4" applyFont="1" applyFill="1" applyBorder="1" applyAlignment="1" applyProtection="1">
      <alignment horizontal="center" wrapText="1"/>
    </xf>
    <xf numFmtId="9" fontId="30" fillId="11" borderId="0" xfId="4" applyFont="1" applyFill="1" applyBorder="1" applyAlignment="1" applyProtection="1">
      <alignment horizontal="center" wrapText="1"/>
    </xf>
    <xf numFmtId="9" fontId="30" fillId="10" borderId="0" xfId="4" applyFont="1" applyFill="1" applyBorder="1" applyAlignment="1" applyProtection="1">
      <alignment horizontal="center" wrapText="1"/>
    </xf>
    <xf numFmtId="9" fontId="8" fillId="7" borderId="0" xfId="4" applyFont="1" applyFill="1" applyBorder="1" applyAlignment="1">
      <alignment horizontal="center"/>
    </xf>
    <xf numFmtId="9" fontId="8" fillId="10" borderId="0" xfId="4" applyFont="1"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10" borderId="0" xfId="0" applyFill="1" applyBorder="1" applyAlignment="1">
      <alignment horizontal="center"/>
    </xf>
    <xf numFmtId="9" fontId="30" fillId="7" borderId="0" xfId="4" applyFont="1" applyFill="1" applyBorder="1" applyAlignment="1" applyProtection="1">
      <alignment wrapText="1"/>
    </xf>
    <xf numFmtId="0" fontId="7" fillId="3" borderId="36" xfId="0" applyFont="1" applyFill="1" applyBorder="1"/>
    <xf numFmtId="9" fontId="30" fillId="3" borderId="14" xfId="4" applyFont="1" applyFill="1" applyBorder="1" applyAlignment="1" applyProtection="1">
      <alignment horizontal="center" wrapText="1"/>
    </xf>
    <xf numFmtId="9" fontId="30" fillId="10" borderId="14" xfId="4" applyFont="1" applyFill="1" applyBorder="1" applyAlignment="1" applyProtection="1">
      <alignment horizontal="center" wrapText="1"/>
    </xf>
    <xf numFmtId="9" fontId="30" fillId="11" borderId="14" xfId="4" applyFont="1" applyFill="1" applyBorder="1" applyAlignment="1" applyProtection="1">
      <alignment horizontal="center" wrapText="1"/>
    </xf>
    <xf numFmtId="9" fontId="30" fillId="7" borderId="14" xfId="4" applyFont="1" applyFill="1" applyBorder="1" applyAlignment="1" applyProtection="1">
      <alignment horizontal="center" wrapText="1"/>
    </xf>
    <xf numFmtId="0" fontId="7" fillId="7" borderId="32" xfId="0" applyFont="1" applyFill="1" applyBorder="1" applyAlignment="1">
      <alignment horizontal="center"/>
    </xf>
    <xf numFmtId="0" fontId="7" fillId="7" borderId="4" xfId="0" applyFont="1" applyFill="1" applyBorder="1"/>
    <xf numFmtId="0" fontId="7" fillId="7" borderId="44" xfId="0" applyFont="1" applyFill="1" applyBorder="1"/>
    <xf numFmtId="0" fontId="8" fillId="3" borderId="36" xfId="0" applyFont="1" applyFill="1" applyBorder="1"/>
    <xf numFmtId="0" fontId="7" fillId="3" borderId="32" xfId="0" applyFont="1" applyFill="1" applyBorder="1"/>
    <xf numFmtId="0" fontId="7" fillId="3" borderId="4" xfId="0" applyFont="1" applyFill="1" applyBorder="1"/>
    <xf numFmtId="0" fontId="7" fillId="3" borderId="44" xfId="0" applyFont="1" applyFill="1" applyBorder="1"/>
    <xf numFmtId="0" fontId="7" fillId="10" borderId="32" xfId="0" applyFont="1" applyFill="1" applyBorder="1" applyAlignment="1">
      <alignment horizontal="center"/>
    </xf>
    <xf numFmtId="0" fontId="7" fillId="10" borderId="44" xfId="0" applyFont="1" applyFill="1" applyBorder="1"/>
    <xf numFmtId="0" fontId="7" fillId="11" borderId="32" xfId="0" applyFont="1" applyFill="1" applyBorder="1"/>
    <xf numFmtId="0" fontId="7" fillId="11" borderId="5" xfId="0" applyFont="1" applyFill="1" applyBorder="1"/>
    <xf numFmtId="168" fontId="8" fillId="7" borderId="16" xfId="4" applyNumberFormat="1" applyFont="1" applyFill="1" applyBorder="1" applyAlignment="1" applyProtection="1">
      <alignment horizontal="center"/>
    </xf>
    <xf numFmtId="168" fontId="7" fillId="7" borderId="105" xfId="4" applyNumberFormat="1" applyFont="1" applyFill="1" applyBorder="1" applyAlignment="1">
      <alignment horizontal="center"/>
    </xf>
    <xf numFmtId="0" fontId="62" fillId="16" borderId="69" xfId="0" applyFont="1" applyFill="1" applyBorder="1"/>
    <xf numFmtId="0" fontId="7" fillId="0" borderId="0" xfId="0" applyNumberFormat="1" applyFont="1" applyAlignment="1">
      <alignment wrapText="1"/>
    </xf>
    <xf numFmtId="0" fontId="8" fillId="6" borderId="6" xfId="0" applyFont="1" applyFill="1" applyBorder="1" applyAlignment="1">
      <alignment horizontal="center" vertical="center"/>
    </xf>
    <xf numFmtId="9" fontId="7" fillId="0" borderId="4" xfId="4" applyFont="1" applyBorder="1" applyAlignment="1" applyProtection="1">
      <alignment horizontal="center"/>
      <protection locked="0"/>
    </xf>
    <xf numFmtId="168" fontId="0" fillId="0" borderId="93" xfId="4" applyNumberFormat="1" applyFont="1" applyBorder="1" applyAlignment="1" applyProtection="1">
      <alignment horizontal="center"/>
      <protection locked="0"/>
    </xf>
    <xf numFmtId="10" fontId="7" fillId="5" borderId="23" xfId="4" applyNumberFormat="1" applyFont="1" applyFill="1" applyBorder="1" applyAlignment="1" applyProtection="1">
      <alignment horizontal="center"/>
      <protection locked="0"/>
    </xf>
    <xf numFmtId="0" fontId="7" fillId="6" borderId="1" xfId="0" applyFont="1" applyFill="1" applyBorder="1" applyAlignment="1" applyProtection="1">
      <alignment wrapText="1"/>
    </xf>
    <xf numFmtId="165" fontId="7" fillId="7" borderId="0" xfId="1" applyNumberFormat="1" applyFont="1" applyFill="1" applyBorder="1" applyProtection="1"/>
    <xf numFmtId="164" fontId="7" fillId="7" borderId="0" xfId="1" applyNumberFormat="1" applyFont="1" applyFill="1" applyBorder="1" applyProtection="1"/>
    <xf numFmtId="165" fontId="7" fillId="3" borderId="0" xfId="1" applyNumberFormat="1" applyFont="1" applyFill="1" applyBorder="1" applyProtection="1"/>
    <xf numFmtId="165" fontId="7" fillId="10" borderId="0" xfId="1" applyNumberFormat="1" applyFont="1" applyFill="1" applyBorder="1" applyProtection="1"/>
    <xf numFmtId="165" fontId="7" fillId="11" borderId="0" xfId="1" applyNumberFormat="1" applyFont="1" applyFill="1" applyBorder="1" applyProtection="1"/>
    <xf numFmtId="0" fontId="64" fillId="0" borderId="0" xfId="49" applyFont="1" applyAlignment="1" applyProtection="1"/>
    <xf numFmtId="169" fontId="0" fillId="3" borderId="0" xfId="0" applyNumberFormat="1" applyFill="1" applyBorder="1" applyProtection="1"/>
    <xf numFmtId="169" fontId="0" fillId="11" borderId="0" xfId="0" applyNumberFormat="1" applyFill="1" applyBorder="1" applyProtection="1"/>
    <xf numFmtId="168" fontId="0" fillId="7" borderId="0" xfId="4" applyNumberFormat="1" applyFont="1" applyFill="1" applyBorder="1" applyProtection="1"/>
    <xf numFmtId="168" fontId="0" fillId="11" borderId="0" xfId="4" applyNumberFormat="1" applyFont="1" applyFill="1" applyBorder="1" applyProtection="1"/>
    <xf numFmtId="168" fontId="0" fillId="10" borderId="0" xfId="4" applyNumberFormat="1" applyFont="1" applyFill="1" applyBorder="1" applyProtection="1"/>
    <xf numFmtId="168" fontId="0" fillId="3" borderId="0" xfId="4" applyNumberFormat="1" applyFont="1" applyFill="1" applyBorder="1" applyProtection="1"/>
    <xf numFmtId="9" fontId="8" fillId="7" borderId="0" xfId="4" applyNumberFormat="1" applyFont="1" applyFill="1" applyBorder="1" applyAlignment="1" applyProtection="1">
      <alignment horizontal="center"/>
    </xf>
    <xf numFmtId="9" fontId="8" fillId="3" borderId="0" xfId="4" applyNumberFormat="1" applyFont="1" applyFill="1" applyBorder="1" applyAlignment="1" applyProtection="1">
      <alignment horizontal="center"/>
    </xf>
    <xf numFmtId="9" fontId="8" fillId="10" borderId="0" xfId="4" applyNumberFormat="1" applyFont="1" applyFill="1" applyBorder="1" applyAlignment="1" applyProtection="1">
      <alignment horizontal="center"/>
    </xf>
    <xf numFmtId="9" fontId="8" fillId="11" borderId="0" xfId="4" applyNumberFormat="1" applyFont="1" applyFill="1" applyBorder="1" applyAlignment="1" applyProtection="1">
      <alignment horizontal="center"/>
    </xf>
    <xf numFmtId="0" fontId="0" fillId="3" borderId="0" xfId="0" applyFill="1" applyBorder="1" applyAlignment="1">
      <alignment horizontal="center"/>
    </xf>
    <xf numFmtId="0" fontId="0" fillId="10" borderId="0" xfId="0"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7" fillId="0" borderId="2" xfId="0" applyFont="1" applyBorder="1" applyAlignment="1">
      <alignment horizontal="left"/>
    </xf>
    <xf numFmtId="0" fontId="0" fillId="10" borderId="0" xfId="0" applyFill="1" applyBorder="1" applyAlignment="1">
      <alignment horizontal="center"/>
    </xf>
    <xf numFmtId="0" fontId="7" fillId="10" borderId="0" xfId="0" applyFont="1" applyFill="1" applyBorder="1" applyAlignment="1">
      <alignment horizontal="center"/>
    </xf>
    <xf numFmtId="0" fontId="13" fillId="0" borderId="0" xfId="0" applyFont="1" applyAlignment="1">
      <alignment horizontal="left" wrapText="1"/>
    </xf>
    <xf numFmtId="0" fontId="8" fillId="14" borderId="103" xfId="0" applyFont="1" applyFill="1" applyBorder="1" applyAlignment="1"/>
    <xf numFmtId="0" fontId="8" fillId="14" borderId="103" xfId="0" applyFont="1" applyFill="1" applyBorder="1"/>
    <xf numFmtId="0" fontId="8" fillId="0" borderId="1" xfId="0" applyFont="1" applyBorder="1"/>
    <xf numFmtId="0" fontId="8" fillId="0" borderId="0" xfId="0" applyFont="1" applyBorder="1" applyAlignment="1">
      <alignment horizontal="center"/>
    </xf>
    <xf numFmtId="1" fontId="0" fillId="0" borderId="21" xfId="0" applyNumberFormat="1" applyBorder="1" applyAlignment="1">
      <alignment horizontal="center"/>
    </xf>
    <xf numFmtId="0" fontId="7" fillId="6" borderId="1" xfId="0" applyFont="1" applyFill="1" applyBorder="1" applyAlignment="1">
      <alignment horizontal="left" vertical="center" wrapText="1" indent="3"/>
    </xf>
    <xf numFmtId="49" fontId="7" fillId="6" borderId="1" xfId="0" applyNumberFormat="1" applyFont="1" applyFill="1" applyBorder="1" applyAlignment="1">
      <alignment horizontal="left" vertical="center" wrapText="1" indent="2"/>
    </xf>
    <xf numFmtId="0" fontId="7" fillId="0" borderId="57" xfId="0" applyFont="1" applyBorder="1"/>
    <xf numFmtId="0" fontId="0" fillId="0" borderId="79" xfId="41" applyNumberFormat="1" applyFont="1" applyBorder="1"/>
    <xf numFmtId="1" fontId="0" fillId="10" borderId="0" xfId="0" applyNumberFormat="1" applyFill="1" applyBorder="1"/>
    <xf numFmtId="2" fontId="7" fillId="7" borderId="14" xfId="0" applyNumberFormat="1" applyFont="1" applyFill="1" applyBorder="1" applyAlignment="1">
      <alignment horizontal="center"/>
    </xf>
    <xf numFmtId="2" fontId="7" fillId="11" borderId="13" xfId="0" applyNumberFormat="1" applyFont="1" applyFill="1" applyBorder="1" applyAlignment="1">
      <alignment horizontal="center"/>
    </xf>
    <xf numFmtId="0" fontId="7" fillId="0" borderId="93" xfId="0" applyFont="1" applyFill="1" applyBorder="1"/>
    <xf numFmtId="169" fontId="7" fillId="5" borderId="23" xfId="0" applyNumberFormat="1" applyFont="1" applyFill="1" applyBorder="1" applyAlignment="1" applyProtection="1">
      <alignment horizontal="center"/>
      <protection locked="0"/>
    </xf>
    <xf numFmtId="0" fontId="8" fillId="10" borderId="16" xfId="15" applyFont="1" applyFill="1" applyBorder="1" applyAlignment="1">
      <alignment horizontal="center" wrapText="1"/>
    </xf>
    <xf numFmtId="0" fontId="7" fillId="0" borderId="0" xfId="0" applyFont="1" applyAlignment="1" applyProtection="1">
      <alignment vertical="center"/>
    </xf>
    <xf numFmtId="0" fontId="10" fillId="0" borderId="1" xfId="0" applyFont="1" applyFill="1" applyBorder="1" applyAlignment="1" applyProtection="1">
      <alignment vertical="center"/>
    </xf>
    <xf numFmtId="0" fontId="8" fillId="0" borderId="0" xfId="0" applyFont="1" applyFill="1" applyBorder="1" applyAlignment="1" applyProtection="1">
      <alignment vertical="center" wrapText="1"/>
    </xf>
    <xf numFmtId="0" fontId="8" fillId="0" borderId="0" xfId="0" applyFont="1" applyFill="1" applyBorder="1" applyAlignment="1" applyProtection="1">
      <alignment wrapText="1"/>
    </xf>
    <xf numFmtId="0" fontId="30" fillId="0" borderId="1" xfId="0" applyFont="1" applyBorder="1" applyProtection="1"/>
    <xf numFmtId="0" fontId="7" fillId="0" borderId="0" xfId="0" applyFont="1" applyFill="1" applyBorder="1" applyAlignment="1" applyProtection="1"/>
    <xf numFmtId="9" fontId="7" fillId="0" borderId="0" xfId="4" applyFont="1" applyFill="1" applyBorder="1" applyAlignment="1" applyProtection="1"/>
    <xf numFmtId="0" fontId="7" fillId="0" borderId="1" xfId="0" applyFont="1" applyBorder="1" applyAlignment="1" applyProtection="1"/>
    <xf numFmtId="0" fontId="8" fillId="0" borderId="1" xfId="0" applyFont="1" applyBorder="1" applyAlignment="1" applyProtection="1"/>
    <xf numFmtId="0" fontId="7" fillId="0" borderId="1" xfId="0" applyFont="1" applyBorder="1" applyAlignment="1" applyProtection="1">
      <alignment wrapText="1"/>
    </xf>
    <xf numFmtId="0" fontId="0" fillId="0" borderId="17" xfId="0" applyBorder="1"/>
    <xf numFmtId="0" fontId="7" fillId="7" borderId="0" xfId="0" applyFont="1" applyFill="1" applyBorder="1" applyAlignment="1">
      <alignment horizontal="left"/>
    </xf>
    <xf numFmtId="0" fontId="7" fillId="10" borderId="0" xfId="0" applyFont="1" applyFill="1" applyBorder="1" applyAlignment="1">
      <alignment horizontal="left"/>
    </xf>
    <xf numFmtId="0" fontId="7" fillId="10" borderId="0" xfId="0" applyFont="1" applyFill="1" applyBorder="1" applyAlignment="1" applyProtection="1">
      <alignment horizontal="center"/>
    </xf>
    <xf numFmtId="0" fontId="7" fillId="3" borderId="0" xfId="0" applyFont="1" applyFill="1" applyBorder="1" applyAlignment="1" applyProtection="1">
      <alignment horizontal="center"/>
    </xf>
    <xf numFmtId="0" fontId="7" fillId="5" borderId="23" xfId="0" applyFont="1" applyFill="1" applyBorder="1" applyAlignment="1" applyProtection="1">
      <alignment horizontal="center"/>
      <protection locked="0"/>
    </xf>
    <xf numFmtId="0" fontId="7" fillId="3" borderId="0" xfId="0" applyFont="1" applyFill="1" applyBorder="1" applyAlignment="1" applyProtection="1">
      <alignment horizontal="left"/>
    </xf>
    <xf numFmtId="0" fontId="7" fillId="11" borderId="0" xfId="0" applyFont="1" applyFill="1" applyBorder="1" applyAlignment="1" applyProtection="1">
      <alignment horizontal="left"/>
    </xf>
    <xf numFmtId="0" fontId="7" fillId="7" borderId="0" xfId="0" applyFont="1" applyFill="1" applyBorder="1" applyAlignment="1">
      <alignment horizontal="center"/>
    </xf>
    <xf numFmtId="0" fontId="7" fillId="3" borderId="2" xfId="0" applyFont="1" applyFill="1" applyBorder="1" applyAlignment="1">
      <alignment horizontal="center"/>
    </xf>
    <xf numFmtId="0" fontId="7" fillId="10" borderId="0" xfId="0" applyFont="1" applyFill="1" applyBorder="1" applyAlignment="1">
      <alignment horizontal="center"/>
    </xf>
    <xf numFmtId="2" fontId="0" fillId="3" borderId="0" xfId="0" applyNumberFormat="1" applyFill="1" applyBorder="1" applyAlignment="1">
      <alignment horizontal="center"/>
    </xf>
    <xf numFmtId="0" fontId="0" fillId="7" borderId="0" xfId="0" applyFill="1" applyBorder="1" applyAlignment="1">
      <alignment horizontal="center"/>
    </xf>
    <xf numFmtId="0" fontId="0" fillId="10" borderId="0" xfId="0"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2" fontId="7" fillId="10" borderId="0" xfId="1" applyNumberFormat="1" applyFont="1" applyFill="1" applyBorder="1" applyAlignment="1">
      <alignment horizontal="center"/>
    </xf>
    <xf numFmtId="0" fontId="7" fillId="6" borderId="1" xfId="0" quotePrefix="1" applyFont="1" applyFill="1" applyBorder="1" applyAlignment="1">
      <alignment horizontal="left" indent="3"/>
    </xf>
    <xf numFmtId="0" fontId="22" fillId="6" borderId="1" xfId="0" applyFont="1" applyFill="1" applyBorder="1" applyAlignment="1">
      <alignment horizontal="left" vertical="top" indent="1"/>
    </xf>
    <xf numFmtId="1" fontId="7" fillId="7" borderId="0" xfId="0" applyNumberFormat="1" applyFont="1" applyFill="1" applyBorder="1" applyAlignment="1">
      <alignment horizontal="left"/>
    </xf>
    <xf numFmtId="0" fontId="7" fillId="5" borderId="23" xfId="0" applyFont="1" applyFill="1" applyBorder="1" applyAlignment="1" applyProtection="1">
      <alignment horizontal="center"/>
      <protection locked="0"/>
    </xf>
    <xf numFmtId="0" fontId="7" fillId="10" borderId="0" xfId="0" applyFont="1" applyFill="1" applyBorder="1" applyAlignment="1" applyProtection="1">
      <alignment horizontal="center"/>
    </xf>
    <xf numFmtId="0" fontId="10" fillId="6" borderId="1" xfId="0" applyFont="1" applyFill="1" applyBorder="1" applyAlignment="1">
      <alignment horizontal="right"/>
    </xf>
    <xf numFmtId="169" fontId="8" fillId="7" borderId="0" xfId="0" applyNumberFormat="1" applyFont="1" applyFill="1" applyBorder="1" applyAlignment="1">
      <alignment horizontal="center"/>
    </xf>
    <xf numFmtId="2" fontId="8" fillId="7" borderId="0" xfId="0" applyNumberFormat="1" applyFont="1" applyFill="1" applyBorder="1" applyAlignment="1">
      <alignment horizontal="center"/>
    </xf>
    <xf numFmtId="169" fontId="8" fillId="3" borderId="0" xfId="0" applyNumberFormat="1" applyFont="1" applyFill="1" applyBorder="1" applyAlignment="1">
      <alignment horizontal="center"/>
    </xf>
    <xf numFmtId="169" fontId="8" fillId="10" borderId="0" xfId="0" applyNumberFormat="1" applyFont="1" applyFill="1" applyBorder="1" applyAlignment="1">
      <alignment horizontal="center"/>
    </xf>
    <xf numFmtId="169" fontId="8" fillId="11" borderId="0" xfId="0" applyNumberFormat="1" applyFont="1" applyFill="1" applyBorder="1" applyAlignment="1">
      <alignment horizontal="center"/>
    </xf>
    <xf numFmtId="2" fontId="8" fillId="11" borderId="0" xfId="0" applyNumberFormat="1" applyFont="1" applyFill="1" applyBorder="1" applyAlignment="1">
      <alignment horizontal="center"/>
    </xf>
    <xf numFmtId="2" fontId="8" fillId="10" borderId="0" xfId="0" applyNumberFormat="1" applyFont="1" applyFill="1"/>
    <xf numFmtId="169" fontId="8" fillId="10" borderId="0" xfId="0" applyNumberFormat="1" applyFont="1" applyFill="1"/>
    <xf numFmtId="169" fontId="8" fillId="11" borderId="0" xfId="0" applyNumberFormat="1" applyFont="1" applyFill="1"/>
    <xf numFmtId="2" fontId="8" fillId="11" borderId="0" xfId="0" applyNumberFormat="1" applyFont="1" applyFill="1"/>
    <xf numFmtId="169" fontId="8" fillId="3" borderId="0" xfId="0" applyNumberFormat="1" applyFont="1" applyFill="1"/>
    <xf numFmtId="2" fontId="8" fillId="3" borderId="0" xfId="0" applyNumberFormat="1" applyFont="1" applyFill="1"/>
    <xf numFmtId="169" fontId="8" fillId="7" borderId="0" xfId="0" applyNumberFormat="1" applyFont="1" applyFill="1"/>
    <xf numFmtId="2" fontId="8" fillId="7" borderId="0" xfId="0" applyNumberFormat="1" applyFont="1" applyFill="1"/>
    <xf numFmtId="170" fontId="9" fillId="10" borderId="0" xfId="0" applyNumberFormat="1" applyFont="1" applyFill="1" applyBorder="1" applyAlignment="1">
      <alignment horizontal="center" vertical="center"/>
    </xf>
    <xf numFmtId="170" fontId="7" fillId="10" borderId="16" xfId="0" applyNumberFormat="1" applyFont="1" applyFill="1" applyBorder="1" applyAlignment="1">
      <alignment horizontal="center"/>
    </xf>
    <xf numFmtId="170" fontId="9" fillId="10" borderId="16" xfId="0" applyNumberFormat="1" applyFont="1" applyFill="1" applyBorder="1" applyAlignment="1">
      <alignment horizontal="center" vertical="center"/>
    </xf>
    <xf numFmtId="170" fontId="9" fillId="11" borderId="0" xfId="0" applyNumberFormat="1" applyFont="1" applyFill="1" applyBorder="1" applyAlignment="1">
      <alignment horizontal="center" vertical="center"/>
    </xf>
    <xf numFmtId="170" fontId="9" fillId="11" borderId="16" xfId="0" applyNumberFormat="1" applyFont="1" applyFill="1" applyBorder="1" applyAlignment="1">
      <alignment horizontal="center" vertical="center"/>
    </xf>
    <xf numFmtId="0" fontId="7" fillId="11" borderId="0" xfId="0" applyFont="1" applyFill="1" applyBorder="1" applyAlignment="1" applyProtection="1">
      <alignment horizontal="left"/>
    </xf>
    <xf numFmtId="0" fontId="7" fillId="3" borderId="0" xfId="0" applyFont="1" applyFill="1" applyBorder="1" applyAlignment="1" applyProtection="1">
      <alignment horizontal="left"/>
    </xf>
    <xf numFmtId="170" fontId="0" fillId="7" borderId="0" xfId="0" applyNumberFormat="1" applyFill="1" applyBorder="1"/>
    <xf numFmtId="170" fontId="0" fillId="7" borderId="16" xfId="0" applyNumberFormat="1" applyFill="1" applyBorder="1"/>
    <xf numFmtId="170" fontId="30" fillId="7" borderId="0" xfId="0" applyNumberFormat="1" applyFont="1" applyFill="1" applyBorder="1"/>
    <xf numFmtId="170" fontId="9" fillId="7" borderId="0" xfId="0" applyNumberFormat="1" applyFont="1" applyFill="1" applyBorder="1" applyAlignment="1">
      <alignment horizontal="center" vertical="center"/>
    </xf>
    <xf numFmtId="170" fontId="9" fillId="7" borderId="16" xfId="0" applyNumberFormat="1" applyFont="1" applyFill="1" applyBorder="1" applyAlignment="1">
      <alignment horizontal="center" vertical="center"/>
    </xf>
    <xf numFmtId="170" fontId="0" fillId="3" borderId="16" xfId="0" applyNumberFormat="1" applyFill="1" applyBorder="1"/>
    <xf numFmtId="170" fontId="30" fillId="3" borderId="0" xfId="0" applyNumberFormat="1" applyFont="1" applyFill="1" applyBorder="1"/>
    <xf numFmtId="170" fontId="9" fillId="3" borderId="0" xfId="0" applyNumberFormat="1" applyFont="1" applyFill="1" applyBorder="1" applyAlignment="1">
      <alignment horizontal="center" vertical="center"/>
    </xf>
    <xf numFmtId="170" fontId="9" fillId="3" borderId="16" xfId="0" applyNumberFormat="1" applyFont="1" applyFill="1" applyBorder="1" applyAlignment="1">
      <alignment horizontal="center" vertical="center"/>
    </xf>
    <xf numFmtId="9" fontId="7" fillId="0" borderId="17" xfId="4" applyFont="1" applyBorder="1" applyAlignment="1" applyProtection="1">
      <alignment horizontal="center"/>
      <protection locked="0"/>
    </xf>
    <xf numFmtId="0" fontId="62" fillId="12" borderId="71" xfId="0" applyFont="1" applyFill="1" applyBorder="1"/>
    <xf numFmtId="9" fontId="7" fillId="0" borderId="16" xfId="4" applyFont="1" applyBorder="1" applyAlignment="1" applyProtection="1">
      <alignment horizontal="center"/>
      <protection locked="0"/>
    </xf>
    <xf numFmtId="0" fontId="62" fillId="8" borderId="9" xfId="0" applyFont="1" applyFill="1" applyBorder="1"/>
    <xf numFmtId="0" fontId="62" fillId="15" borderId="9" xfId="0" applyFont="1" applyFill="1" applyBorder="1"/>
    <xf numFmtId="0" fontId="62" fillId="12" borderId="9" xfId="0" applyFont="1" applyFill="1" applyBorder="1"/>
    <xf numFmtId="169" fontId="7" fillId="7" borderId="0" xfId="0" applyNumberFormat="1" applyFont="1" applyFill="1" applyBorder="1" applyProtection="1"/>
    <xf numFmtId="10" fontId="7" fillId="7" borderId="16" xfId="0" applyNumberFormat="1" applyFont="1" applyFill="1" applyBorder="1" applyAlignment="1" applyProtection="1">
      <alignment horizontal="center"/>
    </xf>
    <xf numFmtId="0" fontId="7" fillId="7" borderId="16" xfId="0" applyFont="1" applyFill="1" applyBorder="1" applyAlignment="1" applyProtection="1">
      <alignment horizontal="left"/>
    </xf>
    <xf numFmtId="169" fontId="7" fillId="10" borderId="0" xfId="0" applyNumberFormat="1" applyFont="1" applyFill="1" applyBorder="1" applyProtection="1"/>
    <xf numFmtId="0" fontId="7" fillId="10" borderId="16" xfId="0" applyFont="1" applyFill="1" applyBorder="1" applyAlignment="1" applyProtection="1">
      <alignment horizontal="left"/>
    </xf>
    <xf numFmtId="10" fontId="7" fillId="10" borderId="16" xfId="4" applyNumberFormat="1" applyFont="1" applyFill="1" applyBorder="1" applyProtection="1"/>
    <xf numFmtId="1" fontId="7" fillId="7" borderId="0" xfId="0" applyNumberFormat="1" applyFont="1" applyFill="1" applyBorder="1" applyAlignment="1" applyProtection="1">
      <alignment horizontal="left"/>
    </xf>
    <xf numFmtId="0" fontId="8" fillId="11" borderId="0" xfId="0" applyFont="1" applyFill="1" applyBorder="1" applyAlignment="1">
      <alignment horizontal="center"/>
    </xf>
    <xf numFmtId="0" fontId="8" fillId="3" borderId="0" xfId="0" applyFont="1" applyFill="1" applyBorder="1" applyAlignment="1">
      <alignment horizontal="center"/>
    </xf>
    <xf numFmtId="0" fontId="41" fillId="16" borderId="3" xfId="0" applyFont="1" applyFill="1" applyBorder="1" applyAlignment="1">
      <alignment horizontal="right" vertical="center"/>
    </xf>
    <xf numFmtId="0" fontId="41" fillId="16" borderId="32" xfId="0" applyFont="1" applyFill="1" applyBorder="1" applyAlignment="1" applyProtection="1">
      <alignment horizontal="left" vertical="center" indent="1"/>
    </xf>
    <xf numFmtId="169" fontId="7" fillId="3" borderId="0" xfId="0" applyNumberFormat="1" applyFont="1" applyFill="1" applyBorder="1" applyAlignment="1" applyProtection="1">
      <alignment horizontal="left"/>
    </xf>
    <xf numFmtId="169" fontId="7" fillId="11" borderId="0" xfId="0" applyNumberFormat="1" applyFont="1" applyFill="1" applyBorder="1" applyAlignment="1" applyProtection="1">
      <alignment horizontal="left"/>
    </xf>
    <xf numFmtId="168" fontId="8" fillId="11" borderId="7" xfId="4" applyNumberFormat="1" applyFont="1" applyFill="1" applyBorder="1" applyAlignment="1">
      <alignment horizontal="center" vertical="center"/>
    </xf>
    <xf numFmtId="168" fontId="8" fillId="11" borderId="94" xfId="4" applyNumberFormat="1" applyFont="1" applyFill="1" applyBorder="1" applyAlignment="1">
      <alignment horizontal="center" vertical="center"/>
    </xf>
    <xf numFmtId="168" fontId="8" fillId="10" borderId="88" xfId="4" applyNumberFormat="1" applyFont="1" applyFill="1" applyBorder="1" applyAlignment="1">
      <alignment horizontal="center" vertical="center"/>
    </xf>
    <xf numFmtId="168" fontId="8" fillId="10" borderId="90" xfId="4" applyNumberFormat="1" applyFont="1" applyFill="1" applyBorder="1" applyAlignment="1">
      <alignment horizontal="center" vertical="center"/>
    </xf>
    <xf numFmtId="168" fontId="45" fillId="10" borderId="98" xfId="4" applyNumberFormat="1" applyFont="1" applyFill="1" applyBorder="1" applyAlignment="1">
      <alignment horizontal="center" vertical="center"/>
    </xf>
    <xf numFmtId="168" fontId="45" fillId="11" borderId="60" xfId="4" applyNumberFormat="1" applyFont="1" applyFill="1" applyBorder="1" applyAlignment="1">
      <alignment horizontal="center" vertical="center"/>
    </xf>
    <xf numFmtId="168" fontId="8" fillId="7" borderId="88" xfId="4" applyNumberFormat="1" applyFont="1" applyFill="1" applyBorder="1" applyAlignment="1">
      <alignment horizontal="center" vertical="center"/>
    </xf>
    <xf numFmtId="168" fontId="8" fillId="7" borderId="90" xfId="4" applyNumberFormat="1" applyFont="1" applyFill="1" applyBorder="1" applyAlignment="1">
      <alignment horizontal="center" vertical="center"/>
    </xf>
    <xf numFmtId="168" fontId="8" fillId="3" borderId="7" xfId="4" applyNumberFormat="1" applyFont="1" applyFill="1" applyBorder="1" applyAlignment="1">
      <alignment horizontal="center" vertical="center"/>
    </xf>
    <xf numFmtId="168" fontId="8" fillId="3" borderId="94" xfId="4" applyNumberFormat="1" applyFont="1" applyFill="1" applyBorder="1" applyAlignment="1">
      <alignment horizontal="center" vertical="center"/>
    </xf>
    <xf numFmtId="168" fontId="45" fillId="3" borderId="60" xfId="4" applyNumberFormat="1" applyFont="1" applyFill="1" applyBorder="1" applyAlignment="1">
      <alignment horizontal="center" vertical="center"/>
    </xf>
    <xf numFmtId="168" fontId="45" fillId="7" borderId="98" xfId="4" applyNumberFormat="1" applyFont="1" applyFill="1" applyBorder="1" applyAlignment="1">
      <alignment horizontal="center" vertical="center"/>
    </xf>
    <xf numFmtId="0" fontId="7" fillId="11" borderId="0" xfId="0" applyFont="1" applyFill="1" applyBorder="1" applyAlignment="1" applyProtection="1">
      <alignment horizontal="left"/>
    </xf>
    <xf numFmtId="0" fontId="7" fillId="3" borderId="0" xfId="0" applyFont="1" applyFill="1" applyBorder="1" applyAlignment="1" applyProtection="1">
      <alignment horizontal="left"/>
    </xf>
    <xf numFmtId="0" fontId="7" fillId="0" borderId="16" xfId="0" applyFont="1" applyBorder="1" applyAlignment="1">
      <alignment horizontal="center"/>
    </xf>
    <xf numFmtId="0" fontId="7" fillId="0" borderId="0" xfId="0" applyFont="1" applyBorder="1" applyAlignment="1">
      <alignment horizontal="left" wrapText="1"/>
    </xf>
    <xf numFmtId="168" fontId="0" fillId="0" borderId="0" xfId="4" applyNumberFormat="1" applyFont="1" applyFill="1" applyBorder="1" applyAlignment="1">
      <alignment horizontal="center"/>
    </xf>
    <xf numFmtId="9" fontId="0" fillId="7" borderId="0" xfId="4" applyFont="1" applyFill="1" applyBorder="1"/>
    <xf numFmtId="43" fontId="0" fillId="7" borderId="36" xfId="1" applyFont="1" applyFill="1" applyBorder="1"/>
    <xf numFmtId="0" fontId="0" fillId="6" borderId="28" xfId="0" applyFill="1" applyBorder="1"/>
    <xf numFmtId="43" fontId="0" fillId="7" borderId="18" xfId="0" applyNumberFormat="1" applyFill="1" applyBorder="1"/>
    <xf numFmtId="43" fontId="0" fillId="3" borderId="18" xfId="0" applyNumberFormat="1" applyFill="1" applyBorder="1"/>
    <xf numFmtId="43" fontId="0" fillId="10" borderId="18" xfId="0" applyNumberFormat="1" applyFill="1" applyBorder="1"/>
    <xf numFmtId="43" fontId="0" fillId="11" borderId="18" xfId="0" applyNumberFormat="1" applyFill="1" applyBorder="1"/>
    <xf numFmtId="0" fontId="0" fillId="3" borderId="41" xfId="0" applyFill="1" applyBorder="1"/>
    <xf numFmtId="43" fontId="0" fillId="3" borderId="36" xfId="1" applyFont="1" applyFill="1" applyBorder="1"/>
    <xf numFmtId="0" fontId="0" fillId="3" borderId="37" xfId="0" applyFill="1" applyBorder="1"/>
    <xf numFmtId="9" fontId="0" fillId="7" borderId="0" xfId="4" applyFont="1" applyFill="1" applyBorder="1" applyAlignment="1">
      <alignment horizontal="left"/>
    </xf>
    <xf numFmtId="0" fontId="0" fillId="3" borderId="36" xfId="0" applyFill="1" applyBorder="1"/>
    <xf numFmtId="0" fontId="7" fillId="7" borderId="0" xfId="0" applyNumberFormat="1" applyFont="1" applyFill="1" applyBorder="1" applyAlignment="1">
      <alignment horizontal="left" indent="4"/>
    </xf>
    <xf numFmtId="0" fontId="7" fillId="7" borderId="0" xfId="1" applyNumberFormat="1" applyFont="1" applyFill="1" applyBorder="1" applyAlignment="1">
      <alignment horizontal="left" indent="4"/>
    </xf>
    <xf numFmtId="0" fontId="7" fillId="11" borderId="0" xfId="0" applyNumberFormat="1" applyFont="1" applyFill="1" applyBorder="1" applyAlignment="1">
      <alignment horizontal="left" indent="4"/>
    </xf>
    <xf numFmtId="9" fontId="0" fillId="11" borderId="0" xfId="4" applyFont="1" applyFill="1" applyBorder="1" applyAlignment="1">
      <alignment horizontal="left"/>
    </xf>
    <xf numFmtId="0" fontId="7" fillId="11" borderId="0" xfId="1" applyNumberFormat="1" applyFont="1" applyFill="1" applyBorder="1" applyAlignment="1">
      <alignment horizontal="left" indent="4"/>
    </xf>
    <xf numFmtId="9" fontId="0" fillId="11" borderId="0" xfId="4" applyFont="1" applyFill="1" applyBorder="1"/>
    <xf numFmtId="0" fontId="7" fillId="3" borderId="0" xfId="0" applyNumberFormat="1" applyFont="1" applyFill="1" applyBorder="1" applyAlignment="1">
      <alignment horizontal="left" indent="4"/>
    </xf>
    <xf numFmtId="9" fontId="0" fillId="3" borderId="0" xfId="4" applyFont="1" applyFill="1" applyBorder="1" applyAlignment="1">
      <alignment horizontal="left"/>
    </xf>
    <xf numFmtId="0" fontId="7" fillId="3" borderId="0" xfId="1" applyNumberFormat="1" applyFont="1" applyFill="1" applyBorder="1" applyAlignment="1">
      <alignment horizontal="left" indent="4"/>
    </xf>
    <xf numFmtId="9" fontId="0" fillId="3" borderId="0" xfId="4" applyFont="1" applyFill="1" applyBorder="1"/>
    <xf numFmtId="0" fontId="7" fillId="10" borderId="0" xfId="0" applyNumberFormat="1" applyFont="1" applyFill="1" applyBorder="1" applyAlignment="1">
      <alignment horizontal="left" indent="4"/>
    </xf>
    <xf numFmtId="9" fontId="0" fillId="10" borderId="0" xfId="4" applyFont="1" applyFill="1" applyBorder="1" applyAlignment="1">
      <alignment horizontal="left"/>
    </xf>
    <xf numFmtId="0" fontId="7" fillId="10" borderId="0" xfId="1" applyNumberFormat="1" applyFont="1" applyFill="1" applyBorder="1" applyAlignment="1">
      <alignment horizontal="left" indent="4"/>
    </xf>
    <xf numFmtId="9" fontId="0" fillId="10" borderId="0" xfId="4" applyFont="1" applyFill="1" applyBorder="1"/>
    <xf numFmtId="43" fontId="0" fillId="3" borderId="2" xfId="1" applyFont="1" applyFill="1" applyBorder="1"/>
    <xf numFmtId="43" fontId="7" fillId="7" borderId="14" xfId="1" applyFont="1" applyFill="1" applyBorder="1"/>
    <xf numFmtId="43" fontId="0" fillId="3" borderId="23" xfId="0" applyNumberFormat="1" applyFill="1" applyBorder="1"/>
    <xf numFmtId="9" fontId="0" fillId="3" borderId="14" xfId="4" applyFont="1" applyFill="1" applyBorder="1" applyAlignment="1">
      <alignment horizontal="left"/>
    </xf>
    <xf numFmtId="43" fontId="0" fillId="3" borderId="15" xfId="0" applyNumberFormat="1" applyFill="1" applyBorder="1"/>
    <xf numFmtId="0" fontId="0" fillId="5" borderId="67" xfId="0" applyFill="1" applyBorder="1"/>
    <xf numFmtId="0" fontId="0" fillId="5" borderId="68" xfId="0" applyFill="1" applyBorder="1"/>
    <xf numFmtId="43" fontId="7" fillId="10" borderId="14" xfId="1" applyFont="1" applyFill="1" applyBorder="1"/>
    <xf numFmtId="43" fontId="0" fillId="11" borderId="23" xfId="0" applyNumberFormat="1" applyFill="1" applyBorder="1"/>
    <xf numFmtId="9" fontId="0" fillId="11" borderId="14" xfId="4" applyFont="1" applyFill="1" applyBorder="1" applyAlignment="1">
      <alignment horizontal="left"/>
    </xf>
    <xf numFmtId="43" fontId="0" fillId="11" borderId="15" xfId="0" applyNumberFormat="1" applyFill="1" applyBorder="1"/>
    <xf numFmtId="0" fontId="7" fillId="0" borderId="13" xfId="0" applyFont="1" applyFill="1" applyBorder="1" applyAlignment="1">
      <alignment horizontal="left" wrapText="1"/>
    </xf>
    <xf numFmtId="0" fontId="8" fillId="11" borderId="0" xfId="0" applyFont="1" applyFill="1" applyAlignment="1">
      <alignment horizontal="center" vertical="center" wrapText="1"/>
    </xf>
    <xf numFmtId="0" fontId="8" fillId="10" borderId="0" xfId="0" applyFont="1" applyFill="1" applyAlignment="1">
      <alignment horizontal="center" vertical="center" wrapText="1"/>
    </xf>
    <xf numFmtId="0" fontId="8" fillId="3" borderId="0" xfId="0" applyFont="1" applyFill="1" applyAlignment="1">
      <alignment horizontal="center" vertical="center" wrapText="1"/>
    </xf>
    <xf numFmtId="0" fontId="8" fillId="7" borderId="0" xfId="0" applyFont="1" applyFill="1" applyAlignment="1">
      <alignment horizontal="center" vertical="center" wrapText="1"/>
    </xf>
    <xf numFmtId="0" fontId="0" fillId="10" borderId="13" xfId="0" applyFill="1" applyBorder="1"/>
    <xf numFmtId="0" fontId="62" fillId="16" borderId="68" xfId="0" applyFont="1" applyFill="1" applyBorder="1"/>
    <xf numFmtId="0" fontId="7" fillId="6" borderId="1" xfId="0" applyFont="1" applyFill="1" applyBorder="1" applyAlignment="1" applyProtection="1">
      <alignment horizontal="left"/>
    </xf>
    <xf numFmtId="0" fontId="53" fillId="0" borderId="0" xfId="0" applyFont="1" applyAlignment="1">
      <alignment horizontal="center"/>
    </xf>
    <xf numFmtId="0" fontId="8" fillId="0" borderId="0" xfId="0" applyFont="1" applyAlignment="1">
      <alignment horizontal="center"/>
    </xf>
    <xf numFmtId="180" fontId="8" fillId="0" borderId="0" xfId="0" applyNumberFormat="1" applyFont="1" applyAlignment="1">
      <alignment horizontal="center"/>
    </xf>
    <xf numFmtId="0" fontId="12" fillId="14" borderId="107" xfId="0" applyFont="1" applyFill="1" applyBorder="1" applyAlignment="1">
      <alignment horizontal="center" vertical="center"/>
    </xf>
    <xf numFmtId="0" fontId="12" fillId="14" borderId="70" xfId="0" applyFont="1" applyFill="1" applyBorder="1" applyAlignment="1">
      <alignment horizontal="center" vertical="center"/>
    </xf>
    <xf numFmtId="0" fontId="12" fillId="14" borderId="108" xfId="0" applyFont="1" applyFill="1" applyBorder="1" applyAlignment="1">
      <alignment horizontal="center" vertical="center"/>
    </xf>
    <xf numFmtId="0" fontId="43" fillId="14" borderId="56" xfId="0" applyFont="1" applyFill="1" applyBorder="1" applyAlignment="1">
      <alignment horizontal="center" vertical="center"/>
    </xf>
    <xf numFmtId="0" fontId="43" fillId="14" borderId="53" xfId="0" applyFont="1" applyFill="1" applyBorder="1" applyAlignment="1">
      <alignment horizontal="center" vertical="center"/>
    </xf>
    <xf numFmtId="0" fontId="43" fillId="14" borderId="49" xfId="0" applyFont="1" applyFill="1" applyBorder="1" applyAlignment="1">
      <alignment horizontal="center" vertical="center"/>
    </xf>
    <xf numFmtId="0" fontId="42" fillId="0" borderId="74" xfId="0" applyFont="1" applyBorder="1" applyAlignment="1" applyProtection="1">
      <alignment horizontal="left" vertical="center"/>
      <protection locked="0"/>
    </xf>
    <xf numFmtId="0" fontId="42" fillId="0" borderId="75" xfId="0" applyFont="1" applyBorder="1" applyAlignment="1" applyProtection="1">
      <alignment horizontal="left" vertical="center"/>
      <protection locked="0"/>
    </xf>
    <xf numFmtId="0" fontId="8" fillId="6" borderId="73" xfId="0" applyFont="1" applyFill="1" applyBorder="1" applyAlignment="1">
      <alignment horizontal="center" vertical="center"/>
    </xf>
    <xf numFmtId="0" fontId="8" fillId="6" borderId="74" xfId="0" applyFont="1" applyFill="1" applyBorder="1" applyAlignment="1">
      <alignment horizontal="center" vertical="center"/>
    </xf>
    <xf numFmtId="0" fontId="8" fillId="6" borderId="83" xfId="0" applyFont="1" applyFill="1" applyBorder="1" applyAlignment="1">
      <alignment horizontal="center" vertical="center"/>
    </xf>
    <xf numFmtId="0" fontId="13" fillId="0" borderId="18"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4" xfId="0" applyFont="1" applyBorder="1" applyAlignment="1" applyProtection="1">
      <alignment horizontal="left" vertical="center" wrapText="1"/>
      <protection locked="0"/>
    </xf>
    <xf numFmtId="0" fontId="7" fillId="0" borderId="18" xfId="0" applyFont="1" applyBorder="1" applyAlignment="1" applyProtection="1">
      <alignment horizontal="left" vertical="center" wrapText="1"/>
      <protection locked="0"/>
    </xf>
    <xf numFmtId="0" fontId="7" fillId="0" borderId="19" xfId="0" applyFont="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2"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12" fillId="6" borderId="82" xfId="0" applyFont="1" applyFill="1" applyBorder="1" applyAlignment="1">
      <alignment horizontal="center"/>
    </xf>
    <xf numFmtId="0" fontId="12" fillId="6" borderId="69" xfId="0" applyFont="1" applyFill="1" applyBorder="1" applyAlignment="1">
      <alignment horizontal="center"/>
    </xf>
    <xf numFmtId="0" fontId="12" fillId="14" borderId="80" xfId="0" applyFont="1" applyFill="1" applyBorder="1" applyAlignment="1">
      <alignment horizontal="center" vertical="center"/>
    </xf>
    <xf numFmtId="0" fontId="12" fillId="14" borderId="72" xfId="0" applyFont="1" applyFill="1" applyBorder="1" applyAlignment="1">
      <alignment horizontal="center" vertical="center"/>
    </xf>
    <xf numFmtId="0" fontId="12" fillId="14" borderId="81" xfId="0" applyFont="1" applyFill="1" applyBorder="1" applyAlignment="1">
      <alignment horizontal="center" vertical="center"/>
    </xf>
    <xf numFmtId="0" fontId="10" fillId="6" borderId="73" xfId="0" applyFont="1" applyFill="1" applyBorder="1" applyAlignment="1">
      <alignment horizontal="center" vertical="center"/>
    </xf>
    <xf numFmtId="0" fontId="10" fillId="6" borderId="74" xfId="0" applyFont="1" applyFill="1" applyBorder="1" applyAlignment="1">
      <alignment horizontal="center" vertical="center"/>
    </xf>
    <xf numFmtId="0" fontId="10" fillId="6" borderId="75" xfId="0" applyFont="1" applyFill="1" applyBorder="1" applyAlignment="1">
      <alignment horizontal="center" vertical="center"/>
    </xf>
    <xf numFmtId="0" fontId="10" fillId="6" borderId="83" xfId="0" applyFont="1" applyFill="1" applyBorder="1" applyAlignment="1">
      <alignment horizontal="center" vertical="center"/>
    </xf>
    <xf numFmtId="0" fontId="12" fillId="14" borderId="56" xfId="0" applyFont="1" applyFill="1" applyBorder="1" applyAlignment="1">
      <alignment horizontal="center" vertical="center" wrapText="1"/>
    </xf>
    <xf numFmtId="0" fontId="12" fillId="14" borderId="53" xfId="0" applyFont="1" applyFill="1" applyBorder="1" applyAlignment="1">
      <alignment horizontal="center" vertical="center" wrapText="1"/>
    </xf>
    <xf numFmtId="0" fontId="12" fillId="14" borderId="49" xfId="0" applyFont="1" applyFill="1" applyBorder="1" applyAlignment="1">
      <alignment horizontal="center" vertical="center" wrapText="1"/>
    </xf>
    <xf numFmtId="0" fontId="12" fillId="6" borderId="82" xfId="0" applyFont="1" applyFill="1" applyBorder="1" applyAlignment="1">
      <alignment horizontal="center" vertical="center"/>
    </xf>
    <xf numFmtId="0" fontId="12" fillId="6" borderId="69" xfId="0" applyFont="1" applyFill="1" applyBorder="1" applyAlignment="1">
      <alignment horizontal="center" vertical="center"/>
    </xf>
    <xf numFmtId="0" fontId="12" fillId="14" borderId="48" xfId="0" applyFont="1" applyFill="1" applyBorder="1" applyAlignment="1" applyProtection="1">
      <alignment horizontal="right"/>
    </xf>
    <xf numFmtId="0" fontId="12" fillId="14" borderId="10" xfId="0" applyFont="1" applyFill="1" applyBorder="1" applyAlignment="1" applyProtection="1">
      <alignment horizontal="right"/>
    </xf>
    <xf numFmtId="0" fontId="12" fillId="14" borderId="52" xfId="0" applyFont="1" applyFill="1" applyBorder="1" applyAlignment="1" applyProtection="1">
      <alignment horizontal="right"/>
    </xf>
    <xf numFmtId="0" fontId="32" fillId="17" borderId="33" xfId="0" applyFont="1" applyFill="1" applyBorder="1" applyAlignment="1" applyProtection="1">
      <alignment horizontal="center"/>
    </xf>
    <xf numFmtId="0" fontId="32" fillId="17" borderId="0" xfId="0" applyFont="1" applyFill="1" applyBorder="1" applyAlignment="1" applyProtection="1">
      <alignment horizontal="center"/>
    </xf>
    <xf numFmtId="0" fontId="32" fillId="17" borderId="2" xfId="0" applyFont="1" applyFill="1" applyBorder="1" applyAlignment="1" applyProtection="1">
      <alignment horizontal="center"/>
    </xf>
    <xf numFmtId="0" fontId="33" fillId="12" borderId="33" xfId="0" applyFont="1" applyFill="1" applyBorder="1" applyAlignment="1" applyProtection="1">
      <alignment horizontal="center" vertical="top" wrapText="1"/>
    </xf>
    <xf numFmtId="0" fontId="33" fillId="12" borderId="0" xfId="0" applyFont="1" applyFill="1" applyBorder="1" applyAlignment="1" applyProtection="1">
      <alignment horizontal="center" vertical="top" wrapText="1"/>
    </xf>
    <xf numFmtId="0" fontId="33" fillId="12" borderId="36" xfId="0" applyFont="1" applyFill="1" applyBorder="1" applyAlignment="1" applyProtection="1">
      <alignment horizontal="center" vertical="top" wrapText="1"/>
    </xf>
    <xf numFmtId="0" fontId="33" fillId="17" borderId="33" xfId="0" applyNumberFormat="1" applyFont="1" applyFill="1" applyBorder="1" applyAlignment="1" applyProtection="1">
      <alignment horizontal="center" vertical="top" wrapText="1"/>
    </xf>
    <xf numFmtId="0" fontId="33" fillId="17" borderId="0" xfId="0" applyNumberFormat="1" applyFont="1" applyFill="1" applyBorder="1" applyAlignment="1" applyProtection="1">
      <alignment horizontal="center" vertical="top" wrapText="1"/>
    </xf>
    <xf numFmtId="0" fontId="33" fillId="17" borderId="2" xfId="0" applyNumberFormat="1" applyFont="1" applyFill="1" applyBorder="1" applyAlignment="1" applyProtection="1">
      <alignment horizontal="center" vertical="top" wrapText="1"/>
    </xf>
    <xf numFmtId="0" fontId="43" fillId="14" borderId="1" xfId="0" applyFont="1" applyFill="1" applyBorder="1" applyAlignment="1" applyProtection="1">
      <alignment horizontal="left" vertical="center"/>
    </xf>
    <xf numFmtId="0" fontId="43" fillId="14" borderId="0" xfId="0" applyFont="1" applyFill="1" applyBorder="1" applyAlignment="1" applyProtection="1">
      <alignment horizontal="left" vertical="center"/>
    </xf>
    <xf numFmtId="0" fontId="43" fillId="14" borderId="2" xfId="0" applyFont="1" applyFill="1" applyBorder="1" applyAlignment="1" applyProtection="1">
      <alignment horizontal="left" vertical="center"/>
    </xf>
    <xf numFmtId="0" fontId="32" fillId="8" borderId="46" xfId="0" applyFont="1" applyFill="1" applyBorder="1" applyAlignment="1" applyProtection="1">
      <alignment horizontal="center"/>
    </xf>
    <xf numFmtId="0" fontId="32" fillId="8" borderId="18" xfId="0" applyFont="1" applyFill="1" applyBorder="1" applyAlignment="1" applyProtection="1">
      <alignment horizontal="center"/>
    </xf>
    <xf numFmtId="0" fontId="32" fillId="8" borderId="41" xfId="0" applyFont="1" applyFill="1" applyBorder="1" applyAlignment="1" applyProtection="1">
      <alignment horizontal="center"/>
    </xf>
    <xf numFmtId="0" fontId="32" fillId="15" borderId="46" xfId="0" applyFont="1" applyFill="1" applyBorder="1" applyAlignment="1" applyProtection="1">
      <alignment horizontal="center"/>
    </xf>
    <xf numFmtId="0" fontId="32" fillId="15" borderId="18" xfId="0" applyFont="1" applyFill="1" applyBorder="1" applyAlignment="1" applyProtection="1">
      <alignment horizontal="center"/>
    </xf>
    <xf numFmtId="0" fontId="32" fillId="15" borderId="19" xfId="0" applyFont="1" applyFill="1" applyBorder="1" applyAlignment="1" applyProtection="1">
      <alignment horizontal="center"/>
    </xf>
    <xf numFmtId="0" fontId="33" fillId="8" borderId="33" xfId="0" applyFont="1" applyFill="1" applyBorder="1" applyAlignment="1" applyProtection="1">
      <alignment horizontal="center" vertical="top" wrapText="1"/>
    </xf>
    <xf numFmtId="0" fontId="33" fillId="8" borderId="0" xfId="0" applyFont="1" applyFill="1" applyBorder="1" applyAlignment="1" applyProtection="1">
      <alignment horizontal="center" vertical="top" wrapText="1"/>
    </xf>
    <xf numFmtId="0" fontId="33" fillId="8" borderId="36" xfId="0" applyFont="1" applyFill="1" applyBorder="1" applyAlignment="1" applyProtection="1">
      <alignment horizontal="center" vertical="top" wrapText="1"/>
    </xf>
    <xf numFmtId="0" fontId="33" fillId="15" borderId="33" xfId="0" applyFont="1" applyFill="1" applyBorder="1" applyAlignment="1" applyProtection="1">
      <alignment horizontal="center" vertical="top" wrapText="1"/>
    </xf>
    <xf numFmtId="0" fontId="33" fillId="15" borderId="0" xfId="0" applyFont="1" applyFill="1" applyBorder="1" applyAlignment="1" applyProtection="1">
      <alignment horizontal="center" vertical="top" wrapText="1"/>
    </xf>
    <xf numFmtId="0" fontId="33" fillId="15" borderId="2" xfId="0" applyFont="1" applyFill="1" applyBorder="1" applyAlignment="1" applyProtection="1">
      <alignment horizontal="center" vertical="top" wrapText="1"/>
    </xf>
    <xf numFmtId="0" fontId="32" fillId="12" borderId="46" xfId="0" applyFont="1" applyFill="1" applyBorder="1" applyAlignment="1" applyProtection="1">
      <alignment horizontal="center"/>
    </xf>
    <xf numFmtId="0" fontId="32" fillId="12" borderId="18" xfId="0" applyFont="1" applyFill="1" applyBorder="1" applyAlignment="1" applyProtection="1">
      <alignment horizontal="center"/>
    </xf>
    <xf numFmtId="0" fontId="8" fillId="10" borderId="0" xfId="0" applyFont="1" applyFill="1" applyBorder="1" applyAlignment="1">
      <alignment horizontal="center"/>
    </xf>
    <xf numFmtId="0" fontId="8" fillId="11" borderId="0" xfId="0" applyFont="1" applyFill="1" applyBorder="1" applyAlignment="1">
      <alignment horizontal="center"/>
    </xf>
    <xf numFmtId="171" fontId="7" fillId="7" borderId="0" xfId="1" applyNumberFormat="1" applyFont="1" applyFill="1" applyBorder="1" applyAlignment="1">
      <alignment horizontal="center"/>
    </xf>
    <xf numFmtId="2" fontId="7" fillId="7" borderId="0" xfId="1" applyNumberFormat="1" applyFont="1" applyFill="1" applyBorder="1" applyAlignment="1">
      <alignment horizontal="center"/>
    </xf>
    <xf numFmtId="171" fontId="7" fillId="11" borderId="0" xfId="1" applyNumberFormat="1" applyFont="1" applyFill="1" applyBorder="1" applyAlignment="1">
      <alignment horizontal="center"/>
    </xf>
    <xf numFmtId="2" fontId="7" fillId="11" borderId="0" xfId="1" applyNumberFormat="1" applyFont="1" applyFill="1" applyBorder="1" applyAlignment="1">
      <alignment horizontal="center"/>
    </xf>
    <xf numFmtId="0" fontId="25" fillId="6" borderId="24" xfId="0" applyFont="1" applyFill="1" applyBorder="1" applyAlignment="1">
      <alignment horizontal="center" vertical="center" wrapText="1"/>
    </xf>
    <xf numFmtId="0" fontId="25" fillId="6" borderId="17" xfId="0" applyFont="1" applyFill="1" applyBorder="1" applyAlignment="1">
      <alignment horizontal="center" vertical="center" wrapText="1"/>
    </xf>
    <xf numFmtId="0" fontId="25" fillId="6" borderId="25" xfId="0" applyFont="1" applyFill="1" applyBorder="1" applyAlignment="1">
      <alignment horizontal="center" vertical="center" wrapText="1"/>
    </xf>
    <xf numFmtId="2" fontId="0" fillId="7" borderId="0" xfId="0" applyNumberFormat="1"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2" fontId="0" fillId="11" borderId="0" xfId="0" applyNumberFormat="1" applyFill="1" applyBorder="1" applyAlignment="1">
      <alignment horizontal="center"/>
    </xf>
    <xf numFmtId="171" fontId="0" fillId="7" borderId="0" xfId="0" applyNumberFormat="1" applyFill="1" applyBorder="1" applyAlignment="1">
      <alignment horizontal="center"/>
    </xf>
    <xf numFmtId="0" fontId="0" fillId="7" borderId="0" xfId="0" applyFill="1" applyBorder="1" applyAlignment="1">
      <alignment horizontal="center"/>
    </xf>
    <xf numFmtId="0" fontId="43" fillId="14" borderId="1" xfId="0" applyFont="1" applyFill="1" applyBorder="1" applyAlignment="1">
      <alignment horizontal="left" vertical="center"/>
    </xf>
    <xf numFmtId="0" fontId="43" fillId="14" borderId="0" xfId="0" applyFont="1" applyFill="1" applyBorder="1" applyAlignment="1">
      <alignment horizontal="left" vertical="center"/>
    </xf>
    <xf numFmtId="0" fontId="43" fillId="14" borderId="2" xfId="0" applyFont="1" applyFill="1" applyBorder="1" applyAlignment="1">
      <alignment horizontal="left" vertical="center"/>
    </xf>
    <xf numFmtId="0" fontId="9" fillId="3" borderId="0" xfId="0" applyFont="1" applyFill="1" applyBorder="1" applyAlignment="1">
      <alignment horizontal="center"/>
    </xf>
    <xf numFmtId="171" fontId="0" fillId="3" borderId="0" xfId="0" applyNumberFormat="1" applyFill="1" applyBorder="1" applyAlignment="1">
      <alignment horizontal="center"/>
    </xf>
    <xf numFmtId="0" fontId="9" fillId="10" borderId="0" xfId="0" applyFont="1"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171" fontId="0" fillId="11" borderId="0" xfId="0" applyNumberFormat="1" applyFill="1" applyBorder="1" applyAlignment="1">
      <alignment horizontal="center"/>
    </xf>
    <xf numFmtId="0" fontId="0" fillId="3" borderId="0" xfId="0" applyFill="1" applyBorder="1" applyAlignment="1">
      <alignment horizontal="center"/>
    </xf>
    <xf numFmtId="171" fontId="7" fillId="3" borderId="0" xfId="1" applyNumberFormat="1" applyFont="1"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171" fontId="7" fillId="10" borderId="0" xfId="1" applyNumberFormat="1" applyFont="1" applyFill="1" applyBorder="1" applyAlignment="1">
      <alignment horizontal="center"/>
    </xf>
    <xf numFmtId="2" fontId="7" fillId="10" borderId="0" xfId="1" applyNumberFormat="1" applyFont="1" applyFill="1" applyBorder="1" applyAlignment="1">
      <alignment horizontal="center"/>
    </xf>
    <xf numFmtId="0" fontId="33" fillId="8" borderId="33" xfId="0" applyFont="1" applyFill="1" applyBorder="1" applyAlignment="1">
      <alignment horizontal="center" vertical="top" wrapText="1"/>
    </xf>
    <xf numFmtId="0" fontId="33" fillId="8" borderId="0" xfId="0" applyFont="1" applyFill="1" applyBorder="1" applyAlignment="1">
      <alignment horizontal="center" vertical="top" wrapText="1"/>
    </xf>
    <xf numFmtId="0" fontId="33" fillId="8" borderId="36" xfId="0" applyFont="1" applyFill="1" applyBorder="1" applyAlignment="1">
      <alignment horizontal="center" vertical="top" wrapText="1"/>
    </xf>
    <xf numFmtId="0" fontId="33" fillId="15" borderId="33" xfId="0" applyFont="1" applyFill="1" applyBorder="1" applyAlignment="1">
      <alignment horizontal="center" vertical="top" wrapText="1"/>
    </xf>
    <xf numFmtId="0" fontId="33" fillId="15" borderId="0" xfId="0" applyFont="1" applyFill="1" applyBorder="1" applyAlignment="1">
      <alignment horizontal="center" vertical="top" wrapText="1"/>
    </xf>
    <xf numFmtId="0" fontId="33" fillId="15" borderId="2" xfId="0" applyFont="1" applyFill="1" applyBorder="1" applyAlignment="1">
      <alignment horizontal="center" vertical="top" wrapText="1"/>
    </xf>
    <xf numFmtId="0" fontId="33" fillId="12" borderId="33" xfId="0" applyFont="1" applyFill="1" applyBorder="1" applyAlignment="1">
      <alignment horizontal="center" vertical="top" wrapText="1"/>
    </xf>
    <xf numFmtId="0" fontId="33" fillId="12" borderId="0" xfId="0" applyFont="1" applyFill="1" applyBorder="1" applyAlignment="1">
      <alignment horizontal="center" vertical="top" wrapText="1"/>
    </xf>
    <xf numFmtId="0" fontId="33" fillId="12" borderId="36" xfId="0" applyFont="1" applyFill="1" applyBorder="1" applyAlignment="1">
      <alignment horizontal="center" vertical="top" wrapText="1"/>
    </xf>
    <xf numFmtId="0" fontId="33" fillId="17" borderId="33" xfId="0" applyNumberFormat="1" applyFont="1" applyFill="1" applyBorder="1" applyAlignment="1">
      <alignment horizontal="center" vertical="top" wrapText="1"/>
    </xf>
    <xf numFmtId="0" fontId="33" fillId="17" borderId="0" xfId="0" applyNumberFormat="1" applyFont="1" applyFill="1" applyBorder="1" applyAlignment="1">
      <alignment horizontal="center" vertical="top" wrapText="1"/>
    </xf>
    <xf numFmtId="0" fontId="33" fillId="17" borderId="2" xfId="0" applyNumberFormat="1" applyFont="1" applyFill="1" applyBorder="1" applyAlignment="1">
      <alignment horizontal="center" vertical="top" wrapText="1"/>
    </xf>
    <xf numFmtId="0" fontId="9" fillId="7" borderId="0" xfId="0" applyFont="1" applyFill="1" applyBorder="1" applyAlignment="1">
      <alignment horizontal="center"/>
    </xf>
    <xf numFmtId="0" fontId="12" fillId="14" borderId="48" xfId="0" applyFont="1" applyFill="1" applyBorder="1" applyAlignment="1">
      <alignment horizontal="right"/>
    </xf>
    <xf numFmtId="0" fontId="12" fillId="14" borderId="10" xfId="0" applyFont="1" applyFill="1" applyBorder="1" applyAlignment="1">
      <alignment horizontal="right"/>
    </xf>
    <xf numFmtId="0" fontId="12" fillId="14" borderId="52" xfId="0" applyFont="1" applyFill="1" applyBorder="1" applyAlignment="1">
      <alignment horizontal="right"/>
    </xf>
    <xf numFmtId="0" fontId="32" fillId="8" borderId="46" xfId="0" applyFont="1" applyFill="1" applyBorder="1" applyAlignment="1">
      <alignment horizontal="center"/>
    </xf>
    <xf numFmtId="0" fontId="32" fillId="8" borderId="18" xfId="0" applyFont="1" applyFill="1" applyBorder="1" applyAlignment="1">
      <alignment horizontal="center"/>
    </xf>
    <xf numFmtId="0" fontId="32" fillId="8" borderId="41" xfId="0" applyFont="1" applyFill="1" applyBorder="1" applyAlignment="1">
      <alignment horizontal="center"/>
    </xf>
    <xf numFmtId="0" fontId="32" fillId="15" borderId="46" xfId="0" applyFont="1" applyFill="1" applyBorder="1" applyAlignment="1">
      <alignment horizontal="center"/>
    </xf>
    <xf numFmtId="0" fontId="32" fillId="15" borderId="18" xfId="0" applyFont="1" applyFill="1" applyBorder="1" applyAlignment="1">
      <alignment horizontal="center"/>
    </xf>
    <xf numFmtId="0" fontId="32" fillId="15" borderId="19" xfId="0" applyFont="1" applyFill="1" applyBorder="1" applyAlignment="1">
      <alignment horizontal="center"/>
    </xf>
    <xf numFmtId="0" fontId="32" fillId="12" borderId="46" xfId="0" applyFont="1" applyFill="1" applyBorder="1" applyAlignment="1">
      <alignment horizontal="center"/>
    </xf>
    <xf numFmtId="0" fontId="32" fillId="12" borderId="18" xfId="0" applyFont="1" applyFill="1" applyBorder="1" applyAlignment="1">
      <alignment horizontal="center"/>
    </xf>
    <xf numFmtId="0" fontId="32" fillId="17" borderId="33" xfId="0" applyFont="1" applyFill="1" applyBorder="1" applyAlignment="1">
      <alignment horizontal="center"/>
    </xf>
    <xf numFmtId="0" fontId="32" fillId="17" borderId="0" xfId="0" applyFont="1" applyFill="1" applyBorder="1" applyAlignment="1">
      <alignment horizontal="center"/>
    </xf>
    <xf numFmtId="0" fontId="32" fillId="17" borderId="2" xfId="0" applyFont="1" applyFill="1" applyBorder="1" applyAlignment="1">
      <alignment horizontal="center"/>
    </xf>
    <xf numFmtId="0" fontId="8" fillId="6" borderId="45" xfId="0" applyFont="1" applyFill="1" applyBorder="1" applyAlignment="1">
      <alignment horizontal="left" vertical="center" wrapText="1"/>
    </xf>
    <xf numFmtId="43" fontId="25" fillId="6" borderId="24" xfId="1" applyFont="1" applyFill="1" applyBorder="1" applyAlignment="1">
      <alignment horizontal="center" vertical="center" wrapText="1"/>
    </xf>
    <xf numFmtId="43" fontId="25" fillId="6" borderId="17" xfId="1" applyFont="1" applyFill="1" applyBorder="1" applyAlignment="1">
      <alignment horizontal="center" vertical="center" wrapText="1"/>
    </xf>
    <xf numFmtId="43" fontId="25" fillId="6" borderId="25" xfId="1" applyFont="1" applyFill="1" applyBorder="1" applyAlignment="1">
      <alignment horizontal="center" vertical="center" wrapText="1"/>
    </xf>
    <xf numFmtId="0" fontId="12" fillId="14" borderId="1" xfId="0" applyFont="1" applyFill="1" applyBorder="1" applyAlignment="1">
      <alignment horizontal="right"/>
    </xf>
    <xf numFmtId="0" fontId="12" fillId="14" borderId="0" xfId="0" applyFont="1" applyFill="1" applyBorder="1" applyAlignment="1">
      <alignment horizontal="right"/>
    </xf>
    <xf numFmtId="0" fontId="43" fillId="14" borderId="26" xfId="0" applyFont="1" applyFill="1" applyBorder="1" applyAlignment="1">
      <alignment horizontal="left" vertical="center"/>
    </xf>
    <xf numFmtId="0" fontId="43" fillId="14" borderId="16" xfId="0" applyFont="1" applyFill="1" applyBorder="1" applyAlignment="1">
      <alignment horizontal="left" vertical="center"/>
    </xf>
    <xf numFmtId="0" fontId="11" fillId="0" borderId="56" xfId="0" applyFont="1" applyFill="1" applyBorder="1" applyAlignment="1">
      <alignment horizontal="left"/>
    </xf>
    <xf numFmtId="0" fontId="11" fillId="0" borderId="53" xfId="0" applyFont="1" applyFill="1" applyBorder="1" applyAlignment="1">
      <alignment horizontal="left"/>
    </xf>
    <xf numFmtId="0" fontId="11" fillId="0" borderId="49" xfId="0" applyFont="1" applyFill="1" applyBorder="1" applyAlignment="1">
      <alignment horizontal="left"/>
    </xf>
    <xf numFmtId="0" fontId="8" fillId="10" borderId="17" xfId="0" applyFont="1" applyFill="1" applyBorder="1" applyAlignment="1">
      <alignment horizontal="center" vertical="center" wrapText="1"/>
    </xf>
    <xf numFmtId="0" fontId="8" fillId="10" borderId="11" xfId="0" applyNumberFormat="1" applyFont="1" applyFill="1" applyBorder="1" applyAlignment="1">
      <alignment horizontal="center" vertical="center" wrapText="1"/>
    </xf>
    <xf numFmtId="0" fontId="8" fillId="10" borderId="17" xfId="0" applyNumberFormat="1" applyFont="1" applyFill="1" applyBorder="1" applyAlignment="1">
      <alignment horizontal="center" vertical="center" wrapText="1"/>
    </xf>
    <xf numFmtId="0" fontId="8" fillId="10" borderId="42" xfId="0" applyNumberFormat="1"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36" fillId="6" borderId="24" xfId="0" applyFont="1" applyFill="1" applyBorder="1" applyAlignment="1">
      <alignment horizontal="left" vertical="center" wrapText="1"/>
    </xf>
    <xf numFmtId="0" fontId="36" fillId="6" borderId="17" xfId="0" applyFont="1" applyFill="1" applyBorder="1" applyAlignment="1">
      <alignment horizontal="left" vertical="center" wrapText="1"/>
    </xf>
    <xf numFmtId="0" fontId="36" fillId="6" borderId="25" xfId="0" applyFont="1" applyFill="1" applyBorder="1" applyAlignment="1">
      <alignment horizontal="left" vertical="center" wrapText="1"/>
    </xf>
    <xf numFmtId="0" fontId="36" fillId="6" borderId="24" xfId="0" applyFont="1" applyFill="1" applyBorder="1" applyAlignment="1">
      <alignment horizontal="left" vertical="center"/>
    </xf>
    <xf numFmtId="0" fontId="36" fillId="6" borderId="17" xfId="0" applyFont="1" applyFill="1" applyBorder="1" applyAlignment="1">
      <alignment horizontal="left" vertical="center"/>
    </xf>
    <xf numFmtId="0" fontId="36" fillId="6" borderId="25" xfId="0" applyFont="1" applyFill="1" applyBorder="1" applyAlignment="1">
      <alignment horizontal="left" vertical="center"/>
    </xf>
    <xf numFmtId="0" fontId="32" fillId="12" borderId="46" xfId="0" applyFont="1" applyFill="1" applyBorder="1" applyAlignment="1">
      <alignment horizontal="center" wrapText="1"/>
    </xf>
    <xf numFmtId="0" fontId="32" fillId="12" borderId="18" xfId="0" applyFont="1" applyFill="1" applyBorder="1" applyAlignment="1">
      <alignment horizontal="center" wrapText="1"/>
    </xf>
    <xf numFmtId="0" fontId="32" fillId="12" borderId="41" xfId="0" applyFont="1" applyFill="1" applyBorder="1" applyAlignment="1">
      <alignment horizontal="center" wrapText="1"/>
    </xf>
    <xf numFmtId="0" fontId="32" fillId="16" borderId="46" xfId="0" applyFont="1" applyFill="1" applyBorder="1" applyAlignment="1">
      <alignment horizontal="center" wrapText="1"/>
    </xf>
    <xf numFmtId="0" fontId="32" fillId="16" borderId="18" xfId="0" applyFont="1" applyFill="1" applyBorder="1" applyAlignment="1">
      <alignment horizontal="center" wrapText="1"/>
    </xf>
    <xf numFmtId="0" fontId="32" fillId="16" borderId="19" xfId="0" applyFont="1" applyFill="1" applyBorder="1" applyAlignment="1">
      <alignment horizontal="center" wrapText="1"/>
    </xf>
    <xf numFmtId="0" fontId="33" fillId="12" borderId="35" xfId="0" applyFont="1" applyFill="1" applyBorder="1" applyAlignment="1">
      <alignment horizontal="center" vertical="top" wrapText="1"/>
    </xf>
    <xf numFmtId="0" fontId="33" fillId="12" borderId="16" xfId="0" applyFont="1" applyFill="1" applyBorder="1" applyAlignment="1">
      <alignment horizontal="center" vertical="top" wrapText="1"/>
    </xf>
    <xf numFmtId="0" fontId="33" fillId="12" borderId="37" xfId="0" applyFont="1" applyFill="1" applyBorder="1" applyAlignment="1">
      <alignment horizontal="center" vertical="top" wrapText="1"/>
    </xf>
    <xf numFmtId="0" fontId="33" fillId="16" borderId="35" xfId="0" applyFont="1" applyFill="1" applyBorder="1" applyAlignment="1" applyProtection="1">
      <alignment horizontal="center" vertical="top" wrapText="1"/>
    </xf>
    <xf numFmtId="0" fontId="33" fillId="16" borderId="16" xfId="0" applyFont="1" applyFill="1" applyBorder="1" applyAlignment="1" applyProtection="1">
      <alignment horizontal="center" vertical="top" wrapText="1"/>
    </xf>
    <xf numFmtId="0" fontId="33" fillId="16" borderId="27" xfId="0" applyFont="1" applyFill="1" applyBorder="1" applyAlignment="1" applyProtection="1">
      <alignment horizontal="center" vertical="top" wrapText="1"/>
    </xf>
    <xf numFmtId="0" fontId="8" fillId="10" borderId="0" xfId="0" applyFont="1" applyFill="1" applyBorder="1" applyAlignment="1">
      <alignment horizontal="center" vertical="center"/>
    </xf>
    <xf numFmtId="0" fontId="8" fillId="10" borderId="16" xfId="0" applyFont="1" applyFill="1" applyBorder="1" applyAlignment="1">
      <alignment horizontal="center" vertical="center"/>
    </xf>
    <xf numFmtId="0" fontId="8" fillId="3" borderId="0" xfId="0" applyFont="1" applyFill="1" applyBorder="1" applyAlignment="1">
      <alignment vertical="center"/>
    </xf>
    <xf numFmtId="0" fontId="8" fillId="3" borderId="16" xfId="0" applyFont="1" applyFill="1" applyBorder="1" applyAlignment="1">
      <alignment vertical="center"/>
    </xf>
    <xf numFmtId="0" fontId="8" fillId="7" borderId="0"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wrapText="1"/>
    </xf>
    <xf numFmtId="0" fontId="36" fillId="6" borderId="26" xfId="0" applyFont="1" applyFill="1" applyBorder="1" applyAlignment="1">
      <alignment horizontal="left" vertical="center" wrapText="1"/>
    </xf>
    <xf numFmtId="0" fontId="36" fillId="6" borderId="16" xfId="0" applyFont="1" applyFill="1" applyBorder="1" applyAlignment="1">
      <alignment horizontal="left" vertical="center" wrapText="1"/>
    </xf>
    <xf numFmtId="0" fontId="36" fillId="6" borderId="27" xfId="0" applyFont="1" applyFill="1" applyBorder="1" applyAlignment="1">
      <alignment horizontal="left" vertical="center" wrapText="1"/>
    </xf>
    <xf numFmtId="0" fontId="8" fillId="11" borderId="0" xfId="0" applyFont="1" applyFill="1" applyBorder="1" applyAlignment="1">
      <alignment vertical="center"/>
    </xf>
    <xf numFmtId="0" fontId="8" fillId="11" borderId="16" xfId="0" applyFont="1" applyFill="1" applyBorder="1" applyAlignment="1">
      <alignment vertical="center"/>
    </xf>
    <xf numFmtId="49" fontId="7" fillId="0" borderId="24" xfId="0" applyNumberFormat="1" applyFont="1" applyFill="1" applyBorder="1" applyAlignment="1" applyProtection="1">
      <alignment horizontal="left" vertical="center"/>
    </xf>
    <xf numFmtId="49" fontId="7" fillId="0" borderId="17" xfId="0" applyNumberFormat="1" applyFont="1" applyFill="1" applyBorder="1" applyAlignment="1" applyProtection="1">
      <alignment horizontal="left" vertical="center"/>
    </xf>
    <xf numFmtId="49" fontId="7" fillId="0" borderId="25" xfId="0" applyNumberFormat="1" applyFont="1" applyFill="1" applyBorder="1" applyAlignment="1" applyProtection="1">
      <alignment horizontal="left" vertical="center"/>
    </xf>
    <xf numFmtId="49" fontId="7" fillId="0" borderId="57" xfId="0" applyNumberFormat="1" applyFont="1" applyFill="1" applyBorder="1" applyAlignment="1" applyProtection="1">
      <alignment horizontal="left" vertical="center"/>
      <protection locked="0"/>
    </xf>
    <xf numFmtId="49" fontId="7" fillId="0" borderId="58" xfId="0" applyNumberFormat="1" applyFont="1" applyFill="1" applyBorder="1" applyAlignment="1" applyProtection="1">
      <alignment horizontal="left" vertical="center"/>
      <protection locked="0"/>
    </xf>
    <xf numFmtId="49" fontId="7" fillId="0" borderId="59" xfId="0" applyNumberFormat="1" applyFont="1" applyFill="1" applyBorder="1" applyAlignment="1" applyProtection="1">
      <alignment horizontal="left" vertical="center"/>
      <protection locked="0"/>
    </xf>
    <xf numFmtId="0" fontId="8" fillId="3" borderId="11"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7" borderId="11" xfId="0" applyNumberFormat="1" applyFont="1" applyFill="1" applyBorder="1" applyAlignment="1">
      <alignment horizontal="center" vertical="center" wrapText="1"/>
    </xf>
    <xf numFmtId="0" fontId="8" fillId="7" borderId="17" xfId="0" applyNumberFormat="1" applyFont="1" applyFill="1" applyBorder="1" applyAlignment="1">
      <alignment horizontal="center" vertical="center" wrapText="1"/>
    </xf>
    <xf numFmtId="0" fontId="8" fillId="7" borderId="42" xfId="0" applyNumberFormat="1"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0" fillId="0" borderId="17" xfId="0" applyBorder="1" applyProtection="1"/>
    <xf numFmtId="0" fontId="0" fillId="0" borderId="25" xfId="0" applyBorder="1" applyProtection="1"/>
    <xf numFmtId="49" fontId="7" fillId="0" borderId="24" xfId="0" applyNumberFormat="1" applyFont="1" applyFill="1" applyBorder="1" applyAlignment="1" applyProtection="1">
      <alignment horizontal="left" vertical="center"/>
      <protection locked="0"/>
    </xf>
    <xf numFmtId="49" fontId="7" fillId="0" borderId="17" xfId="0" applyNumberFormat="1" applyFont="1" applyFill="1" applyBorder="1" applyAlignment="1" applyProtection="1">
      <alignment horizontal="left" vertical="center"/>
      <protection locked="0"/>
    </xf>
    <xf numFmtId="49" fontId="7" fillId="0" borderId="25" xfId="0" applyNumberFormat="1" applyFont="1" applyFill="1" applyBorder="1" applyAlignment="1" applyProtection="1">
      <alignment horizontal="left" vertical="center"/>
      <protection locked="0"/>
    </xf>
    <xf numFmtId="0" fontId="32" fillId="15" borderId="46" xfId="0" applyFont="1" applyFill="1" applyBorder="1" applyAlignment="1">
      <alignment horizontal="center" wrapText="1"/>
    </xf>
    <xf numFmtId="0" fontId="32" fillId="15" borderId="18" xfId="0" applyFont="1" applyFill="1" applyBorder="1" applyAlignment="1">
      <alignment horizontal="center" wrapText="1"/>
    </xf>
    <xf numFmtId="0" fontId="32" fillId="15" borderId="19" xfId="0" applyFont="1" applyFill="1" applyBorder="1" applyAlignment="1">
      <alignment horizontal="center" wrapText="1"/>
    </xf>
    <xf numFmtId="0" fontId="32" fillId="8" borderId="46" xfId="0" applyFont="1" applyFill="1" applyBorder="1" applyAlignment="1">
      <alignment horizontal="center" wrapText="1"/>
    </xf>
    <xf numFmtId="0" fontId="32" fillId="8" borderId="18" xfId="0" applyFont="1" applyFill="1" applyBorder="1" applyAlignment="1">
      <alignment horizontal="center" wrapText="1"/>
    </xf>
    <xf numFmtId="0" fontId="32" fillId="8" borderId="41" xfId="0" applyFont="1" applyFill="1" applyBorder="1" applyAlignment="1">
      <alignment horizontal="center" wrapText="1"/>
    </xf>
    <xf numFmtId="0" fontId="33" fillId="8" borderId="35" xfId="0" applyFont="1" applyFill="1" applyBorder="1" applyAlignment="1" applyProtection="1">
      <alignment horizontal="center" vertical="top" wrapText="1"/>
    </xf>
    <xf numFmtId="0" fontId="33" fillId="8" borderId="16" xfId="0" applyFont="1" applyFill="1" applyBorder="1" applyAlignment="1" applyProtection="1">
      <alignment horizontal="center" vertical="top" wrapText="1"/>
    </xf>
    <xf numFmtId="0" fontId="33" fillId="8" borderId="37" xfId="0" applyFont="1" applyFill="1" applyBorder="1" applyAlignment="1" applyProtection="1">
      <alignment horizontal="center" vertical="top" wrapText="1"/>
    </xf>
    <xf numFmtId="0" fontId="8" fillId="7" borderId="0" xfId="0" applyFont="1" applyFill="1" applyBorder="1" applyAlignment="1">
      <alignment horizontal="center" vertical="center" wrapText="1"/>
    </xf>
    <xf numFmtId="0" fontId="0" fillId="0" borderId="17" xfId="0" applyBorder="1"/>
    <xf numFmtId="0" fontId="0" fillId="0" borderId="25" xfId="0" applyBorder="1"/>
    <xf numFmtId="0" fontId="33" fillId="15" borderId="35" xfId="0" applyFont="1" applyFill="1" applyBorder="1" applyAlignment="1" applyProtection="1">
      <alignment horizontal="center" vertical="top" wrapText="1"/>
    </xf>
    <xf numFmtId="0" fontId="33" fillId="15" borderId="16" xfId="0" applyFont="1" applyFill="1" applyBorder="1" applyAlignment="1" applyProtection="1">
      <alignment horizontal="center" vertical="top" wrapText="1"/>
    </xf>
    <xf numFmtId="0" fontId="33" fillId="15" borderId="27" xfId="0" applyFont="1" applyFill="1" applyBorder="1" applyAlignment="1" applyProtection="1">
      <alignment horizontal="center" vertical="top" wrapText="1"/>
    </xf>
    <xf numFmtId="49" fontId="7" fillId="0" borderId="1"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7" fillId="0" borderId="2" xfId="0" applyNumberFormat="1" applyFont="1" applyBorder="1" applyAlignment="1" applyProtection="1">
      <alignment horizontal="left" vertical="center"/>
      <protection locked="0"/>
    </xf>
    <xf numFmtId="49" fontId="7" fillId="0" borderId="3" xfId="0" applyNumberFormat="1" applyFont="1" applyBorder="1" applyAlignment="1" applyProtection="1">
      <alignment horizontal="left" vertical="center"/>
      <protection locked="0"/>
    </xf>
    <xf numFmtId="49" fontId="7" fillId="0" borderId="4" xfId="0" applyNumberFormat="1" applyFont="1" applyBorder="1" applyAlignment="1" applyProtection="1">
      <alignment horizontal="left" vertical="center"/>
      <protection locked="0"/>
    </xf>
    <xf numFmtId="49" fontId="7" fillId="0" borderId="5" xfId="0" applyNumberFormat="1" applyFont="1" applyBorder="1" applyAlignment="1" applyProtection="1">
      <alignment horizontal="left" vertical="center"/>
      <protection locked="0"/>
    </xf>
    <xf numFmtId="0" fontId="43" fillId="14" borderId="27" xfId="0" applyFont="1" applyFill="1" applyBorder="1" applyAlignment="1">
      <alignment horizontal="left" vertical="center"/>
    </xf>
    <xf numFmtId="0" fontId="7" fillId="7" borderId="14" xfId="0" applyFont="1" applyFill="1" applyBorder="1" applyAlignment="1">
      <alignment horizontal="center" wrapText="1"/>
    </xf>
    <xf numFmtId="0" fontId="7" fillId="7" borderId="0" xfId="0" applyFont="1" applyFill="1" applyBorder="1" applyAlignment="1">
      <alignment horizontal="center" wrapText="1"/>
    </xf>
    <xf numFmtId="0" fontId="7" fillId="7" borderId="36" xfId="0" applyFont="1" applyFill="1" applyBorder="1" applyAlignment="1">
      <alignment horizontal="center" wrapText="1"/>
    </xf>
    <xf numFmtId="0" fontId="7" fillId="3" borderId="14" xfId="0" applyFont="1" applyFill="1" applyBorder="1" applyAlignment="1">
      <alignment horizontal="center" wrapText="1"/>
    </xf>
    <xf numFmtId="0" fontId="7" fillId="3" borderId="0" xfId="0" applyFont="1" applyFill="1" applyBorder="1" applyAlignment="1">
      <alignment horizontal="center" wrapText="1"/>
    </xf>
    <xf numFmtId="0" fontId="7" fillId="3" borderId="36" xfId="0" applyFont="1" applyFill="1" applyBorder="1" applyAlignment="1">
      <alignment horizontal="center" wrapText="1"/>
    </xf>
    <xf numFmtId="0" fontId="7" fillId="10" borderId="14" xfId="0" applyFont="1" applyFill="1" applyBorder="1" applyAlignment="1">
      <alignment horizontal="center" wrapText="1"/>
    </xf>
    <xf numFmtId="0" fontId="7" fillId="10" borderId="0" xfId="0" applyFont="1" applyFill="1" applyBorder="1" applyAlignment="1">
      <alignment horizontal="center" wrapText="1"/>
    </xf>
    <xf numFmtId="0" fontId="7" fillId="10" borderId="36" xfId="0" applyFont="1" applyFill="1" applyBorder="1" applyAlignment="1">
      <alignment horizontal="center" wrapText="1"/>
    </xf>
    <xf numFmtId="0" fontId="7" fillId="11" borderId="14" xfId="0" applyFont="1" applyFill="1" applyBorder="1" applyAlignment="1">
      <alignment horizontal="center" wrapText="1"/>
    </xf>
    <xf numFmtId="0" fontId="7" fillId="11" borderId="0" xfId="0" applyFont="1" applyFill="1" applyBorder="1" applyAlignment="1">
      <alignment horizontal="center" wrapText="1"/>
    </xf>
    <xf numFmtId="0" fontId="7" fillId="11" borderId="2" xfId="0" applyFont="1" applyFill="1" applyBorder="1" applyAlignment="1">
      <alignment horizontal="center" wrapText="1"/>
    </xf>
    <xf numFmtId="0" fontId="32" fillId="12" borderId="41" xfId="0" applyFont="1" applyFill="1" applyBorder="1" applyAlignment="1">
      <alignment horizontal="center"/>
    </xf>
    <xf numFmtId="0" fontId="32" fillId="16" borderId="46" xfId="0" applyFont="1" applyFill="1" applyBorder="1" applyAlignment="1">
      <alignment horizontal="center"/>
    </xf>
    <xf numFmtId="0" fontId="32" fillId="16" borderId="18" xfId="0" applyFont="1" applyFill="1" applyBorder="1" applyAlignment="1">
      <alignment horizontal="center"/>
    </xf>
    <xf numFmtId="0" fontId="32" fillId="16" borderId="19" xfId="0" applyFont="1" applyFill="1" applyBorder="1" applyAlignment="1">
      <alignment horizontal="center"/>
    </xf>
    <xf numFmtId="0" fontId="33" fillId="16" borderId="35" xfId="0" applyFont="1" applyFill="1" applyBorder="1" applyAlignment="1">
      <alignment horizontal="center" vertical="top" wrapText="1"/>
    </xf>
    <xf numFmtId="0" fontId="33" fillId="16" borderId="16" xfId="0" applyFont="1" applyFill="1" applyBorder="1" applyAlignment="1">
      <alignment horizontal="center" vertical="top" wrapText="1"/>
    </xf>
    <xf numFmtId="0" fontId="33" fillId="16" borderId="27" xfId="0" applyFont="1" applyFill="1" applyBorder="1" applyAlignment="1">
      <alignment horizontal="center" vertical="top" wrapText="1"/>
    </xf>
    <xf numFmtId="0" fontId="33" fillId="8" borderId="35" xfId="0" applyFont="1" applyFill="1" applyBorder="1" applyAlignment="1">
      <alignment horizontal="center" vertical="top" wrapText="1"/>
    </xf>
    <xf numFmtId="0" fontId="33" fillId="8" borderId="16" xfId="0" applyFont="1" applyFill="1" applyBorder="1" applyAlignment="1">
      <alignment horizontal="center" vertical="top" wrapText="1"/>
    </xf>
    <xf numFmtId="0" fontId="33" fillId="8" borderId="37" xfId="0" applyFont="1" applyFill="1" applyBorder="1" applyAlignment="1">
      <alignment horizontal="center" vertical="top" wrapText="1"/>
    </xf>
    <xf numFmtId="0" fontId="33" fillId="15" borderId="35" xfId="0" applyFont="1" applyFill="1" applyBorder="1" applyAlignment="1">
      <alignment horizontal="center" vertical="top" wrapText="1"/>
    </xf>
    <xf numFmtId="0" fontId="33" fillId="15" borderId="16" xfId="0" applyFont="1" applyFill="1" applyBorder="1" applyAlignment="1">
      <alignment horizontal="center" vertical="top" wrapText="1"/>
    </xf>
    <xf numFmtId="0" fontId="33" fillId="15" borderId="27" xfId="0" applyFont="1" applyFill="1" applyBorder="1" applyAlignment="1">
      <alignment horizontal="center" vertical="top" wrapText="1"/>
    </xf>
    <xf numFmtId="0" fontId="8" fillId="0" borderId="48" xfId="0" applyFont="1" applyBorder="1" applyAlignment="1">
      <alignment horizontal="left"/>
    </xf>
    <xf numFmtId="0" fontId="8" fillId="0" borderId="10" xfId="0" applyFont="1" applyBorder="1" applyAlignment="1">
      <alignment horizontal="left"/>
    </xf>
    <xf numFmtId="0" fontId="8" fillId="0" borderId="52" xfId="0" applyFont="1" applyBorder="1" applyAlignment="1">
      <alignment horizontal="left"/>
    </xf>
    <xf numFmtId="49" fontId="7" fillId="0" borderId="1" xfId="0" applyNumberFormat="1" applyFont="1" applyBorder="1" applyAlignment="1" applyProtection="1">
      <alignment horizontal="left" vertical="center"/>
    </xf>
    <xf numFmtId="49" fontId="7" fillId="0" borderId="0" xfId="0" applyNumberFormat="1" applyFont="1" applyBorder="1" applyAlignment="1" applyProtection="1">
      <alignment horizontal="left" vertical="center"/>
    </xf>
    <xf numFmtId="49" fontId="7" fillId="0" borderId="2" xfId="0" applyNumberFormat="1" applyFont="1" applyBorder="1" applyAlignment="1" applyProtection="1">
      <alignment horizontal="left" vertical="center"/>
    </xf>
    <xf numFmtId="49" fontId="7" fillId="0" borderId="1"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7" fillId="0" borderId="2" xfId="0" applyNumberFormat="1" applyFont="1" applyBorder="1" applyAlignment="1" applyProtection="1">
      <alignment horizontal="left" vertical="center" wrapText="1"/>
      <protection locked="0"/>
    </xf>
    <xf numFmtId="0" fontId="7" fillId="0" borderId="24" xfId="0" applyFont="1" applyFill="1" applyBorder="1" applyAlignment="1" applyProtection="1">
      <alignment horizontal="left" vertical="center"/>
      <protection locked="0"/>
    </xf>
    <xf numFmtId="0" fontId="7" fillId="0" borderId="17" xfId="0" applyFont="1" applyFill="1" applyBorder="1" applyAlignment="1" applyProtection="1">
      <alignment horizontal="left" vertical="center"/>
      <protection locked="0"/>
    </xf>
    <xf numFmtId="0" fontId="7" fillId="0" borderId="25" xfId="0" applyFont="1" applyFill="1" applyBorder="1" applyAlignment="1" applyProtection="1">
      <alignment horizontal="left" vertical="center"/>
      <protection locked="0"/>
    </xf>
    <xf numFmtId="0" fontId="33" fillId="15" borderId="33" xfId="0" applyNumberFormat="1" applyFont="1" applyFill="1" applyBorder="1" applyAlignment="1" applyProtection="1">
      <alignment horizontal="center" vertical="top" wrapText="1"/>
    </xf>
    <xf numFmtId="0" fontId="33" fillId="15" borderId="0" xfId="0" applyNumberFormat="1" applyFont="1" applyFill="1" applyBorder="1" applyAlignment="1" applyProtection="1">
      <alignment horizontal="center" vertical="top" wrapText="1"/>
    </xf>
    <xf numFmtId="0" fontId="33" fillId="15" borderId="2" xfId="0" applyNumberFormat="1" applyFont="1" applyFill="1" applyBorder="1" applyAlignment="1" applyProtection="1">
      <alignment horizontal="center" vertical="top" wrapText="1"/>
    </xf>
    <xf numFmtId="0" fontId="8" fillId="0" borderId="48" xfId="0" applyFont="1" applyFill="1" applyBorder="1" applyAlignment="1">
      <alignment horizontal="left"/>
    </xf>
    <xf numFmtId="0" fontId="8" fillId="0" borderId="10" xfId="0" applyFont="1" applyFill="1" applyBorder="1" applyAlignment="1">
      <alignment horizontal="left"/>
    </xf>
    <xf numFmtId="0" fontId="8" fillId="0" borderId="52" xfId="0" applyFont="1" applyFill="1" applyBorder="1" applyAlignment="1">
      <alignment horizontal="left"/>
    </xf>
    <xf numFmtId="0" fontId="7" fillId="0" borderId="24" xfId="0" applyFont="1" applyFill="1" applyBorder="1" applyAlignment="1" applyProtection="1">
      <alignment horizontal="left" vertical="center"/>
    </xf>
    <xf numFmtId="0" fontId="7" fillId="0" borderId="17" xfId="0" applyFont="1" applyFill="1" applyBorder="1" applyAlignment="1" applyProtection="1">
      <alignment horizontal="left" vertical="center"/>
    </xf>
    <xf numFmtId="0" fontId="7" fillId="0" borderId="25" xfId="0" applyFont="1" applyFill="1" applyBorder="1" applyAlignment="1" applyProtection="1">
      <alignment horizontal="left" vertical="center"/>
    </xf>
    <xf numFmtId="0" fontId="32" fillId="12" borderId="33" xfId="0" applyFont="1" applyFill="1" applyBorder="1" applyAlignment="1">
      <alignment horizontal="center"/>
    </xf>
    <xf numFmtId="0" fontId="32" fillId="12" borderId="0" xfId="0" applyFont="1" applyFill="1" applyBorder="1" applyAlignment="1">
      <alignment horizontal="center"/>
    </xf>
    <xf numFmtId="0" fontId="32" fillId="12" borderId="36" xfId="0" applyFont="1" applyFill="1" applyBorder="1" applyAlignment="1">
      <alignment horizontal="center"/>
    </xf>
    <xf numFmtId="0" fontId="32" fillId="16" borderId="33" xfId="0" applyFont="1" applyFill="1" applyBorder="1" applyAlignment="1">
      <alignment horizontal="center"/>
    </xf>
    <xf numFmtId="0" fontId="32" fillId="16" borderId="0" xfId="0" applyFont="1" applyFill="1" applyBorder="1" applyAlignment="1">
      <alignment horizontal="center"/>
    </xf>
    <xf numFmtId="0" fontId="32" fillId="16" borderId="2" xfId="0" applyFont="1" applyFill="1" applyBorder="1" applyAlignment="1">
      <alignment horizontal="center"/>
    </xf>
    <xf numFmtId="0" fontId="33" fillId="16" borderId="33" xfId="0" applyNumberFormat="1" applyFont="1" applyFill="1" applyBorder="1" applyAlignment="1" applyProtection="1">
      <alignment horizontal="center" vertical="top" wrapText="1"/>
    </xf>
    <xf numFmtId="0" fontId="33" fillId="16" borderId="0" xfId="0" applyNumberFormat="1" applyFont="1" applyFill="1" applyBorder="1" applyAlignment="1" applyProtection="1">
      <alignment horizontal="center" vertical="top" wrapText="1"/>
    </xf>
    <xf numFmtId="0" fontId="33" fillId="16" borderId="2" xfId="0" applyNumberFormat="1" applyFont="1" applyFill="1" applyBorder="1" applyAlignment="1" applyProtection="1">
      <alignment horizontal="center" vertical="top" wrapText="1"/>
    </xf>
    <xf numFmtId="0" fontId="32" fillId="8" borderId="33" xfId="0" applyFont="1" applyFill="1" applyBorder="1" applyAlignment="1">
      <alignment horizontal="center"/>
    </xf>
    <xf numFmtId="0" fontId="32" fillId="8" borderId="0" xfId="0" applyFont="1" applyFill="1" applyBorder="1" applyAlignment="1">
      <alignment horizontal="center"/>
    </xf>
    <xf numFmtId="0" fontId="32" fillId="8" borderId="36" xfId="0" applyFont="1" applyFill="1" applyBorder="1" applyAlignment="1">
      <alignment horizontal="center"/>
    </xf>
    <xf numFmtId="0" fontId="32" fillId="15" borderId="33" xfId="0" applyFont="1" applyFill="1" applyBorder="1" applyAlignment="1">
      <alignment horizontal="center"/>
    </xf>
    <xf numFmtId="0" fontId="32" fillId="15" borderId="0" xfId="0" applyFont="1" applyFill="1" applyBorder="1" applyAlignment="1">
      <alignment horizontal="center"/>
    </xf>
    <xf numFmtId="0" fontId="32" fillId="15" borderId="2" xfId="0" applyFont="1" applyFill="1" applyBorder="1" applyAlignment="1">
      <alignment horizontal="center"/>
    </xf>
    <xf numFmtId="0" fontId="7" fillId="5" borderId="23" xfId="0" applyFont="1" applyFill="1" applyBorder="1" applyAlignment="1" applyProtection="1">
      <alignment horizontal="center"/>
      <protection locked="0"/>
    </xf>
    <xf numFmtId="0" fontId="7" fillId="5" borderId="18" xfId="0" applyFont="1" applyFill="1" applyBorder="1" applyAlignment="1" applyProtection="1">
      <alignment horizontal="center"/>
      <protection locked="0"/>
    </xf>
    <xf numFmtId="2" fontId="7" fillId="5" borderId="23" xfId="4" applyNumberFormat="1" applyFont="1" applyFill="1" applyBorder="1" applyAlignment="1" applyProtection="1">
      <alignment horizontal="center"/>
      <protection locked="0"/>
    </xf>
    <xf numFmtId="2" fontId="7" fillId="5" borderId="18" xfId="4" applyNumberFormat="1" applyFont="1" applyFill="1" applyBorder="1" applyAlignment="1" applyProtection="1">
      <alignment horizontal="center"/>
      <protection locked="0"/>
    </xf>
    <xf numFmtId="2" fontId="7" fillId="5" borderId="23" xfId="0" applyNumberFormat="1" applyFont="1" applyFill="1" applyBorder="1" applyAlignment="1" applyProtection="1">
      <alignment horizontal="center"/>
      <protection locked="0"/>
    </xf>
    <xf numFmtId="2" fontId="7" fillId="5" borderId="18" xfId="0" applyNumberFormat="1" applyFont="1" applyFill="1" applyBorder="1" applyAlignment="1" applyProtection="1">
      <alignment horizontal="center"/>
      <protection locked="0"/>
    </xf>
    <xf numFmtId="169" fontId="7" fillId="5" borderId="23" xfId="0" applyNumberFormat="1" applyFont="1" applyFill="1" applyBorder="1" applyAlignment="1" applyProtection="1">
      <alignment horizontal="center"/>
      <protection locked="0"/>
    </xf>
    <xf numFmtId="169" fontId="7" fillId="5" borderId="18" xfId="0" applyNumberFormat="1" applyFont="1" applyFill="1" applyBorder="1" applyAlignment="1" applyProtection="1">
      <alignment horizontal="center"/>
      <protection locked="0"/>
    </xf>
    <xf numFmtId="2" fontId="7" fillId="3" borderId="109" xfId="0" applyNumberFormat="1" applyFont="1" applyFill="1" applyBorder="1" applyAlignment="1">
      <alignment horizontal="center"/>
    </xf>
    <xf numFmtId="2" fontId="7" fillId="3" borderId="110" xfId="0" applyNumberFormat="1" applyFont="1" applyFill="1" applyBorder="1" applyAlignment="1">
      <alignment horizontal="center"/>
    </xf>
    <xf numFmtId="169" fontId="7" fillId="3" borderId="109" xfId="0" applyNumberFormat="1" applyFont="1" applyFill="1" applyBorder="1" applyAlignment="1">
      <alignment horizontal="center"/>
    </xf>
    <xf numFmtId="169" fontId="7" fillId="3" borderId="110" xfId="0" applyNumberFormat="1" applyFont="1" applyFill="1" applyBorder="1" applyAlignment="1">
      <alignment horizontal="center"/>
    </xf>
    <xf numFmtId="169" fontId="7" fillId="5" borderId="23" xfId="4" applyNumberFormat="1" applyFont="1" applyFill="1" applyBorder="1" applyAlignment="1" applyProtection="1">
      <alignment horizontal="center"/>
      <protection locked="0"/>
    </xf>
    <xf numFmtId="169" fontId="7" fillId="5" borderId="18" xfId="4" applyNumberFormat="1" applyFont="1" applyFill="1" applyBorder="1" applyAlignment="1" applyProtection="1">
      <alignment horizontal="center"/>
      <protection locked="0"/>
    </xf>
    <xf numFmtId="0" fontId="7" fillId="6" borderId="1" xfId="0" quotePrefix="1" applyFont="1" applyFill="1" applyBorder="1" applyAlignment="1">
      <alignment horizontal="left" wrapText="1" indent="2"/>
    </xf>
    <xf numFmtId="0" fontId="7" fillId="6" borderId="1" xfId="0" applyFont="1" applyFill="1" applyBorder="1" applyAlignment="1">
      <alignment horizontal="left" wrapText="1" indent="2"/>
    </xf>
    <xf numFmtId="169" fontId="7" fillId="7" borderId="63" xfId="0" applyNumberFormat="1" applyFont="1" applyFill="1" applyBorder="1" applyAlignment="1" applyProtection="1">
      <alignment horizontal="center"/>
    </xf>
    <xf numFmtId="169" fontId="7" fillId="7" borderId="64" xfId="0" applyNumberFormat="1" applyFont="1" applyFill="1" applyBorder="1" applyAlignment="1" applyProtection="1">
      <alignment horizontal="center"/>
    </xf>
    <xf numFmtId="2" fontId="7" fillId="7" borderId="63" xfId="0" applyNumberFormat="1" applyFont="1" applyFill="1" applyBorder="1" applyAlignment="1" applyProtection="1">
      <alignment horizontal="center"/>
    </xf>
    <xf numFmtId="2" fontId="7" fillId="7" borderId="64" xfId="0" applyNumberFormat="1" applyFont="1" applyFill="1" applyBorder="1" applyAlignment="1" applyProtection="1">
      <alignment horizontal="center"/>
    </xf>
    <xf numFmtId="2" fontId="7" fillId="10" borderId="109" xfId="0" applyNumberFormat="1" applyFont="1" applyFill="1" applyBorder="1" applyAlignment="1">
      <alignment horizontal="center"/>
    </xf>
    <xf numFmtId="2" fontId="7" fillId="10" borderId="110" xfId="0" applyNumberFormat="1" applyFont="1" applyFill="1" applyBorder="1" applyAlignment="1">
      <alignment horizontal="center"/>
    </xf>
    <xf numFmtId="169" fontId="7" fillId="10" borderId="109" xfId="0" applyNumberFormat="1" applyFont="1" applyFill="1" applyBorder="1" applyAlignment="1">
      <alignment horizontal="center"/>
    </xf>
    <xf numFmtId="169" fontId="7" fillId="10" borderId="110" xfId="0" applyNumberFormat="1" applyFont="1" applyFill="1" applyBorder="1" applyAlignment="1">
      <alignment horizontal="center"/>
    </xf>
    <xf numFmtId="2" fontId="7" fillId="11" borderId="63" xfId="0" applyNumberFormat="1" applyFont="1" applyFill="1" applyBorder="1" applyAlignment="1">
      <alignment horizontal="center"/>
    </xf>
    <xf numFmtId="2" fontId="7" fillId="11" borderId="64" xfId="0" applyNumberFormat="1" applyFont="1" applyFill="1" applyBorder="1" applyAlignment="1">
      <alignment horizontal="center"/>
    </xf>
    <xf numFmtId="169" fontId="7" fillId="11" borderId="63" xfId="0" applyNumberFormat="1" applyFont="1" applyFill="1" applyBorder="1" applyAlignment="1">
      <alignment horizontal="center"/>
    </xf>
    <xf numFmtId="169" fontId="7" fillId="11" borderId="64" xfId="0" applyNumberFormat="1" applyFont="1" applyFill="1" applyBorder="1" applyAlignment="1">
      <alignment horizontal="center"/>
    </xf>
    <xf numFmtId="0" fontId="7" fillId="0" borderId="24" xfId="0" applyFont="1" applyBorder="1" applyAlignment="1" applyProtection="1">
      <alignment horizontal="center"/>
      <protection locked="0"/>
    </xf>
    <xf numFmtId="0" fontId="7" fillId="0" borderId="17" xfId="0" applyFont="1" applyBorder="1" applyAlignment="1" applyProtection="1">
      <alignment horizontal="center"/>
      <protection locked="0"/>
    </xf>
    <xf numFmtId="0" fontId="7" fillId="0" borderId="25"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2" xfId="0" applyFont="1" applyBorder="1" applyAlignment="1" applyProtection="1">
      <alignment horizontal="center"/>
      <protection locked="0"/>
    </xf>
    <xf numFmtId="0" fontId="7" fillId="0" borderId="11" xfId="0" applyNumberFormat="1" applyFont="1" applyBorder="1" applyAlignment="1">
      <alignment horizontal="left" wrapText="1"/>
    </xf>
    <xf numFmtId="0" fontId="7" fillId="0" borderId="17" xfId="0" applyNumberFormat="1" applyFont="1" applyBorder="1" applyAlignment="1">
      <alignment horizontal="left" wrapText="1"/>
    </xf>
    <xf numFmtId="0" fontId="7" fillId="0" borderId="20" xfId="0" applyNumberFormat="1" applyFont="1" applyBorder="1" applyAlignment="1">
      <alignment horizontal="left" wrapText="1"/>
    </xf>
    <xf numFmtId="0" fontId="8" fillId="6" borderId="23" xfId="0" applyFont="1" applyFill="1" applyBorder="1" applyAlignment="1">
      <alignment horizontal="center" wrapText="1"/>
    </xf>
    <xf numFmtId="0" fontId="8" fillId="6" borderId="18" xfId="0" applyFont="1" applyFill="1" applyBorder="1" applyAlignment="1">
      <alignment horizontal="center" wrapText="1"/>
    </xf>
    <xf numFmtId="0" fontId="8" fillId="6" borderId="19" xfId="0" applyFont="1" applyFill="1" applyBorder="1" applyAlignment="1">
      <alignment horizontal="center" wrapText="1"/>
    </xf>
    <xf numFmtId="0" fontId="8" fillId="6" borderId="15" xfId="0" applyFont="1" applyFill="1" applyBorder="1" applyAlignment="1">
      <alignment horizontal="center" wrapText="1"/>
    </xf>
    <xf numFmtId="0" fontId="8" fillId="6" borderId="16" xfId="0" applyFont="1" applyFill="1" applyBorder="1" applyAlignment="1">
      <alignment horizontal="center" wrapText="1"/>
    </xf>
    <xf numFmtId="0" fontId="8" fillId="6" borderId="27" xfId="0" applyFont="1" applyFill="1" applyBorder="1" applyAlignment="1">
      <alignment horizontal="center" wrapText="1"/>
    </xf>
    <xf numFmtId="9" fontId="7" fillId="7" borderId="11" xfId="0" applyNumberFormat="1" applyFont="1" applyFill="1" applyBorder="1" applyAlignment="1">
      <alignment horizontal="center"/>
    </xf>
    <xf numFmtId="0" fontId="7" fillId="7" borderId="17" xfId="0" applyFont="1" applyFill="1" applyBorder="1" applyAlignment="1">
      <alignment horizontal="center"/>
    </xf>
    <xf numFmtId="0" fontId="7" fillId="7" borderId="25" xfId="0" applyFont="1" applyFill="1" applyBorder="1" applyAlignment="1">
      <alignment horizontal="center"/>
    </xf>
    <xf numFmtId="9" fontId="7" fillId="3" borderId="11" xfId="0" applyNumberFormat="1" applyFont="1" applyFill="1" applyBorder="1" applyAlignment="1">
      <alignment horizontal="center"/>
    </xf>
    <xf numFmtId="0" fontId="7" fillId="3" borderId="17" xfId="0" applyFont="1" applyFill="1" applyBorder="1" applyAlignment="1">
      <alignment horizontal="center"/>
    </xf>
    <xf numFmtId="0" fontId="7" fillId="3" borderId="25" xfId="0" applyFont="1" applyFill="1" applyBorder="1" applyAlignment="1">
      <alignment horizontal="center"/>
    </xf>
    <xf numFmtId="9" fontId="7" fillId="10" borderId="15" xfId="0" applyNumberFormat="1" applyFont="1" applyFill="1" applyBorder="1" applyAlignment="1">
      <alignment horizontal="center"/>
    </xf>
    <xf numFmtId="0" fontId="7" fillId="10" borderId="16" xfId="0" applyFont="1" applyFill="1" applyBorder="1" applyAlignment="1">
      <alignment horizontal="center"/>
    </xf>
    <xf numFmtId="0" fontId="7" fillId="10" borderId="27" xfId="0" applyFont="1" applyFill="1" applyBorder="1" applyAlignment="1">
      <alignment horizontal="center"/>
    </xf>
    <xf numFmtId="9" fontId="7" fillId="13" borderId="32" xfId="0" applyNumberFormat="1" applyFont="1" applyFill="1" applyBorder="1" applyAlignment="1">
      <alignment horizontal="center"/>
    </xf>
    <xf numFmtId="0" fontId="7" fillId="13" borderId="4" xfId="0" applyFont="1" applyFill="1" applyBorder="1" applyAlignment="1">
      <alignment horizontal="center"/>
    </xf>
    <xf numFmtId="0" fontId="7" fillId="13" borderId="5" xfId="0" applyFont="1" applyFill="1" applyBorder="1" applyAlignment="1">
      <alignment horizontal="center"/>
    </xf>
    <xf numFmtId="0" fontId="8" fillId="6" borderId="28" xfId="0" applyFont="1" applyFill="1" applyBorder="1" applyAlignment="1">
      <alignment horizontal="center" wrapText="1"/>
    </xf>
    <xf numFmtId="0" fontId="8" fillId="6" borderId="26" xfId="0" applyFont="1" applyFill="1" applyBorder="1" applyAlignment="1">
      <alignment horizontal="center" wrapText="1"/>
    </xf>
    <xf numFmtId="0" fontId="7" fillId="0" borderId="24" xfId="0" applyFont="1" applyBorder="1" applyAlignment="1" applyProtection="1">
      <alignment horizontal="center" wrapText="1"/>
      <protection locked="0"/>
    </xf>
    <xf numFmtId="0" fontId="7" fillId="0" borderId="17" xfId="0" applyFont="1" applyBorder="1" applyAlignment="1" applyProtection="1">
      <alignment horizontal="center" wrapText="1"/>
      <protection locked="0"/>
    </xf>
    <xf numFmtId="0" fontId="7" fillId="0" borderId="25" xfId="0" applyFont="1" applyBorder="1" applyAlignment="1" applyProtection="1">
      <alignment horizontal="center" wrapText="1"/>
      <protection locked="0"/>
    </xf>
    <xf numFmtId="0" fontId="7" fillId="0" borderId="26" xfId="0" applyFont="1" applyBorder="1" applyAlignment="1" applyProtection="1">
      <alignment horizontal="center"/>
      <protection locked="0"/>
    </xf>
    <xf numFmtId="0" fontId="7" fillId="0" borderId="16" xfId="0" applyFont="1" applyBorder="1" applyAlignment="1" applyProtection="1">
      <alignment horizontal="center"/>
      <protection locked="0"/>
    </xf>
    <xf numFmtId="0" fontId="7" fillId="0" borderId="27"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7" fillId="0" borderId="4" xfId="0" applyFont="1" applyBorder="1" applyAlignment="1" applyProtection="1">
      <alignment horizontal="center"/>
      <protection locked="0"/>
    </xf>
    <xf numFmtId="0" fontId="7" fillId="0" borderId="5" xfId="0" applyFont="1" applyBorder="1" applyAlignment="1" applyProtection="1">
      <alignment horizontal="center"/>
      <protection locked="0"/>
    </xf>
    <xf numFmtId="0" fontId="10" fillId="14" borderId="56" xfId="0" applyFont="1" applyFill="1" applyBorder="1" applyAlignment="1">
      <alignment horizontal="left" vertical="center"/>
    </xf>
    <xf numFmtId="0" fontId="10" fillId="14" borderId="53" xfId="0" applyFont="1" applyFill="1" applyBorder="1" applyAlignment="1">
      <alignment horizontal="left" vertical="center"/>
    </xf>
    <xf numFmtId="0" fontId="7" fillId="0" borderId="6" xfId="0" applyFont="1" applyBorder="1" applyAlignment="1" applyProtection="1">
      <alignment horizontal="center"/>
      <protection locked="0"/>
    </xf>
    <xf numFmtId="0" fontId="7" fillId="0" borderId="11" xfId="0" applyFont="1" applyBorder="1" applyAlignment="1" applyProtection="1">
      <alignment horizontal="center"/>
      <protection locked="0"/>
    </xf>
    <xf numFmtId="0" fontId="7" fillId="10" borderId="6" xfId="0" applyFont="1" applyFill="1" applyBorder="1" applyAlignment="1" applyProtection="1">
      <alignment horizontal="center"/>
    </xf>
    <xf numFmtId="0" fontId="7" fillId="10" borderId="7" xfId="0" applyFont="1" applyFill="1" applyBorder="1" applyAlignment="1" applyProtection="1">
      <alignment horizontal="center"/>
    </xf>
    <xf numFmtId="0" fontId="7" fillId="0" borderId="22" xfId="0" applyFont="1" applyBorder="1" applyAlignment="1" applyProtection="1">
      <alignment horizontal="center"/>
      <protection locked="0"/>
    </xf>
    <xf numFmtId="0" fontId="8" fillId="6" borderId="24"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10" fillId="14" borderId="48" xfId="0" applyFont="1" applyFill="1" applyBorder="1" applyAlignment="1">
      <alignment horizontal="left" vertical="center"/>
    </xf>
    <xf numFmtId="0" fontId="10" fillId="14" borderId="10" xfId="0" applyFont="1" applyFill="1" applyBorder="1" applyAlignment="1">
      <alignment horizontal="left" vertical="center"/>
    </xf>
    <xf numFmtId="0" fontId="10" fillId="14" borderId="52" xfId="0" applyFont="1" applyFill="1" applyBorder="1" applyAlignment="1">
      <alignment horizontal="left" vertical="center"/>
    </xf>
    <xf numFmtId="0" fontId="61" fillId="6" borderId="11" xfId="0" applyFont="1" applyFill="1" applyBorder="1" applyAlignment="1">
      <alignment horizontal="center" vertical="center"/>
    </xf>
    <xf numFmtId="0" fontId="61" fillId="6" borderId="17" xfId="0" applyFont="1" applyFill="1" applyBorder="1" applyAlignment="1">
      <alignment horizontal="center" vertical="center"/>
    </xf>
    <xf numFmtId="0" fontId="61" fillId="6" borderId="25" xfId="0" applyFont="1" applyFill="1" applyBorder="1" applyAlignment="1">
      <alignment horizontal="center" vertical="center"/>
    </xf>
    <xf numFmtId="49" fontId="7" fillId="0" borderId="1" xfId="0" applyNumberFormat="1" applyFont="1" applyFill="1" applyBorder="1" applyAlignment="1" applyProtection="1">
      <alignment horizontal="left" vertical="center"/>
    </xf>
    <xf numFmtId="49" fontId="7" fillId="0" borderId="0" xfId="0" applyNumberFormat="1" applyFont="1" applyFill="1" applyBorder="1" applyAlignment="1" applyProtection="1">
      <alignment horizontal="left" vertical="center"/>
    </xf>
    <xf numFmtId="49" fontId="7" fillId="0" borderId="2" xfId="0" applyNumberFormat="1" applyFont="1" applyFill="1" applyBorder="1" applyAlignment="1" applyProtection="1">
      <alignment horizontal="left" vertical="center"/>
    </xf>
    <xf numFmtId="49" fontId="7" fillId="0" borderId="3" xfId="0" quotePrefix="1" applyNumberFormat="1" applyFont="1" applyFill="1" applyBorder="1" applyAlignment="1" applyProtection="1">
      <alignment horizontal="left" vertical="center"/>
      <protection locked="0"/>
    </xf>
    <xf numFmtId="49" fontId="7" fillId="0" borderId="4" xfId="0" applyNumberFormat="1" applyFont="1" applyFill="1" applyBorder="1" applyAlignment="1" applyProtection="1">
      <alignment horizontal="left" vertical="center"/>
      <protection locked="0"/>
    </xf>
    <xf numFmtId="49" fontId="7" fillId="0" borderId="5" xfId="0" applyNumberFormat="1" applyFont="1" applyFill="1" applyBorder="1" applyAlignment="1" applyProtection="1">
      <alignment horizontal="left" vertical="center"/>
      <protection locked="0"/>
    </xf>
    <xf numFmtId="0" fontId="0" fillId="6" borderId="67" xfId="0" applyFill="1" applyBorder="1" applyAlignment="1">
      <alignment horizontal="center"/>
    </xf>
    <xf numFmtId="0" fontId="0" fillId="6" borderId="71" xfId="0" applyFill="1" applyBorder="1" applyAlignment="1">
      <alignment horizontal="center"/>
    </xf>
    <xf numFmtId="0" fontId="7" fillId="7" borderId="6" xfId="0" applyFont="1" applyFill="1" applyBorder="1" applyAlignment="1" applyProtection="1">
      <alignment horizontal="center"/>
    </xf>
    <xf numFmtId="0" fontId="7" fillId="7" borderId="7" xfId="0" applyFont="1" applyFill="1" applyBorder="1" applyAlignment="1" applyProtection="1">
      <alignment horizontal="center"/>
    </xf>
    <xf numFmtId="169" fontId="7" fillId="10" borderId="63" xfId="0" applyNumberFormat="1" applyFont="1" applyFill="1" applyBorder="1" applyAlignment="1" applyProtection="1">
      <alignment horizontal="center"/>
    </xf>
    <xf numFmtId="169" fontId="7" fillId="10" borderId="64" xfId="0" applyNumberFormat="1" applyFont="1" applyFill="1" applyBorder="1" applyAlignment="1" applyProtection="1">
      <alignment horizontal="center"/>
    </xf>
    <xf numFmtId="169" fontId="7" fillId="11" borderId="63" xfId="0" applyNumberFormat="1" applyFont="1" applyFill="1" applyBorder="1" applyAlignment="1" applyProtection="1">
      <alignment horizontal="center"/>
    </xf>
    <xf numFmtId="169" fontId="7" fillId="11" borderId="64" xfId="0" applyNumberFormat="1" applyFont="1" applyFill="1" applyBorder="1" applyAlignment="1" applyProtection="1">
      <alignment horizontal="center"/>
    </xf>
    <xf numFmtId="2" fontId="7" fillId="10" borderId="63" xfId="0" applyNumberFormat="1" applyFont="1" applyFill="1" applyBorder="1" applyAlignment="1" applyProtection="1">
      <alignment horizontal="center"/>
    </xf>
    <xf numFmtId="2" fontId="7" fillId="10" borderId="64" xfId="0" applyNumberFormat="1" applyFont="1" applyFill="1" applyBorder="1" applyAlignment="1" applyProtection="1">
      <alignment horizontal="center"/>
    </xf>
    <xf numFmtId="2" fontId="7" fillId="11" borderId="63" xfId="0" applyNumberFormat="1" applyFont="1" applyFill="1" applyBorder="1" applyAlignment="1" applyProtection="1">
      <alignment horizontal="center"/>
    </xf>
    <xf numFmtId="2" fontId="7" fillId="11" borderId="64" xfId="0" applyNumberFormat="1" applyFont="1" applyFill="1" applyBorder="1" applyAlignment="1" applyProtection="1">
      <alignment horizontal="center"/>
    </xf>
    <xf numFmtId="2" fontId="7" fillId="10" borderId="61" xfId="0" applyNumberFormat="1" applyFont="1" applyFill="1" applyBorder="1" applyAlignment="1" applyProtection="1">
      <alignment horizontal="center"/>
    </xf>
    <xf numFmtId="2" fontId="7" fillId="10" borderId="66" xfId="0" applyNumberFormat="1" applyFont="1" applyFill="1" applyBorder="1" applyAlignment="1" applyProtection="1">
      <alignment horizontal="center"/>
    </xf>
    <xf numFmtId="2" fontId="7" fillId="11" borderId="61" xfId="0" applyNumberFormat="1" applyFont="1" applyFill="1" applyBorder="1" applyAlignment="1" applyProtection="1">
      <alignment horizontal="center"/>
    </xf>
    <xf numFmtId="2" fontId="7" fillId="11" borderId="66" xfId="0" applyNumberFormat="1" applyFont="1" applyFill="1" applyBorder="1" applyAlignment="1" applyProtection="1">
      <alignment horizontal="center"/>
    </xf>
    <xf numFmtId="168" fontId="7" fillId="10" borderId="63" xfId="4" applyNumberFormat="1" applyFont="1" applyFill="1" applyBorder="1" applyAlignment="1" applyProtection="1">
      <alignment horizontal="center"/>
    </xf>
    <xf numFmtId="168" fontId="7" fillId="10" borderId="64" xfId="4" applyNumberFormat="1" applyFont="1" applyFill="1" applyBorder="1" applyAlignment="1" applyProtection="1">
      <alignment horizontal="center"/>
    </xf>
    <xf numFmtId="168" fontId="7" fillId="11" borderId="63" xfId="4" applyNumberFormat="1" applyFont="1" applyFill="1" applyBorder="1" applyAlignment="1" applyProtection="1">
      <alignment horizontal="center"/>
    </xf>
    <xf numFmtId="168" fontId="7" fillId="11" borderId="64" xfId="4" applyNumberFormat="1" applyFont="1" applyFill="1" applyBorder="1" applyAlignment="1" applyProtection="1">
      <alignment horizontal="center"/>
    </xf>
    <xf numFmtId="1" fontId="7" fillId="10" borderId="63" xfId="0" applyNumberFormat="1" applyFont="1" applyFill="1" applyBorder="1" applyAlignment="1" applyProtection="1">
      <alignment horizontal="center"/>
    </xf>
    <xf numFmtId="1" fontId="7" fillId="10" borderId="64" xfId="0" applyNumberFormat="1" applyFont="1" applyFill="1" applyBorder="1" applyAlignment="1" applyProtection="1">
      <alignment horizontal="center"/>
    </xf>
    <xf numFmtId="1" fontId="7" fillId="11" borderId="63" xfId="0" applyNumberFormat="1" applyFont="1" applyFill="1" applyBorder="1" applyAlignment="1" applyProtection="1">
      <alignment horizontal="center"/>
    </xf>
    <xf numFmtId="1" fontId="7" fillId="11" borderId="64" xfId="0" applyNumberFormat="1" applyFont="1" applyFill="1" applyBorder="1" applyAlignment="1" applyProtection="1">
      <alignment horizontal="center"/>
    </xf>
    <xf numFmtId="0" fontId="7" fillId="10" borderId="63" xfId="4" applyNumberFormat="1" applyFont="1" applyFill="1" applyBorder="1" applyAlignment="1" applyProtection="1">
      <alignment horizontal="center"/>
    </xf>
    <xf numFmtId="0" fontId="7" fillId="10" borderId="64" xfId="4" applyNumberFormat="1" applyFont="1" applyFill="1" applyBorder="1" applyAlignment="1" applyProtection="1">
      <alignment horizontal="center"/>
    </xf>
    <xf numFmtId="0" fontId="7" fillId="11" borderId="63" xfId="4" applyNumberFormat="1" applyFont="1" applyFill="1" applyBorder="1" applyAlignment="1" applyProtection="1">
      <alignment horizontal="center"/>
    </xf>
    <xf numFmtId="0" fontId="7" fillId="11" borderId="64" xfId="4" applyNumberFormat="1" applyFont="1" applyFill="1" applyBorder="1" applyAlignment="1" applyProtection="1">
      <alignment horizontal="center"/>
    </xf>
    <xf numFmtId="168" fontId="7" fillId="5" borderId="23" xfId="0" applyNumberFormat="1" applyFont="1" applyFill="1" applyBorder="1" applyAlignment="1" applyProtection="1">
      <alignment horizontal="center"/>
      <protection locked="0"/>
    </xf>
    <xf numFmtId="168" fontId="7" fillId="5" borderId="18" xfId="0" applyNumberFormat="1" applyFont="1" applyFill="1" applyBorder="1" applyAlignment="1" applyProtection="1">
      <alignment horizontal="center"/>
      <protection locked="0"/>
    </xf>
    <xf numFmtId="0" fontId="7" fillId="10" borderId="63" xfId="0" applyFont="1" applyFill="1" applyBorder="1" applyAlignment="1" applyProtection="1">
      <alignment horizontal="center"/>
    </xf>
    <xf numFmtId="0" fontId="7" fillId="10" borderId="64" xfId="0" applyFont="1" applyFill="1" applyBorder="1" applyAlignment="1" applyProtection="1">
      <alignment horizontal="center"/>
    </xf>
    <xf numFmtId="0" fontId="7" fillId="11" borderId="63" xfId="0" applyFont="1" applyFill="1" applyBorder="1" applyAlignment="1" applyProtection="1">
      <alignment horizontal="center"/>
    </xf>
    <xf numFmtId="0" fontId="7" fillId="11" borderId="64" xfId="0" applyFont="1" applyFill="1" applyBorder="1" applyAlignment="1" applyProtection="1">
      <alignment horizontal="center"/>
    </xf>
    <xf numFmtId="168" fontId="7" fillId="5" borderId="23" xfId="4" applyNumberFormat="1" applyFont="1" applyFill="1" applyBorder="1" applyAlignment="1" applyProtection="1">
      <alignment horizontal="center" vertical="center"/>
      <protection locked="0"/>
    </xf>
    <xf numFmtId="168" fontId="7" fillId="5" borderId="18" xfId="4" applyNumberFormat="1" applyFont="1" applyFill="1" applyBorder="1" applyAlignment="1" applyProtection="1">
      <alignment horizontal="center" vertical="center"/>
      <protection locked="0"/>
    </xf>
    <xf numFmtId="0" fontId="7" fillId="11" borderId="0" xfId="0" applyFont="1" applyFill="1" applyBorder="1" applyAlignment="1" applyProtection="1">
      <alignment horizontal="left"/>
    </xf>
    <xf numFmtId="9" fontId="7" fillId="10" borderId="63" xfId="4" applyFont="1" applyFill="1" applyBorder="1" applyAlignment="1" applyProtection="1">
      <alignment horizontal="center"/>
    </xf>
    <xf numFmtId="9" fontId="7" fillId="10" borderId="64" xfId="4" applyFont="1" applyFill="1" applyBorder="1" applyAlignment="1" applyProtection="1">
      <alignment horizontal="center"/>
    </xf>
    <xf numFmtId="9" fontId="7" fillId="11" borderId="63" xfId="4" applyFont="1" applyFill="1" applyBorder="1" applyAlignment="1" applyProtection="1">
      <alignment horizontal="center"/>
    </xf>
    <xf numFmtId="9" fontId="7" fillId="11" borderId="64" xfId="4" applyFont="1" applyFill="1" applyBorder="1" applyAlignment="1" applyProtection="1">
      <alignment horizontal="center"/>
    </xf>
    <xf numFmtId="169" fontId="7" fillId="3" borderId="63" xfId="0" applyNumberFormat="1" applyFont="1" applyFill="1" applyBorder="1" applyAlignment="1" applyProtection="1">
      <alignment horizontal="center"/>
    </xf>
    <xf numFmtId="169" fontId="7" fillId="3" borderId="64" xfId="0" applyNumberFormat="1" applyFont="1" applyFill="1" applyBorder="1" applyAlignment="1" applyProtection="1">
      <alignment horizontal="center"/>
    </xf>
    <xf numFmtId="2" fontId="7" fillId="3" borderId="61" xfId="0" applyNumberFormat="1" applyFont="1" applyFill="1" applyBorder="1" applyAlignment="1" applyProtection="1">
      <alignment horizontal="center"/>
    </xf>
    <xf numFmtId="2" fontId="7" fillId="3" borderId="66" xfId="0" applyNumberFormat="1" applyFont="1" applyFill="1" applyBorder="1" applyAlignment="1" applyProtection="1">
      <alignment horizontal="center"/>
    </xf>
    <xf numFmtId="2" fontId="7" fillId="3" borderId="63" xfId="0" applyNumberFormat="1" applyFont="1" applyFill="1" applyBorder="1" applyAlignment="1" applyProtection="1">
      <alignment horizontal="center"/>
    </xf>
    <xf numFmtId="2" fontId="7" fillId="3" borderId="64" xfId="0" applyNumberFormat="1" applyFont="1" applyFill="1" applyBorder="1" applyAlignment="1" applyProtection="1">
      <alignment horizontal="center"/>
    </xf>
    <xf numFmtId="0" fontId="34" fillId="12" borderId="16" xfId="0" applyFont="1" applyFill="1" applyBorder="1" applyAlignment="1">
      <alignment horizontal="center" vertical="top" wrapText="1"/>
    </xf>
    <xf numFmtId="0" fontId="34" fillId="12" borderId="37" xfId="0" applyFont="1" applyFill="1" applyBorder="1" applyAlignment="1">
      <alignment horizontal="center" vertical="top" wrapText="1"/>
    </xf>
    <xf numFmtId="0" fontId="34" fillId="16" borderId="16" xfId="0" applyFont="1" applyFill="1" applyBorder="1" applyAlignment="1">
      <alignment horizontal="center" vertical="top" wrapText="1"/>
    </xf>
    <xf numFmtId="0" fontId="34" fillId="16" borderId="27" xfId="0" applyFont="1" applyFill="1" applyBorder="1" applyAlignment="1">
      <alignment horizontal="center" vertical="top" wrapText="1"/>
    </xf>
    <xf numFmtId="0" fontId="8" fillId="11" borderId="18" xfId="0" applyFont="1" applyFill="1" applyBorder="1" applyAlignment="1">
      <alignment horizontal="center" wrapText="1"/>
    </xf>
    <xf numFmtId="0" fontId="8" fillId="11" borderId="19" xfId="0" applyFont="1" applyFill="1" applyBorder="1" applyAlignment="1">
      <alignment horizontal="center" wrapText="1"/>
    </xf>
    <xf numFmtId="0" fontId="8" fillId="11" borderId="14" xfId="0" applyFont="1" applyFill="1" applyBorder="1" applyAlignment="1">
      <alignment horizontal="center"/>
    </xf>
    <xf numFmtId="0" fontId="8" fillId="11" borderId="13" xfId="0" applyFont="1" applyFill="1" applyBorder="1" applyAlignment="1">
      <alignment horizontal="center"/>
    </xf>
    <xf numFmtId="0" fontId="8" fillId="10" borderId="16" xfId="0" applyFont="1" applyFill="1" applyBorder="1" applyAlignment="1">
      <alignment horizontal="center" vertical="top"/>
    </xf>
    <xf numFmtId="0" fontId="8" fillId="10" borderId="15" xfId="0" applyFont="1" applyFill="1" applyBorder="1" applyAlignment="1">
      <alignment horizontal="center" vertical="top"/>
    </xf>
    <xf numFmtId="0" fontId="8" fillId="10" borderId="21" xfId="0" applyFont="1" applyFill="1" applyBorder="1" applyAlignment="1">
      <alignment horizontal="center" vertical="top"/>
    </xf>
    <xf numFmtId="0" fontId="8" fillId="11" borderId="35" xfId="0" applyFont="1" applyFill="1" applyBorder="1" applyAlignment="1">
      <alignment horizontal="center" vertical="top"/>
    </xf>
    <xf numFmtId="0" fontId="8" fillId="11" borderId="16" xfId="0" applyFont="1" applyFill="1" applyBorder="1" applyAlignment="1">
      <alignment horizontal="center" vertical="top"/>
    </xf>
    <xf numFmtId="0" fontId="8" fillId="11" borderId="21" xfId="0" applyFont="1" applyFill="1" applyBorder="1" applyAlignment="1">
      <alignment horizontal="center" vertical="top"/>
    </xf>
    <xf numFmtId="0" fontId="8" fillId="11" borderId="15" xfId="0" applyFont="1" applyFill="1" applyBorder="1" applyAlignment="1">
      <alignment horizontal="center" vertical="top"/>
    </xf>
    <xf numFmtId="168" fontId="7" fillId="3" borderId="63" xfId="4" applyNumberFormat="1" applyFont="1" applyFill="1" applyBorder="1" applyAlignment="1" applyProtection="1">
      <alignment horizontal="center"/>
    </xf>
    <xf numFmtId="168" fontId="7" fillId="3" borderId="64" xfId="4" applyNumberFormat="1" applyFont="1" applyFill="1" applyBorder="1" applyAlignment="1" applyProtection="1">
      <alignment horizontal="center"/>
    </xf>
    <xf numFmtId="1" fontId="7" fillId="3" borderId="63" xfId="0" applyNumberFormat="1" applyFont="1" applyFill="1" applyBorder="1" applyAlignment="1" applyProtection="1">
      <alignment horizontal="center"/>
    </xf>
    <xf numFmtId="1" fontId="7" fillId="3" borderId="64" xfId="0" applyNumberFormat="1" applyFont="1" applyFill="1" applyBorder="1" applyAlignment="1" applyProtection="1">
      <alignment horizontal="center"/>
    </xf>
    <xf numFmtId="168" fontId="7" fillId="7" borderId="63" xfId="4" applyNumberFormat="1" applyFont="1" applyFill="1" applyBorder="1" applyAlignment="1" applyProtection="1">
      <alignment horizontal="center"/>
    </xf>
    <xf numFmtId="168" fontId="7" fillId="7" borderId="64" xfId="4" applyNumberFormat="1" applyFont="1" applyFill="1" applyBorder="1" applyAlignment="1" applyProtection="1">
      <alignment horizontal="center"/>
    </xf>
    <xf numFmtId="2" fontId="7" fillId="7" borderId="61" xfId="0" applyNumberFormat="1" applyFont="1" applyFill="1" applyBorder="1" applyAlignment="1" applyProtection="1">
      <alignment horizontal="center"/>
    </xf>
    <xf numFmtId="2" fontId="7" fillId="7" borderId="66" xfId="0" applyNumberFormat="1" applyFont="1" applyFill="1" applyBorder="1" applyAlignment="1" applyProtection="1">
      <alignment horizontal="center"/>
    </xf>
    <xf numFmtId="0" fontId="7" fillId="3" borderId="63" xfId="0" applyFont="1" applyFill="1" applyBorder="1" applyAlignment="1" applyProtection="1">
      <alignment horizontal="center"/>
    </xf>
    <xf numFmtId="0" fontId="7" fillId="3" borderId="64" xfId="0" applyFont="1" applyFill="1" applyBorder="1" applyAlignment="1" applyProtection="1">
      <alignment horizontal="center"/>
    </xf>
    <xf numFmtId="0" fontId="7" fillId="7" borderId="63" xfId="4" applyNumberFormat="1" applyFont="1" applyFill="1" applyBorder="1" applyAlignment="1" applyProtection="1">
      <alignment horizontal="center"/>
    </xf>
    <xf numFmtId="0" fontId="7" fillId="7" borderId="64" xfId="4" applyNumberFormat="1" applyFont="1" applyFill="1" applyBorder="1" applyAlignment="1" applyProtection="1">
      <alignment horizontal="center"/>
    </xf>
    <xf numFmtId="0" fontId="7" fillId="3" borderId="63" xfId="4" applyNumberFormat="1" applyFont="1" applyFill="1" applyBorder="1" applyAlignment="1" applyProtection="1">
      <alignment horizontal="center"/>
    </xf>
    <xf numFmtId="0" fontId="7" fillId="3" borderId="64" xfId="4" applyNumberFormat="1" applyFont="1" applyFill="1" applyBorder="1" applyAlignment="1" applyProtection="1">
      <alignment horizontal="center"/>
    </xf>
    <xf numFmtId="0" fontId="7" fillId="7" borderId="63" xfId="0" applyFont="1" applyFill="1" applyBorder="1" applyAlignment="1" applyProtection="1">
      <alignment horizontal="center"/>
    </xf>
    <xf numFmtId="0" fontId="7" fillId="7" borderId="64" xfId="0" applyFont="1" applyFill="1" applyBorder="1" applyAlignment="1" applyProtection="1">
      <alignment horizontal="center"/>
    </xf>
    <xf numFmtId="169" fontId="7" fillId="0" borderId="1" xfId="0" applyNumberFormat="1" applyFont="1" applyFill="1" applyBorder="1" applyAlignment="1" applyProtection="1">
      <alignment horizontal="center"/>
    </xf>
    <xf numFmtId="169" fontId="7" fillId="0" borderId="0" xfId="0" applyNumberFormat="1" applyFont="1" applyFill="1" applyBorder="1" applyAlignment="1" applyProtection="1">
      <alignment horizontal="center"/>
    </xf>
    <xf numFmtId="1" fontId="7" fillId="7" borderId="63" xfId="0" applyNumberFormat="1" applyFont="1" applyFill="1" applyBorder="1" applyAlignment="1" applyProtection="1">
      <alignment horizontal="center"/>
    </xf>
    <xf numFmtId="1" fontId="7" fillId="7" borderId="64" xfId="0" applyNumberFormat="1" applyFont="1" applyFill="1" applyBorder="1" applyAlignment="1" applyProtection="1">
      <alignment horizontal="center"/>
    </xf>
    <xf numFmtId="0" fontId="36" fillId="6" borderId="45" xfId="0" applyFont="1" applyFill="1" applyBorder="1" applyAlignment="1">
      <alignment horizontal="left" vertical="center"/>
    </xf>
    <xf numFmtId="0" fontId="36" fillId="6" borderId="40" xfId="0" applyFont="1" applyFill="1" applyBorder="1" applyAlignment="1">
      <alignment horizontal="left" vertical="center"/>
    </xf>
    <xf numFmtId="9" fontId="7" fillId="5" borderId="23" xfId="4" applyFont="1" applyFill="1" applyBorder="1" applyAlignment="1" applyProtection="1">
      <alignment horizontal="center"/>
      <protection locked="0"/>
    </xf>
    <xf numFmtId="9" fontId="7" fillId="5" borderId="18" xfId="4" applyFont="1" applyFill="1" applyBorder="1" applyAlignment="1" applyProtection="1">
      <alignment horizontal="center"/>
      <protection locked="0"/>
    </xf>
    <xf numFmtId="0" fontId="8" fillId="7" borderId="0" xfId="0" applyFont="1" applyFill="1" applyBorder="1" applyAlignment="1">
      <alignment horizontal="center"/>
    </xf>
    <xf numFmtId="9" fontId="7" fillId="7" borderId="63" xfId="4" applyFont="1" applyFill="1" applyBorder="1" applyAlignment="1" applyProtection="1">
      <alignment horizontal="center"/>
    </xf>
    <xf numFmtId="9" fontId="7" fillId="7" borderId="64" xfId="4" applyFont="1" applyFill="1" applyBorder="1" applyAlignment="1" applyProtection="1">
      <alignment horizontal="center"/>
    </xf>
    <xf numFmtId="0" fontId="32" fillId="15" borderId="41" xfId="0" applyFont="1" applyFill="1" applyBorder="1" applyAlignment="1">
      <alignment horizontal="center"/>
    </xf>
    <xf numFmtId="0" fontId="34" fillId="8" borderId="16" xfId="0" applyFont="1" applyFill="1" applyBorder="1" applyAlignment="1">
      <alignment horizontal="center" vertical="top" wrapText="1"/>
    </xf>
    <xf numFmtId="0" fontId="34" fillId="8" borderId="37" xfId="0" applyFont="1" applyFill="1" applyBorder="1" applyAlignment="1">
      <alignment horizontal="center" vertical="top" wrapText="1"/>
    </xf>
    <xf numFmtId="0" fontId="34" fillId="15" borderId="16" xfId="0" applyFont="1" applyFill="1" applyBorder="1" applyAlignment="1">
      <alignment horizontal="center" vertical="top" wrapText="1"/>
    </xf>
    <xf numFmtId="0" fontId="34" fillId="15" borderId="37" xfId="0" applyFont="1" applyFill="1" applyBorder="1" applyAlignment="1">
      <alignment horizontal="center" vertical="top" wrapText="1"/>
    </xf>
    <xf numFmtId="9" fontId="7" fillId="3" borderId="63" xfId="4" applyFont="1" applyFill="1" applyBorder="1" applyAlignment="1" applyProtection="1">
      <alignment horizontal="center"/>
    </xf>
    <xf numFmtId="9" fontId="7" fillId="3" borderId="64" xfId="4" applyFont="1" applyFill="1" applyBorder="1" applyAlignment="1" applyProtection="1">
      <alignment horizontal="center"/>
    </xf>
    <xf numFmtId="0" fontId="7" fillId="3" borderId="0" xfId="0" applyFont="1" applyFill="1" applyBorder="1" applyAlignment="1" applyProtection="1">
      <alignment horizontal="left"/>
    </xf>
    <xf numFmtId="0" fontId="8" fillId="3" borderId="18" xfId="0" applyFont="1" applyFill="1" applyBorder="1" applyAlignment="1">
      <alignment horizontal="center" wrapText="1"/>
    </xf>
    <xf numFmtId="0" fontId="8" fillId="3" borderId="41" xfId="0" applyFont="1" applyFill="1" applyBorder="1" applyAlignment="1">
      <alignment horizontal="center" wrapText="1"/>
    </xf>
    <xf numFmtId="0" fontId="8" fillId="7" borderId="15" xfId="0" applyFont="1" applyFill="1" applyBorder="1" applyAlignment="1">
      <alignment horizontal="center" vertical="top"/>
    </xf>
    <xf numFmtId="0" fontId="8" fillId="7" borderId="16" xfId="0" applyFont="1" applyFill="1" applyBorder="1" applyAlignment="1">
      <alignment horizontal="center" vertical="top"/>
    </xf>
    <xf numFmtId="0" fontId="8" fillId="7" borderId="21" xfId="0" applyFont="1" applyFill="1" applyBorder="1" applyAlignment="1">
      <alignment horizontal="center" vertical="top"/>
    </xf>
    <xf numFmtId="0" fontId="8" fillId="7" borderId="35" xfId="0" applyFont="1" applyFill="1" applyBorder="1" applyAlignment="1">
      <alignment horizontal="center" vertical="top"/>
    </xf>
    <xf numFmtId="0" fontId="8" fillId="3" borderId="15" xfId="0" applyFont="1" applyFill="1" applyBorder="1" applyAlignment="1">
      <alignment horizontal="center" vertical="top"/>
    </xf>
    <xf numFmtId="0" fontId="8" fillId="3" borderId="16" xfId="0" applyFont="1" applyFill="1" applyBorder="1" applyAlignment="1">
      <alignment horizontal="center" vertical="top"/>
    </xf>
    <xf numFmtId="0" fontId="8" fillId="3" borderId="21" xfId="0" applyFont="1" applyFill="1" applyBorder="1" applyAlignment="1">
      <alignment horizontal="center" vertical="top"/>
    </xf>
    <xf numFmtId="0" fontId="8" fillId="7" borderId="23"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41"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37" xfId="0" applyFont="1" applyFill="1" applyBorder="1" applyAlignment="1">
      <alignment horizontal="center" vertical="center" wrapText="1"/>
    </xf>
    <xf numFmtId="0" fontId="8" fillId="11" borderId="23" xfId="0" applyFont="1" applyFill="1" applyBorder="1" applyAlignment="1">
      <alignment horizontal="center" vertical="center" wrapText="1"/>
    </xf>
    <xf numFmtId="0" fontId="8" fillId="11"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15"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10" borderId="18" xfId="0" applyFont="1" applyFill="1" applyBorder="1" applyAlignment="1">
      <alignment horizontal="center" vertical="center" wrapText="1"/>
    </xf>
    <xf numFmtId="0" fontId="8" fillId="10" borderId="41"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0" borderId="16" xfId="0" applyFont="1" applyFill="1" applyBorder="1" applyAlignment="1">
      <alignment horizontal="center" vertical="center" wrapText="1"/>
    </xf>
    <xf numFmtId="0" fontId="8" fillId="10" borderId="37"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8" fillId="3" borderId="14" xfId="0" applyFont="1" applyFill="1" applyBorder="1" applyAlignment="1">
      <alignment horizontal="center"/>
    </xf>
    <xf numFmtId="0" fontId="8" fillId="3" borderId="0" xfId="0" applyFont="1" applyFill="1" applyBorder="1" applyAlignment="1">
      <alignment horizontal="center"/>
    </xf>
    <xf numFmtId="0" fontId="8" fillId="3" borderId="13" xfId="0" applyFont="1" applyFill="1" applyBorder="1" applyAlignment="1">
      <alignment horizontal="center"/>
    </xf>
    <xf numFmtId="0" fontId="8" fillId="3" borderId="35" xfId="0" applyFont="1" applyFill="1" applyBorder="1" applyAlignment="1">
      <alignment horizontal="center" vertical="top"/>
    </xf>
    <xf numFmtId="0" fontId="7" fillId="3" borderId="6" xfId="0" applyFont="1" applyFill="1" applyBorder="1" applyAlignment="1" applyProtection="1">
      <alignment horizontal="center"/>
    </xf>
    <xf numFmtId="0" fontId="7" fillId="3" borderId="7" xfId="0" applyFont="1" applyFill="1" applyBorder="1" applyAlignment="1" applyProtection="1">
      <alignment horizontal="center"/>
    </xf>
    <xf numFmtId="0" fontId="8" fillId="6" borderId="21" xfId="0" applyFont="1" applyFill="1" applyBorder="1" applyAlignment="1">
      <alignment horizontal="center" vertical="center" wrapText="1"/>
    </xf>
    <xf numFmtId="0" fontId="8" fillId="6" borderId="31"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92" xfId="0" applyFont="1" applyFill="1" applyBorder="1" applyAlignment="1">
      <alignment horizontal="center" vertical="center" wrapText="1"/>
    </xf>
    <xf numFmtId="0" fontId="7" fillId="0" borderId="14" xfId="0" applyFont="1" applyBorder="1" applyAlignment="1" applyProtection="1">
      <alignment horizontal="center"/>
      <protection locked="0"/>
    </xf>
    <xf numFmtId="0" fontId="7" fillId="13" borderId="22" xfId="0" applyFont="1" applyFill="1" applyBorder="1" applyAlignment="1" applyProtection="1">
      <alignment horizontal="center"/>
    </xf>
    <xf numFmtId="0" fontId="7" fillId="13" borderId="93" xfId="0" applyFont="1" applyFill="1" applyBorder="1" applyAlignment="1" applyProtection="1">
      <alignment horizontal="center"/>
    </xf>
    <xf numFmtId="0" fontId="0" fillId="6" borderId="68" xfId="0" applyFill="1" applyBorder="1" applyAlignment="1">
      <alignment horizontal="center"/>
    </xf>
    <xf numFmtId="0" fontId="8" fillId="6" borderId="11"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11"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16" xfId="0" applyFont="1" applyFill="1" applyBorder="1" applyAlignment="1">
      <alignment horizontal="center" vertical="center" wrapText="1"/>
    </xf>
    <xf numFmtId="0" fontId="8" fillId="6" borderId="14" xfId="0" applyFont="1" applyFill="1" applyBorder="1" applyAlignment="1">
      <alignment horizontal="center" vertical="center"/>
    </xf>
    <xf numFmtId="0" fontId="8" fillId="6" borderId="0" xfId="0" applyFont="1" applyFill="1" applyBorder="1" applyAlignment="1">
      <alignment horizontal="center" vertical="center"/>
    </xf>
    <xf numFmtId="0" fontId="7" fillId="0" borderId="15" xfId="0" applyNumberFormat="1" applyFont="1" applyBorder="1" applyAlignment="1">
      <alignment horizontal="left" wrapText="1"/>
    </xf>
    <xf numFmtId="0" fontId="7" fillId="0" borderId="16" xfId="0" applyNumberFormat="1" applyFont="1" applyBorder="1" applyAlignment="1">
      <alignment horizontal="left" wrapText="1"/>
    </xf>
    <xf numFmtId="0" fontId="7" fillId="0" borderId="21" xfId="0" applyNumberFormat="1" applyFont="1" applyBorder="1" applyAlignment="1">
      <alignment horizontal="left" wrapText="1"/>
    </xf>
    <xf numFmtId="9" fontId="7" fillId="0" borderId="11" xfId="4" applyFont="1" applyBorder="1" applyAlignment="1" applyProtection="1">
      <alignment horizontal="center"/>
      <protection locked="0"/>
    </xf>
    <xf numFmtId="9" fontId="7" fillId="0" borderId="17" xfId="4" applyFont="1" applyBorder="1" applyAlignment="1" applyProtection="1">
      <alignment horizontal="center"/>
      <protection locked="0"/>
    </xf>
    <xf numFmtId="9" fontId="7" fillId="0" borderId="20" xfId="4" applyFont="1" applyBorder="1" applyAlignment="1" applyProtection="1">
      <alignment horizontal="center"/>
      <protection locked="0"/>
    </xf>
    <xf numFmtId="0" fontId="7" fillId="7" borderId="11" xfId="0" applyFont="1" applyFill="1" applyBorder="1" applyAlignment="1" applyProtection="1">
      <alignment horizontal="center"/>
    </xf>
    <xf numFmtId="0" fontId="7" fillId="7" borderId="17" xfId="0" applyFont="1" applyFill="1" applyBorder="1" applyAlignment="1" applyProtection="1">
      <alignment horizontal="center"/>
    </xf>
    <xf numFmtId="0" fontId="7" fillId="3" borderId="11" xfId="0" applyFont="1" applyFill="1" applyBorder="1" applyAlignment="1" applyProtection="1">
      <alignment horizontal="center"/>
    </xf>
    <xf numFmtId="0" fontId="7" fillId="3" borderId="17" xfId="0" applyFont="1" applyFill="1" applyBorder="1" applyAlignment="1" applyProtection="1">
      <alignment horizontal="center"/>
    </xf>
    <xf numFmtId="0" fontId="7" fillId="0" borderId="3" xfId="0" applyFont="1" applyBorder="1" applyAlignment="1">
      <alignment horizontal="left" wrapText="1"/>
    </xf>
    <xf numFmtId="0" fontId="7" fillId="0" borderId="4" xfId="0" applyFont="1" applyBorder="1" applyAlignment="1">
      <alignment horizontal="left" wrapText="1"/>
    </xf>
    <xf numFmtId="9" fontId="7" fillId="0" borderId="15" xfId="4" applyFont="1" applyBorder="1" applyAlignment="1" applyProtection="1">
      <alignment horizontal="center"/>
      <protection locked="0"/>
    </xf>
    <xf numFmtId="9" fontId="7" fillId="0" borderId="16" xfId="4" applyFont="1" applyBorder="1" applyAlignment="1" applyProtection="1">
      <alignment horizontal="center"/>
      <protection locked="0"/>
    </xf>
    <xf numFmtId="9" fontId="7" fillId="0" borderId="21" xfId="4" applyFont="1" applyBorder="1" applyAlignment="1" applyProtection="1">
      <alignment horizontal="center"/>
      <protection locked="0"/>
    </xf>
    <xf numFmtId="0" fontId="7" fillId="10" borderId="15" xfId="0" applyFont="1" applyFill="1" applyBorder="1" applyAlignment="1" applyProtection="1">
      <alignment horizontal="center"/>
    </xf>
    <xf numFmtId="0" fontId="7" fillId="10" borderId="16" xfId="0" applyFont="1" applyFill="1" applyBorder="1" applyAlignment="1" applyProtection="1">
      <alignment horizontal="center"/>
    </xf>
    <xf numFmtId="9" fontId="7" fillId="0" borderId="32" xfId="4" applyFont="1" applyBorder="1" applyAlignment="1" applyProtection="1">
      <alignment horizontal="center"/>
      <protection locked="0"/>
    </xf>
    <xf numFmtId="9" fontId="7" fillId="0" borderId="4" xfId="4" applyFont="1" applyBorder="1" applyAlignment="1" applyProtection="1">
      <alignment horizontal="center"/>
      <protection locked="0"/>
    </xf>
    <xf numFmtId="9" fontId="7" fillId="0" borderId="47" xfId="4" applyFont="1" applyBorder="1" applyAlignment="1" applyProtection="1">
      <alignment horizontal="center"/>
      <protection locked="0"/>
    </xf>
    <xf numFmtId="0" fontId="7" fillId="13" borderId="32" xfId="0" applyFont="1" applyFill="1" applyBorder="1" applyAlignment="1" applyProtection="1">
      <alignment horizontal="center"/>
    </xf>
    <xf numFmtId="0" fontId="7" fillId="13" borderId="4" xfId="0" applyFont="1" applyFill="1" applyBorder="1" applyAlignment="1" applyProtection="1">
      <alignment horizontal="center"/>
    </xf>
    <xf numFmtId="0" fontId="7" fillId="0" borderId="56" xfId="0" applyFont="1" applyBorder="1" applyAlignment="1">
      <alignment horizontal="left"/>
    </xf>
    <xf numFmtId="0" fontId="7" fillId="0" borderId="53" xfId="0" applyFont="1" applyBorder="1" applyAlignment="1">
      <alignment horizontal="left"/>
    </xf>
    <xf numFmtId="0" fontId="7" fillId="0" borderId="49" xfId="0" applyFont="1" applyBorder="1" applyAlignment="1">
      <alignment horizontal="left"/>
    </xf>
    <xf numFmtId="0" fontId="7" fillId="0" borderId="24" xfId="0" applyFont="1" applyBorder="1" applyAlignment="1">
      <alignment horizontal="left"/>
    </xf>
    <xf numFmtId="0" fontId="7" fillId="0" borderId="17" xfId="0" applyFont="1" applyBorder="1" applyAlignment="1">
      <alignment horizontal="left"/>
    </xf>
    <xf numFmtId="0" fontId="7" fillId="0" borderId="25" xfId="0" applyFont="1" applyBorder="1" applyAlignment="1">
      <alignment horizontal="left"/>
    </xf>
    <xf numFmtId="0" fontId="8" fillId="0" borderId="24" xfId="0" applyFont="1" applyBorder="1" applyAlignment="1">
      <alignment horizontal="left"/>
    </xf>
    <xf numFmtId="0" fontId="8" fillId="0" borderId="17" xfId="0" applyFont="1" applyBorder="1" applyAlignment="1">
      <alignment horizontal="left"/>
    </xf>
    <xf numFmtId="0" fontId="8" fillId="0" borderId="25" xfId="0" applyFont="1" applyBorder="1" applyAlignment="1">
      <alignment horizontal="left"/>
    </xf>
    <xf numFmtId="0" fontId="7" fillId="0" borderId="24" xfId="0" applyFont="1" applyBorder="1" applyAlignment="1" applyProtection="1">
      <alignment horizontal="left" vertical="center"/>
    </xf>
    <xf numFmtId="0" fontId="7" fillId="0" borderId="17" xfId="0" applyFont="1" applyBorder="1" applyAlignment="1" applyProtection="1">
      <alignment horizontal="left" vertical="center"/>
    </xf>
    <xf numFmtId="0" fontId="7" fillId="0" borderId="25" xfId="0" applyFont="1" applyBorder="1" applyAlignment="1" applyProtection="1">
      <alignment horizontal="left" vertical="center"/>
    </xf>
    <xf numFmtId="0" fontId="7" fillId="0" borderId="24" xfId="0" quotePrefix="1"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25" xfId="0" applyFont="1" applyBorder="1" applyAlignment="1" applyProtection="1">
      <alignment horizontal="left" vertical="center"/>
      <protection locked="0"/>
    </xf>
    <xf numFmtId="0" fontId="7" fillId="0" borderId="3" xfId="0" quotePrefix="1"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44" fontId="7" fillId="3" borderId="63" xfId="41" applyNumberFormat="1" applyFont="1" applyFill="1" applyBorder="1" applyAlignment="1">
      <alignment horizontal="center"/>
    </xf>
    <xf numFmtId="44" fontId="7" fillId="3" borderId="64" xfId="41" applyNumberFormat="1" applyFont="1" applyFill="1" applyBorder="1" applyAlignment="1">
      <alignment horizontal="center"/>
    </xf>
    <xf numFmtId="44" fontId="8" fillId="3" borderId="63" xfId="41" applyNumberFormat="1" applyFont="1" applyFill="1" applyBorder="1" applyAlignment="1">
      <alignment horizontal="center"/>
    </xf>
    <xf numFmtId="44" fontId="8" fillId="3" borderId="64" xfId="41" applyNumberFormat="1" applyFont="1" applyFill="1" applyBorder="1" applyAlignment="1">
      <alignment horizontal="center"/>
    </xf>
    <xf numFmtId="44" fontId="8" fillId="0" borderId="48" xfId="41" applyFont="1" applyBorder="1" applyAlignment="1">
      <alignment horizontal="left"/>
    </xf>
    <xf numFmtId="44" fontId="8" fillId="0" borderId="10" xfId="41" applyFont="1" applyBorder="1" applyAlignment="1">
      <alignment horizontal="left"/>
    </xf>
    <xf numFmtId="44" fontId="8" fillId="0" borderId="52" xfId="41" applyFont="1" applyBorder="1" applyAlignment="1">
      <alignment horizontal="left"/>
    </xf>
    <xf numFmtId="0" fontId="7" fillId="0" borderId="1"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 xfId="0" applyFont="1" applyBorder="1" applyAlignment="1" applyProtection="1">
      <alignment horizontal="left" vertical="center"/>
    </xf>
    <xf numFmtId="44" fontId="7" fillId="11" borderId="63" xfId="41" applyNumberFormat="1" applyFont="1" applyFill="1" applyBorder="1" applyAlignment="1">
      <alignment horizontal="center"/>
    </xf>
    <xf numFmtId="44" fontId="7" fillId="11" borderId="64" xfId="41" applyNumberFormat="1" applyFont="1" applyFill="1" applyBorder="1" applyAlignment="1">
      <alignment horizontal="center"/>
    </xf>
    <xf numFmtId="44" fontId="8" fillId="10" borderId="63" xfId="41" applyNumberFormat="1" applyFont="1" applyFill="1" applyBorder="1" applyAlignment="1">
      <alignment horizontal="center"/>
    </xf>
    <xf numFmtId="44" fontId="8" fillId="10" borderId="64" xfId="41" applyNumberFormat="1" applyFont="1" applyFill="1" applyBorder="1" applyAlignment="1">
      <alignment horizontal="center"/>
    </xf>
    <xf numFmtId="44" fontId="8" fillId="11" borderId="63" xfId="41" applyNumberFormat="1" applyFont="1" applyFill="1" applyBorder="1" applyAlignment="1">
      <alignment horizontal="center"/>
    </xf>
    <xf numFmtId="44" fontId="8" fillId="11" borderId="64" xfId="41" applyNumberFormat="1" applyFont="1" applyFill="1" applyBorder="1" applyAlignment="1">
      <alignment horizontal="center"/>
    </xf>
    <xf numFmtId="44" fontId="7" fillId="3" borderId="63" xfId="41" applyFont="1" applyFill="1" applyBorder="1" applyAlignment="1" applyProtection="1">
      <alignment horizontal="center"/>
    </xf>
    <xf numFmtId="44" fontId="7" fillId="3" borderId="64" xfId="41" applyFont="1" applyFill="1" applyBorder="1" applyAlignment="1" applyProtection="1">
      <alignment horizontal="center"/>
    </xf>
    <xf numFmtId="44" fontId="8" fillId="3" borderId="63" xfId="41" applyFont="1" applyFill="1" applyBorder="1" applyAlignment="1" applyProtection="1">
      <alignment horizontal="center"/>
    </xf>
    <xf numFmtId="44" fontId="8" fillId="3" borderId="64" xfId="41" applyFont="1" applyFill="1" applyBorder="1" applyAlignment="1" applyProtection="1">
      <alignment horizontal="center"/>
    </xf>
    <xf numFmtId="44" fontId="8" fillId="10" borderId="63" xfId="41" applyFont="1" applyFill="1" applyBorder="1" applyAlignment="1" applyProtection="1">
      <alignment horizontal="center"/>
    </xf>
    <xf numFmtId="44" fontId="8" fillId="10" borderId="64" xfId="41" applyFont="1" applyFill="1" applyBorder="1" applyAlignment="1" applyProtection="1">
      <alignment horizontal="center"/>
    </xf>
    <xf numFmtId="44" fontId="8" fillId="11" borderId="63" xfId="41" applyFont="1" applyFill="1" applyBorder="1" applyAlignment="1" applyProtection="1">
      <alignment horizontal="center"/>
    </xf>
    <xf numFmtId="44" fontId="8" fillId="11" borderId="64" xfId="41" applyFont="1" applyFill="1" applyBorder="1" applyAlignment="1" applyProtection="1">
      <alignment horizontal="center"/>
    </xf>
    <xf numFmtId="177" fontId="8" fillId="10" borderId="63" xfId="41" applyNumberFormat="1" applyFont="1" applyFill="1" applyBorder="1" applyAlignment="1" applyProtection="1">
      <alignment horizontal="center"/>
    </xf>
    <xf numFmtId="177" fontId="8" fillId="10" borderId="64" xfId="41" applyNumberFormat="1" applyFont="1" applyFill="1" applyBorder="1" applyAlignment="1" applyProtection="1">
      <alignment horizontal="center"/>
    </xf>
    <xf numFmtId="177" fontId="8" fillId="7" borderId="63" xfId="41" applyNumberFormat="1" applyFont="1" applyFill="1" applyBorder="1" applyAlignment="1" applyProtection="1">
      <alignment horizontal="center"/>
    </xf>
    <xf numFmtId="177" fontId="8" fillId="7" borderId="64" xfId="41" applyNumberFormat="1" applyFont="1" applyFill="1" applyBorder="1" applyAlignment="1" applyProtection="1">
      <alignment horizontal="center"/>
    </xf>
    <xf numFmtId="44" fontId="7" fillId="5" borderId="23" xfId="41" applyFont="1" applyFill="1" applyBorder="1" applyAlignment="1" applyProtection="1">
      <alignment horizontal="center"/>
      <protection locked="0"/>
    </xf>
    <xf numFmtId="44" fontId="7" fillId="5" borderId="18" xfId="41" applyFont="1" applyFill="1" applyBorder="1" applyAlignment="1" applyProtection="1">
      <alignment horizontal="center"/>
      <protection locked="0"/>
    </xf>
    <xf numFmtId="44" fontId="8" fillId="7" borderId="63" xfId="41" applyNumberFormat="1" applyFont="1" applyFill="1" applyBorder="1" applyAlignment="1">
      <alignment horizontal="center"/>
    </xf>
    <xf numFmtId="44" fontId="8" fillId="7" borderId="64" xfId="41" applyNumberFormat="1" applyFont="1" applyFill="1" applyBorder="1" applyAlignment="1">
      <alignment horizontal="center"/>
    </xf>
    <xf numFmtId="44" fontId="7" fillId="7" borderId="63" xfId="41" applyFont="1" applyFill="1" applyBorder="1" applyAlignment="1">
      <alignment horizontal="center"/>
    </xf>
    <xf numFmtId="44" fontId="7" fillId="7" borderId="64" xfId="41" applyFont="1" applyFill="1" applyBorder="1" applyAlignment="1">
      <alignment horizontal="center"/>
    </xf>
    <xf numFmtId="164" fontId="7" fillId="7" borderId="63" xfId="1" applyNumberFormat="1" applyFont="1" applyFill="1" applyBorder="1" applyAlignment="1">
      <alignment horizontal="center"/>
    </xf>
    <xf numFmtId="164" fontId="7" fillId="7" borderId="64" xfId="1" applyNumberFormat="1" applyFont="1" applyFill="1" applyBorder="1" applyAlignment="1">
      <alignment horizontal="center"/>
    </xf>
    <xf numFmtId="9" fontId="7" fillId="0" borderId="63" xfId="4" applyFont="1" applyFill="1" applyBorder="1" applyAlignment="1" applyProtection="1">
      <alignment horizontal="right"/>
      <protection locked="0"/>
    </xf>
    <xf numFmtId="9" fontId="7" fillId="0" borderId="64" xfId="4" applyFont="1" applyFill="1" applyBorder="1" applyAlignment="1" applyProtection="1">
      <alignment horizontal="right"/>
      <protection locked="0"/>
    </xf>
    <xf numFmtId="164" fontId="8" fillId="7" borderId="63" xfId="1" applyNumberFormat="1" applyFont="1" applyFill="1" applyBorder="1" applyAlignment="1">
      <alignment horizontal="center"/>
    </xf>
    <xf numFmtId="164" fontId="8" fillId="7" borderId="64" xfId="1" applyNumberFormat="1" applyFont="1" applyFill="1" applyBorder="1" applyAlignment="1">
      <alignment horizontal="center"/>
    </xf>
    <xf numFmtId="164" fontId="7" fillId="10" borderId="63" xfId="1" applyNumberFormat="1" applyFont="1" applyFill="1" applyBorder="1" applyAlignment="1">
      <alignment horizontal="center"/>
    </xf>
    <xf numFmtId="164" fontId="7" fillId="10" borderId="64" xfId="1" applyNumberFormat="1" applyFont="1" applyFill="1" applyBorder="1" applyAlignment="1">
      <alignment horizontal="center"/>
    </xf>
    <xf numFmtId="164" fontId="7" fillId="11" borderId="63" xfId="1" applyNumberFormat="1" applyFont="1" applyFill="1" applyBorder="1" applyAlignment="1">
      <alignment horizontal="center"/>
    </xf>
    <xf numFmtId="164" fontId="7" fillId="11" borderId="64" xfId="1" applyNumberFormat="1" applyFont="1" applyFill="1" applyBorder="1" applyAlignment="1">
      <alignment horizontal="center"/>
    </xf>
    <xf numFmtId="43" fontId="7" fillId="10" borderId="63" xfId="1" applyFont="1" applyFill="1" applyBorder="1" applyAlignment="1">
      <alignment horizontal="center"/>
    </xf>
    <xf numFmtId="43" fontId="7" fillId="10" borderId="64" xfId="1" applyFont="1" applyFill="1" applyBorder="1" applyAlignment="1">
      <alignment horizontal="center"/>
    </xf>
    <xf numFmtId="43" fontId="7" fillId="11" borderId="63" xfId="1" applyNumberFormat="1" applyFont="1" applyFill="1" applyBorder="1" applyAlignment="1">
      <alignment horizontal="center"/>
    </xf>
    <xf numFmtId="43" fontId="7" fillId="11" borderId="64" xfId="1" applyNumberFormat="1" applyFont="1" applyFill="1" applyBorder="1" applyAlignment="1">
      <alignment horizontal="center"/>
    </xf>
    <xf numFmtId="164" fontId="7" fillId="7" borderId="23" xfId="1" applyNumberFormat="1" applyFont="1" applyFill="1" applyBorder="1" applyAlignment="1">
      <alignment horizontal="center"/>
    </xf>
    <xf numFmtId="164" fontId="7" fillId="7" borderId="102" xfId="1" applyNumberFormat="1" applyFont="1" applyFill="1" applyBorder="1" applyAlignment="1">
      <alignment horizontal="center"/>
    </xf>
    <xf numFmtId="164" fontId="7" fillId="7" borderId="99" xfId="1" applyNumberFormat="1" applyFont="1" applyFill="1" applyBorder="1" applyAlignment="1">
      <alignment horizontal="center"/>
    </xf>
    <xf numFmtId="164" fontId="7" fillId="3" borderId="63" xfId="1" applyNumberFormat="1" applyFont="1" applyFill="1" applyBorder="1" applyAlignment="1">
      <alignment horizontal="center"/>
    </xf>
    <xf numFmtId="164" fontId="7" fillId="3" borderId="64" xfId="1" applyNumberFormat="1" applyFont="1" applyFill="1" applyBorder="1" applyAlignment="1">
      <alignment horizontal="center"/>
    </xf>
    <xf numFmtId="43" fontId="7" fillId="3" borderId="63" xfId="1" applyNumberFormat="1" applyFont="1" applyFill="1" applyBorder="1" applyAlignment="1">
      <alignment horizontal="center"/>
    </xf>
    <xf numFmtId="43" fontId="7" fillId="3" borderId="64" xfId="1" applyNumberFormat="1" applyFont="1" applyFill="1" applyBorder="1" applyAlignment="1">
      <alignment horizontal="center"/>
    </xf>
    <xf numFmtId="177" fontId="7" fillId="3" borderId="63" xfId="41" applyNumberFormat="1" applyFont="1" applyFill="1" applyBorder="1" applyAlignment="1" applyProtection="1">
      <alignment horizontal="center"/>
    </xf>
    <xf numFmtId="177" fontId="7" fillId="3" borderId="64" xfId="41" applyNumberFormat="1" applyFont="1" applyFill="1" applyBorder="1" applyAlignment="1" applyProtection="1">
      <alignment horizontal="center"/>
    </xf>
    <xf numFmtId="43" fontId="7" fillId="10" borderId="63" xfId="1" applyNumberFormat="1" applyFont="1" applyFill="1" applyBorder="1" applyAlignment="1">
      <alignment horizontal="center"/>
    </xf>
    <xf numFmtId="43" fontId="7" fillId="10" borderId="64" xfId="1" applyNumberFormat="1" applyFont="1" applyFill="1" applyBorder="1" applyAlignment="1">
      <alignment horizontal="center"/>
    </xf>
    <xf numFmtId="168" fontId="7" fillId="7" borderId="63" xfId="4" applyNumberFormat="1" applyFont="1" applyFill="1" applyBorder="1" applyAlignment="1">
      <alignment horizontal="right"/>
    </xf>
    <xf numFmtId="168" fontId="7" fillId="7" borderId="64" xfId="4" applyNumberFormat="1" applyFont="1" applyFill="1" applyBorder="1" applyAlignment="1">
      <alignment horizontal="right"/>
    </xf>
    <xf numFmtId="168" fontId="7" fillId="3" borderId="63" xfId="4" applyNumberFormat="1" applyFont="1" applyFill="1" applyBorder="1" applyAlignment="1">
      <alignment horizontal="right"/>
    </xf>
    <xf numFmtId="168" fontId="7" fillId="3" borderId="64" xfId="4" applyNumberFormat="1" applyFont="1" applyFill="1" applyBorder="1" applyAlignment="1">
      <alignment horizontal="right"/>
    </xf>
    <xf numFmtId="168" fontId="7" fillId="10" borderId="63" xfId="4" applyNumberFormat="1" applyFont="1" applyFill="1" applyBorder="1" applyAlignment="1">
      <alignment horizontal="right"/>
    </xf>
    <xf numFmtId="168" fontId="7" fillId="10" borderId="64" xfId="4" applyNumberFormat="1" applyFont="1" applyFill="1" applyBorder="1" applyAlignment="1">
      <alignment horizontal="right"/>
    </xf>
    <xf numFmtId="168" fontId="7" fillId="11" borderId="63" xfId="4" applyNumberFormat="1" applyFont="1" applyFill="1" applyBorder="1" applyAlignment="1">
      <alignment horizontal="right"/>
    </xf>
    <xf numFmtId="168" fontId="7" fillId="11" borderId="64" xfId="4" applyNumberFormat="1" applyFont="1" applyFill="1" applyBorder="1" applyAlignment="1">
      <alignment horizontal="right"/>
    </xf>
    <xf numFmtId="0" fontId="42" fillId="0" borderId="17" xfId="0" applyFont="1" applyBorder="1" applyAlignment="1">
      <alignment wrapText="1"/>
    </xf>
    <xf numFmtId="0" fontId="42" fillId="0" borderId="25" xfId="0" applyFont="1" applyBorder="1" applyAlignment="1">
      <alignment wrapText="1"/>
    </xf>
    <xf numFmtId="164" fontId="8" fillId="10" borderId="63" xfId="1" applyNumberFormat="1" applyFont="1" applyFill="1" applyBorder="1" applyAlignment="1">
      <alignment horizontal="center"/>
    </xf>
    <xf numFmtId="164" fontId="8" fillId="10" borderId="64" xfId="1" applyNumberFormat="1" applyFont="1" applyFill="1" applyBorder="1" applyAlignment="1">
      <alignment horizontal="center"/>
    </xf>
    <xf numFmtId="164" fontId="8" fillId="11" borderId="63" xfId="1" applyNumberFormat="1" applyFont="1" applyFill="1" applyBorder="1" applyAlignment="1">
      <alignment horizontal="center"/>
    </xf>
    <xf numFmtId="164" fontId="8" fillId="11" borderId="64" xfId="1" applyNumberFormat="1" applyFont="1" applyFill="1" applyBorder="1" applyAlignment="1">
      <alignment horizontal="center"/>
    </xf>
    <xf numFmtId="164" fontId="8" fillId="3" borderId="63" xfId="1" applyNumberFormat="1" applyFont="1" applyFill="1" applyBorder="1" applyAlignment="1">
      <alignment horizontal="center"/>
    </xf>
    <xf numFmtId="164" fontId="8" fillId="3" borderId="64" xfId="1" applyNumberFormat="1" applyFont="1" applyFill="1" applyBorder="1" applyAlignment="1">
      <alignment horizontal="center"/>
    </xf>
    <xf numFmtId="177" fontId="7" fillId="7" borderId="63" xfId="41" applyNumberFormat="1" applyFont="1" applyFill="1" applyBorder="1" applyAlignment="1" applyProtection="1">
      <alignment horizontal="center"/>
    </xf>
    <xf numFmtId="177" fontId="7" fillId="7" borderId="64" xfId="41" applyNumberFormat="1" applyFont="1" applyFill="1" applyBorder="1" applyAlignment="1" applyProtection="1">
      <alignment horizontal="center"/>
    </xf>
    <xf numFmtId="44" fontId="7" fillId="10" borderId="63" xfId="41" applyFont="1" applyFill="1" applyBorder="1" applyAlignment="1">
      <alignment horizontal="center"/>
    </xf>
    <xf numFmtId="44" fontId="7" fillId="10" borderId="64" xfId="41" applyFont="1" applyFill="1" applyBorder="1" applyAlignment="1">
      <alignment horizontal="center"/>
    </xf>
    <xf numFmtId="44" fontId="7" fillId="11" borderId="63" xfId="41" applyFont="1" applyFill="1" applyBorder="1" applyAlignment="1" applyProtection="1">
      <alignment horizontal="center"/>
    </xf>
    <xf numFmtId="44" fontId="7" fillId="11" borderId="64" xfId="41" applyFont="1" applyFill="1" applyBorder="1" applyAlignment="1" applyProtection="1">
      <alignment horizontal="center"/>
    </xf>
    <xf numFmtId="177" fontId="7" fillId="10" borderId="63" xfId="41" applyNumberFormat="1" applyFont="1" applyFill="1" applyBorder="1" applyAlignment="1" applyProtection="1">
      <alignment horizontal="center"/>
    </xf>
    <xf numFmtId="177" fontId="7" fillId="10" borderId="64" xfId="41" applyNumberFormat="1" applyFont="1" applyFill="1" applyBorder="1" applyAlignment="1" applyProtection="1">
      <alignment horizontal="center"/>
    </xf>
    <xf numFmtId="177" fontId="7" fillId="11" borderId="63" xfId="41" applyNumberFormat="1" applyFont="1" applyFill="1" applyBorder="1" applyAlignment="1" applyProtection="1">
      <alignment horizontal="center"/>
    </xf>
    <xf numFmtId="177" fontId="7" fillId="11" borderId="64" xfId="41" applyNumberFormat="1" applyFont="1" applyFill="1" applyBorder="1" applyAlignment="1" applyProtection="1">
      <alignment horizontal="center"/>
    </xf>
    <xf numFmtId="177" fontId="8" fillId="11" borderId="63" xfId="41" applyNumberFormat="1" applyFont="1" applyFill="1" applyBorder="1" applyAlignment="1" applyProtection="1">
      <alignment horizontal="center"/>
    </xf>
    <xf numFmtId="177" fontId="8" fillId="11" borderId="64" xfId="41" applyNumberFormat="1" applyFont="1" applyFill="1" applyBorder="1" applyAlignment="1" applyProtection="1">
      <alignment horizontal="center"/>
    </xf>
    <xf numFmtId="44" fontId="7" fillId="10" borderId="63" xfId="41" applyFont="1" applyFill="1" applyBorder="1" applyAlignment="1" applyProtection="1">
      <alignment horizontal="center"/>
    </xf>
    <xf numFmtId="44" fontId="7" fillId="10" borderId="64" xfId="41" applyFont="1" applyFill="1" applyBorder="1" applyAlignment="1" applyProtection="1">
      <alignment horizontal="center"/>
    </xf>
    <xf numFmtId="44" fontId="7" fillId="7" borderId="63" xfId="41" applyNumberFormat="1" applyFont="1" applyFill="1" applyBorder="1" applyAlignment="1">
      <alignment horizontal="center"/>
    </xf>
    <xf numFmtId="44" fontId="7" fillId="7" borderId="64" xfId="41" applyNumberFormat="1" applyFont="1" applyFill="1" applyBorder="1" applyAlignment="1">
      <alignment horizontal="center"/>
    </xf>
    <xf numFmtId="177" fontId="8" fillId="3" borderId="63" xfId="41" applyNumberFormat="1" applyFont="1" applyFill="1" applyBorder="1" applyAlignment="1" applyProtection="1">
      <alignment horizontal="center"/>
    </xf>
    <xf numFmtId="177" fontId="8" fillId="3" borderId="64" xfId="41" applyNumberFormat="1" applyFont="1" applyFill="1" applyBorder="1" applyAlignment="1" applyProtection="1">
      <alignment horizontal="center"/>
    </xf>
    <xf numFmtId="44" fontId="7" fillId="7" borderId="63" xfId="41" applyFont="1" applyFill="1" applyBorder="1" applyAlignment="1" applyProtection="1">
      <alignment horizontal="center"/>
    </xf>
    <xf numFmtId="44" fontId="7" fillId="7" borderId="64" xfId="41" applyFont="1" applyFill="1" applyBorder="1" applyAlignment="1" applyProtection="1">
      <alignment horizontal="center"/>
    </xf>
    <xf numFmtId="44" fontId="8" fillId="7" borderId="63" xfId="41" applyFont="1" applyFill="1" applyBorder="1" applyAlignment="1" applyProtection="1">
      <alignment horizontal="center"/>
    </xf>
    <xf numFmtId="44" fontId="8" fillId="7" borderId="64" xfId="41" applyFont="1" applyFill="1" applyBorder="1" applyAlignment="1" applyProtection="1">
      <alignment horizontal="center"/>
    </xf>
    <xf numFmtId="44" fontId="7" fillId="10" borderId="63" xfId="41" applyNumberFormat="1" applyFont="1" applyFill="1" applyBorder="1" applyAlignment="1">
      <alignment horizontal="center"/>
    </xf>
    <xf numFmtId="44" fontId="7" fillId="10" borderId="64" xfId="41" applyNumberFormat="1" applyFont="1" applyFill="1" applyBorder="1" applyAlignment="1">
      <alignment horizontal="center"/>
    </xf>
    <xf numFmtId="179" fontId="7" fillId="10" borderId="63" xfId="41" applyNumberFormat="1" applyFont="1" applyFill="1" applyBorder="1" applyAlignment="1">
      <alignment horizontal="center"/>
    </xf>
    <xf numFmtId="179" fontId="7" fillId="10" borderId="64" xfId="41" applyNumberFormat="1" applyFont="1" applyFill="1" applyBorder="1" applyAlignment="1">
      <alignment horizontal="center"/>
    </xf>
    <xf numFmtId="43" fontId="7" fillId="7" borderId="63" xfId="1" applyFont="1" applyFill="1" applyBorder="1" applyAlignment="1">
      <alignment horizontal="center"/>
    </xf>
    <xf numFmtId="43" fontId="7" fillId="7" borderId="64" xfId="1" applyFont="1" applyFill="1" applyBorder="1" applyAlignment="1">
      <alignment horizontal="center"/>
    </xf>
    <xf numFmtId="164" fontId="7" fillId="10" borderId="23" xfId="1" applyNumberFormat="1" applyFont="1" applyFill="1" applyBorder="1" applyAlignment="1">
      <alignment horizontal="center"/>
    </xf>
    <xf numFmtId="164" fontId="7" fillId="10" borderId="102" xfId="1" applyNumberFormat="1" applyFont="1" applyFill="1" applyBorder="1" applyAlignment="1">
      <alignment horizontal="center"/>
    </xf>
    <xf numFmtId="164" fontId="7" fillId="10" borderId="99" xfId="1" applyNumberFormat="1" applyFont="1" applyFill="1" applyBorder="1" applyAlignment="1">
      <alignment horizontal="center"/>
    </xf>
    <xf numFmtId="43" fontId="7" fillId="7" borderId="63" xfId="1" applyNumberFormat="1" applyFont="1" applyFill="1" applyBorder="1" applyAlignment="1">
      <alignment horizontal="center"/>
    </xf>
    <xf numFmtId="43" fontId="7" fillId="7" borderId="64" xfId="1" applyNumberFormat="1" applyFont="1" applyFill="1" applyBorder="1" applyAlignment="1">
      <alignment horizontal="center"/>
    </xf>
    <xf numFmtId="0" fontId="7" fillId="0" borderId="26" xfId="0" quotePrefix="1"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27" xfId="0" applyFont="1" applyBorder="1" applyAlignment="1" applyProtection="1">
      <alignment horizontal="left" vertical="center"/>
      <protection locked="0"/>
    </xf>
    <xf numFmtId="0" fontId="25" fillId="6" borderId="24" xfId="0" applyFont="1" applyFill="1" applyBorder="1" applyAlignment="1">
      <alignment horizontal="left" vertical="center"/>
    </xf>
    <xf numFmtId="0" fontId="25" fillId="6" borderId="17" xfId="0" applyFont="1" applyFill="1" applyBorder="1" applyAlignment="1">
      <alignment horizontal="left" vertical="center"/>
    </xf>
    <xf numFmtId="0" fontId="25" fillId="6" borderId="25" xfId="0" applyFont="1" applyFill="1" applyBorder="1" applyAlignment="1">
      <alignment horizontal="left" vertical="center"/>
    </xf>
    <xf numFmtId="2" fontId="7" fillId="7" borderId="63" xfId="0" applyNumberFormat="1" applyFont="1" applyFill="1" applyBorder="1" applyAlignment="1">
      <alignment horizontal="center"/>
    </xf>
    <xf numFmtId="2" fontId="7" fillId="7" borderId="64" xfId="0" applyNumberFormat="1" applyFont="1" applyFill="1" applyBorder="1" applyAlignment="1">
      <alignment horizontal="center"/>
    </xf>
    <xf numFmtId="2" fontId="7" fillId="3" borderId="63" xfId="0" applyNumberFormat="1" applyFont="1" applyFill="1" applyBorder="1" applyAlignment="1">
      <alignment horizontal="center"/>
    </xf>
    <xf numFmtId="2" fontId="7" fillId="3" borderId="64" xfId="0" applyNumberFormat="1" applyFont="1" applyFill="1" applyBorder="1" applyAlignment="1">
      <alignment horizontal="center"/>
    </xf>
    <xf numFmtId="2" fontId="7" fillId="10" borderId="63" xfId="0" applyNumberFormat="1" applyFont="1" applyFill="1" applyBorder="1" applyAlignment="1">
      <alignment horizontal="center"/>
    </xf>
    <xf numFmtId="2" fontId="7" fillId="10" borderId="64" xfId="0" applyNumberFormat="1" applyFont="1" applyFill="1" applyBorder="1" applyAlignment="1">
      <alignment horizontal="center"/>
    </xf>
    <xf numFmtId="0" fontId="8" fillId="0" borderId="48" xfId="0" applyFont="1" applyFill="1" applyBorder="1" applyAlignment="1" applyProtection="1">
      <alignment horizontal="left"/>
    </xf>
    <xf numFmtId="0" fontId="8" fillId="0" borderId="10" xfId="0" applyFont="1" applyFill="1" applyBorder="1" applyAlignment="1" applyProtection="1">
      <alignment horizontal="left"/>
    </xf>
    <xf numFmtId="0" fontId="8" fillId="0" borderId="52" xfId="0" applyFont="1" applyFill="1" applyBorder="1" applyAlignment="1" applyProtection="1">
      <alignment horizontal="left"/>
    </xf>
    <xf numFmtId="169" fontId="7" fillId="7" borderId="0" xfId="0" applyNumberFormat="1" applyFont="1" applyFill="1" applyBorder="1" applyAlignment="1" applyProtection="1">
      <alignment horizontal="right"/>
    </xf>
    <xf numFmtId="169" fontId="7" fillId="10" borderId="63" xfId="0" applyNumberFormat="1" applyFont="1" applyFill="1" applyBorder="1" applyAlignment="1">
      <alignment horizontal="center"/>
    </xf>
    <xf numFmtId="169" fontId="7" fillId="10" borderId="64" xfId="0" applyNumberFormat="1" applyFont="1" applyFill="1" applyBorder="1" applyAlignment="1">
      <alignment horizontal="center"/>
    </xf>
    <xf numFmtId="0" fontId="43" fillId="14" borderId="26" xfId="0" applyFont="1" applyFill="1" applyBorder="1" applyAlignment="1">
      <alignment horizontal="left" vertical="center" wrapText="1"/>
    </xf>
    <xf numFmtId="0" fontId="43" fillId="14" borderId="16" xfId="0" applyFont="1" applyFill="1" applyBorder="1" applyAlignment="1">
      <alignment horizontal="left" vertical="center" wrapText="1"/>
    </xf>
    <xf numFmtId="0" fontId="43" fillId="14" borderId="27" xfId="0" applyFont="1" applyFill="1" applyBorder="1" applyAlignment="1">
      <alignment horizontal="left" vertical="center" wrapText="1"/>
    </xf>
    <xf numFmtId="169" fontId="7" fillId="7" borderId="63" xfId="0" applyNumberFormat="1" applyFont="1" applyFill="1" applyBorder="1" applyAlignment="1">
      <alignment horizontal="center"/>
    </xf>
    <xf numFmtId="169" fontId="7" fillId="7" borderId="64" xfId="0" applyNumberFormat="1" applyFont="1" applyFill="1" applyBorder="1" applyAlignment="1">
      <alignment horizontal="center"/>
    </xf>
    <xf numFmtId="169" fontId="7" fillId="3" borderId="63" xfId="0" applyNumberFormat="1" applyFont="1" applyFill="1" applyBorder="1" applyAlignment="1">
      <alignment horizontal="center"/>
    </xf>
    <xf numFmtId="169" fontId="7" fillId="3" borderId="64" xfId="0" applyNumberFormat="1" applyFont="1" applyFill="1" applyBorder="1" applyAlignment="1">
      <alignment horizontal="center"/>
    </xf>
    <xf numFmtId="0" fontId="9" fillId="3" borderId="23" xfId="0" applyFont="1" applyFill="1" applyBorder="1" applyAlignment="1" applyProtection="1">
      <alignment horizontal="center" vertical="center"/>
    </xf>
    <xf numFmtId="0" fontId="9" fillId="3" borderId="18" xfId="0" applyFont="1" applyFill="1" applyBorder="1" applyAlignment="1" applyProtection="1">
      <alignment horizontal="center" vertical="center"/>
    </xf>
    <xf numFmtId="0" fontId="9" fillId="3" borderId="19" xfId="0" applyFont="1" applyFill="1" applyBorder="1" applyAlignment="1" applyProtection="1">
      <alignment horizontal="center" vertical="center"/>
    </xf>
    <xf numFmtId="169" fontId="7" fillId="3" borderId="0" xfId="0" applyNumberFormat="1" applyFont="1" applyFill="1" applyBorder="1" applyAlignment="1" applyProtection="1">
      <alignment horizontal="right"/>
    </xf>
    <xf numFmtId="0" fontId="9" fillId="11" borderId="23" xfId="0" applyFont="1" applyFill="1" applyBorder="1" applyAlignment="1" applyProtection="1">
      <alignment horizontal="center" vertical="center"/>
    </xf>
    <xf numFmtId="0" fontId="9" fillId="11" borderId="18" xfId="0" applyFont="1" applyFill="1" applyBorder="1" applyAlignment="1" applyProtection="1">
      <alignment horizontal="center" vertical="center"/>
    </xf>
    <xf numFmtId="0" fontId="9" fillId="11" borderId="19" xfId="0" applyFont="1" applyFill="1" applyBorder="1" applyAlignment="1" applyProtection="1">
      <alignment horizontal="center" vertical="center"/>
    </xf>
    <xf numFmtId="0" fontId="7" fillId="10" borderId="0" xfId="0" applyFont="1" applyFill="1" applyBorder="1" applyAlignment="1" applyProtection="1">
      <alignment horizontal="right"/>
    </xf>
    <xf numFmtId="169" fontId="7" fillId="11" borderId="0" xfId="0" applyNumberFormat="1" applyFont="1" applyFill="1" applyBorder="1" applyAlignment="1" applyProtection="1">
      <alignment horizontal="right"/>
    </xf>
    <xf numFmtId="169" fontId="7" fillId="10" borderId="0" xfId="0" applyNumberFormat="1" applyFont="1" applyFill="1" applyBorder="1" applyAlignment="1" applyProtection="1">
      <alignment horizontal="right"/>
    </xf>
    <xf numFmtId="49" fontId="7" fillId="0" borderId="1"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49" fontId="7" fillId="0" borderId="2" xfId="0" applyNumberFormat="1" applyFont="1" applyFill="1" applyBorder="1" applyAlignment="1" applyProtection="1">
      <alignment horizontal="left" vertical="center"/>
      <protection locked="0"/>
    </xf>
    <xf numFmtId="0" fontId="7" fillId="0" borderId="50" xfId="0" applyFont="1" applyBorder="1" applyAlignment="1">
      <alignment horizontal="center" wrapText="1"/>
    </xf>
    <xf numFmtId="0" fontId="7" fillId="0" borderId="51" xfId="0" applyFont="1" applyBorder="1" applyAlignment="1">
      <alignment horizontal="center" wrapText="1"/>
    </xf>
    <xf numFmtId="0" fontId="7" fillId="0" borderId="55" xfId="0" applyFont="1" applyBorder="1" applyAlignment="1">
      <alignment horizontal="center" wrapText="1"/>
    </xf>
    <xf numFmtId="0" fontId="11" fillId="7" borderId="46" xfId="0"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6" borderId="1" xfId="0" applyFont="1" applyFill="1" applyBorder="1" applyAlignment="1">
      <alignment horizontal="left" vertical="center"/>
    </xf>
    <xf numFmtId="0" fontId="11" fillId="6" borderId="0" xfId="0" applyFont="1" applyFill="1" applyBorder="1" applyAlignment="1">
      <alignment horizontal="left" vertical="center"/>
    </xf>
    <xf numFmtId="0" fontId="13" fillId="0" borderId="32" xfId="0" applyFont="1" applyFill="1" applyBorder="1" applyAlignment="1">
      <alignment horizontal="center"/>
    </xf>
    <xf numFmtId="0" fontId="13" fillId="0" borderId="4" xfId="0" applyFont="1" applyFill="1" applyBorder="1" applyAlignment="1">
      <alignment horizontal="center"/>
    </xf>
    <xf numFmtId="0" fontId="13" fillId="0" borderId="5" xfId="0" applyFont="1" applyFill="1" applyBorder="1" applyAlignment="1">
      <alignment horizontal="center"/>
    </xf>
    <xf numFmtId="0" fontId="13" fillId="0" borderId="14"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14" xfId="0" applyFont="1" applyFill="1" applyBorder="1" applyAlignment="1">
      <alignment horizontal="center"/>
    </xf>
    <xf numFmtId="0" fontId="13" fillId="0" borderId="0" xfId="0" applyFont="1" applyFill="1" applyBorder="1" applyAlignment="1">
      <alignment horizontal="center"/>
    </xf>
    <xf numFmtId="0" fontId="13" fillId="0" borderId="2" xfId="0" applyFont="1" applyFill="1" applyBorder="1" applyAlignment="1">
      <alignment horizontal="center"/>
    </xf>
    <xf numFmtId="0" fontId="13" fillId="0" borderId="23" xfId="0" applyFont="1" applyFill="1" applyBorder="1" applyAlignment="1">
      <alignment horizontal="center"/>
    </xf>
    <xf numFmtId="0" fontId="13" fillId="0" borderId="18" xfId="0" applyFont="1" applyFill="1" applyBorder="1" applyAlignment="1">
      <alignment horizontal="center"/>
    </xf>
    <xf numFmtId="0" fontId="13" fillId="0" borderId="19" xfId="0" applyFont="1" applyFill="1" applyBorder="1" applyAlignment="1">
      <alignment horizontal="center"/>
    </xf>
    <xf numFmtId="49" fontId="7" fillId="0" borderId="24" xfId="0" applyNumberFormat="1" applyFont="1" applyBorder="1" applyAlignment="1" applyProtection="1">
      <alignment horizontal="left" vertical="center"/>
    </xf>
    <xf numFmtId="49" fontId="7" fillId="0" borderId="17" xfId="0" applyNumberFormat="1" applyFont="1" applyBorder="1" applyAlignment="1" applyProtection="1">
      <alignment horizontal="left" vertical="center"/>
    </xf>
    <xf numFmtId="49" fontId="7" fillId="0" borderId="25" xfId="0" applyNumberFormat="1" applyFont="1" applyBorder="1" applyAlignment="1" applyProtection="1">
      <alignment horizontal="left" vertical="center"/>
    </xf>
    <xf numFmtId="0" fontId="11" fillId="7" borderId="23"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41" xfId="0" applyFont="1" applyFill="1" applyBorder="1" applyAlignment="1">
      <alignment horizontal="center" vertical="center" wrapText="1"/>
    </xf>
    <xf numFmtId="0" fontId="33" fillId="8" borderId="35" xfId="0" applyFont="1" applyFill="1" applyBorder="1" applyAlignment="1">
      <alignment horizontal="center" vertical="top"/>
    </xf>
    <xf numFmtId="0" fontId="33" fillId="8" borderId="16" xfId="0" applyFont="1" applyFill="1" applyBorder="1" applyAlignment="1">
      <alignment horizontal="center" vertical="top"/>
    </xf>
    <xf numFmtId="0" fontId="33" fillId="8" borderId="37" xfId="0" applyFont="1" applyFill="1" applyBorder="1" applyAlignment="1">
      <alignment horizontal="center" vertical="top"/>
    </xf>
    <xf numFmtId="0" fontId="33" fillId="15" borderId="35" xfId="0" applyFont="1" applyFill="1" applyBorder="1" applyAlignment="1">
      <alignment horizontal="center" vertical="top"/>
    </xf>
    <xf numFmtId="0" fontId="33" fillId="15" borderId="16" xfId="0" applyFont="1" applyFill="1" applyBorder="1" applyAlignment="1">
      <alignment horizontal="center" vertical="top"/>
    </xf>
    <xf numFmtId="0" fontId="33" fillId="15" borderId="27" xfId="0" applyFont="1" applyFill="1" applyBorder="1" applyAlignment="1">
      <alignment horizontal="center" vertical="top"/>
    </xf>
    <xf numFmtId="0" fontId="11" fillId="3" borderId="46"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3" xfId="0" applyFont="1" applyFill="1" applyBorder="1" applyAlignment="1">
      <alignment horizontal="center" vertical="center"/>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36" fillId="6" borderId="24" xfId="0" applyFont="1" applyFill="1" applyBorder="1" applyAlignment="1" applyProtection="1">
      <alignment horizontal="left" vertical="center" wrapText="1"/>
    </xf>
    <xf numFmtId="0" fontId="36" fillId="6" borderId="17" xfId="0" applyFont="1" applyFill="1" applyBorder="1" applyAlignment="1" applyProtection="1">
      <alignment horizontal="left" vertical="center" wrapText="1"/>
    </xf>
    <xf numFmtId="0" fontId="7" fillId="0" borderId="24" xfId="0" applyFont="1" applyBorder="1" applyAlignment="1">
      <alignment horizontal="left" wrapText="1"/>
    </xf>
    <xf numFmtId="0" fontId="7" fillId="0" borderId="17" xfId="0" applyFont="1" applyBorder="1" applyAlignment="1">
      <alignment horizontal="left" wrapText="1"/>
    </xf>
    <xf numFmtId="0" fontId="7" fillId="0" borderId="25" xfId="0" applyFont="1" applyBorder="1" applyAlignment="1">
      <alignment horizontal="left" wrapText="1"/>
    </xf>
    <xf numFmtId="49" fontId="7" fillId="0" borderId="24" xfId="0" applyNumberFormat="1" applyFont="1" applyBorder="1" applyAlignment="1" applyProtection="1">
      <alignment horizontal="left" wrapText="1"/>
    </xf>
    <xf numFmtId="49" fontId="7" fillId="0" borderId="17" xfId="0" applyNumberFormat="1" applyFont="1" applyBorder="1" applyAlignment="1" applyProtection="1">
      <alignment horizontal="left" wrapText="1"/>
    </xf>
    <xf numFmtId="49" fontId="7" fillId="0" borderId="25" xfId="0" applyNumberFormat="1" applyFont="1" applyBorder="1" applyAlignment="1" applyProtection="1">
      <alignment horizontal="left" wrapText="1"/>
    </xf>
    <xf numFmtId="0" fontId="13" fillId="0" borderId="15" xfId="0" applyFont="1" applyFill="1" applyBorder="1" applyAlignment="1">
      <alignment horizontal="center" wrapText="1"/>
    </xf>
    <xf numFmtId="0" fontId="13" fillId="0" borderId="16" xfId="0" applyFont="1" applyFill="1" applyBorder="1" applyAlignment="1">
      <alignment horizontal="center" wrapText="1"/>
    </xf>
    <xf numFmtId="0" fontId="13" fillId="0" borderId="27" xfId="0" applyFont="1" applyFill="1" applyBorder="1" applyAlignment="1">
      <alignment horizontal="center" wrapText="1"/>
    </xf>
    <xf numFmtId="0" fontId="8" fillId="14" borderId="56" xfId="0" applyFont="1" applyFill="1" applyBorder="1" applyAlignment="1">
      <alignment horizontal="center" vertical="center"/>
    </xf>
    <xf numFmtId="0" fontId="8" fillId="14" borderId="53" xfId="0" applyFont="1" applyFill="1" applyBorder="1" applyAlignment="1">
      <alignment horizontal="center" vertical="center"/>
    </xf>
    <xf numFmtId="0" fontId="8" fillId="14" borderId="49" xfId="0" applyFont="1" applyFill="1" applyBorder="1" applyAlignment="1">
      <alignment horizontal="center" vertical="center"/>
    </xf>
    <xf numFmtId="49" fontId="7" fillId="0" borderId="24" xfId="0" applyNumberFormat="1" applyFont="1" applyBorder="1" applyAlignment="1" applyProtection="1">
      <alignment horizontal="left" vertical="center"/>
      <protection locked="0"/>
    </xf>
    <xf numFmtId="49" fontId="7" fillId="0" borderId="17" xfId="0" applyNumberFormat="1" applyFont="1" applyBorder="1" applyAlignment="1" applyProtection="1">
      <alignment horizontal="left" vertical="center"/>
      <protection locked="0"/>
    </xf>
    <xf numFmtId="49" fontId="7" fillId="0" borderId="25" xfId="0" applyNumberFormat="1" applyFont="1" applyBorder="1" applyAlignment="1" applyProtection="1">
      <alignment horizontal="left" vertical="center"/>
      <protection locked="0"/>
    </xf>
    <xf numFmtId="0" fontId="11" fillId="10" borderId="46"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11" fillId="10" borderId="23" xfId="0" applyFont="1" applyFill="1" applyBorder="1" applyAlignment="1">
      <alignment horizontal="center" vertical="center" wrapText="1"/>
    </xf>
    <xf numFmtId="0" fontId="11" fillId="10" borderId="23" xfId="0" applyFont="1" applyFill="1" applyBorder="1" applyAlignment="1">
      <alignment horizontal="center" vertical="center"/>
    </xf>
    <xf numFmtId="0" fontId="11" fillId="10" borderId="18" xfId="0" applyFont="1" applyFill="1" applyBorder="1" applyAlignment="1">
      <alignment horizontal="center" vertical="center"/>
    </xf>
    <xf numFmtId="0" fontId="11" fillId="10" borderId="12" xfId="0" applyFont="1" applyFill="1" applyBorder="1" applyAlignment="1">
      <alignment horizontal="center" vertical="center"/>
    </xf>
    <xf numFmtId="0" fontId="11" fillId="10" borderId="41" xfId="0" applyFont="1" applyFill="1" applyBorder="1" applyAlignment="1">
      <alignment horizontal="center" vertical="center" wrapText="1"/>
    </xf>
    <xf numFmtId="0" fontId="11" fillId="11" borderId="46" xfId="0" applyFon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1" fillId="11" borderId="23" xfId="0" applyFont="1" applyFill="1" applyBorder="1" applyAlignment="1">
      <alignment horizontal="center" vertical="center" wrapText="1"/>
    </xf>
    <xf numFmtId="0" fontId="11" fillId="11" borderId="23" xfId="0" applyFont="1" applyFill="1" applyBorder="1" applyAlignment="1">
      <alignment horizontal="center" vertical="center"/>
    </xf>
    <xf numFmtId="0" fontId="11" fillId="11" borderId="18" xfId="0" applyFont="1" applyFill="1" applyBorder="1" applyAlignment="1">
      <alignment horizontal="center" vertical="center"/>
    </xf>
    <xf numFmtId="0" fontId="11" fillId="11" borderId="12" xfId="0" applyFont="1" applyFill="1" applyBorder="1" applyAlignment="1">
      <alignment horizontal="center" vertical="center"/>
    </xf>
    <xf numFmtId="0" fontId="11" fillId="11" borderId="19" xfId="0" applyFont="1" applyFill="1" applyBorder="1" applyAlignment="1">
      <alignment horizontal="center" vertical="center" wrapText="1"/>
    </xf>
    <xf numFmtId="0" fontId="33" fillId="12" borderId="35" xfId="0" applyFont="1" applyFill="1" applyBorder="1" applyAlignment="1">
      <alignment horizontal="center" vertical="top"/>
    </xf>
    <xf numFmtId="0" fontId="33" fillId="12" borderId="16" xfId="0" applyFont="1" applyFill="1" applyBorder="1" applyAlignment="1">
      <alignment horizontal="center" vertical="top"/>
    </xf>
    <xf numFmtId="0" fontId="33" fillId="12" borderId="37" xfId="0" applyFont="1" applyFill="1" applyBorder="1" applyAlignment="1">
      <alignment horizontal="center" vertical="top"/>
    </xf>
    <xf numFmtId="0" fontId="33" fillId="16" borderId="35" xfId="0" applyFont="1" applyFill="1" applyBorder="1" applyAlignment="1">
      <alignment horizontal="center" vertical="top"/>
    </xf>
    <xf numFmtId="0" fontId="33" fillId="16" borderId="16" xfId="0" applyFont="1" applyFill="1" applyBorder="1" applyAlignment="1">
      <alignment horizontal="center" vertical="top"/>
    </xf>
    <xf numFmtId="0" fontId="33" fillId="16" borderId="27" xfId="0" applyFont="1" applyFill="1" applyBorder="1" applyAlignment="1">
      <alignment horizontal="center" vertical="top"/>
    </xf>
    <xf numFmtId="0" fontId="0" fillId="0" borderId="17" xfId="0" applyBorder="1" applyAlignment="1">
      <alignment wrapText="1"/>
    </xf>
    <xf numFmtId="0" fontId="0" fillId="0" borderId="25" xfId="0" applyBorder="1" applyAlignment="1">
      <alignment wrapText="1"/>
    </xf>
    <xf numFmtId="0" fontId="8" fillId="3" borderId="17" xfId="28" applyFont="1" applyFill="1" applyBorder="1" applyAlignment="1">
      <alignment horizontal="center" vertical="center"/>
    </xf>
    <xf numFmtId="0" fontId="8" fillId="3" borderId="20" xfId="28" applyFont="1" applyFill="1" applyBorder="1" applyAlignment="1">
      <alignment horizontal="center" vertical="center"/>
    </xf>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3" borderId="91" xfId="0" applyFont="1" applyFill="1" applyBorder="1" applyAlignment="1">
      <alignment horizontal="center" vertical="center" wrapText="1"/>
    </xf>
    <xf numFmtId="0" fontId="8" fillId="3" borderId="92" xfId="0" applyFont="1" applyFill="1" applyBorder="1" applyAlignment="1">
      <alignment horizontal="center" vertical="center" wrapText="1"/>
    </xf>
    <xf numFmtId="0" fontId="8" fillId="7" borderId="38" xfId="28" applyFont="1" applyFill="1" applyBorder="1" applyAlignment="1">
      <alignment horizontal="center" vertical="center"/>
    </xf>
    <xf numFmtId="0" fontId="8" fillId="7" borderId="17" xfId="28" applyFont="1" applyFill="1" applyBorder="1" applyAlignment="1">
      <alignment horizontal="center" vertical="center"/>
    </xf>
    <xf numFmtId="0" fontId="8" fillId="7" borderId="20" xfId="28" applyFont="1" applyFill="1" applyBorder="1" applyAlignment="1">
      <alignment horizontal="center" vertical="center"/>
    </xf>
    <xf numFmtId="0" fontId="13" fillId="0" borderId="48" xfId="0" applyFont="1" applyFill="1" applyBorder="1" applyAlignment="1">
      <alignment horizontal="left" wrapText="1"/>
    </xf>
    <xf numFmtId="0" fontId="13" fillId="0" borderId="10" xfId="0" applyFont="1" applyFill="1" applyBorder="1" applyAlignment="1">
      <alignment horizontal="left" wrapText="1"/>
    </xf>
    <xf numFmtId="0" fontId="13" fillId="0" borderId="52" xfId="0" applyFont="1" applyFill="1" applyBorder="1" applyAlignment="1">
      <alignment horizontal="left" wrapText="1"/>
    </xf>
    <xf numFmtId="0" fontId="13" fillId="0" borderId="3" xfId="0" applyFont="1" applyFill="1" applyBorder="1" applyAlignment="1">
      <alignment horizontal="left" wrapText="1"/>
    </xf>
    <xf numFmtId="0" fontId="13" fillId="0" borderId="4" xfId="0" applyFont="1" applyFill="1" applyBorder="1" applyAlignment="1">
      <alignment horizontal="left" wrapText="1"/>
    </xf>
    <xf numFmtId="0" fontId="13" fillId="0" borderId="5" xfId="0" applyFont="1" applyFill="1" applyBorder="1" applyAlignment="1">
      <alignment horizontal="left" wrapText="1"/>
    </xf>
    <xf numFmtId="0" fontId="8" fillId="7" borderId="30" xfId="0" applyFont="1" applyFill="1" applyBorder="1" applyAlignment="1">
      <alignment horizontal="center" vertical="center" wrapText="1"/>
    </xf>
    <xf numFmtId="0" fontId="8" fillId="7" borderId="31" xfId="0" applyFont="1" applyFill="1" applyBorder="1" applyAlignment="1">
      <alignment horizontal="center" vertical="center" wrapText="1"/>
    </xf>
    <xf numFmtId="0" fontId="8" fillId="7" borderId="85" xfId="0" applyFont="1" applyFill="1" applyBorder="1" applyAlignment="1">
      <alignment horizontal="center" vertical="center" wrapText="1"/>
    </xf>
    <xf numFmtId="0" fontId="8" fillId="7" borderId="87" xfId="0" applyFont="1" applyFill="1" applyBorder="1" applyAlignment="1">
      <alignment horizontal="center" vertical="center" wrapText="1"/>
    </xf>
    <xf numFmtId="0" fontId="36" fillId="6" borderId="16" xfId="0" applyFont="1" applyFill="1" applyBorder="1" applyAlignment="1">
      <alignment horizontal="left" vertical="center"/>
    </xf>
    <xf numFmtId="0" fontId="36" fillId="6" borderId="27" xfId="0" applyFont="1" applyFill="1" applyBorder="1" applyAlignment="1">
      <alignment horizontal="left" vertical="center"/>
    </xf>
    <xf numFmtId="0" fontId="12" fillId="14" borderId="48" xfId="0" applyFont="1" applyFill="1" applyBorder="1" applyAlignment="1">
      <alignment horizontal="right" wrapText="1"/>
    </xf>
    <xf numFmtId="0" fontId="12" fillId="14" borderId="10" xfId="0" applyFont="1" applyFill="1" applyBorder="1" applyAlignment="1">
      <alignment horizontal="right" wrapText="1"/>
    </xf>
    <xf numFmtId="0" fontId="12" fillId="14" borderId="52" xfId="0" applyFont="1" applyFill="1" applyBorder="1" applyAlignment="1">
      <alignment horizontal="right" wrapText="1"/>
    </xf>
    <xf numFmtId="0" fontId="43" fillId="14" borderId="1" xfId="28" applyFont="1" applyFill="1" applyBorder="1" applyAlignment="1">
      <alignment horizontal="left"/>
    </xf>
    <xf numFmtId="0" fontId="43" fillId="14" borderId="0" xfId="28" applyFont="1" applyFill="1" applyBorder="1" applyAlignment="1">
      <alignment horizontal="left"/>
    </xf>
    <xf numFmtId="0" fontId="43" fillId="14" borderId="2" xfId="28" applyFont="1" applyFill="1" applyBorder="1" applyAlignment="1">
      <alignment horizontal="left"/>
    </xf>
    <xf numFmtId="0" fontId="46" fillId="15" borderId="0" xfId="28" applyFont="1" applyFill="1" applyBorder="1" applyAlignment="1">
      <alignment horizontal="center"/>
    </xf>
    <xf numFmtId="0" fontId="46" fillId="15" borderId="2" xfId="28" applyFont="1" applyFill="1" applyBorder="1" applyAlignment="1">
      <alignment horizontal="center"/>
    </xf>
    <xf numFmtId="0" fontId="39" fillId="15" borderId="16" xfId="28" applyFont="1" applyFill="1" applyBorder="1" applyAlignment="1">
      <alignment horizontal="center" vertical="top"/>
    </xf>
    <xf numFmtId="0" fontId="39" fillId="15" borderId="27" xfId="28" applyFont="1" applyFill="1" applyBorder="1" applyAlignment="1">
      <alignment horizontal="center" vertical="top"/>
    </xf>
    <xf numFmtId="0" fontId="44" fillId="6" borderId="17" xfId="28" applyFont="1" applyFill="1" applyBorder="1" applyAlignment="1">
      <alignment horizontal="center" vertical="center"/>
    </xf>
    <xf numFmtId="0" fontId="44" fillId="6" borderId="25" xfId="28" applyFont="1" applyFill="1" applyBorder="1" applyAlignment="1">
      <alignment horizontal="center" vertical="center"/>
    </xf>
    <xf numFmtId="0" fontId="46" fillId="8" borderId="46" xfId="28" applyFont="1" applyFill="1" applyBorder="1" applyAlignment="1">
      <alignment horizontal="center"/>
    </xf>
    <xf numFmtId="0" fontId="46" fillId="8" borderId="18" xfId="28" applyFont="1" applyFill="1" applyBorder="1" applyAlignment="1">
      <alignment horizontal="center"/>
    </xf>
    <xf numFmtId="0" fontId="46" fillId="8" borderId="41" xfId="28" applyFont="1" applyFill="1" applyBorder="1" applyAlignment="1">
      <alignment horizontal="center"/>
    </xf>
    <xf numFmtId="0" fontId="39" fillId="8" borderId="35" xfId="28" applyFont="1" applyFill="1" applyBorder="1" applyAlignment="1">
      <alignment horizontal="center" vertical="top"/>
    </xf>
    <xf numFmtId="0" fontId="39" fillId="8" borderId="16" xfId="28" applyFont="1" applyFill="1" applyBorder="1" applyAlignment="1">
      <alignment horizontal="center" vertical="top"/>
    </xf>
    <xf numFmtId="0" fontId="39" fillId="8" borderId="37" xfId="28" applyFont="1" applyFill="1" applyBorder="1" applyAlignment="1">
      <alignment horizontal="center" vertical="top"/>
    </xf>
    <xf numFmtId="0" fontId="44" fillId="6" borderId="38" xfId="28" applyFont="1" applyFill="1" applyBorder="1" applyAlignment="1">
      <alignment horizontal="center" vertical="center"/>
    </xf>
    <xf numFmtId="0" fontId="44" fillId="6" borderId="42" xfId="28" applyFont="1" applyFill="1" applyBorder="1" applyAlignment="1">
      <alignment horizontal="center" vertical="center"/>
    </xf>
    <xf numFmtId="0" fontId="8" fillId="10" borderId="38" xfId="28" applyFont="1" applyFill="1" applyBorder="1" applyAlignment="1">
      <alignment horizontal="center" vertical="center"/>
    </xf>
    <xf numFmtId="0" fontId="8" fillId="10" borderId="17" xfId="28" applyFont="1" applyFill="1" applyBorder="1" applyAlignment="1">
      <alignment horizontal="center" vertical="center"/>
    </xf>
    <xf numFmtId="0" fontId="8" fillId="10" borderId="20" xfId="28" applyFont="1" applyFill="1" applyBorder="1" applyAlignment="1">
      <alignment horizontal="center" vertical="center"/>
    </xf>
    <xf numFmtId="0" fontId="8" fillId="10" borderId="30"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8" fillId="10" borderId="85"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1" borderId="17" xfId="28" applyFont="1" applyFill="1" applyBorder="1" applyAlignment="1">
      <alignment horizontal="center" vertical="center"/>
    </xf>
    <xf numFmtId="0" fontId="8" fillId="11" borderId="20" xfId="28" applyFont="1" applyFill="1" applyBorder="1" applyAlignment="1">
      <alignment horizontal="center" vertical="center"/>
    </xf>
    <xf numFmtId="0" fontId="8" fillId="11" borderId="30" xfId="0" applyFont="1" applyFill="1" applyBorder="1" applyAlignment="1">
      <alignment horizontal="center" vertical="center" wrapText="1"/>
    </xf>
    <xf numFmtId="0" fontId="8" fillId="11" borderId="31" xfId="0" applyFont="1" applyFill="1" applyBorder="1" applyAlignment="1">
      <alignment horizontal="center" vertical="center" wrapText="1"/>
    </xf>
    <xf numFmtId="0" fontId="8" fillId="11" borderId="91" xfId="0" applyFont="1" applyFill="1" applyBorder="1" applyAlignment="1">
      <alignment horizontal="center" vertical="center" wrapText="1"/>
    </xf>
    <xf numFmtId="0" fontId="8" fillId="11" borderId="92" xfId="0" applyFont="1" applyFill="1" applyBorder="1" applyAlignment="1">
      <alignment horizontal="center" vertical="center" wrapText="1"/>
    </xf>
    <xf numFmtId="0" fontId="46" fillId="12" borderId="46" xfId="28" applyFont="1" applyFill="1" applyBorder="1" applyAlignment="1">
      <alignment horizontal="center"/>
    </xf>
    <xf numFmtId="0" fontId="46" fillId="12" borderId="18" xfId="28" applyFont="1" applyFill="1" applyBorder="1" applyAlignment="1">
      <alignment horizontal="center"/>
    </xf>
    <xf numFmtId="0" fontId="46" fillId="12" borderId="41" xfId="28" applyFont="1" applyFill="1" applyBorder="1" applyAlignment="1">
      <alignment horizontal="center"/>
    </xf>
    <xf numFmtId="0" fontId="46" fillId="16" borderId="0" xfId="28" applyFont="1" applyFill="1" applyBorder="1" applyAlignment="1">
      <alignment horizontal="center"/>
    </xf>
    <xf numFmtId="0" fontId="46" fillId="16" borderId="2" xfId="28" applyFont="1" applyFill="1" applyBorder="1" applyAlignment="1">
      <alignment horizontal="center"/>
    </xf>
    <xf numFmtId="0" fontId="39" fillId="12" borderId="35" xfId="28" applyFont="1" applyFill="1" applyBorder="1" applyAlignment="1">
      <alignment horizontal="center" vertical="top"/>
    </xf>
    <xf numFmtId="0" fontId="39" fillId="12" borderId="16" xfId="28" applyFont="1" applyFill="1" applyBorder="1" applyAlignment="1">
      <alignment horizontal="center" vertical="top"/>
    </xf>
    <xf numFmtId="0" fontId="39" fillId="12" borderId="37" xfId="28" applyFont="1" applyFill="1" applyBorder="1" applyAlignment="1">
      <alignment horizontal="center" vertical="top"/>
    </xf>
    <xf numFmtId="0" fontId="39" fillId="16" borderId="16" xfId="28" applyFont="1" applyFill="1" applyBorder="1" applyAlignment="1">
      <alignment horizontal="center" vertical="top"/>
    </xf>
    <xf numFmtId="0" fontId="39" fillId="16" borderId="27" xfId="28" applyFont="1" applyFill="1" applyBorder="1" applyAlignment="1">
      <alignment horizontal="center" vertical="top"/>
    </xf>
    <xf numFmtId="0" fontId="7" fillId="0" borderId="57" xfId="0" quotePrefix="1" applyFont="1" applyBorder="1" applyAlignment="1" applyProtection="1">
      <alignment horizontal="left" vertical="center" wrapText="1"/>
      <protection locked="0"/>
    </xf>
    <xf numFmtId="0" fontId="7" fillId="0" borderId="58" xfId="0" applyFont="1" applyBorder="1" applyAlignment="1" applyProtection="1">
      <alignment horizontal="left" vertical="center" wrapText="1"/>
      <protection locked="0"/>
    </xf>
    <xf numFmtId="0" fontId="7" fillId="0" borderId="59" xfId="0" applyFont="1" applyBorder="1" applyAlignment="1" applyProtection="1">
      <alignment horizontal="left" vertical="center" wrapText="1"/>
      <protection locked="0"/>
    </xf>
    <xf numFmtId="43" fontId="35" fillId="7" borderId="0" xfId="0" applyNumberFormat="1" applyFont="1" applyFill="1" applyBorder="1" applyAlignment="1" applyProtection="1">
      <alignment horizontal="center" vertical="center" wrapText="1"/>
    </xf>
    <xf numFmtId="43" fontId="35" fillId="3" borderId="0" xfId="0" applyNumberFormat="1" applyFont="1" applyFill="1" applyBorder="1" applyAlignment="1" applyProtection="1">
      <alignment horizontal="center" vertical="center" wrapText="1"/>
    </xf>
    <xf numFmtId="0" fontId="7" fillId="0" borderId="24" xfId="0" quotePrefix="1"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7" fillId="0" borderId="1" xfId="0" quotePrefix="1" applyFont="1" applyBorder="1" applyAlignment="1" applyProtection="1">
      <alignment horizontal="left" vertical="center" wrapText="1"/>
      <protection locked="0"/>
    </xf>
    <xf numFmtId="0" fontId="11" fillId="0" borderId="24" xfId="0" applyFont="1" applyBorder="1" applyAlignment="1">
      <alignment horizontal="left"/>
    </xf>
    <xf numFmtId="0" fontId="11" fillId="0" borderId="17" xfId="0" applyFont="1" applyBorder="1" applyAlignment="1">
      <alignment horizontal="left"/>
    </xf>
    <xf numFmtId="0" fontId="11" fillId="0" borderId="25" xfId="0" applyFont="1" applyBorder="1" applyAlignment="1">
      <alignment horizontal="left"/>
    </xf>
    <xf numFmtId="168" fontId="10" fillId="3" borderId="17" xfId="4" applyNumberFormat="1" applyFont="1" applyFill="1" applyBorder="1" applyAlignment="1">
      <alignment horizontal="center" vertical="center" wrapText="1"/>
    </xf>
    <xf numFmtId="9" fontId="9" fillId="3" borderId="0" xfId="0" applyNumberFormat="1" applyFont="1" applyFill="1" applyBorder="1" applyAlignment="1" applyProtection="1">
      <alignment horizontal="center"/>
    </xf>
    <xf numFmtId="9" fontId="10" fillId="3" borderId="17" xfId="4" applyFont="1" applyFill="1" applyBorder="1" applyAlignment="1">
      <alignment horizontal="center" vertical="center" wrapText="1"/>
    </xf>
    <xf numFmtId="9" fontId="10" fillId="3" borderId="18" xfId="0" applyNumberFormat="1" applyFont="1" applyFill="1" applyBorder="1" applyAlignment="1">
      <alignment horizontal="center"/>
    </xf>
    <xf numFmtId="9" fontId="10" fillId="7" borderId="18" xfId="0" applyNumberFormat="1" applyFont="1" applyFill="1" applyBorder="1" applyAlignment="1">
      <alignment horizontal="center"/>
    </xf>
    <xf numFmtId="9" fontId="9" fillId="7" borderId="0" xfId="0" applyNumberFormat="1" applyFont="1" applyFill="1" applyBorder="1" applyAlignment="1" applyProtection="1">
      <alignment horizontal="center"/>
    </xf>
    <xf numFmtId="9" fontId="10" fillId="7" borderId="23" xfId="0" applyNumberFormat="1" applyFont="1" applyFill="1" applyBorder="1" applyAlignment="1" applyProtection="1">
      <alignment horizontal="center" wrapText="1"/>
    </xf>
    <xf numFmtId="9" fontId="10" fillId="7" borderId="18" xfId="0" applyNumberFormat="1" applyFont="1" applyFill="1" applyBorder="1" applyAlignment="1" applyProtection="1">
      <alignment horizontal="center" wrapText="1"/>
    </xf>
    <xf numFmtId="9" fontId="10" fillId="7" borderId="41" xfId="0" applyNumberFormat="1" applyFont="1" applyFill="1" applyBorder="1" applyAlignment="1" applyProtection="1">
      <alignment horizontal="center" wrapText="1"/>
    </xf>
    <xf numFmtId="9" fontId="15" fillId="7" borderId="14" xfId="0" applyNumberFormat="1" applyFont="1" applyFill="1" applyBorder="1" applyAlignment="1" applyProtection="1">
      <alignment horizontal="center" wrapText="1"/>
    </xf>
    <xf numFmtId="9" fontId="15" fillId="7" borderId="0" xfId="0" applyNumberFormat="1" applyFont="1" applyFill="1" applyBorder="1" applyAlignment="1" applyProtection="1">
      <alignment horizontal="center" wrapText="1"/>
    </xf>
    <xf numFmtId="9" fontId="15" fillId="7" borderId="36" xfId="0" applyNumberFormat="1" applyFont="1" applyFill="1" applyBorder="1" applyAlignment="1" applyProtection="1">
      <alignment horizontal="center" wrapText="1"/>
    </xf>
    <xf numFmtId="9" fontId="15" fillId="3" borderId="14" xfId="0" applyNumberFormat="1" applyFont="1" applyFill="1" applyBorder="1" applyAlignment="1" applyProtection="1">
      <alignment horizontal="center" wrapText="1"/>
    </xf>
    <xf numFmtId="9" fontId="15" fillId="3" borderId="0" xfId="0" applyNumberFormat="1" applyFont="1" applyFill="1" applyBorder="1" applyAlignment="1" applyProtection="1">
      <alignment horizontal="center" wrapText="1"/>
    </xf>
    <xf numFmtId="9" fontId="10" fillId="3" borderId="23" xfId="0" applyNumberFormat="1" applyFont="1" applyFill="1" applyBorder="1" applyAlignment="1" applyProtection="1">
      <alignment horizontal="center" wrapText="1"/>
    </xf>
    <xf numFmtId="9" fontId="10" fillId="3" borderId="18" xfId="0" applyNumberFormat="1" applyFont="1" applyFill="1" applyBorder="1" applyAlignment="1" applyProtection="1">
      <alignment horizontal="center" wrapText="1"/>
    </xf>
    <xf numFmtId="0" fontId="10" fillId="3" borderId="3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10" fillId="3" borderId="15" xfId="0" applyNumberFormat="1" applyFont="1" applyFill="1" applyBorder="1" applyAlignment="1">
      <alignment horizontal="center" vertical="center" wrapText="1"/>
    </xf>
    <xf numFmtId="0" fontId="10" fillId="3" borderId="16" xfId="0" applyNumberFormat="1" applyFont="1" applyFill="1" applyBorder="1" applyAlignment="1">
      <alignment horizontal="center" vertical="center" wrapText="1"/>
    </xf>
    <xf numFmtId="0" fontId="10" fillId="3" borderId="21" xfId="0" applyNumberFormat="1" applyFont="1" applyFill="1" applyBorder="1" applyAlignment="1">
      <alignment horizontal="center" vertical="center" wrapText="1"/>
    </xf>
    <xf numFmtId="0" fontId="10" fillId="3" borderId="15" xfId="0" applyFont="1" applyFill="1" applyBorder="1" applyAlignment="1">
      <alignment horizontal="center" vertical="center" wrapText="1"/>
    </xf>
    <xf numFmtId="0" fontId="43" fillId="14" borderId="1" xfId="0" applyFont="1" applyFill="1" applyBorder="1" applyAlignment="1">
      <alignment horizontal="left" vertical="center" wrapText="1"/>
    </xf>
    <xf numFmtId="0" fontId="43" fillId="14" borderId="0" xfId="0" applyFont="1" applyFill="1" applyBorder="1" applyAlignment="1">
      <alignment horizontal="left" vertical="center" wrapText="1"/>
    </xf>
    <xf numFmtId="0" fontId="43" fillId="14" borderId="2" xfId="0" applyFont="1" applyFill="1" applyBorder="1" applyAlignment="1">
      <alignment horizontal="left" vertical="center" wrapText="1"/>
    </xf>
    <xf numFmtId="0" fontId="36" fillId="6" borderId="24" xfId="0" applyFont="1" applyFill="1" applyBorder="1" applyAlignment="1">
      <alignment horizontal="center" vertical="center" wrapText="1"/>
    </xf>
    <xf numFmtId="0" fontId="36" fillId="6" borderId="42"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11" xfId="0" applyNumberFormat="1" applyFont="1" applyFill="1" applyBorder="1" applyAlignment="1">
      <alignment horizontal="center" vertical="center" wrapText="1"/>
    </xf>
    <xf numFmtId="0" fontId="10" fillId="7" borderId="17" xfId="0" applyNumberFormat="1" applyFont="1" applyFill="1" applyBorder="1" applyAlignment="1">
      <alignment horizontal="center" vertical="center" wrapText="1"/>
    </xf>
    <xf numFmtId="0" fontId="10" fillId="7" borderId="42" xfId="0" applyNumberFormat="1" applyFont="1" applyFill="1" applyBorder="1" applyAlignment="1">
      <alignment horizontal="center" vertical="center" wrapText="1"/>
    </xf>
    <xf numFmtId="0" fontId="10" fillId="7" borderId="15" xfId="0" applyNumberFormat="1" applyFont="1" applyFill="1" applyBorder="1" applyAlignment="1">
      <alignment horizontal="center" vertical="center" wrapText="1"/>
    </xf>
    <xf numFmtId="0" fontId="10" fillId="7" borderId="16" xfId="0" applyNumberFormat="1" applyFont="1" applyFill="1" applyBorder="1" applyAlignment="1">
      <alignment horizontal="center" vertical="center" wrapText="1"/>
    </xf>
    <xf numFmtId="0" fontId="10" fillId="7" borderId="21" xfId="0" applyNumberFormat="1" applyFont="1" applyFill="1" applyBorder="1" applyAlignment="1">
      <alignment horizontal="center" vertical="center" wrapText="1"/>
    </xf>
    <xf numFmtId="0" fontId="10" fillId="7" borderId="15" xfId="0" applyFont="1" applyFill="1" applyBorder="1" applyAlignment="1">
      <alignment horizontal="center" vertical="center" wrapText="1"/>
    </xf>
    <xf numFmtId="0" fontId="32" fillId="8" borderId="33" xfId="0" applyFont="1" applyFill="1" applyBorder="1" applyAlignment="1">
      <alignment horizontal="center" wrapText="1"/>
    </xf>
    <xf numFmtId="0" fontId="32" fillId="8" borderId="0" xfId="0" applyFont="1" applyFill="1" applyBorder="1" applyAlignment="1">
      <alignment horizontal="center" wrapText="1"/>
    </xf>
    <xf numFmtId="0" fontId="32" fillId="8" borderId="36" xfId="0" applyFont="1" applyFill="1" applyBorder="1" applyAlignment="1">
      <alignment horizontal="center" wrapText="1"/>
    </xf>
    <xf numFmtId="0" fontId="32" fillId="15" borderId="33" xfId="0" applyFont="1" applyFill="1" applyBorder="1" applyAlignment="1">
      <alignment horizontal="center" wrapText="1"/>
    </xf>
    <xf numFmtId="0" fontId="32" fillId="15" borderId="0" xfId="0" applyFont="1" applyFill="1" applyBorder="1" applyAlignment="1">
      <alignment horizontal="center" wrapText="1"/>
    </xf>
    <xf numFmtId="0" fontId="32" fillId="15" borderId="2" xfId="0" applyFont="1" applyFill="1" applyBorder="1" applyAlignment="1">
      <alignment horizontal="center" wrapText="1"/>
    </xf>
    <xf numFmtId="168" fontId="10" fillId="7" borderId="17" xfId="4" applyNumberFormat="1" applyFont="1" applyFill="1" applyBorder="1" applyAlignment="1">
      <alignment horizontal="center" vertical="center" wrapText="1"/>
    </xf>
    <xf numFmtId="9" fontId="10" fillId="7" borderId="17" xfId="4" applyFont="1" applyFill="1" applyBorder="1" applyAlignment="1">
      <alignment horizontal="center" vertical="center" wrapText="1"/>
    </xf>
    <xf numFmtId="9" fontId="9" fillId="11" borderId="0" xfId="0" applyNumberFormat="1" applyFont="1" applyFill="1" applyBorder="1" applyAlignment="1" applyProtection="1">
      <alignment horizontal="center"/>
    </xf>
    <xf numFmtId="9" fontId="15" fillId="11" borderId="14" xfId="0" applyNumberFormat="1" applyFont="1" applyFill="1" applyBorder="1" applyAlignment="1" applyProtection="1">
      <alignment horizontal="center" wrapText="1"/>
    </xf>
    <xf numFmtId="9" fontId="15" fillId="11" borderId="0" xfId="0" applyNumberFormat="1" applyFont="1" applyFill="1" applyBorder="1" applyAlignment="1" applyProtection="1">
      <alignment horizontal="center" wrapText="1"/>
    </xf>
    <xf numFmtId="9" fontId="10" fillId="11" borderId="18" xfId="0" applyNumberFormat="1" applyFont="1" applyFill="1" applyBorder="1" applyAlignment="1">
      <alignment horizontal="center"/>
    </xf>
    <xf numFmtId="9" fontId="9" fillId="10" borderId="0" xfId="0" applyNumberFormat="1" applyFont="1" applyFill="1" applyBorder="1" applyAlignment="1" applyProtection="1">
      <alignment horizontal="center"/>
    </xf>
    <xf numFmtId="9" fontId="15" fillId="10" borderId="14" xfId="0" applyNumberFormat="1" applyFont="1" applyFill="1" applyBorder="1" applyAlignment="1" applyProtection="1">
      <alignment horizontal="center" wrapText="1"/>
    </xf>
    <xf numFmtId="9" fontId="15" fillId="10" borderId="0" xfId="0" applyNumberFormat="1" applyFont="1" applyFill="1" applyBorder="1" applyAlignment="1" applyProtection="1">
      <alignment horizontal="center" wrapText="1"/>
    </xf>
    <xf numFmtId="9" fontId="15" fillId="10" borderId="36" xfId="0" applyNumberFormat="1" applyFont="1" applyFill="1" applyBorder="1" applyAlignment="1" applyProtection="1">
      <alignment horizontal="center" wrapText="1"/>
    </xf>
    <xf numFmtId="43" fontId="35" fillId="11" borderId="0" xfId="0" applyNumberFormat="1" applyFont="1" applyFill="1" applyBorder="1" applyAlignment="1" applyProtection="1">
      <alignment horizontal="center" vertical="center" wrapText="1"/>
    </xf>
    <xf numFmtId="43" fontId="35" fillId="10" borderId="0" xfId="0" applyNumberFormat="1" applyFont="1" applyFill="1" applyBorder="1" applyAlignment="1" applyProtection="1">
      <alignment horizontal="center" vertical="center" wrapText="1"/>
    </xf>
    <xf numFmtId="9" fontId="10" fillId="11" borderId="17" xfId="4" applyFont="1" applyFill="1" applyBorder="1" applyAlignment="1">
      <alignment horizontal="center" vertical="center" wrapText="1"/>
    </xf>
    <xf numFmtId="168" fontId="10" fillId="11" borderId="17" xfId="4" applyNumberFormat="1" applyFont="1" applyFill="1" applyBorder="1" applyAlignment="1">
      <alignment horizontal="center" vertical="center" wrapText="1"/>
    </xf>
    <xf numFmtId="9" fontId="10" fillId="10" borderId="17" xfId="4" applyFont="1" applyFill="1" applyBorder="1" applyAlignment="1">
      <alignment horizontal="center" vertical="center" wrapText="1"/>
    </xf>
    <xf numFmtId="168" fontId="10" fillId="10" borderId="17" xfId="4" applyNumberFormat="1" applyFont="1" applyFill="1" applyBorder="1" applyAlignment="1">
      <alignment horizontal="center" vertical="center" wrapText="1"/>
    </xf>
    <xf numFmtId="9" fontId="10" fillId="10" borderId="23" xfId="0" applyNumberFormat="1" applyFont="1" applyFill="1" applyBorder="1" applyAlignment="1" applyProtection="1">
      <alignment horizontal="center" wrapText="1"/>
    </xf>
    <xf numFmtId="9" fontId="10" fillId="10" borderId="18" xfId="0" applyNumberFormat="1" applyFont="1" applyFill="1" applyBorder="1" applyAlignment="1" applyProtection="1">
      <alignment horizontal="center" wrapText="1"/>
    </xf>
    <xf numFmtId="9" fontId="10" fillId="10" borderId="41" xfId="0" applyNumberFormat="1" applyFont="1" applyFill="1" applyBorder="1" applyAlignment="1" applyProtection="1">
      <alignment horizontal="center" wrapText="1"/>
    </xf>
    <xf numFmtId="9" fontId="10" fillId="11" borderId="23" xfId="0" applyNumberFormat="1" applyFont="1" applyFill="1" applyBorder="1" applyAlignment="1" applyProtection="1">
      <alignment horizontal="center" wrapText="1"/>
    </xf>
    <xf numFmtId="9" fontId="10" fillId="11" borderId="18" xfId="0" applyNumberFormat="1" applyFont="1" applyFill="1" applyBorder="1" applyAlignment="1" applyProtection="1">
      <alignment horizontal="center" wrapText="1"/>
    </xf>
    <xf numFmtId="9" fontId="10" fillId="10" borderId="18" xfId="0" applyNumberFormat="1" applyFont="1" applyFill="1" applyBorder="1" applyAlignment="1">
      <alignment horizontal="center"/>
    </xf>
    <xf numFmtId="0" fontId="10" fillId="11" borderId="15" xfId="0" applyFont="1" applyFill="1" applyBorder="1" applyAlignment="1">
      <alignment horizontal="center" vertical="center" wrapText="1"/>
    </xf>
    <xf numFmtId="0" fontId="10" fillId="11" borderId="16" xfId="0" applyFont="1" applyFill="1" applyBorder="1" applyAlignment="1">
      <alignment horizontal="center" vertical="center" wrapText="1"/>
    </xf>
    <xf numFmtId="0" fontId="10" fillId="11" borderId="21" xfId="0" applyFont="1" applyFill="1" applyBorder="1" applyAlignment="1">
      <alignment horizontal="center" vertical="center" wrapText="1"/>
    </xf>
    <xf numFmtId="0" fontId="32" fillId="12" borderId="33" xfId="0" applyFont="1" applyFill="1" applyBorder="1" applyAlignment="1">
      <alignment horizontal="center" wrapText="1"/>
    </xf>
    <xf numFmtId="0" fontId="32" fillId="12" borderId="0" xfId="0" applyFont="1" applyFill="1" applyBorder="1" applyAlignment="1">
      <alignment horizontal="center" wrapText="1"/>
    </xf>
    <xf numFmtId="0" fontId="32" fillId="12" borderId="36" xfId="0" applyFont="1" applyFill="1" applyBorder="1" applyAlignment="1">
      <alignment horizontal="center" wrapText="1"/>
    </xf>
    <xf numFmtId="0" fontId="32" fillId="16" borderId="33" xfId="0" applyFont="1" applyFill="1" applyBorder="1" applyAlignment="1">
      <alignment horizontal="center" wrapText="1"/>
    </xf>
    <xf numFmtId="0" fontId="32" fillId="16" borderId="0" xfId="0" applyFont="1" applyFill="1" applyBorder="1" applyAlignment="1">
      <alignment horizontal="center" wrapText="1"/>
    </xf>
    <xf numFmtId="0" fontId="32" fillId="16" borderId="2" xfId="0" applyFont="1" applyFill="1" applyBorder="1" applyAlignment="1">
      <alignment horizontal="center" wrapText="1"/>
    </xf>
    <xf numFmtId="0" fontId="10" fillId="10" borderId="3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5" xfId="0" applyNumberFormat="1" applyFont="1" applyFill="1" applyBorder="1" applyAlignment="1">
      <alignment horizontal="center" vertical="center" wrapText="1"/>
    </xf>
    <xf numFmtId="0" fontId="10" fillId="10" borderId="16" xfId="0" applyNumberFormat="1" applyFont="1" applyFill="1" applyBorder="1" applyAlignment="1">
      <alignment horizontal="center" vertical="center" wrapText="1"/>
    </xf>
    <xf numFmtId="0" fontId="10" fillId="10" borderId="21" xfId="0" applyNumberFormat="1"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1" borderId="15" xfId="0" applyNumberFormat="1" applyFont="1" applyFill="1" applyBorder="1" applyAlignment="1">
      <alignment horizontal="center" vertical="center" wrapText="1"/>
    </xf>
    <xf numFmtId="0" fontId="10" fillId="11" borderId="16" xfId="0" applyNumberFormat="1" applyFont="1" applyFill="1" applyBorder="1" applyAlignment="1">
      <alignment horizontal="center" vertical="center" wrapText="1"/>
    </xf>
    <xf numFmtId="0" fontId="10" fillId="11" borderId="21" xfId="0" applyNumberFormat="1"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0" fillId="0" borderId="17"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vertical="center"/>
    </xf>
    <xf numFmtId="0" fontId="0" fillId="0" borderId="25" xfId="0" applyBorder="1" applyAlignment="1">
      <alignment vertical="center"/>
    </xf>
    <xf numFmtId="0" fontId="11" fillId="3" borderId="23"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1" fillId="7" borderId="23" xfId="0" applyNumberFormat="1" applyFont="1" applyFill="1" applyBorder="1" applyAlignment="1">
      <alignment horizontal="center" vertical="center" wrapText="1"/>
    </xf>
    <xf numFmtId="0" fontId="11" fillId="7" borderId="12" xfId="0" applyNumberFormat="1" applyFont="1" applyFill="1" applyBorder="1" applyAlignment="1">
      <alignment horizontal="center" vertical="center" wrapText="1"/>
    </xf>
    <xf numFmtId="0" fontId="11" fillId="7" borderId="46" xfId="0" applyNumberFormat="1" applyFont="1" applyFill="1" applyBorder="1" applyAlignment="1">
      <alignment horizontal="center" vertical="center" wrapText="1"/>
    </xf>
    <xf numFmtId="0" fontId="11" fillId="7" borderId="18" xfId="0" applyNumberFormat="1" applyFont="1" applyFill="1" applyBorder="1" applyAlignment="1">
      <alignment horizontal="center" vertical="center" wrapText="1"/>
    </xf>
    <xf numFmtId="0" fontId="7" fillId="0" borderId="3" xfId="0" applyFont="1" applyBorder="1" applyAlignment="1" applyProtection="1">
      <alignment horizontal="left" wrapText="1"/>
    </xf>
    <xf numFmtId="0" fontId="7" fillId="0" borderId="4" xfId="0" applyFont="1" applyBorder="1" applyAlignment="1" applyProtection="1">
      <alignment horizontal="left" wrapText="1"/>
    </xf>
    <xf numFmtId="0" fontId="7" fillId="0" borderId="5" xfId="0" applyFont="1" applyBorder="1" applyAlignment="1" applyProtection="1">
      <alignment horizontal="left" wrapText="1"/>
    </xf>
    <xf numFmtId="0" fontId="7" fillId="0" borderId="24" xfId="0" applyFont="1" applyBorder="1" applyAlignment="1" applyProtection="1">
      <alignment horizontal="left" wrapText="1"/>
    </xf>
    <xf numFmtId="0" fontId="7" fillId="0" borderId="17" xfId="0" applyFont="1" applyBorder="1" applyAlignment="1" applyProtection="1">
      <alignment horizontal="left" wrapText="1"/>
    </xf>
    <xf numFmtId="0" fontId="7" fillId="0" borderId="25" xfId="0" applyFont="1" applyBorder="1" applyAlignment="1" applyProtection="1">
      <alignment horizontal="left" wrapText="1"/>
    </xf>
    <xf numFmtId="0" fontId="11" fillId="3" borderId="46" xfId="0" applyNumberFormat="1" applyFont="1" applyFill="1" applyBorder="1" applyAlignment="1">
      <alignment horizontal="center" vertical="center" wrapText="1"/>
    </xf>
    <xf numFmtId="0" fontId="11" fillId="3" borderId="18" xfId="0" applyNumberFormat="1" applyFont="1" applyFill="1" applyBorder="1" applyAlignment="1">
      <alignment horizontal="center" vertical="center" wrapText="1"/>
    </xf>
    <xf numFmtId="0" fontId="11" fillId="0" borderId="24" xfId="0" applyFont="1" applyBorder="1" applyAlignment="1" applyProtection="1">
      <alignment horizontal="left"/>
    </xf>
    <xf numFmtId="0" fontId="11" fillId="0" borderId="17" xfId="0" applyFont="1" applyBorder="1" applyAlignment="1" applyProtection="1">
      <alignment horizontal="left"/>
    </xf>
    <xf numFmtId="0" fontId="11" fillId="0" borderId="25" xfId="0" applyFont="1" applyBorder="1" applyAlignment="1" applyProtection="1">
      <alignment horizontal="left"/>
    </xf>
    <xf numFmtId="0" fontId="0" fillId="0" borderId="17" xfId="0" applyBorder="1" applyAlignment="1">
      <alignment vertical="center" wrapText="1"/>
    </xf>
    <xf numFmtId="0" fontId="0" fillId="0" borderId="25" xfId="0" applyBorder="1" applyAlignment="1">
      <alignment vertical="center" wrapText="1"/>
    </xf>
    <xf numFmtId="0" fontId="11" fillId="11" borderId="46" xfId="0" applyNumberFormat="1" applyFont="1" applyFill="1" applyBorder="1" applyAlignment="1">
      <alignment horizontal="center" vertical="center" wrapText="1"/>
    </xf>
    <xf numFmtId="0" fontId="11" fillId="11" borderId="18" xfId="0" applyNumberFormat="1" applyFont="1" applyFill="1" applyBorder="1" applyAlignment="1">
      <alignment horizontal="center" vertical="center" wrapText="1"/>
    </xf>
    <xf numFmtId="0" fontId="11" fillId="11" borderId="12" xfId="0" applyNumberFormat="1" applyFont="1" applyFill="1" applyBorder="1" applyAlignment="1">
      <alignment horizontal="center" vertical="center" wrapText="1"/>
    </xf>
    <xf numFmtId="0" fontId="11" fillId="11" borderId="23" xfId="0" applyNumberFormat="1" applyFont="1" applyFill="1" applyBorder="1" applyAlignment="1">
      <alignment horizontal="center" vertical="center" wrapText="1"/>
    </xf>
    <xf numFmtId="0" fontId="11" fillId="10" borderId="46" xfId="0" applyNumberFormat="1" applyFont="1" applyFill="1" applyBorder="1" applyAlignment="1">
      <alignment horizontal="center" vertical="center" wrapText="1"/>
    </xf>
    <xf numFmtId="0" fontId="11" fillId="10" borderId="18" xfId="0" applyNumberFormat="1" applyFont="1" applyFill="1" applyBorder="1" applyAlignment="1">
      <alignment horizontal="center" vertical="center" wrapText="1"/>
    </xf>
    <xf numFmtId="0" fontId="11" fillId="10" borderId="12" xfId="0" applyNumberFormat="1" applyFont="1" applyFill="1" applyBorder="1" applyAlignment="1">
      <alignment horizontal="center" vertical="center" wrapText="1"/>
    </xf>
    <xf numFmtId="0" fontId="11" fillId="10" borderId="23" xfId="0" applyNumberFormat="1" applyFont="1" applyFill="1" applyBorder="1" applyAlignment="1">
      <alignment horizontal="center" vertical="center" wrapText="1"/>
    </xf>
    <xf numFmtId="49" fontId="7" fillId="0" borderId="24" xfId="0" applyNumberFormat="1" applyFont="1" applyFill="1" applyBorder="1" applyAlignment="1" applyProtection="1">
      <alignment horizontal="left"/>
      <protection locked="0"/>
    </xf>
    <xf numFmtId="49" fontId="7" fillId="0" borderId="17" xfId="0" applyNumberFormat="1" applyFont="1" applyFill="1" applyBorder="1" applyAlignment="1" applyProtection="1">
      <alignment horizontal="left"/>
      <protection locked="0"/>
    </xf>
    <xf numFmtId="49" fontId="7" fillId="0" borderId="25" xfId="0" applyNumberFormat="1" applyFont="1" applyFill="1" applyBorder="1" applyAlignment="1" applyProtection="1">
      <alignment horizontal="left"/>
      <protection locked="0"/>
    </xf>
    <xf numFmtId="49" fontId="7" fillId="0" borderId="57" xfId="0" quotePrefix="1" applyNumberFormat="1" applyFont="1" applyFill="1" applyBorder="1" applyAlignment="1" applyProtection="1">
      <alignment horizontal="left"/>
      <protection locked="0"/>
    </xf>
    <xf numFmtId="49" fontId="7" fillId="0" borderId="58" xfId="0" applyNumberFormat="1" applyFont="1" applyFill="1" applyBorder="1" applyAlignment="1" applyProtection="1">
      <alignment horizontal="left"/>
      <protection locked="0"/>
    </xf>
    <xf numFmtId="49" fontId="7" fillId="0" borderId="59" xfId="0" applyNumberFormat="1" applyFont="1" applyFill="1" applyBorder="1" applyAlignment="1" applyProtection="1">
      <alignment horizontal="left"/>
      <protection locked="0"/>
    </xf>
    <xf numFmtId="0" fontId="7" fillId="0" borderId="24" xfId="0" applyFont="1" applyFill="1" applyBorder="1" applyAlignment="1" applyProtection="1">
      <alignment horizontal="left" wrapText="1"/>
    </xf>
    <xf numFmtId="0" fontId="7" fillId="0" borderId="17" xfId="0" applyFont="1" applyFill="1" applyBorder="1" applyAlignment="1" applyProtection="1">
      <alignment horizontal="left" wrapText="1"/>
    </xf>
    <xf numFmtId="0" fontId="7" fillId="0" borderId="25" xfId="0" applyFont="1" applyFill="1" applyBorder="1" applyAlignment="1" applyProtection="1">
      <alignment horizontal="left" wrapText="1"/>
    </xf>
    <xf numFmtId="0" fontId="10" fillId="6" borderId="1" xfId="0" applyFont="1" applyFill="1" applyBorder="1" applyAlignment="1">
      <alignment horizontal="right" vertical="center"/>
    </xf>
    <xf numFmtId="0" fontId="10" fillId="6" borderId="0" xfId="0" applyFont="1" applyFill="1" applyBorder="1" applyAlignment="1">
      <alignment horizontal="right" vertical="center"/>
    </xf>
    <xf numFmtId="0" fontId="10" fillId="6" borderId="1" xfId="0" applyFont="1" applyFill="1" applyBorder="1" applyAlignment="1">
      <alignment horizontal="right"/>
    </xf>
    <xf numFmtId="0" fontId="10" fillId="6" borderId="0" xfId="0" applyFont="1" applyFill="1" applyBorder="1" applyAlignment="1">
      <alignment horizontal="right"/>
    </xf>
    <xf numFmtId="0" fontId="11" fillId="0" borderId="24" xfId="0" applyFont="1" applyFill="1" applyBorder="1" applyAlignment="1">
      <alignment horizontal="left"/>
    </xf>
    <xf numFmtId="0" fontId="11" fillId="0" borderId="17" xfId="0" applyFont="1" applyFill="1" applyBorder="1" applyAlignment="1">
      <alignment horizontal="left"/>
    </xf>
    <xf numFmtId="0" fontId="11" fillId="0" borderId="25" xfId="0" applyFont="1" applyFill="1" applyBorder="1" applyAlignment="1">
      <alignment horizontal="left"/>
    </xf>
    <xf numFmtId="0" fontId="11" fillId="14" borderId="14"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11" fillId="14" borderId="36"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2" fillId="14" borderId="23" xfId="0" applyFont="1" applyFill="1" applyBorder="1" applyAlignment="1">
      <alignment horizontal="center" vertical="center" wrapText="1"/>
    </xf>
    <xf numFmtId="0" fontId="12" fillId="14" borderId="18" xfId="0" applyFont="1" applyFill="1" applyBorder="1" applyAlignment="1">
      <alignment horizontal="center" vertical="center" wrapText="1"/>
    </xf>
    <xf numFmtId="0" fontId="12" fillId="14" borderId="41"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32" fillId="15" borderId="35" xfId="0" applyFont="1" applyFill="1" applyBorder="1" applyAlignment="1">
      <alignment horizontal="center" vertical="top" wrapText="1"/>
    </xf>
    <xf numFmtId="0" fontId="32" fillId="15" borderId="16" xfId="0" applyFont="1" applyFill="1" applyBorder="1" applyAlignment="1">
      <alignment horizontal="center" vertical="top" wrapText="1"/>
    </xf>
    <xf numFmtId="0" fontId="32" fillId="15" borderId="27" xfId="0" applyFont="1" applyFill="1" applyBorder="1" applyAlignment="1">
      <alignment horizontal="center" vertical="top" wrapText="1"/>
    </xf>
    <xf numFmtId="0" fontId="32" fillId="8" borderId="35" xfId="0" applyFont="1" applyFill="1" applyBorder="1" applyAlignment="1">
      <alignment horizontal="center" vertical="top" wrapText="1"/>
    </xf>
    <xf numFmtId="0" fontId="32" fillId="8" borderId="16" xfId="0" applyFont="1" applyFill="1" applyBorder="1" applyAlignment="1">
      <alignment horizontal="center" vertical="top" wrapText="1"/>
    </xf>
    <xf numFmtId="0" fontId="32" fillId="8" borderId="37" xfId="0" applyFont="1" applyFill="1" applyBorder="1" applyAlignment="1">
      <alignment horizontal="center" vertical="top" wrapText="1"/>
    </xf>
    <xf numFmtId="0" fontId="11" fillId="20" borderId="46" xfId="0" applyFont="1" applyFill="1" applyBorder="1" applyAlignment="1">
      <alignment horizontal="center" vertical="center" wrapText="1"/>
    </xf>
    <xf numFmtId="0" fontId="11" fillId="20" borderId="18" xfId="0" applyFont="1" applyFill="1" applyBorder="1" applyAlignment="1">
      <alignment horizontal="center" vertical="center" wrapText="1"/>
    </xf>
    <xf numFmtId="0" fontId="11" fillId="20" borderId="12" xfId="0" applyFont="1" applyFill="1" applyBorder="1" applyAlignment="1">
      <alignment horizontal="center" vertical="center" wrapText="1"/>
    </xf>
    <xf numFmtId="0" fontId="11" fillId="20" borderId="23" xfId="0" applyFont="1" applyFill="1" applyBorder="1" applyAlignment="1">
      <alignment horizontal="center" vertical="center" wrapText="1"/>
    </xf>
    <xf numFmtId="0" fontId="11" fillId="20" borderId="19" xfId="0" applyFont="1" applyFill="1" applyBorder="1" applyAlignment="1">
      <alignment horizontal="center" vertical="center" wrapText="1"/>
    </xf>
    <xf numFmtId="0" fontId="32" fillId="12" borderId="35" xfId="0" applyFont="1" applyFill="1" applyBorder="1" applyAlignment="1">
      <alignment horizontal="center" vertical="top" wrapText="1"/>
    </xf>
    <xf numFmtId="0" fontId="32" fillId="12" borderId="16" xfId="0" applyFont="1" applyFill="1" applyBorder="1" applyAlignment="1">
      <alignment horizontal="center" vertical="top" wrapText="1"/>
    </xf>
    <xf numFmtId="0" fontId="32" fillId="12" borderId="37" xfId="0" applyFont="1" applyFill="1" applyBorder="1" applyAlignment="1">
      <alignment horizontal="center" vertical="top" wrapText="1"/>
    </xf>
    <xf numFmtId="0" fontId="32" fillId="16" borderId="35" xfId="0" applyFont="1" applyFill="1" applyBorder="1" applyAlignment="1">
      <alignment horizontal="center" vertical="top" wrapText="1"/>
    </xf>
    <xf numFmtId="0" fontId="32" fillId="16" borderId="16" xfId="0" applyFont="1" applyFill="1" applyBorder="1" applyAlignment="1">
      <alignment horizontal="center" vertical="top" wrapText="1"/>
    </xf>
    <xf numFmtId="0" fontId="32" fillId="16" borderId="27" xfId="0" applyFont="1" applyFill="1" applyBorder="1" applyAlignment="1">
      <alignment horizontal="center" vertical="top" wrapText="1"/>
    </xf>
    <xf numFmtId="0" fontId="11" fillId="0" borderId="24" xfId="0" applyFont="1" applyFill="1" applyBorder="1" applyAlignment="1" applyProtection="1">
      <alignment horizontal="left"/>
    </xf>
    <xf numFmtId="0" fontId="11" fillId="0" borderId="17" xfId="0" applyFont="1" applyFill="1" applyBorder="1" applyAlignment="1" applyProtection="1">
      <alignment horizontal="left"/>
    </xf>
    <xf numFmtId="0" fontId="11" fillId="0" borderId="25" xfId="0" applyFont="1" applyFill="1" applyBorder="1" applyAlignment="1" applyProtection="1">
      <alignment horizontal="left"/>
    </xf>
    <xf numFmtId="0" fontId="8" fillId="7" borderId="38" xfId="0" applyFont="1" applyFill="1" applyBorder="1" applyAlignment="1">
      <alignment horizontal="center"/>
    </xf>
    <xf numFmtId="0" fontId="8" fillId="7" borderId="17" xfId="0" applyFont="1" applyFill="1" applyBorder="1" applyAlignment="1">
      <alignment horizontal="center"/>
    </xf>
    <xf numFmtId="0" fontId="8" fillId="7" borderId="20" xfId="0" applyFont="1" applyFill="1" applyBorder="1" applyAlignment="1">
      <alignment horizontal="center"/>
    </xf>
    <xf numFmtId="0" fontId="8" fillId="7" borderId="11" xfId="0" applyFont="1" applyFill="1" applyBorder="1" applyAlignment="1">
      <alignment horizontal="center"/>
    </xf>
    <xf numFmtId="0" fontId="39" fillId="8" borderId="46" xfId="0" applyFont="1" applyFill="1" applyBorder="1" applyAlignment="1">
      <alignment horizontal="center"/>
    </xf>
    <xf numFmtId="0" fontId="39" fillId="8" borderId="18" xfId="0" applyFont="1" applyFill="1" applyBorder="1" applyAlignment="1">
      <alignment horizontal="center"/>
    </xf>
    <xf numFmtId="0" fontId="39" fillId="8" borderId="41" xfId="0" applyFont="1" applyFill="1" applyBorder="1" applyAlignment="1">
      <alignment horizontal="center"/>
    </xf>
    <xf numFmtId="0" fontId="39" fillId="8" borderId="33" xfId="0" applyFont="1" applyFill="1" applyBorder="1" applyAlignment="1">
      <alignment horizontal="center" vertical="top"/>
    </xf>
    <xf numFmtId="0" fontId="39" fillId="8" borderId="0" xfId="0" applyFont="1" applyFill="1" applyBorder="1" applyAlignment="1">
      <alignment horizontal="center" vertical="top"/>
    </xf>
    <xf numFmtId="0" fontId="39" fillId="8" borderId="36" xfId="0" applyFont="1" applyFill="1" applyBorder="1" applyAlignment="1">
      <alignment horizontal="center" vertical="top"/>
    </xf>
    <xf numFmtId="0" fontId="39" fillId="15" borderId="33" xfId="0" applyFont="1" applyFill="1" applyBorder="1" applyAlignment="1">
      <alignment horizontal="center" vertical="top"/>
    </xf>
    <xf numFmtId="0" fontId="39" fillId="15" borderId="0" xfId="0" applyFont="1" applyFill="1" applyBorder="1" applyAlignment="1">
      <alignment horizontal="center" vertical="top"/>
    </xf>
    <xf numFmtId="0" fontId="39" fillId="15" borderId="2" xfId="0" applyFont="1" applyFill="1" applyBorder="1" applyAlignment="1">
      <alignment horizontal="center" vertical="top"/>
    </xf>
    <xf numFmtId="0" fontId="39" fillId="15" borderId="33" xfId="0" applyFont="1" applyFill="1" applyBorder="1" applyAlignment="1">
      <alignment horizontal="center"/>
    </xf>
    <xf numFmtId="0" fontId="39" fillId="15" borderId="0" xfId="0" applyFont="1" applyFill="1" applyBorder="1" applyAlignment="1">
      <alignment horizontal="center"/>
    </xf>
    <xf numFmtId="0" fontId="39" fillId="15" borderId="2" xfId="0" applyFont="1" applyFill="1" applyBorder="1" applyAlignment="1">
      <alignment horizontal="center"/>
    </xf>
    <xf numFmtId="0" fontId="8" fillId="3" borderId="11" xfId="0" applyFont="1" applyFill="1" applyBorder="1" applyAlignment="1">
      <alignment horizontal="center"/>
    </xf>
    <xf numFmtId="0" fontId="8" fillId="3" borderId="17" xfId="0" applyFont="1" applyFill="1" applyBorder="1" applyAlignment="1">
      <alignment horizontal="center"/>
    </xf>
    <xf numFmtId="0" fontId="8" fillId="3" borderId="20" xfId="0" applyFont="1" applyFill="1" applyBorder="1" applyAlignment="1">
      <alignment horizontal="center"/>
    </xf>
    <xf numFmtId="0" fontId="8" fillId="3" borderId="38" xfId="0" applyFont="1" applyFill="1" applyBorder="1" applyAlignment="1">
      <alignment horizontal="center"/>
    </xf>
    <xf numFmtId="0" fontId="8" fillId="7" borderId="42" xfId="0" applyFont="1" applyFill="1" applyBorder="1" applyAlignment="1">
      <alignment horizontal="center"/>
    </xf>
    <xf numFmtId="0" fontId="8" fillId="3" borderId="19" xfId="0" applyFont="1" applyFill="1" applyBorder="1" applyAlignment="1">
      <alignment horizontal="center" vertical="center" wrapText="1"/>
    </xf>
    <xf numFmtId="0" fontId="8" fillId="3" borderId="25" xfId="0" applyFont="1" applyFill="1" applyBorder="1" applyAlignment="1">
      <alignment horizontal="center"/>
    </xf>
    <xf numFmtId="0" fontId="8" fillId="3" borderId="12"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8" fillId="7" borderId="46" xfId="0" applyFont="1" applyFill="1" applyBorder="1" applyAlignment="1">
      <alignment horizontal="center" vertical="center" wrapText="1"/>
    </xf>
    <xf numFmtId="0" fontId="8" fillId="10" borderId="38" xfId="0" applyFont="1" applyFill="1" applyBorder="1" applyAlignment="1">
      <alignment horizontal="center"/>
    </xf>
    <xf numFmtId="0" fontId="8" fillId="10" borderId="17" xfId="0" applyFont="1" applyFill="1" applyBorder="1" applyAlignment="1">
      <alignment horizontal="center"/>
    </xf>
    <xf numFmtId="0" fontId="8" fillId="10" borderId="20" xfId="0" applyFont="1" applyFill="1" applyBorder="1" applyAlignment="1">
      <alignment horizontal="center"/>
    </xf>
    <xf numFmtId="0" fontId="8" fillId="10" borderId="11" xfId="0" applyFont="1" applyFill="1" applyBorder="1" applyAlignment="1">
      <alignment horizontal="center"/>
    </xf>
    <xf numFmtId="0" fontId="8" fillId="10" borderId="46" xfId="0" applyFont="1" applyFill="1" applyBorder="1" applyAlignment="1">
      <alignment horizontal="center" vertical="center" wrapText="1"/>
    </xf>
    <xf numFmtId="0" fontId="8" fillId="10" borderId="12" xfId="0" applyFont="1" applyFill="1" applyBorder="1" applyAlignment="1">
      <alignment horizontal="center" vertical="center" wrapText="1"/>
    </xf>
    <xf numFmtId="0" fontId="39" fillId="12" borderId="46" xfId="0" applyFont="1" applyFill="1" applyBorder="1" applyAlignment="1">
      <alignment horizontal="center"/>
    </xf>
    <xf numFmtId="0" fontId="39" fillId="12" borderId="18" xfId="0" applyFont="1" applyFill="1" applyBorder="1" applyAlignment="1">
      <alignment horizontal="center"/>
    </xf>
    <xf numFmtId="0" fontId="39" fillId="12" borderId="41" xfId="0" applyFont="1" applyFill="1" applyBorder="1" applyAlignment="1">
      <alignment horizontal="center"/>
    </xf>
    <xf numFmtId="0" fontId="39" fillId="16" borderId="33" xfId="0" applyFont="1" applyFill="1" applyBorder="1" applyAlignment="1">
      <alignment horizontal="center"/>
    </xf>
    <xf numFmtId="0" fontId="39" fillId="16" borderId="0" xfId="0" applyFont="1" applyFill="1" applyBorder="1" applyAlignment="1">
      <alignment horizontal="center"/>
    </xf>
    <xf numFmtId="0" fontId="39" fillId="16" borderId="2" xfId="0" applyFont="1" applyFill="1" applyBorder="1" applyAlignment="1">
      <alignment horizontal="center"/>
    </xf>
    <xf numFmtId="0" fontId="39" fillId="12" borderId="33" xfId="0" applyFont="1" applyFill="1" applyBorder="1" applyAlignment="1">
      <alignment horizontal="center" vertical="top"/>
    </xf>
    <xf numFmtId="0" fontId="39" fillId="12" borderId="0" xfId="0" applyFont="1" applyFill="1" applyBorder="1" applyAlignment="1">
      <alignment horizontal="center" vertical="top"/>
    </xf>
    <xf numFmtId="0" fontId="39" fillId="12" borderId="36" xfId="0" applyFont="1" applyFill="1" applyBorder="1" applyAlignment="1">
      <alignment horizontal="center" vertical="top"/>
    </xf>
    <xf numFmtId="0" fontId="39" fillId="16" borderId="33" xfId="0" applyFont="1" applyFill="1" applyBorder="1" applyAlignment="1">
      <alignment horizontal="center" vertical="top"/>
    </xf>
    <xf numFmtId="0" fontId="39" fillId="16" borderId="0" xfId="0" applyFont="1" applyFill="1" applyBorder="1" applyAlignment="1">
      <alignment horizontal="center" vertical="top"/>
    </xf>
    <xf numFmtId="0" fontId="39" fillId="16" borderId="2" xfId="0" applyFont="1" applyFill="1" applyBorder="1" applyAlignment="1">
      <alignment horizontal="center" vertical="top"/>
    </xf>
    <xf numFmtId="0" fontId="8" fillId="11" borderId="11" xfId="0" applyFont="1" applyFill="1" applyBorder="1" applyAlignment="1">
      <alignment horizontal="center"/>
    </xf>
    <xf numFmtId="0" fontId="8" fillId="11" borderId="17" xfId="0" applyFont="1" applyFill="1" applyBorder="1" applyAlignment="1">
      <alignment horizontal="center"/>
    </xf>
    <xf numFmtId="0" fontId="8" fillId="11" borderId="20" xfId="0" applyFont="1" applyFill="1" applyBorder="1" applyAlignment="1">
      <alignment horizontal="center"/>
    </xf>
    <xf numFmtId="0" fontId="8" fillId="11" borderId="12" xfId="0" applyFont="1" applyFill="1" applyBorder="1" applyAlignment="1">
      <alignment horizontal="center" vertical="center" wrapText="1"/>
    </xf>
    <xf numFmtId="0" fontId="8" fillId="11" borderId="25" xfId="0" applyFont="1" applyFill="1" applyBorder="1" applyAlignment="1">
      <alignment horizontal="center"/>
    </xf>
    <xf numFmtId="0" fontId="8" fillId="10" borderId="42" xfId="0" applyFont="1" applyFill="1" applyBorder="1" applyAlignment="1">
      <alignment horizontal="center"/>
    </xf>
    <xf numFmtId="0" fontId="8" fillId="11" borderId="38" xfId="0" applyFont="1" applyFill="1" applyBorder="1" applyAlignment="1">
      <alignment horizontal="center"/>
    </xf>
    <xf numFmtId="0" fontId="8" fillId="11" borderId="46" xfId="0" applyFont="1" applyFill="1" applyBorder="1" applyAlignment="1">
      <alignment horizontal="center" vertical="center" wrapText="1"/>
    </xf>
    <xf numFmtId="0" fontId="25" fillId="6" borderId="24" xfId="0" applyFont="1" applyFill="1" applyBorder="1" applyAlignment="1" applyProtection="1">
      <alignment horizontal="left" vertical="center"/>
    </xf>
    <xf numFmtId="0" fontId="25" fillId="6" borderId="17" xfId="0" applyFont="1" applyFill="1" applyBorder="1" applyAlignment="1" applyProtection="1">
      <alignment horizontal="left" vertical="center"/>
    </xf>
    <xf numFmtId="0" fontId="25" fillId="6" borderId="25" xfId="0" applyFont="1" applyFill="1" applyBorder="1" applyAlignment="1" applyProtection="1">
      <alignment horizontal="left" vertical="center"/>
    </xf>
    <xf numFmtId="0" fontId="8" fillId="0" borderId="24" xfId="0" applyFont="1" applyFill="1" applyBorder="1" applyAlignment="1">
      <alignment horizontal="left"/>
    </xf>
    <xf numFmtId="0" fontId="8" fillId="0" borderId="17" xfId="0" applyFont="1" applyFill="1" applyBorder="1" applyAlignment="1">
      <alignment horizontal="left"/>
    </xf>
    <xf numFmtId="0" fontId="8" fillId="0" borderId="25" xfId="0" applyFont="1" applyFill="1" applyBorder="1" applyAlignment="1">
      <alignment horizontal="left"/>
    </xf>
    <xf numFmtId="49" fontId="7" fillId="0" borderId="24" xfId="0" applyNumberFormat="1" applyFont="1" applyFill="1" applyBorder="1" applyAlignment="1" applyProtection="1">
      <alignment vertical="center"/>
    </xf>
    <xf numFmtId="49" fontId="7" fillId="0" borderId="17" xfId="0" applyNumberFormat="1" applyFont="1" applyFill="1" applyBorder="1" applyAlignment="1" applyProtection="1">
      <alignment vertical="center"/>
    </xf>
    <xf numFmtId="49" fontId="7" fillId="0" borderId="25" xfId="0" applyNumberFormat="1" applyFont="1" applyFill="1" applyBorder="1" applyAlignment="1" applyProtection="1">
      <alignment vertical="center"/>
    </xf>
    <xf numFmtId="0" fontId="8" fillId="7" borderId="11" xfId="0" applyFont="1" applyFill="1" applyBorder="1" applyAlignment="1" applyProtection="1">
      <alignment horizontal="center" wrapText="1"/>
    </xf>
    <xf numFmtId="0" fontId="8" fillId="7" borderId="17" xfId="0" applyFont="1" applyFill="1" applyBorder="1" applyAlignment="1" applyProtection="1">
      <alignment horizontal="center" wrapText="1"/>
    </xf>
    <xf numFmtId="0" fontId="8" fillId="7" borderId="42" xfId="0" applyFont="1" applyFill="1" applyBorder="1" applyAlignment="1" applyProtection="1">
      <alignment horizontal="center" wrapText="1"/>
    </xf>
    <xf numFmtId="0" fontId="8" fillId="3" borderId="11" xfId="0" applyFont="1" applyFill="1" applyBorder="1" applyAlignment="1" applyProtection="1">
      <alignment horizontal="center" wrapText="1"/>
    </xf>
    <xf numFmtId="0" fontId="8" fillId="3" borderId="17" xfId="0" applyFont="1" applyFill="1" applyBorder="1" applyAlignment="1" applyProtection="1">
      <alignment horizontal="center" wrapText="1"/>
    </xf>
    <xf numFmtId="0" fontId="8" fillId="10" borderId="11" xfId="0" applyFont="1" applyFill="1" applyBorder="1" applyAlignment="1">
      <alignment horizontal="center" wrapText="1"/>
    </xf>
    <xf numFmtId="0" fontId="8" fillId="10" borderId="17" xfId="0" applyFont="1" applyFill="1" applyBorder="1" applyAlignment="1">
      <alignment horizontal="center" wrapText="1"/>
    </xf>
    <xf numFmtId="0" fontId="8" fillId="10" borderId="42" xfId="0" applyFont="1" applyFill="1" applyBorder="1" applyAlignment="1">
      <alignment horizontal="center" wrapText="1"/>
    </xf>
    <xf numFmtId="0" fontId="8" fillId="11" borderId="11" xfId="0" applyFont="1" applyFill="1" applyBorder="1" applyAlignment="1">
      <alignment horizontal="center" wrapText="1"/>
    </xf>
    <xf numFmtId="0" fontId="8" fillId="11" borderId="17" xfId="0" applyFont="1" applyFill="1" applyBorder="1" applyAlignment="1">
      <alignment horizontal="center" wrapText="1"/>
    </xf>
    <xf numFmtId="0" fontId="8" fillId="11" borderId="25" xfId="0" applyFont="1" applyFill="1" applyBorder="1" applyAlignment="1">
      <alignment horizontal="center" wrapText="1"/>
    </xf>
    <xf numFmtId="0" fontId="7" fillId="0" borderId="56" xfId="0" applyFont="1" applyBorder="1" applyAlignment="1" applyProtection="1">
      <alignment horizontal="left"/>
    </xf>
    <xf numFmtId="0" fontId="7" fillId="0" borderId="53" xfId="0" applyFont="1" applyBorder="1" applyAlignment="1" applyProtection="1">
      <alignment horizontal="left"/>
    </xf>
    <xf numFmtId="0" fontId="7" fillId="0" borderId="49" xfId="0" applyFont="1" applyBorder="1" applyAlignment="1" applyProtection="1">
      <alignment horizontal="left"/>
    </xf>
    <xf numFmtId="0" fontId="8" fillId="3" borderId="11" xfId="0" applyFont="1" applyFill="1" applyBorder="1" applyAlignment="1">
      <alignment horizontal="center" wrapText="1"/>
    </xf>
    <xf numFmtId="0" fontId="8" fillId="3" borderId="17" xfId="0" applyFont="1" applyFill="1" applyBorder="1" applyAlignment="1">
      <alignment horizontal="center" wrapText="1"/>
    </xf>
    <xf numFmtId="0" fontId="8" fillId="3" borderId="25" xfId="0" applyFont="1" applyFill="1" applyBorder="1" applyAlignment="1">
      <alignment horizontal="center" wrapText="1"/>
    </xf>
    <xf numFmtId="0" fontId="8" fillId="7" borderId="11" xfId="0" applyFont="1" applyFill="1" applyBorder="1" applyAlignment="1">
      <alignment horizontal="center" wrapText="1"/>
    </xf>
    <xf numFmtId="0" fontId="8" fillId="7" borderId="17" xfId="0" applyFont="1" applyFill="1" applyBorder="1" applyAlignment="1">
      <alignment horizontal="center" wrapText="1"/>
    </xf>
    <xf numFmtId="0" fontId="8" fillId="7" borderId="42" xfId="0" applyFont="1" applyFill="1" applyBorder="1" applyAlignment="1">
      <alignment horizontal="center" wrapText="1"/>
    </xf>
    <xf numFmtId="0" fontId="7" fillId="0" borderId="24" xfId="0" applyFont="1" applyBorder="1" applyAlignment="1" applyProtection="1">
      <alignment horizontal="left"/>
    </xf>
    <xf numFmtId="0" fontId="7" fillId="0" borderId="17" xfId="0" applyFont="1" applyBorder="1" applyAlignment="1" applyProtection="1">
      <alignment horizontal="left"/>
    </xf>
    <xf numFmtId="0" fontId="7" fillId="0" borderId="25" xfId="0" applyFont="1" applyBorder="1" applyAlignment="1" applyProtection="1">
      <alignment horizontal="left"/>
    </xf>
    <xf numFmtId="175" fontId="26" fillId="9" borderId="63" xfId="1" applyNumberFormat="1" applyFont="1" applyFill="1" applyBorder="1" applyAlignment="1" applyProtection="1">
      <alignment horizontal="center"/>
    </xf>
    <xf numFmtId="175" fontId="26" fillId="9" borderId="64" xfId="1" applyNumberFormat="1" applyFont="1" applyFill="1" applyBorder="1" applyAlignment="1" applyProtection="1">
      <alignment horizontal="center"/>
    </xf>
    <xf numFmtId="0" fontId="0" fillId="5" borderId="23" xfId="0" applyFill="1" applyBorder="1" applyAlignment="1" applyProtection="1">
      <alignment horizontal="center"/>
      <protection locked="0"/>
    </xf>
    <xf numFmtId="0" fontId="0" fillId="5" borderId="18" xfId="0" applyFill="1" applyBorder="1" applyAlignment="1" applyProtection="1">
      <alignment horizontal="center"/>
      <protection locked="0"/>
    </xf>
    <xf numFmtId="43" fontId="26" fillId="7" borderId="63" xfId="1" applyNumberFormat="1" applyFont="1" applyFill="1" applyBorder="1" applyAlignment="1" applyProtection="1">
      <alignment horizontal="center"/>
    </xf>
    <xf numFmtId="43" fontId="26" fillId="7" borderId="64" xfId="1" applyNumberFormat="1" applyFont="1" applyFill="1" applyBorder="1" applyAlignment="1" applyProtection="1">
      <alignment horizontal="center"/>
    </xf>
    <xf numFmtId="41" fontId="26" fillId="5" borderId="23" xfId="1" applyNumberFormat="1" applyFont="1" applyFill="1" applyBorder="1" applyAlignment="1" applyProtection="1">
      <alignment horizontal="center"/>
      <protection locked="0"/>
    </xf>
    <xf numFmtId="41" fontId="26" fillId="5" borderId="18" xfId="1" applyNumberFormat="1" applyFont="1" applyFill="1" applyBorder="1" applyAlignment="1" applyProtection="1">
      <alignment horizontal="center"/>
      <protection locked="0"/>
    </xf>
    <xf numFmtId="168" fontId="26" fillId="9" borderId="63" xfId="4" applyNumberFormat="1" applyFont="1" applyFill="1" applyBorder="1" applyAlignment="1" applyProtection="1">
      <alignment horizontal="center"/>
    </xf>
    <xf numFmtId="168" fontId="26" fillId="9" borderId="64" xfId="4" applyNumberFormat="1" applyFont="1" applyFill="1" applyBorder="1" applyAlignment="1" applyProtection="1">
      <alignment horizontal="center"/>
    </xf>
    <xf numFmtId="43" fontId="26" fillId="5" borderId="23" xfId="1" applyFont="1" applyFill="1" applyBorder="1" applyAlignment="1" applyProtection="1">
      <alignment horizontal="center"/>
      <protection locked="0"/>
    </xf>
    <xf numFmtId="43" fontId="26" fillId="5" borderId="18" xfId="1" applyFont="1" applyFill="1" applyBorder="1" applyAlignment="1" applyProtection="1">
      <alignment horizontal="center"/>
      <protection locked="0"/>
    </xf>
    <xf numFmtId="168" fontId="26" fillId="7" borderId="63" xfId="4" applyNumberFormat="1" applyFont="1" applyFill="1" applyBorder="1" applyAlignment="1" applyProtection="1">
      <alignment horizontal="center"/>
    </xf>
    <xf numFmtId="168" fontId="26" fillId="7" borderId="64" xfId="4" applyNumberFormat="1" applyFont="1" applyFill="1" applyBorder="1" applyAlignment="1" applyProtection="1">
      <alignment horizontal="center"/>
    </xf>
    <xf numFmtId="0" fontId="7" fillId="0" borderId="1" xfId="15" applyFont="1" applyBorder="1" applyAlignment="1" applyProtection="1">
      <alignment horizontal="left" wrapText="1"/>
    </xf>
    <xf numFmtId="0" fontId="7" fillId="0" borderId="0" xfId="15" applyBorder="1" applyAlignment="1" applyProtection="1">
      <alignment horizontal="left" wrapText="1"/>
    </xf>
    <xf numFmtId="0" fontId="7" fillId="0" borderId="2" xfId="15" applyBorder="1" applyAlignment="1" applyProtection="1">
      <alignment horizontal="left" wrapText="1"/>
    </xf>
    <xf numFmtId="0" fontId="7" fillId="0" borderId="24" xfId="0" quotePrefix="1" applyFont="1" applyBorder="1" applyAlignment="1" applyProtection="1">
      <alignment horizontal="left" wrapText="1"/>
      <protection locked="0"/>
    </xf>
    <xf numFmtId="0" fontId="0" fillId="0" borderId="17" xfId="0" applyBorder="1" applyAlignment="1" applyProtection="1">
      <alignment horizontal="left" wrapText="1"/>
      <protection locked="0"/>
    </xf>
    <xf numFmtId="0" fontId="0" fillId="0" borderId="25" xfId="0" applyBorder="1" applyAlignment="1" applyProtection="1">
      <alignment horizontal="left" wrapText="1"/>
      <protection locked="0"/>
    </xf>
    <xf numFmtId="0" fontId="8" fillId="0" borderId="56" xfId="0" applyFont="1" applyBorder="1" applyAlignment="1">
      <alignment horizontal="left"/>
    </xf>
    <xf numFmtId="0" fontId="8" fillId="0" borderId="53" xfId="0" applyFont="1" applyBorder="1" applyAlignment="1">
      <alignment horizontal="left"/>
    </xf>
    <xf numFmtId="0" fontId="8" fillId="0" borderId="49" xfId="0" applyFont="1" applyBorder="1" applyAlignment="1">
      <alignment horizontal="left"/>
    </xf>
    <xf numFmtId="0" fontId="7" fillId="0" borderId="24" xfId="15" applyFont="1" applyBorder="1" applyAlignment="1" applyProtection="1">
      <alignment horizontal="left" wrapText="1"/>
    </xf>
    <xf numFmtId="0" fontId="7" fillId="0" borderId="17" xfId="15" applyBorder="1" applyAlignment="1" applyProtection="1">
      <alignment horizontal="left" wrapText="1"/>
    </xf>
    <xf numFmtId="0" fontId="7" fillId="0" borderId="25" xfId="15" applyBorder="1" applyAlignment="1" applyProtection="1">
      <alignment horizontal="left" wrapText="1"/>
    </xf>
    <xf numFmtId="0" fontId="0" fillId="0" borderId="17" xfId="0" applyBorder="1" applyAlignment="1" applyProtection="1">
      <alignment horizontal="left" wrapText="1"/>
    </xf>
    <xf numFmtId="0" fontId="0" fillId="0" borderId="25" xfId="0" applyBorder="1" applyAlignment="1" applyProtection="1">
      <alignment horizontal="left" wrapText="1"/>
    </xf>
    <xf numFmtId="0" fontId="7" fillId="0" borderId="17" xfId="15" applyFont="1" applyBorder="1" applyAlignment="1" applyProtection="1">
      <alignment horizontal="left" wrapText="1"/>
    </xf>
    <xf numFmtId="0" fontId="7" fillId="0" borderId="25" xfId="15" applyFont="1" applyBorder="1" applyAlignment="1" applyProtection="1">
      <alignment horizontal="left" wrapText="1"/>
    </xf>
    <xf numFmtId="0" fontId="7" fillId="0" borderId="24" xfId="15" applyBorder="1" applyAlignment="1" applyProtection="1">
      <alignment horizontal="left" wrapText="1"/>
    </xf>
    <xf numFmtId="166" fontId="26" fillId="7" borderId="63" xfId="1" applyNumberFormat="1" applyFont="1" applyFill="1" applyBorder="1" applyAlignment="1" applyProtection="1">
      <alignment horizontal="center"/>
    </xf>
    <xf numFmtId="166" fontId="26" fillId="7" borderId="64" xfId="1" applyNumberFormat="1" applyFont="1" applyFill="1" applyBorder="1" applyAlignment="1" applyProtection="1">
      <alignment horizontal="center"/>
    </xf>
    <xf numFmtId="43" fontId="8" fillId="7" borderId="63" xfId="1" applyNumberFormat="1" applyFont="1" applyFill="1" applyBorder="1" applyAlignment="1" applyProtection="1">
      <alignment horizontal="center"/>
    </xf>
    <xf numFmtId="43" fontId="8" fillId="7" borderId="64" xfId="1" applyNumberFormat="1" applyFont="1" applyFill="1" applyBorder="1" applyAlignment="1" applyProtection="1">
      <alignment horizontal="center"/>
    </xf>
    <xf numFmtId="175" fontId="8" fillId="9" borderId="63" xfId="1" applyNumberFormat="1" applyFont="1" applyFill="1" applyBorder="1" applyAlignment="1" applyProtection="1">
      <alignment horizontal="center"/>
    </xf>
    <xf numFmtId="175" fontId="8" fillId="9" borderId="64" xfId="1" applyNumberFormat="1" applyFont="1" applyFill="1" applyBorder="1" applyAlignment="1" applyProtection="1">
      <alignment horizontal="center"/>
    </xf>
    <xf numFmtId="176" fontId="26" fillId="9" borderId="63" xfId="1" applyNumberFormat="1" applyFont="1" applyFill="1" applyBorder="1" applyAlignment="1" applyProtection="1">
      <alignment horizontal="center"/>
    </xf>
    <xf numFmtId="176" fontId="26" fillId="9" borderId="64" xfId="1" applyNumberFormat="1" applyFont="1" applyFill="1" applyBorder="1" applyAlignment="1" applyProtection="1">
      <alignment horizontal="center"/>
    </xf>
    <xf numFmtId="0" fontId="8" fillId="3" borderId="14" xfId="0" applyFont="1" applyFill="1" applyBorder="1" applyAlignment="1">
      <alignment horizontal="center" wrapText="1"/>
    </xf>
    <xf numFmtId="0" fontId="8" fillId="3" borderId="0" xfId="0" applyFont="1" applyFill="1" applyBorder="1" applyAlignment="1">
      <alignment horizontal="center" wrapText="1"/>
    </xf>
    <xf numFmtId="0" fontId="8" fillId="3" borderId="2" xfId="0" applyFont="1" applyFill="1" applyBorder="1" applyAlignment="1">
      <alignment horizontal="center" wrapText="1"/>
    </xf>
    <xf numFmtId="0" fontId="8" fillId="7" borderId="14" xfId="0" applyFont="1" applyFill="1" applyBorder="1" applyAlignment="1">
      <alignment horizontal="center" wrapText="1"/>
    </xf>
    <xf numFmtId="0" fontId="8" fillId="7" borderId="0" xfId="0" applyFont="1" applyFill="1" applyBorder="1" applyAlignment="1">
      <alignment horizontal="center" wrapText="1"/>
    </xf>
    <xf numFmtId="0" fontId="8" fillId="7" borderId="36" xfId="0" applyFont="1" applyFill="1" applyBorder="1" applyAlignment="1">
      <alignment horizontal="center" wrapText="1"/>
    </xf>
    <xf numFmtId="0" fontId="8" fillId="7" borderId="16" xfId="0" applyFont="1" applyFill="1" applyBorder="1" applyAlignment="1">
      <alignment horizontal="center" wrapText="1"/>
    </xf>
    <xf numFmtId="0" fontId="8" fillId="3" borderId="16" xfId="0" applyFont="1" applyFill="1" applyBorder="1" applyAlignment="1">
      <alignment horizontal="center" wrapText="1"/>
    </xf>
    <xf numFmtId="0" fontId="8" fillId="7" borderId="23" xfId="0" applyFont="1" applyFill="1" applyBorder="1" applyAlignment="1">
      <alignment horizontal="center" wrapText="1"/>
    </xf>
    <xf numFmtId="0" fontId="8" fillId="7" borderId="18" xfId="0" applyFont="1" applyFill="1" applyBorder="1" applyAlignment="1">
      <alignment horizontal="center" wrapText="1"/>
    </xf>
    <xf numFmtId="0" fontId="8" fillId="7" borderId="41" xfId="0" applyFont="1" applyFill="1" applyBorder="1" applyAlignment="1">
      <alignment horizontal="center" wrapText="1"/>
    </xf>
    <xf numFmtId="0" fontId="8" fillId="7" borderId="15" xfId="0" applyFont="1" applyFill="1" applyBorder="1" applyAlignment="1">
      <alignment horizontal="center" wrapText="1"/>
    </xf>
    <xf numFmtId="0" fontId="8" fillId="7" borderId="37" xfId="0" applyFont="1" applyFill="1" applyBorder="1" applyAlignment="1">
      <alignment horizontal="center" wrapText="1"/>
    </xf>
    <xf numFmtId="0" fontId="8" fillId="3" borderId="23" xfId="0" applyFont="1" applyFill="1" applyBorder="1" applyAlignment="1">
      <alignment horizontal="center" wrapText="1"/>
    </xf>
    <xf numFmtId="0" fontId="8" fillId="3" borderId="19" xfId="0" applyFont="1" applyFill="1" applyBorder="1" applyAlignment="1">
      <alignment horizontal="center" wrapText="1"/>
    </xf>
    <xf numFmtId="0" fontId="8" fillId="3" borderId="15" xfId="0" applyFont="1" applyFill="1" applyBorder="1" applyAlignment="1">
      <alignment horizontal="center" wrapText="1"/>
    </xf>
    <xf numFmtId="0" fontId="8" fillId="3" borderId="27" xfId="0" applyFont="1" applyFill="1" applyBorder="1" applyAlignment="1">
      <alignment horizontal="center" wrapText="1"/>
    </xf>
    <xf numFmtId="9" fontId="7" fillId="0" borderId="23" xfId="4" applyFont="1" applyFill="1" applyBorder="1" applyAlignment="1" applyProtection="1">
      <alignment horizontal="center"/>
      <protection locked="0"/>
    </xf>
    <xf numFmtId="9" fontId="7" fillId="0" borderId="18" xfId="4" applyFont="1" applyFill="1" applyBorder="1" applyAlignment="1" applyProtection="1">
      <alignment horizontal="center"/>
      <protection locked="0"/>
    </xf>
    <xf numFmtId="0" fontId="7" fillId="0" borderId="1" xfId="0" quotePrefix="1" applyFont="1" applyBorder="1" applyAlignment="1" applyProtection="1">
      <alignment horizontal="left" wrapText="1"/>
      <protection locked="0"/>
    </xf>
    <xf numFmtId="0" fontId="0" fillId="0" borderId="0" xfId="0" applyBorder="1" applyAlignment="1" applyProtection="1">
      <alignment horizontal="left" wrapText="1"/>
      <protection locked="0"/>
    </xf>
    <xf numFmtId="0" fontId="0" fillId="0" borderId="2" xfId="0" applyBorder="1" applyAlignment="1" applyProtection="1">
      <alignment horizontal="left" wrapText="1"/>
      <protection locked="0"/>
    </xf>
    <xf numFmtId="0" fontId="7" fillId="0" borderId="57" xfId="0" quotePrefix="1" applyFont="1" applyBorder="1" applyAlignment="1" applyProtection="1">
      <alignment horizontal="left" wrapText="1"/>
      <protection locked="0"/>
    </xf>
    <xf numFmtId="0" fontId="0" fillId="0" borderId="58" xfId="0" applyBorder="1" applyAlignment="1" applyProtection="1">
      <alignment horizontal="left" wrapText="1"/>
      <protection locked="0"/>
    </xf>
    <xf numFmtId="0" fontId="0" fillId="0" borderId="59" xfId="0" applyBorder="1" applyAlignment="1" applyProtection="1">
      <alignment horizontal="left" wrapText="1"/>
      <protection locked="0"/>
    </xf>
    <xf numFmtId="9" fontId="8" fillId="7" borderId="0" xfId="4" applyFont="1" applyFill="1" applyBorder="1" applyAlignment="1">
      <alignment horizontal="center"/>
    </xf>
    <xf numFmtId="9" fontId="8" fillId="3" borderId="0" xfId="4" applyFont="1" applyFill="1" applyBorder="1" applyAlignment="1">
      <alignment horizontal="center"/>
    </xf>
    <xf numFmtId="9" fontId="7" fillId="5" borderId="23" xfId="0" applyNumberFormat="1" applyFont="1" applyFill="1" applyBorder="1" applyAlignment="1" applyProtection="1">
      <alignment horizontal="center"/>
      <protection locked="0"/>
    </xf>
    <xf numFmtId="9" fontId="7" fillId="5" borderId="18" xfId="0" applyNumberFormat="1" applyFont="1" applyFill="1" applyBorder="1" applyAlignment="1" applyProtection="1">
      <alignment horizontal="center"/>
      <protection locked="0"/>
    </xf>
    <xf numFmtId="9" fontId="7" fillId="7" borderId="63" xfId="0" applyNumberFormat="1" applyFont="1" applyFill="1" applyBorder="1" applyAlignment="1" applyProtection="1">
      <alignment horizontal="center"/>
    </xf>
    <xf numFmtId="9" fontId="7" fillId="7" borderId="64" xfId="0" applyNumberFormat="1" applyFont="1" applyFill="1" applyBorder="1" applyAlignment="1" applyProtection="1">
      <alignment horizontal="center"/>
    </xf>
    <xf numFmtId="9" fontId="7" fillId="3" borderId="63" xfId="0" applyNumberFormat="1" applyFont="1" applyFill="1" applyBorder="1" applyAlignment="1" applyProtection="1">
      <alignment horizontal="center"/>
    </xf>
    <xf numFmtId="9" fontId="7" fillId="3" borderId="64" xfId="0" applyNumberFormat="1" applyFont="1" applyFill="1" applyBorder="1" applyAlignment="1" applyProtection="1">
      <alignment horizontal="center"/>
    </xf>
    <xf numFmtId="166" fontId="26" fillId="5" borderId="11" xfId="1" applyNumberFormat="1" applyFont="1" applyFill="1" applyBorder="1" applyAlignment="1" applyProtection="1">
      <alignment horizontal="center"/>
      <protection locked="0"/>
    </xf>
    <xf numFmtId="166" fontId="26" fillId="5" borderId="17" xfId="1" applyNumberFormat="1" applyFont="1" applyFill="1" applyBorder="1" applyAlignment="1" applyProtection="1">
      <alignment horizontal="center"/>
      <protection locked="0"/>
    </xf>
    <xf numFmtId="176" fontId="26" fillId="5" borderId="23" xfId="1" applyNumberFormat="1" applyFont="1" applyFill="1" applyBorder="1" applyAlignment="1" applyProtection="1">
      <alignment horizontal="center"/>
      <protection locked="0"/>
    </xf>
    <xf numFmtId="176" fontId="26" fillId="5" borderId="18" xfId="1" applyNumberFormat="1" applyFont="1" applyFill="1" applyBorder="1" applyAlignment="1" applyProtection="1">
      <alignment horizontal="center"/>
      <protection locked="0"/>
    </xf>
    <xf numFmtId="0" fontId="12" fillId="14" borderId="48" xfId="15" applyFont="1" applyFill="1" applyBorder="1" applyAlignment="1">
      <alignment horizontal="right" wrapText="1"/>
    </xf>
    <xf numFmtId="0" fontId="12" fillId="14" borderId="10" xfId="15" applyFont="1" applyFill="1" applyBorder="1" applyAlignment="1">
      <alignment horizontal="right" wrapText="1"/>
    </xf>
    <xf numFmtId="0" fontId="12" fillId="14" borderId="52" xfId="15" applyFont="1" applyFill="1" applyBorder="1" applyAlignment="1">
      <alignment horizontal="right" wrapText="1"/>
    </xf>
    <xf numFmtId="0" fontId="43" fillId="14" borderId="1" xfId="15" applyFont="1" applyFill="1" applyBorder="1" applyAlignment="1">
      <alignment horizontal="left" vertical="center"/>
    </xf>
    <xf numFmtId="0" fontId="43" fillId="14" borderId="0" xfId="15" applyFont="1" applyFill="1" applyBorder="1" applyAlignment="1">
      <alignment horizontal="left" vertical="center"/>
    </xf>
    <xf numFmtId="0" fontId="43" fillId="14" borderId="2" xfId="15" applyFont="1" applyFill="1" applyBorder="1" applyAlignment="1">
      <alignment horizontal="left" vertical="center"/>
    </xf>
    <xf numFmtId="0" fontId="32" fillId="12" borderId="46" xfId="15" applyFont="1" applyFill="1" applyBorder="1" applyAlignment="1">
      <alignment horizontal="center"/>
    </xf>
    <xf numFmtId="0" fontId="32" fillId="12" borderId="18" xfId="15" applyFont="1" applyFill="1" applyBorder="1" applyAlignment="1">
      <alignment horizontal="center"/>
    </xf>
    <xf numFmtId="0" fontId="32" fillId="12" borderId="41" xfId="15" applyFont="1" applyFill="1" applyBorder="1" applyAlignment="1">
      <alignment horizontal="center"/>
    </xf>
    <xf numFmtId="0" fontId="32" fillId="16" borderId="46" xfId="15" applyFont="1" applyFill="1" applyBorder="1" applyAlignment="1">
      <alignment horizontal="center"/>
    </xf>
    <xf numFmtId="0" fontId="32" fillId="16" borderId="18" xfId="15" applyFont="1" applyFill="1" applyBorder="1" applyAlignment="1">
      <alignment horizontal="center"/>
    </xf>
    <xf numFmtId="0" fontId="32" fillId="16" borderId="19" xfId="15" applyFont="1" applyFill="1" applyBorder="1" applyAlignment="1">
      <alignment horizontal="center"/>
    </xf>
    <xf numFmtId="0" fontId="33" fillId="12" borderId="35" xfId="15" applyFont="1" applyFill="1" applyBorder="1" applyAlignment="1">
      <alignment horizontal="center" vertical="top" wrapText="1"/>
    </xf>
    <xf numFmtId="0" fontId="33" fillId="12" borderId="16" xfId="15" applyFont="1" applyFill="1" applyBorder="1" applyAlignment="1">
      <alignment horizontal="center" vertical="top" wrapText="1"/>
    </xf>
    <xf numFmtId="0" fontId="33" fillId="12" borderId="37" xfId="15" applyFont="1" applyFill="1" applyBorder="1" applyAlignment="1">
      <alignment horizontal="center" vertical="top" wrapText="1"/>
    </xf>
    <xf numFmtId="0" fontId="33" fillId="16" borderId="35" xfId="15" applyFont="1" applyFill="1" applyBorder="1" applyAlignment="1">
      <alignment horizontal="center" vertical="top" wrapText="1"/>
    </xf>
    <xf numFmtId="0" fontId="33" fillId="16" borderId="16" xfId="15" applyFont="1" applyFill="1" applyBorder="1" applyAlignment="1">
      <alignment horizontal="center" vertical="top" wrapText="1"/>
    </xf>
    <xf numFmtId="0" fontId="33" fillId="16" borderId="27" xfId="15" applyFont="1" applyFill="1" applyBorder="1" applyAlignment="1">
      <alignment horizontal="center" vertical="top" wrapText="1"/>
    </xf>
    <xf numFmtId="0" fontId="8" fillId="10" borderId="14" xfId="15" applyFont="1" applyFill="1" applyBorder="1" applyAlignment="1">
      <alignment horizontal="center" wrapText="1"/>
    </xf>
    <xf numFmtId="0" fontId="8" fillId="10" borderId="0" xfId="15" applyFont="1" applyFill="1" applyBorder="1" applyAlignment="1">
      <alignment horizontal="center" wrapText="1"/>
    </xf>
    <xf numFmtId="0" fontId="8" fillId="10" borderId="36" xfId="15" applyFont="1" applyFill="1" applyBorder="1" applyAlignment="1">
      <alignment horizontal="center" wrapText="1"/>
    </xf>
    <xf numFmtId="0" fontId="8" fillId="11" borderId="14" xfId="15" applyFont="1" applyFill="1" applyBorder="1" applyAlignment="1">
      <alignment horizontal="center" wrapText="1"/>
    </xf>
    <xf numFmtId="0" fontId="8" fillId="11" borderId="0" xfId="15" applyFont="1" applyFill="1" applyBorder="1" applyAlignment="1">
      <alignment horizontal="center" wrapText="1"/>
    </xf>
    <xf numFmtId="0" fontId="8" fillId="11" borderId="2" xfId="15" applyFont="1" applyFill="1" applyBorder="1" applyAlignment="1">
      <alignment horizontal="center" wrapText="1"/>
    </xf>
    <xf numFmtId="0" fontId="25" fillId="6" borderId="24" xfId="15" applyFont="1" applyFill="1" applyBorder="1" applyAlignment="1">
      <alignment horizontal="left" vertical="center"/>
    </xf>
    <xf numFmtId="0" fontId="25" fillId="6" borderId="17" xfId="15" applyFont="1" applyFill="1" applyBorder="1" applyAlignment="1">
      <alignment horizontal="left" vertical="center"/>
    </xf>
    <xf numFmtId="0" fontId="25" fillId="6" borderId="25" xfId="15" applyFont="1" applyFill="1" applyBorder="1" applyAlignment="1">
      <alignment horizontal="left" vertical="center"/>
    </xf>
    <xf numFmtId="0" fontId="8" fillId="10" borderId="18" xfId="15" applyFont="1" applyFill="1" applyBorder="1" applyAlignment="1">
      <alignment horizontal="center" wrapText="1"/>
    </xf>
    <xf numFmtId="0" fontId="8" fillId="10" borderId="16" xfId="15" applyFont="1" applyFill="1" applyBorder="1" applyAlignment="1">
      <alignment horizontal="center" wrapText="1"/>
    </xf>
    <xf numFmtId="0" fontId="8" fillId="10" borderId="15" xfId="15" applyFont="1" applyFill="1" applyBorder="1" applyAlignment="1">
      <alignment horizontal="center" wrapText="1"/>
    </xf>
    <xf numFmtId="0" fontId="8" fillId="10" borderId="37" xfId="15" applyFont="1" applyFill="1" applyBorder="1" applyAlignment="1">
      <alignment horizontal="center" wrapText="1"/>
    </xf>
    <xf numFmtId="0" fontId="8" fillId="11" borderId="16" xfId="15" applyFont="1" applyFill="1" applyBorder="1" applyAlignment="1">
      <alignment horizontal="center" wrapText="1"/>
    </xf>
    <xf numFmtId="0" fontId="8" fillId="11" borderId="15" xfId="15" applyFont="1" applyFill="1" applyBorder="1" applyAlignment="1">
      <alignment horizontal="center" wrapText="1"/>
    </xf>
    <xf numFmtId="0" fontId="8" fillId="11" borderId="27" xfId="15" applyFont="1" applyFill="1" applyBorder="1" applyAlignment="1">
      <alignment horizontal="center" wrapText="1"/>
    </xf>
    <xf numFmtId="9" fontId="8" fillId="10" borderId="0" xfId="4" applyFont="1" applyFill="1" applyBorder="1" applyAlignment="1">
      <alignment horizontal="center"/>
    </xf>
    <xf numFmtId="9" fontId="8" fillId="11" borderId="0" xfId="4" applyFont="1" applyFill="1" applyBorder="1" applyAlignment="1">
      <alignment horizontal="center"/>
    </xf>
    <xf numFmtId="43" fontId="7" fillId="18" borderId="63" xfId="1" applyNumberFormat="1" applyFont="1" applyFill="1" applyBorder="1" applyAlignment="1" applyProtection="1">
      <alignment horizontal="center"/>
    </xf>
    <xf numFmtId="43" fontId="7" fillId="18" borderId="64" xfId="1" applyNumberFormat="1" applyFont="1" applyFill="1" applyBorder="1" applyAlignment="1" applyProtection="1">
      <alignment horizontal="center"/>
    </xf>
    <xf numFmtId="43" fontId="7" fillId="11" borderId="63" xfId="1" applyNumberFormat="1" applyFont="1" applyFill="1" applyBorder="1" applyAlignment="1" applyProtection="1">
      <alignment horizontal="center"/>
    </xf>
    <xf numFmtId="43" fontId="7" fillId="11" borderId="64" xfId="1" applyNumberFormat="1" applyFont="1" applyFill="1" applyBorder="1" applyAlignment="1" applyProtection="1">
      <alignment horizontal="center"/>
    </xf>
    <xf numFmtId="166" fontId="7" fillId="5" borderId="11" xfId="1" applyNumberFormat="1" applyFont="1" applyFill="1" applyBorder="1" applyAlignment="1" applyProtection="1">
      <alignment horizontal="center"/>
      <protection locked="0"/>
    </xf>
    <xf numFmtId="166" fontId="7" fillId="5" borderId="17" xfId="1" applyNumberFormat="1" applyFont="1" applyFill="1" applyBorder="1" applyAlignment="1" applyProtection="1">
      <alignment horizontal="center"/>
      <protection locked="0"/>
    </xf>
    <xf numFmtId="166" fontId="7" fillId="10" borderId="63" xfId="1" applyNumberFormat="1" applyFont="1" applyFill="1" applyBorder="1" applyAlignment="1" applyProtection="1">
      <alignment horizontal="center"/>
    </xf>
    <xf numFmtId="166" fontId="7" fillId="10" borderId="64" xfId="1" applyNumberFormat="1" applyFont="1" applyFill="1" applyBorder="1" applyAlignment="1" applyProtection="1">
      <alignment horizontal="center"/>
    </xf>
    <xf numFmtId="176" fontId="7" fillId="11" borderId="63" xfId="1" applyNumberFormat="1" applyFont="1" applyFill="1" applyBorder="1" applyAlignment="1" applyProtection="1">
      <alignment horizontal="center"/>
    </xf>
    <xf numFmtId="176" fontId="7" fillId="11" borderId="64" xfId="1" applyNumberFormat="1" applyFont="1" applyFill="1" applyBorder="1" applyAlignment="1" applyProtection="1">
      <alignment horizontal="center"/>
    </xf>
    <xf numFmtId="43" fontId="7" fillId="10" borderId="63" xfId="1" applyNumberFormat="1" applyFont="1" applyFill="1" applyBorder="1" applyAlignment="1" applyProtection="1">
      <alignment horizontal="center"/>
    </xf>
    <xf numFmtId="43" fontId="7" fillId="10" borderId="64" xfId="1" applyNumberFormat="1" applyFont="1" applyFill="1" applyBorder="1" applyAlignment="1" applyProtection="1">
      <alignment horizontal="center"/>
    </xf>
    <xf numFmtId="175" fontId="7" fillId="11" borderId="63" xfId="1" applyNumberFormat="1" applyFont="1" applyFill="1" applyBorder="1" applyAlignment="1" applyProtection="1">
      <alignment horizontal="center"/>
    </xf>
    <xf numFmtId="175" fontId="7" fillId="11" borderId="64" xfId="1" applyNumberFormat="1" applyFont="1" applyFill="1" applyBorder="1" applyAlignment="1" applyProtection="1">
      <alignment horizontal="center"/>
    </xf>
    <xf numFmtId="9" fontId="7" fillId="10" borderId="63" xfId="15" applyNumberFormat="1" applyFont="1" applyFill="1" applyBorder="1" applyAlignment="1" applyProtection="1">
      <alignment horizontal="center"/>
    </xf>
    <xf numFmtId="9" fontId="7" fillId="10" borderId="64" xfId="15" applyNumberFormat="1" applyFont="1" applyFill="1" applyBorder="1" applyAlignment="1" applyProtection="1">
      <alignment horizontal="center"/>
    </xf>
    <xf numFmtId="9" fontId="7" fillId="11" borderId="63" xfId="15" applyNumberFormat="1" applyFont="1" applyFill="1" applyBorder="1" applyAlignment="1" applyProtection="1">
      <alignment horizontal="center"/>
    </xf>
    <xf numFmtId="9" fontId="7" fillId="11" borderId="64" xfId="15" applyNumberFormat="1" applyFont="1" applyFill="1" applyBorder="1" applyAlignment="1" applyProtection="1">
      <alignment horizontal="center"/>
    </xf>
    <xf numFmtId="43" fontId="8" fillId="18" borderId="63" xfId="1" applyNumberFormat="1" applyFont="1" applyFill="1" applyBorder="1" applyAlignment="1" applyProtection="1">
      <alignment horizontal="center"/>
    </xf>
    <xf numFmtId="43" fontId="8" fillId="18" borderId="64" xfId="1" applyNumberFormat="1" applyFont="1" applyFill="1" applyBorder="1" applyAlignment="1" applyProtection="1">
      <alignment horizontal="center"/>
    </xf>
    <xf numFmtId="43" fontId="8" fillId="11" borderId="63" xfId="1" applyNumberFormat="1" applyFont="1" applyFill="1" applyBorder="1" applyAlignment="1" applyProtection="1">
      <alignment horizontal="center"/>
    </xf>
    <xf numFmtId="43" fontId="8" fillId="11" borderId="64" xfId="1" applyNumberFormat="1" applyFont="1" applyFill="1" applyBorder="1" applyAlignment="1" applyProtection="1">
      <alignment horizontal="center"/>
    </xf>
    <xf numFmtId="43" fontId="7" fillId="5" borderId="63" xfId="1" applyNumberFormat="1" applyFont="1" applyFill="1" applyBorder="1" applyAlignment="1" applyProtection="1">
      <alignment horizontal="center"/>
      <protection locked="0"/>
    </xf>
    <xf numFmtId="43" fontId="7" fillId="5" borderId="64" xfId="1" applyNumberFormat="1" applyFont="1" applyFill="1" applyBorder="1" applyAlignment="1" applyProtection="1">
      <alignment horizontal="center"/>
      <protection locked="0"/>
    </xf>
    <xf numFmtId="0" fontId="8" fillId="0" borderId="56" xfId="15" applyFont="1" applyBorder="1" applyAlignment="1">
      <alignment horizontal="left"/>
    </xf>
    <xf numFmtId="0" fontId="8" fillId="0" borderId="53" xfId="15" applyFont="1" applyBorder="1" applyAlignment="1">
      <alignment horizontal="left"/>
    </xf>
    <xf numFmtId="0" fontId="8" fillId="0" borderId="49" xfId="15" applyFont="1" applyBorder="1" applyAlignment="1">
      <alignment horizontal="left"/>
    </xf>
    <xf numFmtId="49" fontId="7" fillId="0" borderId="57" xfId="0" applyNumberFormat="1" applyFont="1" applyBorder="1" applyAlignment="1" applyProtection="1">
      <alignment horizontal="left" wrapText="1"/>
      <protection locked="0"/>
    </xf>
    <xf numFmtId="49" fontId="7" fillId="0" borderId="58" xfId="0" applyNumberFormat="1" applyFont="1" applyBorder="1" applyAlignment="1" applyProtection="1">
      <alignment horizontal="left" wrapText="1"/>
      <protection locked="0"/>
    </xf>
    <xf numFmtId="49" fontId="7" fillId="0" borderId="59" xfId="0" applyNumberFormat="1" applyFont="1" applyBorder="1" applyAlignment="1" applyProtection="1">
      <alignment horizontal="left" wrapText="1"/>
      <protection locked="0"/>
    </xf>
    <xf numFmtId="49" fontId="7" fillId="0" borderId="24" xfId="0" applyNumberFormat="1" applyFont="1" applyBorder="1" applyAlignment="1" applyProtection="1">
      <alignment horizontal="left" wrapText="1"/>
      <protection locked="0"/>
    </xf>
    <xf numFmtId="49" fontId="7" fillId="0" borderId="17" xfId="0" applyNumberFormat="1" applyFont="1" applyBorder="1" applyAlignment="1" applyProtection="1">
      <alignment horizontal="left" wrapText="1"/>
      <protection locked="0"/>
    </xf>
    <xf numFmtId="49" fontId="7" fillId="0" borderId="25" xfId="0" applyNumberFormat="1" applyFont="1" applyBorder="1" applyAlignment="1" applyProtection="1">
      <alignment horizontal="left" wrapText="1"/>
      <protection locked="0"/>
    </xf>
    <xf numFmtId="0" fontId="8" fillId="0" borderId="24" xfId="0" applyFont="1" applyBorder="1" applyAlignment="1" applyProtection="1">
      <alignment horizontal="left"/>
    </xf>
    <xf numFmtId="0" fontId="8" fillId="0" borderId="17" xfId="0" applyFont="1" applyBorder="1" applyAlignment="1" applyProtection="1">
      <alignment horizontal="left"/>
    </xf>
    <xf numFmtId="0" fontId="8" fillId="0" borderId="25" xfId="0" applyFont="1" applyBorder="1" applyAlignment="1" applyProtection="1">
      <alignment horizontal="left"/>
    </xf>
    <xf numFmtId="49" fontId="7" fillId="0" borderId="3" xfId="0" applyNumberFormat="1" applyFont="1" applyBorder="1" applyAlignment="1" applyProtection="1">
      <alignment horizontal="left" wrapText="1"/>
      <protection locked="0"/>
    </xf>
    <xf numFmtId="49" fontId="7" fillId="0" borderId="4" xfId="0" applyNumberFormat="1" applyFont="1" applyBorder="1" applyAlignment="1" applyProtection="1">
      <alignment horizontal="left" wrapText="1"/>
      <protection locked="0"/>
    </xf>
    <xf numFmtId="49" fontId="7" fillId="0" borderId="5" xfId="0" applyNumberFormat="1" applyFont="1" applyBorder="1" applyAlignment="1" applyProtection="1">
      <alignment horizontal="left" wrapText="1"/>
      <protection locked="0"/>
    </xf>
    <xf numFmtId="0" fontId="16" fillId="14" borderId="11" xfId="0" applyFont="1" applyFill="1" applyBorder="1" applyAlignment="1">
      <alignment horizontal="center" wrapText="1"/>
    </xf>
    <xf numFmtId="0" fontId="16" fillId="14" borderId="17" xfId="0" applyFont="1" applyFill="1" applyBorder="1" applyAlignment="1">
      <alignment horizontal="center" wrapText="1"/>
    </xf>
    <xf numFmtId="0" fontId="16" fillId="14" borderId="20" xfId="0" applyFont="1" applyFill="1" applyBorder="1" applyAlignment="1">
      <alignment horizontal="center" wrapText="1"/>
    </xf>
    <xf numFmtId="0" fontId="7" fillId="0" borderId="11" xfId="0" applyFont="1" applyBorder="1" applyAlignment="1">
      <alignment horizontal="center"/>
    </xf>
    <xf numFmtId="0" fontId="7" fillId="0" borderId="17"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7" fillId="0" borderId="25"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7" fillId="0" borderId="27" xfId="0" applyFont="1" applyBorder="1" applyAlignment="1">
      <alignment horizontal="center"/>
    </xf>
    <xf numFmtId="0" fontId="8" fillId="14" borderId="50" xfId="0" applyFont="1" applyFill="1" applyBorder="1" applyAlignment="1">
      <alignment horizontal="center" vertical="center"/>
    </xf>
    <xf numFmtId="0" fontId="8" fillId="14" borderId="51" xfId="0" applyFont="1" applyFill="1" applyBorder="1" applyAlignment="1">
      <alignment horizontal="center" vertical="center"/>
    </xf>
    <xf numFmtId="0" fontId="8" fillId="14" borderId="55" xfId="0" applyFont="1" applyFill="1" applyBorder="1" applyAlignment="1">
      <alignment horizontal="center" vertical="center"/>
    </xf>
    <xf numFmtId="0" fontId="8" fillId="14" borderId="26" xfId="0" applyFont="1" applyFill="1" applyBorder="1" applyAlignment="1">
      <alignment horizontal="center" vertical="center"/>
    </xf>
    <xf numFmtId="0" fontId="8" fillId="14" borderId="16" xfId="0" applyFont="1" applyFill="1" applyBorder="1" applyAlignment="1">
      <alignment horizontal="center" vertical="center"/>
    </xf>
    <xf numFmtId="0" fontId="8" fillId="0" borderId="0" xfId="0" applyFont="1" applyAlignment="1">
      <alignment horizontal="left" wrapText="1"/>
    </xf>
    <xf numFmtId="0" fontId="0" fillId="4" borderId="11" xfId="0" applyFill="1" applyBorder="1" applyAlignment="1">
      <alignment horizontal="center"/>
    </xf>
    <xf numFmtId="0" fontId="0" fillId="4" borderId="20" xfId="0" applyFill="1" applyBorder="1" applyAlignment="1">
      <alignment horizontal="center"/>
    </xf>
    <xf numFmtId="0" fontId="0" fillId="3" borderId="11" xfId="0" applyFill="1" applyBorder="1" applyAlignment="1">
      <alignment horizontal="center"/>
    </xf>
    <xf numFmtId="0" fontId="0" fillId="3" borderId="20" xfId="0" applyFill="1" applyBorder="1" applyAlignment="1">
      <alignment horizontal="center"/>
    </xf>
    <xf numFmtId="0" fontId="8" fillId="14" borderId="0" xfId="0" applyFont="1" applyFill="1" applyBorder="1" applyAlignment="1">
      <alignment horizontal="center" vertical="center"/>
    </xf>
    <xf numFmtId="0" fontId="0" fillId="10" borderId="11" xfId="0" applyFill="1" applyBorder="1" applyAlignment="1">
      <alignment horizontal="center"/>
    </xf>
    <xf numFmtId="0" fontId="0" fillId="10" borderId="20" xfId="0" applyFill="1" applyBorder="1" applyAlignment="1">
      <alignment horizontal="center"/>
    </xf>
    <xf numFmtId="0" fontId="0" fillId="13" borderId="11" xfId="0" applyFill="1" applyBorder="1" applyAlignment="1">
      <alignment horizontal="center"/>
    </xf>
    <xf numFmtId="0" fontId="0" fillId="13" borderId="25" xfId="0" applyFill="1" applyBorder="1" applyAlignment="1">
      <alignment horizontal="center"/>
    </xf>
    <xf numFmtId="0" fontId="8" fillId="14" borderId="56" xfId="0" applyFont="1" applyFill="1" applyBorder="1" applyAlignment="1">
      <alignment horizontal="center"/>
    </xf>
    <xf numFmtId="0" fontId="8" fillId="14" borderId="53" xfId="0" applyFont="1" applyFill="1" applyBorder="1" applyAlignment="1">
      <alignment horizontal="center"/>
    </xf>
    <xf numFmtId="0" fontId="8" fillId="14" borderId="8" xfId="0" applyFont="1" applyFill="1" applyBorder="1" applyAlignment="1">
      <alignment horizontal="center"/>
    </xf>
    <xf numFmtId="0" fontId="7" fillId="0" borderId="1" xfId="0" applyFont="1" applyBorder="1" applyAlignment="1">
      <alignment horizontal="left"/>
    </xf>
    <xf numFmtId="0" fontId="7" fillId="0" borderId="0" xfId="0" applyFont="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7" fillId="0" borderId="57" xfId="0" applyFont="1" applyFill="1" applyBorder="1" applyAlignment="1">
      <alignment horizontal="left" wrapText="1"/>
    </xf>
    <xf numFmtId="0" fontId="7" fillId="0" borderId="58" xfId="0" applyFont="1" applyFill="1" applyBorder="1" applyAlignment="1">
      <alignment horizontal="left" wrapText="1"/>
    </xf>
    <xf numFmtId="0" fontId="7" fillId="0" borderId="59" xfId="0" applyFont="1" applyFill="1" applyBorder="1" applyAlignment="1">
      <alignment horizontal="left" wrapText="1"/>
    </xf>
    <xf numFmtId="0" fontId="7" fillId="0" borderId="14" xfId="0" applyFont="1" applyBorder="1" applyAlignment="1">
      <alignment horizontal="left"/>
    </xf>
    <xf numFmtId="0" fontId="7" fillId="0" borderId="2" xfId="0" applyFont="1" applyBorder="1" applyAlignment="1">
      <alignment horizontal="left"/>
    </xf>
    <xf numFmtId="0" fontId="7" fillId="0" borderId="32" xfId="0" applyFont="1" applyBorder="1" applyAlignment="1">
      <alignment horizontal="left"/>
    </xf>
    <xf numFmtId="0" fontId="7" fillId="0" borderId="5" xfId="0" applyFont="1" applyBorder="1" applyAlignment="1">
      <alignment horizontal="left"/>
    </xf>
    <xf numFmtId="0" fontId="7" fillId="0" borderId="26" xfId="0" applyFont="1" applyBorder="1" applyAlignment="1">
      <alignment horizontal="left" wrapText="1"/>
    </xf>
    <xf numFmtId="0" fontId="7" fillId="0" borderId="16" xfId="0" applyFont="1" applyBorder="1" applyAlignment="1">
      <alignment horizontal="left" wrapText="1"/>
    </xf>
    <xf numFmtId="0" fontId="7" fillId="0" borderId="26" xfId="0" applyFont="1" applyBorder="1" applyAlignment="1">
      <alignment horizontal="left"/>
    </xf>
    <xf numFmtId="0" fontId="7" fillId="0" borderId="16" xfId="0" applyFont="1" applyBorder="1" applyAlignment="1">
      <alignment horizontal="left"/>
    </xf>
    <xf numFmtId="0" fontId="7" fillId="0" borderId="57" xfId="0" applyFont="1" applyBorder="1" applyAlignment="1">
      <alignment horizontal="left" wrapText="1"/>
    </xf>
    <xf numFmtId="0" fontId="7" fillId="0" borderId="58" xfId="0" applyFont="1" applyBorder="1" applyAlignment="1">
      <alignment horizontal="left" wrapText="1"/>
    </xf>
    <xf numFmtId="0" fontId="7" fillId="0" borderId="59" xfId="0" applyFont="1" applyBorder="1" applyAlignment="1">
      <alignment horizontal="left" wrapText="1"/>
    </xf>
    <xf numFmtId="0" fontId="7" fillId="0" borderId="28" xfId="0" applyFont="1" applyBorder="1" applyAlignment="1">
      <alignment horizontal="left" wrapText="1"/>
    </xf>
    <xf numFmtId="0" fontId="7" fillId="0" borderId="18" xfId="0" applyFont="1" applyBorder="1" applyAlignment="1">
      <alignment horizontal="left" wrapText="1"/>
    </xf>
    <xf numFmtId="0" fontId="7" fillId="0" borderId="19" xfId="0" applyFont="1" applyBorder="1" applyAlignment="1">
      <alignment horizontal="left" wrapText="1"/>
    </xf>
    <xf numFmtId="0" fontId="8" fillId="14" borderId="49" xfId="0" applyFont="1" applyFill="1" applyBorder="1" applyAlignment="1">
      <alignment horizontal="center"/>
    </xf>
    <xf numFmtId="0" fontId="7" fillId="0" borderId="5" xfId="0" applyFont="1" applyBorder="1" applyAlignment="1">
      <alignment horizontal="left" wrapText="1"/>
    </xf>
    <xf numFmtId="0" fontId="7" fillId="0" borderId="1" xfId="0" applyFont="1" applyBorder="1" applyAlignment="1">
      <alignment horizontal="left" wrapText="1"/>
    </xf>
    <xf numFmtId="0" fontId="7" fillId="0" borderId="0" xfId="0" applyFont="1" applyBorder="1" applyAlignment="1">
      <alignment horizontal="left" wrapText="1"/>
    </xf>
    <xf numFmtId="0" fontId="7" fillId="0" borderId="2" xfId="0" applyFont="1" applyBorder="1" applyAlignment="1">
      <alignment horizontal="left" wrapText="1"/>
    </xf>
    <xf numFmtId="0" fontId="8" fillId="14" borderId="56" xfId="0" applyFont="1" applyFill="1" applyBorder="1" applyAlignment="1">
      <alignment horizontal="center" wrapText="1"/>
    </xf>
    <xf numFmtId="0" fontId="8" fillId="14" borderId="53" xfId="0" applyFont="1" applyFill="1" applyBorder="1" applyAlignment="1">
      <alignment horizontal="center" wrapText="1"/>
    </xf>
    <xf numFmtId="0" fontId="8" fillId="14" borderId="49" xfId="0" applyFont="1" applyFill="1" applyBorder="1" applyAlignment="1">
      <alignment horizontal="center" wrapText="1"/>
    </xf>
    <xf numFmtId="0" fontId="65" fillId="14" borderId="50" xfId="0" applyFont="1" applyFill="1" applyBorder="1" applyAlignment="1">
      <alignment horizontal="center" vertical="center"/>
    </xf>
    <xf numFmtId="0" fontId="65" fillId="14" borderId="51" xfId="0" applyFont="1" applyFill="1" applyBorder="1" applyAlignment="1">
      <alignment horizontal="center" vertical="center"/>
    </xf>
    <xf numFmtId="0" fontId="65" fillId="14" borderId="55" xfId="0" applyFont="1" applyFill="1" applyBorder="1" applyAlignment="1">
      <alignment horizontal="center" vertical="center"/>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5" xfId="0" applyFont="1" applyBorder="1" applyAlignment="1">
      <alignment horizontal="left" vertical="center" wrapText="1"/>
    </xf>
    <xf numFmtId="0" fontId="8" fillId="14" borderId="54" xfId="0" applyFont="1" applyFill="1" applyBorder="1" applyAlignment="1">
      <alignment horizontal="left"/>
    </xf>
    <xf numFmtId="0" fontId="8" fillId="14" borderId="49" xfId="0" applyFont="1" applyFill="1" applyBorder="1" applyAlignment="1">
      <alignment horizontal="left"/>
    </xf>
    <xf numFmtId="0" fontId="8" fillId="14" borderId="56" xfId="0" applyFont="1" applyFill="1" applyBorder="1" applyAlignment="1">
      <alignment horizontal="left" vertical="center" wrapText="1"/>
    </xf>
    <xf numFmtId="0" fontId="8" fillId="14" borderId="53" xfId="0" applyFont="1" applyFill="1" applyBorder="1" applyAlignment="1">
      <alignment horizontal="left" vertical="center" wrapText="1"/>
    </xf>
    <xf numFmtId="0" fontId="8" fillId="14" borderId="49" xfId="0" applyFont="1" applyFill="1" applyBorder="1" applyAlignment="1">
      <alignment horizontal="left" vertical="center" wrapText="1"/>
    </xf>
    <xf numFmtId="0" fontId="7" fillId="0" borderId="24" xfId="0" applyFont="1" applyFill="1" applyBorder="1" applyAlignment="1">
      <alignment horizontal="left"/>
    </xf>
    <xf numFmtId="0" fontId="7" fillId="0" borderId="17" xfId="0" applyFont="1" applyFill="1" applyBorder="1" applyAlignment="1">
      <alignment horizontal="left"/>
    </xf>
    <xf numFmtId="0" fontId="7" fillId="0" borderId="25" xfId="0" applyFont="1" applyFill="1" applyBorder="1" applyAlignment="1">
      <alignment horizontal="left"/>
    </xf>
    <xf numFmtId="0" fontId="8" fillId="14" borderId="27" xfId="0" applyFont="1" applyFill="1" applyBorder="1" applyAlignment="1">
      <alignment horizontal="center"/>
    </xf>
    <xf numFmtId="0" fontId="10" fillId="14" borderId="26" xfId="0" applyFont="1" applyFill="1" applyBorder="1" applyAlignment="1">
      <alignment horizontal="center" wrapText="1"/>
    </xf>
    <xf numFmtId="0" fontId="10" fillId="14" borderId="16" xfId="0" applyFont="1" applyFill="1" applyBorder="1" applyAlignment="1">
      <alignment horizontal="center" wrapText="1"/>
    </xf>
    <xf numFmtId="0" fontId="7" fillId="0" borderId="23" xfId="0" applyFont="1" applyBorder="1" applyAlignment="1">
      <alignment horizontal="left"/>
    </xf>
    <xf numFmtId="0" fontId="7" fillId="0" borderId="19" xfId="0" applyFont="1" applyBorder="1" applyAlignment="1">
      <alignment horizontal="left"/>
    </xf>
    <xf numFmtId="9" fontId="10" fillId="11" borderId="19" xfId="0" applyNumberFormat="1" applyFont="1" applyFill="1" applyBorder="1" applyAlignment="1" applyProtection="1">
      <alignment horizontal="center" wrapText="1"/>
    </xf>
    <xf numFmtId="9" fontId="15" fillId="11" borderId="2" xfId="0" applyNumberFormat="1" applyFont="1" applyFill="1" applyBorder="1" applyAlignment="1" applyProtection="1">
      <alignment horizontal="center" wrapText="1"/>
    </xf>
    <xf numFmtId="9" fontId="10" fillId="3" borderId="19" xfId="0" applyNumberFormat="1" applyFont="1" applyFill="1" applyBorder="1" applyAlignment="1" applyProtection="1">
      <alignment horizontal="center" wrapText="1"/>
    </xf>
    <xf numFmtId="9" fontId="15" fillId="3" borderId="2" xfId="0" applyNumberFormat="1" applyFont="1" applyFill="1" applyBorder="1" applyAlignment="1" applyProtection="1">
      <alignment horizontal="center" wrapText="1"/>
    </xf>
  </cellXfs>
  <cellStyles count="50">
    <cellStyle name="Comma" xfId="1" builtinId="3"/>
    <cellStyle name="Comma 2" xfId="2"/>
    <cellStyle name="Comma 2 2" xfId="16"/>
    <cellStyle name="Comma 2 3" xfId="29"/>
    <cellStyle name="Currency" xfId="41" builtinId="4"/>
    <cellStyle name="Hyperlink" xfId="49" builtinId="8"/>
    <cellStyle name="Normal" xfId="0" builtinId="0"/>
    <cellStyle name="Normal 10" xfId="13"/>
    <cellStyle name="Normal 10 2" xfId="17"/>
    <cellStyle name="Normal 10 3" xfId="30"/>
    <cellStyle name="Normal 10 4" xfId="48"/>
    <cellStyle name="Normal 11" xfId="14"/>
    <cellStyle name="Normal 11 2" xfId="18"/>
    <cellStyle name="Normal 11 3" xfId="31"/>
    <cellStyle name="Normal 11 4" xfId="47"/>
    <cellStyle name="Normal 12" xfId="15"/>
    <cellStyle name="Normal 13" xfId="28"/>
    <cellStyle name="Normal 2" xfId="3"/>
    <cellStyle name="Normal 2 2" xfId="19"/>
    <cellStyle name="Normal 2 3" xfId="32"/>
    <cellStyle name="Normal 3" xfId="6"/>
    <cellStyle name="Normal 3 2" xfId="20"/>
    <cellStyle name="Normal 3 3" xfId="33"/>
    <cellStyle name="Normal 3 4" xfId="43"/>
    <cellStyle name="Normal 4" xfId="7"/>
    <cellStyle name="Normal 4 2" xfId="21"/>
    <cellStyle name="Normal 4 3" xfId="34"/>
    <cellStyle name="Normal 5" xfId="8"/>
    <cellStyle name="Normal 5 2" xfId="22"/>
    <cellStyle name="Normal 5 3" xfId="35"/>
    <cellStyle name="Normal 5 4" xfId="44"/>
    <cellStyle name="Normal 6" xfId="9"/>
    <cellStyle name="Normal 6 2" xfId="23"/>
    <cellStyle name="Normal 6 3" xfId="36"/>
    <cellStyle name="Normal 6 4" xfId="45"/>
    <cellStyle name="Normal 7" xfId="10"/>
    <cellStyle name="Normal 7 2" xfId="24"/>
    <cellStyle name="Normal 7 3" xfId="37"/>
    <cellStyle name="Normal 7 4" xfId="46"/>
    <cellStyle name="Normal 8" xfId="11"/>
    <cellStyle name="Normal 8 2" xfId="25"/>
    <cellStyle name="Normal 8 3" xfId="38"/>
    <cellStyle name="Normal 9" xfId="12"/>
    <cellStyle name="Normal 9 2" xfId="26"/>
    <cellStyle name="Normal 9 3" xfId="39"/>
    <cellStyle name="Normal 9 4" xfId="42"/>
    <cellStyle name="Percent" xfId="4" builtinId="5"/>
    <cellStyle name="Percent 2" xfId="5"/>
    <cellStyle name="Percent 2 2" xfId="27"/>
    <cellStyle name="Percent 2 3" xfId="40"/>
  </cellStyles>
  <dxfs count="32">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FFFFCC"/>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ck/AppData/Local/Microsoft/Windows/Temporary%20Internet%20Files/Content.Outlook/M6EW25UH/SOG%20Dairy%20Calculator%20V1.1%2010-25-10%20--%20Clea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Page"/>
      <sheetName val="Application Setup"/>
      <sheetName val="Chosen Parameters-Part I"/>
      <sheetName val="Chosen Parameters-Part II"/>
      <sheetName val="Chosen Parameters-Part III"/>
      <sheetName val="Chosen Parameters-Part IV"/>
      <sheetName val="Results Table-Part I"/>
      <sheetName val="Results Table-Part II"/>
      <sheetName val="Results Table-Part III"/>
      <sheetName val="Results Table-Part IV"/>
      <sheetName val="Step 1 -- Herd Profile"/>
      <sheetName val="Step 2--Cull Rates"/>
      <sheetName val="Step 3--Lactation Profile"/>
      <sheetName val="Step 4--Breeding &amp; Health"/>
      <sheetName val="Step 5--Total Production"/>
      <sheetName val="Step 6--DMI Required"/>
      <sheetName val="Step 7a--Feedstuff Required"/>
      <sheetName val="Step 7b--Feedstuff Required"/>
      <sheetName val="Step 8a--DMI Worksheet"/>
      <sheetName val="Step 8b--DMI Worksheet"/>
      <sheetName val="Step 9a--Daily DMI Rations"/>
      <sheetName val="Step 9b--Daily DMI Rations"/>
      <sheetName val="Step 10a--Required Acres"/>
      <sheetName val="Step 10b--Required Acres"/>
      <sheetName val="Step 11a--Inputs"/>
      <sheetName val="Step 11b--Inputs"/>
      <sheetName val="Step 11a--Inputs Detail"/>
      <sheetName val="Step 11b--Inputs Detail"/>
      <sheetName val="Step 12--Dietary Intake"/>
      <sheetName val="Step 13a--Nutrient Excretions"/>
      <sheetName val="Step 13b--Nutrient Excretions"/>
      <sheetName val="Step 14a-Greenhouse Gas Factors"/>
      <sheetName val="Step 14b-Greenhouse Gas Factors"/>
      <sheetName val="Step 15a--CH4 Emissions"/>
      <sheetName val="Step 15b--CH4 Emissions"/>
      <sheetName val="App A-Formula Sources"/>
      <sheetName val="Options"/>
      <sheetName val="Defaul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0">
          <cell r="B20" t="str">
            <v>[add forage crop here]</v>
          </cell>
        </row>
        <row r="22">
          <cell r="B22" t="str">
            <v>[add forage crop here]</v>
          </cell>
        </row>
        <row r="24">
          <cell r="B24" t="str">
            <v>[add forage crop here]</v>
          </cell>
        </row>
        <row r="38">
          <cell r="B38" t="str">
            <v>[add grain crop here]</v>
          </cell>
        </row>
        <row r="40">
          <cell r="B40" t="str">
            <v>[add grain crop here]</v>
          </cell>
        </row>
        <row r="42">
          <cell r="B42" t="str">
            <v>[add grain crop here]</v>
          </cell>
        </row>
        <row r="52">
          <cell r="B52" t="str">
            <v>[add protein source here]</v>
          </cell>
        </row>
        <row r="54">
          <cell r="B54" t="str">
            <v>[add protein source here]</v>
          </cell>
        </row>
        <row r="56">
          <cell r="B56" t="str">
            <v>[add protein source here]</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rganic-center.org/SOG_Hom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5:N23"/>
  <sheetViews>
    <sheetView showGridLines="0" tabSelected="1" zoomScale="85" zoomScaleNormal="85" workbookViewId="0">
      <selection activeCell="H76" sqref="H76"/>
    </sheetView>
  </sheetViews>
  <sheetFormatPr defaultRowHeight="12.75"/>
  <cols>
    <col min="1" max="1" width="9.140625" customWidth="1"/>
  </cols>
  <sheetData>
    <row r="5" spans="1:14" ht="28.5" customHeight="1">
      <c r="A5" s="3886" t="s">
        <v>1081</v>
      </c>
      <c r="B5" s="3886"/>
      <c r="C5" s="3886"/>
      <c r="D5" s="3886"/>
      <c r="E5" s="3886"/>
      <c r="F5" s="3886"/>
      <c r="G5" s="3886"/>
      <c r="H5" s="3886"/>
      <c r="I5" s="3886"/>
      <c r="J5" s="3886"/>
      <c r="K5" s="3886"/>
      <c r="L5" s="3886"/>
      <c r="M5" s="3886"/>
      <c r="N5" s="3487"/>
    </row>
    <row r="6" spans="1:14" ht="12.75" customHeight="1">
      <c r="B6" s="3486"/>
      <c r="C6" s="3486"/>
      <c r="D6" s="3486"/>
      <c r="E6" s="3486"/>
      <c r="F6" s="3486"/>
      <c r="G6" s="3486"/>
      <c r="H6" s="3486"/>
      <c r="I6" s="3486"/>
      <c r="J6" s="3486"/>
      <c r="K6" s="3486"/>
      <c r="L6" s="3486"/>
      <c r="M6" s="3486"/>
      <c r="N6" s="3486"/>
    </row>
    <row r="10" spans="1:14">
      <c r="B10" s="3887" t="s">
        <v>1082</v>
      </c>
      <c r="C10" s="3887"/>
      <c r="D10" s="3887"/>
      <c r="E10" s="3887"/>
      <c r="F10" s="3887"/>
      <c r="G10" s="3887"/>
      <c r="H10" s="3887"/>
      <c r="I10" s="3887"/>
      <c r="J10" s="3887"/>
      <c r="K10" s="3887"/>
      <c r="L10" s="3887"/>
    </row>
    <row r="11" spans="1:14">
      <c r="C11" s="20"/>
      <c r="D11" s="20"/>
      <c r="E11" s="20"/>
      <c r="F11" s="20"/>
      <c r="G11" s="20"/>
      <c r="H11" s="20"/>
      <c r="I11" s="20"/>
      <c r="J11" s="20"/>
      <c r="K11" s="20"/>
      <c r="L11" s="20"/>
    </row>
    <row r="12" spans="1:14">
      <c r="B12" s="3888">
        <v>40492</v>
      </c>
      <c r="C12" s="3888"/>
      <c r="D12" s="3888"/>
      <c r="E12" s="3888"/>
      <c r="F12" s="3888"/>
      <c r="G12" s="3888"/>
      <c r="H12" s="3888"/>
      <c r="I12" s="3888"/>
      <c r="J12" s="3888"/>
      <c r="K12" s="3888"/>
      <c r="L12" s="3888"/>
    </row>
    <row r="22" spans="2:10" ht="15.75">
      <c r="B22" s="3485" t="s">
        <v>1083</v>
      </c>
      <c r="J22" s="21" t="s">
        <v>1374</v>
      </c>
    </row>
    <row r="23" spans="2:10" ht="15.75">
      <c r="B23" s="3485" t="s">
        <v>1084</v>
      </c>
      <c r="J23" s="3707" t="s">
        <v>1373</v>
      </c>
    </row>
  </sheetData>
  <sheetProtection password="E0BE" sheet="1" objects="1" scenarios="1"/>
  <mergeCells count="3">
    <mergeCell ref="A5:M5"/>
    <mergeCell ref="B10:L10"/>
    <mergeCell ref="B12:L12"/>
  </mergeCells>
  <hyperlinks>
    <hyperlink ref="J23" r:id="rId1"/>
  </hyperlinks>
  <printOptions horizontalCentered="1"/>
  <pageMargins left="0.7" right="0.7" top="0.75" bottom="0.75" header="0.3" footer="0.3"/>
  <pageSetup orientation="landscape" horizontalDpi="4294967293" verticalDpi="1200" r:id="rId2"/>
</worksheet>
</file>

<file path=xl/worksheets/sheet10.xml><?xml version="1.0" encoding="utf-8"?>
<worksheet xmlns="http://schemas.openxmlformats.org/spreadsheetml/2006/main" xmlns:r="http://schemas.openxmlformats.org/officeDocument/2006/relationships">
  <sheetPr>
    <pageSetUpPr fitToPage="1"/>
  </sheetPr>
  <dimension ref="A1:AC64"/>
  <sheetViews>
    <sheetView topLeftCell="A4" zoomScale="85" zoomScaleNormal="85" workbookViewId="0">
      <selection activeCell="Q15" sqref="Q15"/>
    </sheetView>
  </sheetViews>
  <sheetFormatPr defaultRowHeight="12.75"/>
  <cols>
    <col min="1" max="1" width="31.7109375" customWidth="1"/>
    <col min="2" max="2" width="1.42578125" customWidth="1"/>
    <col min="3" max="3" width="9.85546875" customWidth="1"/>
    <col min="4" max="5" width="5.7109375" customWidth="1"/>
    <col min="6" max="6" width="9.85546875" customWidth="1"/>
    <col min="7" max="7" width="11.7109375" customWidth="1"/>
    <col min="8" max="9" width="1.425781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42578125" customWidth="1"/>
    <col min="24" max="24" width="9.85546875" customWidth="1"/>
    <col min="25" max="26" width="5.7109375" customWidth="1"/>
    <col min="27" max="27" width="9.85546875" customWidth="1"/>
    <col min="28" max="28" width="11.7109375" customWidth="1"/>
    <col min="29" max="29" width="1.42578125" customWidth="1"/>
  </cols>
  <sheetData>
    <row r="1" spans="1:29" s="1701"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8"/>
    </row>
    <row r="2" spans="1:29" ht="30" customHeight="1">
      <c r="A2" s="3967" t="s">
        <v>1487</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9"/>
    </row>
    <row r="3" spans="1:29" ht="21.75" customHeight="1">
      <c r="A3" s="265"/>
      <c r="B3" s="3999" t="str">
        <f>'Chosen Parameters-Part I'!$B$4</f>
        <v>Scenario 1</v>
      </c>
      <c r="C3" s="4000"/>
      <c r="D3" s="4000"/>
      <c r="E3" s="4000"/>
      <c r="F3" s="4000"/>
      <c r="G3" s="4000"/>
      <c r="H3" s="4001"/>
      <c r="I3" s="4002" t="str">
        <f>'Chosen Parameters-Part I'!$C$4</f>
        <v>Scenario 2</v>
      </c>
      <c r="J3" s="4003"/>
      <c r="K3" s="4003"/>
      <c r="L3" s="4003"/>
      <c r="M3" s="4003"/>
      <c r="N3" s="4003"/>
      <c r="O3" s="4004"/>
      <c r="P3" s="4005" t="str">
        <f>'Chosen Parameters-Part I'!$D$4</f>
        <v>Scenario 3</v>
      </c>
      <c r="Q3" s="4006"/>
      <c r="R3" s="4006"/>
      <c r="S3" s="4006"/>
      <c r="T3" s="4006"/>
      <c r="U3" s="4006"/>
      <c r="V3" s="2029"/>
      <c r="W3" s="4007" t="str">
        <f>'Chosen Parameters-Part I'!$E$4</f>
        <v>Scenario 4</v>
      </c>
      <c r="X3" s="4008"/>
      <c r="Y3" s="4008"/>
      <c r="Z3" s="4008"/>
      <c r="AA3" s="4008"/>
      <c r="AB3" s="4008"/>
      <c r="AC3" s="4009"/>
    </row>
    <row r="4" spans="1:29" ht="36" customHeight="1">
      <c r="A4" s="266"/>
      <c r="B4" s="3983" t="str">
        <f>'Application Setup'!$B$4</f>
        <v>Intensive Conventional Management with Holsteins and rbST</v>
      </c>
      <c r="C4" s="3984"/>
      <c r="D4" s="3984"/>
      <c r="E4" s="3984"/>
      <c r="F4" s="3984"/>
      <c r="G4" s="3984"/>
      <c r="H4" s="3985"/>
      <c r="I4" s="3986" t="str">
        <f>'Application Setup'!$B$5</f>
        <v>Conventional Management, Holsteins</v>
      </c>
      <c r="J4" s="3987"/>
      <c r="K4" s="3987"/>
      <c r="L4" s="3987"/>
      <c r="M4" s="3987"/>
      <c r="N4" s="3987"/>
      <c r="O4" s="3988"/>
      <c r="P4" s="3989" t="str">
        <f>'Application Setup'!$B$6</f>
        <v>Intensive Organic Management, Holsteins</v>
      </c>
      <c r="Q4" s="3990"/>
      <c r="R4" s="3990"/>
      <c r="S4" s="3990"/>
      <c r="T4" s="3990"/>
      <c r="U4" s="3990"/>
      <c r="V4" s="3991"/>
      <c r="W4" s="3992" t="str">
        <f>'Application Setup'!$B$7</f>
        <v>Pasture-Based Organic, Jersey Cows</v>
      </c>
      <c r="X4" s="3993"/>
      <c r="Y4" s="3993"/>
      <c r="Z4" s="3993"/>
      <c r="AA4" s="3993"/>
      <c r="AB4" s="3993"/>
      <c r="AC4" s="3994"/>
    </row>
    <row r="5" spans="1:29" ht="32.25" customHeight="1">
      <c r="A5" s="3958" t="s">
        <v>475</v>
      </c>
      <c r="B5" s="3959"/>
      <c r="C5" s="3959"/>
      <c r="D5" s="3959"/>
      <c r="E5" s="3959"/>
      <c r="F5" s="3959"/>
      <c r="G5" s="3959"/>
      <c r="H5" s="3959"/>
      <c r="I5" s="3959"/>
      <c r="J5" s="3959"/>
      <c r="K5" s="3959"/>
      <c r="L5" s="3959"/>
      <c r="M5" s="3959"/>
      <c r="N5" s="3959"/>
      <c r="O5" s="3959"/>
      <c r="P5" s="3959"/>
      <c r="Q5" s="3959"/>
      <c r="R5" s="3959"/>
      <c r="S5" s="3959"/>
      <c r="T5" s="3959"/>
      <c r="U5" s="3959"/>
      <c r="V5" s="3959"/>
      <c r="W5" s="3959"/>
      <c r="X5" s="3959"/>
      <c r="Y5" s="3959"/>
      <c r="Z5" s="3959"/>
      <c r="AA5" s="3959"/>
      <c r="AB5" s="3959"/>
      <c r="AC5" s="3960"/>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1106" t="s">
        <v>262</v>
      </c>
      <c r="B7" s="358"/>
      <c r="C7" s="382"/>
      <c r="D7" s="382"/>
      <c r="E7" s="382"/>
      <c r="F7" s="628" t="s">
        <v>94</v>
      </c>
      <c r="G7" s="382"/>
      <c r="H7" s="382"/>
      <c r="I7" s="360"/>
      <c r="J7" s="96"/>
      <c r="K7" s="96"/>
      <c r="L7" s="96"/>
      <c r="M7" s="629" t="s">
        <v>94</v>
      </c>
      <c r="N7" s="96"/>
      <c r="O7" s="96"/>
      <c r="P7" s="493"/>
      <c r="Q7" s="494"/>
      <c r="R7" s="494"/>
      <c r="S7" s="494"/>
      <c r="T7" s="630" t="s">
        <v>94</v>
      </c>
      <c r="U7" s="494"/>
      <c r="V7" s="495"/>
      <c r="W7" s="496"/>
      <c r="X7" s="496"/>
      <c r="Y7" s="496"/>
      <c r="Z7" s="496"/>
      <c r="AA7" s="631" t="s">
        <v>94</v>
      </c>
      <c r="AB7" s="496"/>
      <c r="AC7" s="497"/>
    </row>
    <row r="8" spans="1:29">
      <c r="A8" s="209" t="s">
        <v>1634</v>
      </c>
      <c r="B8" s="358"/>
      <c r="C8" s="322"/>
      <c r="D8" s="322"/>
      <c r="E8" s="382"/>
      <c r="F8" s="1095">
        <f>F1_Methane_Enteric_Lact_Cow_Day_kg/F1_Unadjusted_Milk_Production_kg_day</f>
        <v>1.3678392774594384E-2</v>
      </c>
      <c r="G8" s="186" t="s">
        <v>239</v>
      </c>
      <c r="H8" s="382"/>
      <c r="I8" s="360"/>
      <c r="J8" s="104"/>
      <c r="K8" s="104"/>
      <c r="L8" s="96"/>
      <c r="M8" s="1093">
        <f>F2_Methane_Enteric_Lact_Cow_Day_kg/F2_Unadjusted_Milk_Production_kg_day</f>
        <v>1.4567176265076514E-2</v>
      </c>
      <c r="N8" s="44" t="s">
        <v>239</v>
      </c>
      <c r="O8" s="96"/>
      <c r="P8" s="493"/>
      <c r="Q8" s="591"/>
      <c r="R8" s="591"/>
      <c r="S8" s="494"/>
      <c r="T8" s="1105">
        <f>F3_Methane_Enteric_Lact_Cow_Day_kg/F3_Unadjusted_Milk_Production_kg_day</f>
        <v>1.6145716216093831E-2</v>
      </c>
      <c r="U8" s="511" t="s">
        <v>239</v>
      </c>
      <c r="V8" s="495"/>
      <c r="W8" s="496"/>
      <c r="X8" s="593"/>
      <c r="Y8" s="593"/>
      <c r="Z8" s="496"/>
      <c r="AA8" s="1104">
        <f>F4_Methane_Enteric_Lact_Cow_Day_kg/F4_Unadjusted_Milk_Production_kg_day</f>
        <v>1.6829498216189356E-2</v>
      </c>
      <c r="AB8" s="465" t="s">
        <v>239</v>
      </c>
      <c r="AC8" s="497"/>
    </row>
    <row r="9" spans="1:29">
      <c r="A9" s="209" t="s">
        <v>1635</v>
      </c>
      <c r="B9" s="358"/>
      <c r="C9" s="322"/>
      <c r="D9" s="322"/>
      <c r="E9" s="382"/>
      <c r="F9" s="1095">
        <f>F1_Methane_Enteric_Lact_Cow_Day_kg/F1_ECM_Production_kg_day</f>
        <v>1.3878239422275148E-2</v>
      </c>
      <c r="G9" s="186" t="s">
        <v>239</v>
      </c>
      <c r="H9" s="382"/>
      <c r="I9" s="360"/>
      <c r="J9" s="104"/>
      <c r="K9" s="104"/>
      <c r="L9" s="96"/>
      <c r="M9" s="1093">
        <f>F2_Methane_Enteric_Lact_Cow_Day_kg/F2_ECM_Production_kg_day</f>
        <v>1.4330352853814378E-2</v>
      </c>
      <c r="N9" s="44" t="s">
        <v>239</v>
      </c>
      <c r="O9" s="96"/>
      <c r="P9" s="493"/>
      <c r="Q9" s="591"/>
      <c r="R9" s="591"/>
      <c r="S9" s="494"/>
      <c r="T9" s="1105">
        <f>F3_Methane_Enteric_Lact_Cow_Day_kg/F3_ECM_Production_kg_day</f>
        <v>1.5443795701462365E-2</v>
      </c>
      <c r="U9" s="511" t="s">
        <v>239</v>
      </c>
      <c r="V9" s="495"/>
      <c r="W9" s="496"/>
      <c r="X9" s="593"/>
      <c r="Y9" s="593"/>
      <c r="Z9" s="496"/>
      <c r="AA9" s="1104">
        <f>F4_Methane_Enteric_Lact_Cow_Day_kg/F4_ECM_Production_kg_day</f>
        <v>1.3933318609929427E-2</v>
      </c>
      <c r="AB9" s="465" t="s">
        <v>239</v>
      </c>
      <c r="AC9" s="497"/>
    </row>
    <row r="10" spans="1:29">
      <c r="A10" s="209" t="s">
        <v>250</v>
      </c>
      <c r="B10" s="358"/>
      <c r="C10" s="1096">
        <f>F1_Methane_Enteric_Lact_Cow_Day_kg* Defaults!$D$8</f>
        <v>1.0258794580945789</v>
      </c>
      <c r="D10" s="225" t="s">
        <v>259</v>
      </c>
      <c r="E10" s="382"/>
      <c r="F10" s="1107">
        <f>F1_Methane_Enteric_Lact_Cow_Day_kg</f>
        <v>0.4653310149148307</v>
      </c>
      <c r="G10" s="186" t="s">
        <v>37</v>
      </c>
      <c r="H10" s="382"/>
      <c r="I10" s="360"/>
      <c r="J10" s="1097">
        <f>F2_Methane_Enteric_Lact_Cow_Day_kg* Defaults!$D$8</f>
        <v>0.94686645722997342</v>
      </c>
      <c r="K10" s="226" t="s">
        <v>259</v>
      </c>
      <c r="L10" s="96"/>
      <c r="M10" s="1109">
        <f>F2_Methane_Enteric_Lact_Cow_Day_kg</f>
        <v>0.42949132673929891</v>
      </c>
      <c r="N10" s="44" t="s">
        <v>37</v>
      </c>
      <c r="O10" s="96"/>
      <c r="P10" s="493"/>
      <c r="Q10" s="1098">
        <f>F3_Methane_Enteric_Lact_Cow_Day_kg* Defaults!$D$8</f>
        <v>0.96874297296562972</v>
      </c>
      <c r="R10" s="431" t="s">
        <v>259</v>
      </c>
      <c r="S10" s="494"/>
      <c r="T10" s="1110">
        <f>F3_Methane_Enteric_Lact_Cow_Day_kg</f>
        <v>0.43941434565711673</v>
      </c>
      <c r="U10" s="511" t="s">
        <v>37</v>
      </c>
      <c r="V10" s="495"/>
      <c r="W10" s="496"/>
      <c r="X10" s="1099">
        <f>F4_Methane_Enteric_Lact_Cow_Day_kg* Defaults!$D$8</f>
        <v>0.84147491080946779</v>
      </c>
      <c r="Y10" s="434" t="s">
        <v>259</v>
      </c>
      <c r="Z10" s="496"/>
      <c r="AA10" s="1108">
        <f>F4_Methane_Enteric_Lact_Cow_Day_kg</f>
        <v>0.38168653362024607</v>
      </c>
      <c r="AB10" s="465" t="s">
        <v>37</v>
      </c>
      <c r="AC10" s="497"/>
    </row>
    <row r="11" spans="1:29">
      <c r="A11" s="209" t="s">
        <v>237</v>
      </c>
      <c r="B11" s="358"/>
      <c r="C11" s="1042">
        <f>F1_Methane_Enteric_Lact_Cow_Day_lb*F1_Length_of_Lactation</f>
        <v>420.62618902792229</v>
      </c>
      <c r="D11" s="225" t="s">
        <v>260</v>
      </c>
      <c r="E11" s="382"/>
      <c r="F11" s="1042">
        <f>F1_Methane_Enteric_Lact_Cow_Day_kg*F1_Length_of_Lactation</f>
        <v>190.79279723922059</v>
      </c>
      <c r="G11" s="186" t="s">
        <v>240</v>
      </c>
      <c r="H11" s="382"/>
      <c r="I11" s="360"/>
      <c r="J11" s="1043">
        <f>F2_Methane_Enteric_Lact_Cow_Day_lb*F2_Length_of_Lactation</f>
        <v>370.64231866046919</v>
      </c>
      <c r="K11" s="226" t="s">
        <v>260</v>
      </c>
      <c r="L11" s="96"/>
      <c r="M11" s="1043">
        <f>F2_Methane_Enteric_Lact_Cow_Day_kg*F2_Length_of_Lactation</f>
        <v>168.12049890637499</v>
      </c>
      <c r="N11" s="44" t="s">
        <v>240</v>
      </c>
      <c r="O11" s="96"/>
      <c r="P11" s="493"/>
      <c r="Q11" s="1044">
        <f>F3_Methane_Enteric_Lact_Cow_Day_lb*F3_Length_of_Lactation</f>
        <v>326.31074777244896</v>
      </c>
      <c r="R11" s="431" t="s">
        <v>260</v>
      </c>
      <c r="S11" s="494"/>
      <c r="T11" s="1044">
        <f>F3_Methane_Enteric_Lact_Cow_Day_kg*F3_Length_of_Lactation</f>
        <v>148.01204005058867</v>
      </c>
      <c r="U11" s="511" t="s">
        <v>240</v>
      </c>
      <c r="V11" s="495"/>
      <c r="W11" s="496"/>
      <c r="X11" s="1045">
        <f>F4_Methane_Enteric_Lact_Cow_Day_lb*F4_Length_of_Lactation</f>
        <v>262.97773912617487</v>
      </c>
      <c r="Y11" s="434" t="s">
        <v>260</v>
      </c>
      <c r="Z11" s="496"/>
      <c r="AA11" s="1045">
        <f>F4_Methane_Enteric_Lact_Cow_Day_kg*F4_Length_of_Lactation</f>
        <v>119.28467548699929</v>
      </c>
      <c r="AB11" s="465" t="s">
        <v>240</v>
      </c>
      <c r="AC11" s="497"/>
    </row>
    <row r="12" spans="1:29">
      <c r="A12" s="209" t="s">
        <v>161</v>
      </c>
      <c r="B12" s="358"/>
      <c r="C12" s="1042">
        <f>F1_Methane_Enteric_Lact_Cow_Life_kg*Defaults!$D$8</f>
        <v>1220.5021500936282</v>
      </c>
      <c r="D12" s="225" t="s">
        <v>258</v>
      </c>
      <c r="E12" s="382"/>
      <c r="F12" s="1042">
        <f>(F1_Methane_Enteric_Lact_Cow_Day_kg*F1_Length_of_Lactation*F1_Number_of_Lactations)+(F1_Methane_Enteric_Dry_Cow_Day_kg*F1_Dryoff_Period*(F1_Number_of_Lactations-1))+(F1_Methane_Enteric_Heifer_Day_kg*(F1_Age_at_1st_Birthing*30.4-365))+(F1_Methane_Enteric_Calf_Day_kg*365)</f>
        <v>553.61036789221021</v>
      </c>
      <c r="G12" s="186" t="s">
        <v>255</v>
      </c>
      <c r="H12" s="382"/>
      <c r="I12" s="360"/>
      <c r="J12" s="1043">
        <f>F2_Methane_Enteric_Lact_Cow_Life_kg*Defaults!$D$8</f>
        <v>1219.1736585358587</v>
      </c>
      <c r="K12" s="226" t="s">
        <v>258</v>
      </c>
      <c r="L12" s="96"/>
      <c r="M12" s="1043">
        <f>(F2_Methane_Enteric_Lact_Cow_Day_kg*F2_Length_of_Lactation*F2_Number_of_Lactations)+(F2_Methane_Enteric_Dry_Cow_Day_kg*F2_Dryoff_Period*(F2_Number_of_Lactations-1))+(F2_Methane_Enteric_Heifer_Day_kg*(F2_Age_at_1st_Birthing*30.4-365))+(F2_Methane_Enteric_Calf_Day_kg*365)</f>
        <v>553.00777436135729</v>
      </c>
      <c r="N12" s="44" t="s">
        <v>255</v>
      </c>
      <c r="O12" s="96"/>
      <c r="P12" s="493"/>
      <c r="Q12" s="1044">
        <f>F3_Methane_Enteric_Lact_Cow_Life_kg*Defaults!$D$8</f>
        <v>1798.2633288361458</v>
      </c>
      <c r="R12" s="431" t="s">
        <v>258</v>
      </c>
      <c r="S12" s="494"/>
      <c r="T12" s="1044">
        <f>(F3_Methane_Enteric_Lact_Cow_Day_kg*F3_Length_of_Lactation*F3_Number_of_Lactations)+(F3_Methane_Enteric_Dry_Cow_Day_kg*F3_Dryoff_Period*(F3_Number_of_Lactations-1))+(F3_Methane_Enteric_Heifer_Day_kg*(F3_Age_at_1st_Birthing*30.4-365))+(F3_Methane_Enteric_Calf_Day_kg*365)</f>
        <v>815.6783853004099</v>
      </c>
      <c r="U12" s="511" t="s">
        <v>255</v>
      </c>
      <c r="V12" s="495"/>
      <c r="W12" s="496"/>
      <c r="X12" s="1045">
        <f>F4_Methane_Enteric_Lact_Cow_Life_kg*Defaults!$D$8</f>
        <v>1610.8456139002233</v>
      </c>
      <c r="Y12" s="434" t="s">
        <v>258</v>
      </c>
      <c r="Z12" s="496"/>
      <c r="AA12" s="1045">
        <f>(F4_Methane_Enteric_Lact_Cow_Day_kg*F4_Length_of_Lactation*F4_Number_of_Lactations)+(F4_Methane_Enteric_Dry_Cow_Day_kg*F4_Dryoff_Period*(F4_Number_of_Lactations-1))+(F4_Methane_Enteric_Heifer_Day_kg*(F4_Age_at_1st_Birthing*30.4-365))+(F4_Methane_Enteric_Calf_Day_kg*365)</f>
        <v>730.66715438432016</v>
      </c>
      <c r="AB12" s="465" t="s">
        <v>255</v>
      </c>
      <c r="AC12" s="497"/>
    </row>
    <row r="13" spans="1:29">
      <c r="A13" s="209" t="s">
        <v>236</v>
      </c>
      <c r="B13" s="358"/>
      <c r="C13" s="1074">
        <f>F1_Methane_Enteric_Lact_Cow_Life_lb/F1_Age_at_EOL</f>
        <v>272.6456667818681</v>
      </c>
      <c r="D13" s="225" t="s">
        <v>261</v>
      </c>
      <c r="E13" s="382"/>
      <c r="F13" s="1074">
        <f>F1_Methane_Enteric_Lact_Cow_Life_kg/F1_Age_at_EOL</f>
        <v>123.66997295313895</v>
      </c>
      <c r="G13" s="186" t="s">
        <v>38</v>
      </c>
      <c r="H13" s="382"/>
      <c r="I13" s="360"/>
      <c r="J13" s="1081">
        <f>F2_Methane_Enteric_Lact_Cow_Life_lb/F2_Age_at_EOL</f>
        <v>258.50643995787021</v>
      </c>
      <c r="K13" s="226" t="s">
        <v>261</v>
      </c>
      <c r="L13" s="96"/>
      <c r="M13" s="1081">
        <f>F2_Methane_Enteric_Lact_Cow_Life_kg/F2_Age_at_EOL</f>
        <v>117.2565286481499</v>
      </c>
      <c r="N13" s="44" t="s">
        <v>38</v>
      </c>
      <c r="O13" s="96"/>
      <c r="P13" s="493"/>
      <c r="Q13" s="1085">
        <f>F3_Methane_Enteric_Lact_Cow_Life_lb/F3_Age_at_EOL</f>
        <v>287.8983619933353</v>
      </c>
      <c r="R13" s="431" t="s">
        <v>261</v>
      </c>
      <c r="S13" s="494"/>
      <c r="T13" s="1085">
        <f>F3_Methane_Enteric_Lact_Cow_Life_kg/F3_Age_at_EOL</f>
        <v>130.588477936289</v>
      </c>
      <c r="U13" s="511" t="s">
        <v>38</v>
      </c>
      <c r="V13" s="495"/>
      <c r="W13" s="496"/>
      <c r="X13" s="1089">
        <f>F4_Methane_Enteric_Lact_Cow_Life_lb/F4_Age_at_EOL</f>
        <v>249.82793633604595</v>
      </c>
      <c r="Y13" s="434" t="s">
        <v>261</v>
      </c>
      <c r="Z13" s="496"/>
      <c r="AA13" s="1089">
        <f>F4_Methane_Enteric_Lact_Cow_Life_kg/F4_Age_at_EOL</f>
        <v>113.32002629748757</v>
      </c>
      <c r="AB13" s="465" t="s">
        <v>38</v>
      </c>
      <c r="AC13" s="497"/>
    </row>
    <row r="14" spans="1:29" ht="5.25" customHeight="1">
      <c r="A14" s="286"/>
      <c r="B14" s="498"/>
      <c r="C14" s="499"/>
      <c r="D14" s="499"/>
      <c r="E14" s="499"/>
      <c r="F14" s="499"/>
      <c r="G14" s="499"/>
      <c r="H14" s="499"/>
      <c r="I14" s="500"/>
      <c r="J14" s="501"/>
      <c r="K14" s="501"/>
      <c r="L14" s="501"/>
      <c r="M14" s="501"/>
      <c r="N14" s="501"/>
      <c r="O14" s="501"/>
      <c r="P14" s="502"/>
      <c r="Q14" s="503"/>
      <c r="R14" s="503"/>
      <c r="S14" s="503"/>
      <c r="T14" s="503"/>
      <c r="U14" s="503"/>
      <c r="V14" s="504"/>
      <c r="W14" s="505"/>
      <c r="X14" s="505"/>
      <c r="Y14" s="505"/>
      <c r="Z14" s="505"/>
      <c r="AA14" s="505"/>
      <c r="AB14" s="505"/>
      <c r="AC14" s="506"/>
    </row>
    <row r="15" spans="1:29" ht="5.25" customHeight="1">
      <c r="A15" s="281"/>
      <c r="B15" s="358"/>
      <c r="C15" s="382"/>
      <c r="D15" s="382"/>
      <c r="E15" s="382"/>
      <c r="F15" s="382"/>
      <c r="G15" s="382"/>
      <c r="H15" s="382"/>
      <c r="I15" s="360"/>
      <c r="J15" s="96"/>
      <c r="K15" s="96"/>
      <c r="L15" s="96"/>
      <c r="M15" s="96"/>
      <c r="N15" s="96"/>
      <c r="O15" s="96"/>
      <c r="P15" s="493"/>
      <c r="Q15" s="494"/>
      <c r="R15" s="494"/>
      <c r="S15" s="494"/>
      <c r="T15" s="494"/>
      <c r="U15" s="494"/>
      <c r="V15" s="495"/>
      <c r="W15" s="496"/>
      <c r="X15" s="496"/>
      <c r="Y15" s="496"/>
      <c r="Z15" s="496"/>
      <c r="AA15" s="496"/>
      <c r="AB15" s="496"/>
      <c r="AC15" s="497"/>
    </row>
    <row r="16" spans="1:29">
      <c r="A16" s="1106" t="s">
        <v>263</v>
      </c>
      <c r="B16" s="358"/>
      <c r="C16" s="382"/>
      <c r="D16" s="382"/>
      <c r="E16" s="382"/>
      <c r="F16" s="382"/>
      <c r="G16" s="382"/>
      <c r="H16" s="382"/>
      <c r="I16" s="360"/>
      <c r="J16" s="96"/>
      <c r="K16" s="96"/>
      <c r="L16" s="96"/>
      <c r="M16" s="96"/>
      <c r="N16" s="96"/>
      <c r="O16" s="96"/>
      <c r="P16" s="493"/>
      <c r="Q16" s="494"/>
      <c r="R16" s="494"/>
      <c r="S16" s="494"/>
      <c r="T16" s="494"/>
      <c r="U16" s="494"/>
      <c r="V16" s="495"/>
      <c r="W16" s="496"/>
      <c r="X16" s="496"/>
      <c r="Y16" s="496"/>
      <c r="Z16" s="496"/>
      <c r="AA16" s="496"/>
      <c r="AB16" s="496"/>
      <c r="AC16" s="497"/>
    </row>
    <row r="17" spans="1:29">
      <c r="A17" s="209" t="s">
        <v>1634</v>
      </c>
      <c r="B17" s="358"/>
      <c r="C17" s="322"/>
      <c r="D17" s="322"/>
      <c r="E17" s="382"/>
      <c r="F17" s="1095">
        <f>F1_Methane_Manure_Lact_Cow_Day_kg/F1_Unadjusted_Milk_Production_kg_day</f>
        <v>1.6825506787396159E-2</v>
      </c>
      <c r="G17" s="186" t="s">
        <v>239</v>
      </c>
      <c r="H17" s="382"/>
      <c r="I17" s="360"/>
      <c r="J17" s="104"/>
      <c r="K17" s="104"/>
      <c r="L17" s="96"/>
      <c r="M17" s="1093">
        <f>F2_Methane_Manure_Lact_Cow_Day_kg/F2_Unadjusted_Milk_Production_kg_day</f>
        <v>1.5666414458628118E-2</v>
      </c>
      <c r="N17" s="44" t="s">
        <v>239</v>
      </c>
      <c r="O17" s="96"/>
      <c r="P17" s="493"/>
      <c r="Q17" s="591"/>
      <c r="R17" s="591"/>
      <c r="S17" s="494"/>
      <c r="T17" s="1105">
        <f>F3_Methane_Manure_Lact_Cow_Day_kg/F3_Unadjusted_Milk_Production_kg_day</f>
        <v>6.1618099073813921E-3</v>
      </c>
      <c r="U17" s="511" t="s">
        <v>239</v>
      </c>
      <c r="V17" s="495"/>
      <c r="W17" s="496"/>
      <c r="X17" s="593"/>
      <c r="Y17" s="593"/>
      <c r="Z17" s="496"/>
      <c r="AA17" s="1104">
        <f>F4_Methane_Manure_Lact_Cow_Day_kg/F4_Unadjusted_Milk_Production_kg_day</f>
        <v>3.6954521774850615E-3</v>
      </c>
      <c r="AB17" s="465" t="s">
        <v>239</v>
      </c>
      <c r="AC17" s="497"/>
    </row>
    <row r="18" spans="1:29">
      <c r="A18" s="209" t="s">
        <v>1635</v>
      </c>
      <c r="B18" s="358"/>
      <c r="C18" s="322"/>
      <c r="D18" s="322"/>
      <c r="E18" s="382"/>
      <c r="F18" s="1095">
        <f>F1_Methane_Manure_Lact_Cow_Day_kg/F1_ECM_Production_kg_day</f>
        <v>1.7071333996952275E-2</v>
      </c>
      <c r="G18" s="186" t="s">
        <v>239</v>
      </c>
      <c r="H18" s="382"/>
      <c r="I18" s="360"/>
      <c r="J18" s="104"/>
      <c r="K18" s="104"/>
      <c r="L18" s="96"/>
      <c r="M18" s="1093">
        <f>F2_Methane_Manure_Lact_Cow_Day_kg/F2_ECM_Production_kg_day</f>
        <v>1.541172036782937E-2</v>
      </c>
      <c r="N18" s="44" t="s">
        <v>239</v>
      </c>
      <c r="O18" s="96"/>
      <c r="P18" s="493"/>
      <c r="Q18" s="591"/>
      <c r="R18" s="591"/>
      <c r="S18" s="494"/>
      <c r="T18" s="1105">
        <f>F3_Methane_Manure_Lact_Cow_Day_kg/F3_ECM_Production_kg_day</f>
        <v>5.8939307545854821E-3</v>
      </c>
      <c r="U18" s="511" t="s">
        <v>239</v>
      </c>
      <c r="V18" s="495"/>
      <c r="W18" s="496"/>
      <c r="X18" s="593"/>
      <c r="Y18" s="593"/>
      <c r="Z18" s="496"/>
      <c r="AA18" s="1104">
        <f>F4_Methane_Manure_Lact_Cow_Day_kg/F4_ECM_Production_kg_day</f>
        <v>3.0595037317942986E-3</v>
      </c>
      <c r="AB18" s="465" t="s">
        <v>239</v>
      </c>
      <c r="AC18" s="497"/>
    </row>
    <row r="19" spans="1:29">
      <c r="A19" s="209" t="s">
        <v>250</v>
      </c>
      <c r="B19" s="358"/>
      <c r="C19" s="1096">
        <f>F1_Methane_Manure_Lact_Cow_Day_kg* Defaults!$D$8</f>
        <v>1.2619130090547122</v>
      </c>
      <c r="D19" s="225" t="s">
        <v>259</v>
      </c>
      <c r="E19" s="382"/>
      <c r="F19" s="1107">
        <f>F1_Methane_Manure_Lact_Cow_Day_kg</f>
        <v>0.57239401433021064</v>
      </c>
      <c r="G19" s="186" t="s">
        <v>37</v>
      </c>
      <c r="H19" s="382"/>
      <c r="I19" s="360"/>
      <c r="J19" s="1097">
        <f>F2_Methane_Manure_Lact_Cow_Day_kg* Defaults!$D$8</f>
        <v>1.0183169398108276</v>
      </c>
      <c r="K19" s="226" t="s">
        <v>259</v>
      </c>
      <c r="L19" s="96"/>
      <c r="M19" s="1109">
        <f>F2_Methane_Manure_Lact_Cow_Day_kg</f>
        <v>0.46190071491172302</v>
      </c>
      <c r="N19" s="44" t="s">
        <v>37</v>
      </c>
      <c r="O19" s="96"/>
      <c r="P19" s="493"/>
      <c r="Q19" s="1098">
        <f>F3_Methane_Manure_Lact_Cow_Day_kg* Defaults!$D$8</f>
        <v>0.36970859444288351</v>
      </c>
      <c r="R19" s="431" t="s">
        <v>259</v>
      </c>
      <c r="S19" s="494"/>
      <c r="T19" s="1110">
        <f>F3_Methane_Manure_Lact_Cow_Day_kg</f>
        <v>0.16769696879824056</v>
      </c>
      <c r="U19" s="511" t="s">
        <v>37</v>
      </c>
      <c r="V19" s="495"/>
      <c r="W19" s="496"/>
      <c r="X19" s="1099">
        <f>F4_Methane_Manure_Lact_Cow_Day_kg* Defaults!$D$8</f>
        <v>0.18477260887425306</v>
      </c>
      <c r="Y19" s="434" t="s">
        <v>259</v>
      </c>
      <c r="Z19" s="496"/>
      <c r="AA19" s="1108">
        <f>F4_Methane_Manure_Lact_Cow_Day_kg</f>
        <v>8.3811431194473179E-2</v>
      </c>
      <c r="AB19" s="465" t="s">
        <v>37</v>
      </c>
      <c r="AC19" s="497"/>
    </row>
    <row r="20" spans="1:29">
      <c r="A20" s="209" t="s">
        <v>237</v>
      </c>
      <c r="B20" s="358"/>
      <c r="C20" s="1042">
        <f>F1_Methane_Manure_Lact_Cow_Day_lb*F1_Length_of_Lactation</f>
        <v>517.40353673648281</v>
      </c>
      <c r="D20" s="225" t="s">
        <v>260</v>
      </c>
      <c r="E20" s="382"/>
      <c r="F20" s="1042">
        <f>F1_Methane_Manure_Lact_Cow_Day_kg*F1_Length_of_Lactation</f>
        <v>234.6902562190827</v>
      </c>
      <c r="G20" s="186" t="s">
        <v>240</v>
      </c>
      <c r="H20" s="382"/>
      <c r="I20" s="360"/>
      <c r="J20" s="1043">
        <f>F2_Methane_Manure_Lact_Cow_Day_lb*F2_Length_of_Lactation</f>
        <v>398.61096442985377</v>
      </c>
      <c r="K20" s="226" t="s">
        <v>260</v>
      </c>
      <c r="L20" s="96"/>
      <c r="M20" s="1043">
        <f>F2_Methane_Manure_Lact_Cow_Day_kg*F2_Length_of_Lactation</f>
        <v>180.80686105055321</v>
      </c>
      <c r="N20" s="44" t="s">
        <v>240</v>
      </c>
      <c r="O20" s="96"/>
      <c r="P20" s="493"/>
      <c r="Q20" s="1044">
        <f>F3_Methane_Manure_Lact_Cow_Day_lb*F3_Length_of_Lactation</f>
        <v>124.53240052027567</v>
      </c>
      <c r="R20" s="431" t="s">
        <v>260</v>
      </c>
      <c r="S20" s="494"/>
      <c r="T20" s="1044">
        <f>F3_Methane_Manure_Lact_Cow_Day_kg*F3_Length_of_Lactation</f>
        <v>56.486937004773907</v>
      </c>
      <c r="U20" s="511" t="s">
        <v>240</v>
      </c>
      <c r="V20" s="495"/>
      <c r="W20" s="496"/>
      <c r="X20" s="1045">
        <f>F4_Methane_Manure_Lact_Cow_Day_lb*F4_Length_of_Lactation</f>
        <v>57.745135725381566</v>
      </c>
      <c r="Y20" s="434" t="s">
        <v>260</v>
      </c>
      <c r="Z20" s="496"/>
      <c r="AA20" s="1045">
        <f>F4_Methane_Manure_Lact_Cow_Day_kg*F4_Length_of_Lactation</f>
        <v>26.192748476896757</v>
      </c>
      <c r="AB20" s="465" t="s">
        <v>240</v>
      </c>
      <c r="AC20" s="497"/>
    </row>
    <row r="21" spans="1:29">
      <c r="A21" s="209" t="s">
        <v>161</v>
      </c>
      <c r="B21" s="358"/>
      <c r="C21" s="1042">
        <f>F1_Methane_Manure_Lact_Cow_Life_kg*Defaults!$D$8</f>
        <v>1501.3143392529103</v>
      </c>
      <c r="D21" s="225" t="s">
        <v>258</v>
      </c>
      <c r="E21" s="382"/>
      <c r="F21" s="1042">
        <f>(F1_Methane_Manure_Lact_Cow_Day_kg*F1_Length_of_Lactation*F1_Number_of_Lactations)+(F1_Methane_Manure_Dry_Cow_Day_kg*F1_Dryoff_Period*(F1_Number_of_Lactations-1))+(F1_Methane_Manure_Heifer_Day_kg*(F1_Age_at_1st_Birthing*30.4-365))+(F1_Methane_Manure_Calf_Day_kg*365)</f>
        <v>680.98461244979762</v>
      </c>
      <c r="G21" s="186" t="s">
        <v>255</v>
      </c>
      <c r="H21" s="382"/>
      <c r="I21" s="360"/>
      <c r="J21" s="1043">
        <f>F2_Methane_Manure_Lact_Cow_Life_kg*Defaults!$D$8</f>
        <v>1305.7205788106137</v>
      </c>
      <c r="K21" s="226" t="s">
        <v>258</v>
      </c>
      <c r="L21" s="96"/>
      <c r="M21" s="1043">
        <f>(F2_Methane_Manure_Lact_Cow_Day_kg*F2_Length_of_Lactation*F2_Number_of_Lactations)+(F2_Methane_Manure_Dry_Cow_Day_kg*F2_Dryoff_Period*(F2_Number_of_Lactations-1))+(F2_Methane_Manure_Heifer_Day_kg*(F2_Age_at_1st_Birthing*30.4-365))+(F2_Methane_Manure_Calf_Day_kg*365)</f>
        <v>592.26479031136546</v>
      </c>
      <c r="N21" s="44" t="s">
        <v>255</v>
      </c>
      <c r="O21" s="96"/>
      <c r="P21" s="493"/>
      <c r="Q21" s="1044">
        <f>F3_Methane_Manure_Lact_Cow_Life_kg*Defaults!$D$8</f>
        <v>686.28462481325266</v>
      </c>
      <c r="R21" s="431" t="s">
        <v>258</v>
      </c>
      <c r="S21" s="494"/>
      <c r="T21" s="1044">
        <f>(F3_Methane_Manure_Lact_Cow_Day_kg*F3_Length_of_Lactation*F3_Number_of_Lactations)+(F3_Methane_Manure_Dry_Cow_Day_kg*F3_Dryoff_Period*(F3_Number_of_Lactations-1))+(F3_Methane_Manure_Heifer_Day_kg*(F3_Age_at_1st_Birthing*30.4-365))+(F3_Methane_Manure_Calf_Day_kg*365)</f>
        <v>311.2934160685308</v>
      </c>
      <c r="U21" s="511" t="s">
        <v>255</v>
      </c>
      <c r="V21" s="495"/>
      <c r="W21" s="496"/>
      <c r="X21" s="1045">
        <f>F4_Methane_Manure_Lact_Cow_Life_kg*Defaults!$D$8</f>
        <v>353.71244317631903</v>
      </c>
      <c r="Y21" s="434" t="s">
        <v>258</v>
      </c>
      <c r="Z21" s="496"/>
      <c r="AA21" s="1045">
        <f>(F4_Methane_Manure_Lact_Cow_Day_kg*F4_Length_of_Lactation*F4_Number_of_Lactations)+(F4_Methane_Manure_Dry_Cow_Day_kg*F4_Dryoff_Period*(F4_Number_of_Lactations-1))+(F4_Methane_Manure_Heifer_Day_kg*(F4_Age_at_1st_Birthing*30.4-365))+(F4_Methane_Manure_Calf_Day_kg*365)</f>
        <v>160.44123787891127</v>
      </c>
      <c r="AB21" s="465" t="s">
        <v>255</v>
      </c>
      <c r="AC21" s="497"/>
    </row>
    <row r="22" spans="1:29">
      <c r="A22" s="209" t="s">
        <v>236</v>
      </c>
      <c r="B22" s="358"/>
      <c r="C22" s="1074">
        <f>F1_Methane_Manure_Lact_Cow_Life_lb/F1_Age_at_EOL</f>
        <v>335.37577057393042</v>
      </c>
      <c r="D22" s="225" t="s">
        <v>261</v>
      </c>
      <c r="E22" s="382"/>
      <c r="F22" s="1074">
        <f>F1_Methane_Manure_Lact_Cow_Life_kg/F1_Age_at_EOL</f>
        <v>152.12386452192976</v>
      </c>
      <c r="G22" s="186" t="s">
        <v>38</v>
      </c>
      <c r="H22" s="382"/>
      <c r="I22" s="360"/>
      <c r="J22" s="1081">
        <f>F2_Methane_Manure_Lact_Cow_Life_lb/F2_Age_at_EOL</f>
        <v>276.85734189288479</v>
      </c>
      <c r="K22" s="226" t="s">
        <v>261</v>
      </c>
      <c r="L22" s="96"/>
      <c r="M22" s="1081">
        <f>F2_Methane_Manure_Lact_Cow_Life_kg/F2_Age_at_EOL</f>
        <v>125.58035632073363</v>
      </c>
      <c r="N22" s="44" t="s">
        <v>38</v>
      </c>
      <c r="O22" s="96"/>
      <c r="P22" s="493"/>
      <c r="Q22" s="1085">
        <f>F3_Methane_Manure_Lact_Cow_Life_lb/F3_Age_at_EOL</f>
        <v>109.87279570051736</v>
      </c>
      <c r="R22" s="431" t="s">
        <v>261</v>
      </c>
      <c r="S22" s="494"/>
      <c r="T22" s="1111">
        <f>F3_Methane_Manure_Lact_Cow_Life_kg/F3_Age_at_EOL</f>
        <v>49.837453251879047</v>
      </c>
      <c r="U22" s="511" t="s">
        <v>38</v>
      </c>
      <c r="V22" s="495"/>
      <c r="W22" s="496"/>
      <c r="X22" s="1089">
        <f>F4_Methane_Manure_Lact_Cow_Life_lb/F4_Age_at_EOL</f>
        <v>54.857677838637507</v>
      </c>
      <c r="Y22" s="434" t="s">
        <v>261</v>
      </c>
      <c r="Z22" s="496"/>
      <c r="AA22" s="1089">
        <f>F4_Methane_Manure_Lact_Cow_Life_kg/F4_Age_at_EOL</f>
        <v>24.883019835426509</v>
      </c>
      <c r="AB22" s="465" t="s">
        <v>38</v>
      </c>
      <c r="AC22" s="497"/>
    </row>
    <row r="23" spans="1:29" ht="5.25" customHeight="1">
      <c r="A23" s="286"/>
      <c r="B23" s="498"/>
      <c r="C23" s="499"/>
      <c r="D23" s="499"/>
      <c r="E23" s="499"/>
      <c r="F23" s="499"/>
      <c r="G23" s="499"/>
      <c r="H23" s="499"/>
      <c r="I23" s="500"/>
      <c r="J23" s="501"/>
      <c r="K23" s="501"/>
      <c r="L23" s="501"/>
      <c r="M23" s="501"/>
      <c r="N23" s="501"/>
      <c r="O23" s="501"/>
      <c r="P23" s="502"/>
      <c r="Q23" s="503"/>
      <c r="R23" s="503"/>
      <c r="S23" s="503"/>
      <c r="T23" s="503"/>
      <c r="U23" s="503"/>
      <c r="V23" s="504"/>
      <c r="W23" s="505"/>
      <c r="X23" s="505"/>
      <c r="Y23" s="505"/>
      <c r="Z23" s="505"/>
      <c r="AA23" s="505"/>
      <c r="AB23" s="505"/>
      <c r="AC23" s="506"/>
    </row>
    <row r="24" spans="1:29" ht="5.25" customHeight="1">
      <c r="A24" s="281"/>
      <c r="B24" s="358"/>
      <c r="C24" s="382"/>
      <c r="D24" s="382"/>
      <c r="E24" s="382"/>
      <c r="F24" s="382"/>
      <c r="G24" s="382"/>
      <c r="H24" s="382"/>
      <c r="I24" s="360"/>
      <c r="J24" s="96"/>
      <c r="K24" s="96"/>
      <c r="L24" s="96"/>
      <c r="M24" s="96"/>
      <c r="N24" s="96"/>
      <c r="O24" s="96"/>
      <c r="P24" s="493"/>
      <c r="Q24" s="494"/>
      <c r="R24" s="494"/>
      <c r="S24" s="494"/>
      <c r="T24" s="494"/>
      <c r="U24" s="494"/>
      <c r="V24" s="495"/>
      <c r="W24" s="496"/>
      <c r="X24" s="496"/>
      <c r="Y24" s="496"/>
      <c r="Z24" s="496"/>
      <c r="AA24" s="496"/>
      <c r="AB24" s="496"/>
      <c r="AC24" s="497"/>
    </row>
    <row r="25" spans="1:29">
      <c r="A25" s="1106" t="s">
        <v>241</v>
      </c>
      <c r="B25" s="358"/>
      <c r="C25" s="382"/>
      <c r="D25" s="382"/>
      <c r="E25" s="382"/>
      <c r="F25" s="382"/>
      <c r="G25" s="382"/>
      <c r="H25" s="382"/>
      <c r="I25" s="360"/>
      <c r="J25" s="96"/>
      <c r="K25" s="96"/>
      <c r="L25" s="96"/>
      <c r="M25" s="96"/>
      <c r="N25" s="96"/>
      <c r="O25" s="96"/>
      <c r="P25" s="493"/>
      <c r="Q25" s="494"/>
      <c r="R25" s="494"/>
      <c r="S25" s="494"/>
      <c r="T25" s="494"/>
      <c r="U25" s="494"/>
      <c r="V25" s="495"/>
      <c r="W25" s="496"/>
      <c r="X25" s="496"/>
      <c r="Y25" s="496"/>
      <c r="Z25" s="496"/>
      <c r="AA25" s="496"/>
      <c r="AB25" s="496"/>
      <c r="AC25" s="497"/>
    </row>
    <row r="26" spans="1:29">
      <c r="A26" s="209" t="s">
        <v>1634</v>
      </c>
      <c r="B26" s="358"/>
      <c r="C26" s="322"/>
      <c r="D26" s="322"/>
      <c r="E26" s="382"/>
      <c r="F26" s="1046">
        <f>F1_Total_Methane_Lact_Cow_Day_kg/F1_Unadjusted_Milk_Production_kg_day</f>
        <v>3.0503899561990542E-2</v>
      </c>
      <c r="G26" s="186" t="s">
        <v>239</v>
      </c>
      <c r="H26" s="382"/>
      <c r="I26" s="360"/>
      <c r="J26" s="104"/>
      <c r="K26" s="104"/>
      <c r="L26" s="96"/>
      <c r="M26" s="1047">
        <f>F2_Total_Methane_Lact_Cow_Day_kg/F2_Unadjusted_Milk_Production_kg_day</f>
        <v>3.0233590723704632E-2</v>
      </c>
      <c r="N26" s="44" t="s">
        <v>239</v>
      </c>
      <c r="O26" s="96"/>
      <c r="P26" s="493"/>
      <c r="Q26" s="591"/>
      <c r="R26" s="591"/>
      <c r="S26" s="494"/>
      <c r="T26" s="1048">
        <f>F3_Total_Methane_Lact_Cow_Day_kg/F3_Unadjusted_Milk_Production_kg_day</f>
        <v>2.2307526123475221E-2</v>
      </c>
      <c r="U26" s="511" t="s">
        <v>239</v>
      </c>
      <c r="V26" s="495"/>
      <c r="W26" s="496"/>
      <c r="X26" s="593"/>
      <c r="Y26" s="593"/>
      <c r="Z26" s="496"/>
      <c r="AA26" s="1049">
        <f>F4_Total_Methane_Lact_Cow_Day_kg/F4_Unadjusted_Milk_Production_kg_day</f>
        <v>2.052495039367442E-2</v>
      </c>
      <c r="AB26" s="465" t="s">
        <v>239</v>
      </c>
      <c r="AC26" s="497"/>
    </row>
    <row r="27" spans="1:29">
      <c r="A27" s="209" t="s">
        <v>1635</v>
      </c>
      <c r="B27" s="358"/>
      <c r="C27" s="322"/>
      <c r="D27" s="322"/>
      <c r="E27" s="382"/>
      <c r="F27" s="1046">
        <f>F1_Total_Methane_Lact_Cow_Day_kg/F1_ECM_Production_kg_day</f>
        <v>3.0949573419227421E-2</v>
      </c>
      <c r="G27" s="186" t="s">
        <v>239</v>
      </c>
      <c r="H27" s="382"/>
      <c r="I27" s="360"/>
      <c r="J27" s="104"/>
      <c r="K27" s="104"/>
      <c r="L27" s="96"/>
      <c r="M27" s="1047">
        <f>F2_Total_Methane_Lact_Cow_Day_kg/F2_ECM_Production_kg_day</f>
        <v>2.9742073221643746E-2</v>
      </c>
      <c r="N27" s="44" t="s">
        <v>239</v>
      </c>
      <c r="O27" s="96"/>
      <c r="P27" s="493"/>
      <c r="Q27" s="591"/>
      <c r="R27" s="591"/>
      <c r="S27" s="494"/>
      <c r="T27" s="1048">
        <f>F3_Total_Methane_Lact_Cow_Day_kg/F3_ECM_Production_kg_day</f>
        <v>2.1337726456047847E-2</v>
      </c>
      <c r="U27" s="511" t="s">
        <v>239</v>
      </c>
      <c r="V27" s="495"/>
      <c r="W27" s="496"/>
      <c r="X27" s="593"/>
      <c r="Y27" s="593"/>
      <c r="Z27" s="496"/>
      <c r="AA27" s="1049">
        <f>F4_Total_Methane_Lact_Cow_Day_kg/F4_ECM_Production_kg_day</f>
        <v>1.6992822341723727E-2</v>
      </c>
      <c r="AB27" s="465" t="s">
        <v>239</v>
      </c>
      <c r="AC27" s="497"/>
    </row>
    <row r="28" spans="1:29">
      <c r="A28" s="209" t="s">
        <v>250</v>
      </c>
      <c r="B28" s="358"/>
      <c r="C28" s="1096">
        <f>F1_Total_Methane_Lact_Cow_Day_lb</f>
        <v>2.2877924671492913</v>
      </c>
      <c r="D28" s="225" t="s">
        <v>259</v>
      </c>
      <c r="E28" s="382"/>
      <c r="F28" s="1107">
        <f>F1_Total_Methane_Lact_Cow_Day_kg</f>
        <v>1.0377250292450413</v>
      </c>
      <c r="G28" s="186" t="s">
        <v>37</v>
      </c>
      <c r="H28" s="382"/>
      <c r="I28" s="360"/>
      <c r="J28" s="1109">
        <f>F2_Total_Methane_Lact_Cow_Day_lb</f>
        <v>1.965183397040801</v>
      </c>
      <c r="K28" s="226" t="s">
        <v>259</v>
      </c>
      <c r="L28" s="96"/>
      <c r="M28" s="1109">
        <f>F2_Total_Methane_Lact_Cow_Day_kg</f>
        <v>0.89139204165102193</v>
      </c>
      <c r="N28" s="44" t="s">
        <v>37</v>
      </c>
      <c r="O28" s="96"/>
      <c r="P28" s="493"/>
      <c r="Q28" s="1098">
        <f>F3_Total_Methane_Lact_Cow_Day_lb</f>
        <v>1.3384515674085131</v>
      </c>
      <c r="R28" s="431" t="s">
        <v>259</v>
      </c>
      <c r="S28" s="494"/>
      <c r="T28" s="1110">
        <f>F3_Total_Methane_Lact_Cow_Day_kg</f>
        <v>0.60711131445535726</v>
      </c>
      <c r="U28" s="511" t="s">
        <v>37</v>
      </c>
      <c r="V28" s="495"/>
      <c r="W28" s="496"/>
      <c r="X28" s="1099">
        <f>F4_Total_Methane_Lact_Cow_Day_lb</f>
        <v>1.0262475196837209</v>
      </c>
      <c r="Y28" s="434" t="s">
        <v>259</v>
      </c>
      <c r="Z28" s="496"/>
      <c r="AA28" s="1108">
        <f>F4_Total_Methane_Lact_Cow_Day_kg</f>
        <v>0.46549796481471928</v>
      </c>
      <c r="AB28" s="465" t="s">
        <v>37</v>
      </c>
      <c r="AC28" s="497"/>
    </row>
    <row r="29" spans="1:29">
      <c r="A29" s="209" t="s">
        <v>237</v>
      </c>
      <c r="B29" s="358"/>
      <c r="C29" s="1042">
        <f>F1_Total_Methane_Lact_Cow_Day_lb*F1_Length_of_Lactation</f>
        <v>938.02972576440516</v>
      </c>
      <c r="D29" s="225" t="s">
        <v>260</v>
      </c>
      <c r="E29" s="382"/>
      <c r="F29" s="1042">
        <f>F1_Total_Methane_Lact_Cow_Day_kg*F1_Length_of_Lactation</f>
        <v>425.48305345830329</v>
      </c>
      <c r="G29" s="186" t="s">
        <v>240</v>
      </c>
      <c r="H29" s="382"/>
      <c r="I29" s="360"/>
      <c r="J29" s="1043">
        <f>F2_Total_Methane_Lact_Cow_Day_lb*F2_Length_of_Lactation</f>
        <v>769.25328309032295</v>
      </c>
      <c r="K29" s="226" t="s">
        <v>260</v>
      </c>
      <c r="L29" s="96"/>
      <c r="M29" s="1043">
        <f>F2_Total_Methane_Lact_Cow_Day_kg*F2_Length_of_Lactation</f>
        <v>348.92735995692823</v>
      </c>
      <c r="N29" s="44" t="s">
        <v>240</v>
      </c>
      <c r="O29" s="96"/>
      <c r="P29" s="493"/>
      <c r="Q29" s="1044">
        <f>F3_Total_Methane_Lact_Cow_Day_lb*F3_Length_of_Lactation</f>
        <v>450.84314829272461</v>
      </c>
      <c r="R29" s="431" t="s">
        <v>260</v>
      </c>
      <c r="S29" s="494"/>
      <c r="T29" s="1044">
        <f>F3_Total_Methane_Lact_Cow_Day_kg*F3_Length_of_Lactation</f>
        <v>204.49897705536256</v>
      </c>
      <c r="U29" s="511" t="s">
        <v>240</v>
      </c>
      <c r="V29" s="495"/>
      <c r="W29" s="496"/>
      <c r="X29" s="1045">
        <f>F4_Total_Methane_Lact_Cow_Day_lb*F4_Length_of_Lactation</f>
        <v>320.72287485155641</v>
      </c>
      <c r="Y29" s="434" t="s">
        <v>260</v>
      </c>
      <c r="Z29" s="496"/>
      <c r="AA29" s="1045">
        <f>F4_Total_Methane_Lact_Cow_Day_kg*F4_Length_of_Lactation</f>
        <v>145.47742396389606</v>
      </c>
      <c r="AB29" s="465" t="s">
        <v>240</v>
      </c>
      <c r="AC29" s="497"/>
    </row>
    <row r="30" spans="1:29">
      <c r="A30" s="209" t="s">
        <v>161</v>
      </c>
      <c r="B30" s="358"/>
      <c r="C30" s="1042">
        <f>F1_Methane_Enteric_Lact_Cow_Life_lb+F1_Methane_Manure_Lact_Cow_Life_lb</f>
        <v>2721.8164893465382</v>
      </c>
      <c r="D30" s="225" t="s">
        <v>258</v>
      </c>
      <c r="E30" s="382"/>
      <c r="F30" s="1042">
        <f>F1_Methane_Enteric_Lact_Cow_Life_kg+F1_Methane_Manure_Lact_Cow_Life_kg</f>
        <v>1234.5949803420078</v>
      </c>
      <c r="G30" s="186" t="s">
        <v>255</v>
      </c>
      <c r="H30" s="382"/>
      <c r="I30" s="360"/>
      <c r="J30" s="1043">
        <f>F2_Methane_Enteric_Lact_Cow_Life_lb+F2_Methane_Manure_Lact_Cow_Life_lb</f>
        <v>2524.8942373464724</v>
      </c>
      <c r="K30" s="226" t="s">
        <v>258</v>
      </c>
      <c r="L30" s="96"/>
      <c r="M30" s="1043">
        <f>F2_Methane_Enteric_Lact_Cow_Life_kg+F2_Methane_Manure_Lact_Cow_Life_kg</f>
        <v>1145.2725646727226</v>
      </c>
      <c r="N30" s="44" t="s">
        <v>255</v>
      </c>
      <c r="O30" s="96"/>
      <c r="P30" s="493"/>
      <c r="Q30" s="1044">
        <f>F3_Methane_Enteric_Lact_Cow_Life_lb+F3_Methane_Manure_Lact_Cow_Life_lb</f>
        <v>2484.5479536493986</v>
      </c>
      <c r="R30" s="431" t="s">
        <v>258</v>
      </c>
      <c r="S30" s="494"/>
      <c r="T30" s="1044">
        <f>F3_Methane_Enteric_Lact_Cow_Life_kg+F3_Methane_Manure_Lact_Cow_Life_kg</f>
        <v>1126.9718013689408</v>
      </c>
      <c r="U30" s="511" t="s">
        <v>255</v>
      </c>
      <c r="V30" s="495"/>
      <c r="W30" s="496"/>
      <c r="X30" s="1045">
        <f>F4_Methane_Enteric_Lact_Cow_Life_lb+F4_Methane_Manure_Lact_Cow_Life_lb</f>
        <v>1964.5580570765424</v>
      </c>
      <c r="Y30" s="434" t="s">
        <v>258</v>
      </c>
      <c r="Z30" s="496"/>
      <c r="AA30" s="1045">
        <f>F4_Methane_Enteric_Lact_Cow_Life_kg+F4_Methane_Manure_Lact_Cow_Life_kg</f>
        <v>891.10839226323139</v>
      </c>
      <c r="AB30" s="465" t="s">
        <v>255</v>
      </c>
      <c r="AC30" s="497"/>
    </row>
    <row r="31" spans="1:29">
      <c r="A31" s="209" t="s">
        <v>236</v>
      </c>
      <c r="B31" s="358"/>
      <c r="C31" s="1074">
        <f>F1_Total_Methane_Lact_Cow_Life_lb/F1_Age_at_EOL</f>
        <v>608.02143735579841</v>
      </c>
      <c r="D31" s="225" t="s">
        <v>261</v>
      </c>
      <c r="E31" s="382"/>
      <c r="F31" s="1074">
        <f>F1_Total_Methane_Lact_Cow_Life_kg/F1_Age_at_EOL</f>
        <v>275.79383747506876</v>
      </c>
      <c r="G31" s="186" t="s">
        <v>38</v>
      </c>
      <c r="H31" s="382"/>
      <c r="I31" s="360"/>
      <c r="J31" s="1081">
        <f>F2_Total_Methane_Lact_Cow_Life_lb/F2_Age_at_EOL</f>
        <v>535.363781850755</v>
      </c>
      <c r="K31" s="226" t="s">
        <v>261</v>
      </c>
      <c r="L31" s="96"/>
      <c r="M31" s="1081">
        <f>F2_Total_Methane_Lact_Cow_Life_kg/F2_Age_at_EOL</f>
        <v>242.83688496888351</v>
      </c>
      <c r="N31" s="44" t="s">
        <v>38</v>
      </c>
      <c r="O31" s="96"/>
      <c r="P31" s="493"/>
      <c r="Q31" s="1085">
        <f>F3_Total_Methane_Lact_Cow_Life_lb/F3_Age_at_EOL</f>
        <v>397.77115769385267</v>
      </c>
      <c r="R31" s="431" t="s">
        <v>261</v>
      </c>
      <c r="S31" s="494"/>
      <c r="T31" s="1085">
        <f>F3_Total_Methane_Lact_Cow_Life_kg/F3_Age_at_EOL</f>
        <v>180.42593118816805</v>
      </c>
      <c r="U31" s="511" t="s">
        <v>38</v>
      </c>
      <c r="V31" s="495"/>
      <c r="W31" s="496"/>
      <c r="X31" s="1089">
        <f>F4_Total_Methane_Lact_Cow_Life_lb/F4_Age_at_EOL</f>
        <v>304.68561417468345</v>
      </c>
      <c r="Y31" s="434" t="s">
        <v>261</v>
      </c>
      <c r="Z31" s="496"/>
      <c r="AA31" s="1089">
        <f>F4_Total_Methane_Lact_Cow_Life_kg/F4_Age_at_EOL</f>
        <v>138.20304613291407</v>
      </c>
      <c r="AB31" s="465" t="s">
        <v>38</v>
      </c>
      <c r="AC31" s="497"/>
    </row>
    <row r="32" spans="1:29" ht="5.25" customHeight="1">
      <c r="A32" s="286"/>
      <c r="B32" s="498"/>
      <c r="C32" s="499"/>
      <c r="D32" s="499"/>
      <c r="E32" s="499"/>
      <c r="F32" s="499"/>
      <c r="G32" s="499"/>
      <c r="H32" s="499"/>
      <c r="I32" s="500"/>
      <c r="J32" s="501"/>
      <c r="K32" s="501"/>
      <c r="L32" s="501"/>
      <c r="M32" s="501"/>
      <c r="N32" s="501"/>
      <c r="O32" s="501"/>
      <c r="P32" s="502"/>
      <c r="Q32" s="503"/>
      <c r="R32" s="503"/>
      <c r="S32" s="503"/>
      <c r="T32" s="503"/>
      <c r="U32" s="503"/>
      <c r="V32" s="504"/>
      <c r="W32" s="505"/>
      <c r="X32" s="505"/>
      <c r="Y32" s="505"/>
      <c r="Z32" s="505"/>
      <c r="AA32" s="505"/>
      <c r="AB32" s="505"/>
      <c r="AC32" s="506"/>
    </row>
    <row r="33" spans="1:29" ht="32.25" customHeight="1">
      <c r="A33" s="3958" t="s">
        <v>476</v>
      </c>
      <c r="B33" s="3959"/>
      <c r="C33" s="3959"/>
      <c r="D33" s="3959"/>
      <c r="E33" s="3959"/>
      <c r="F33" s="3959"/>
      <c r="G33" s="3959"/>
      <c r="H33" s="3959"/>
      <c r="I33" s="3959"/>
      <c r="J33" s="3959"/>
      <c r="K33" s="3959"/>
      <c r="L33" s="3959"/>
      <c r="M33" s="3959"/>
      <c r="N33" s="3959"/>
      <c r="O33" s="3959"/>
      <c r="P33" s="3959"/>
      <c r="Q33" s="3959"/>
      <c r="R33" s="3959"/>
      <c r="S33" s="3959"/>
      <c r="T33" s="3959"/>
      <c r="U33" s="3959"/>
      <c r="V33" s="3959"/>
      <c r="W33" s="3959"/>
      <c r="X33" s="3959"/>
      <c r="Y33" s="3959"/>
      <c r="Z33" s="3959"/>
      <c r="AA33" s="3959"/>
      <c r="AB33" s="3959"/>
      <c r="AC33" s="3960"/>
    </row>
    <row r="34" spans="1:29" ht="5.25" customHeight="1">
      <c r="A34" s="281"/>
      <c r="B34" s="358"/>
      <c r="C34" s="382"/>
      <c r="D34" s="382"/>
      <c r="E34" s="382"/>
      <c r="F34" s="382"/>
      <c r="G34" s="382"/>
      <c r="H34" s="382"/>
      <c r="I34" s="360"/>
      <c r="J34" s="96"/>
      <c r="K34" s="96"/>
      <c r="L34" s="96"/>
      <c r="M34" s="96"/>
      <c r="N34" s="96"/>
      <c r="O34" s="96"/>
      <c r="P34" s="493"/>
      <c r="Q34" s="494"/>
      <c r="R34" s="494"/>
      <c r="S34" s="494"/>
      <c r="T34" s="494"/>
      <c r="U34" s="494"/>
      <c r="V34" s="495"/>
      <c r="W34" s="496"/>
      <c r="X34" s="496"/>
      <c r="Y34" s="496"/>
      <c r="Z34" s="496"/>
      <c r="AA34" s="496"/>
      <c r="AB34" s="496"/>
      <c r="AC34" s="497"/>
    </row>
    <row r="35" spans="1:29">
      <c r="A35" s="1106" t="s">
        <v>262</v>
      </c>
      <c r="B35" s="358"/>
      <c r="C35" s="382"/>
      <c r="D35" s="382"/>
      <c r="E35" s="382"/>
      <c r="F35" s="382"/>
      <c r="G35" s="382"/>
      <c r="H35" s="382"/>
      <c r="I35" s="360"/>
      <c r="J35" s="96"/>
      <c r="K35" s="96"/>
      <c r="L35" s="96"/>
      <c r="M35" s="96"/>
      <c r="N35" s="96"/>
      <c r="O35" s="96"/>
      <c r="P35" s="493"/>
      <c r="Q35" s="494"/>
      <c r="R35" s="494"/>
      <c r="S35" s="494"/>
      <c r="T35" s="494"/>
      <c r="U35" s="494"/>
      <c r="V35" s="495"/>
      <c r="W35" s="496"/>
      <c r="X35" s="496"/>
      <c r="Y35" s="496"/>
      <c r="Z35" s="496"/>
      <c r="AA35" s="496"/>
      <c r="AB35" s="496"/>
      <c r="AC35" s="497"/>
    </row>
    <row r="36" spans="1:29">
      <c r="A36" s="209" t="s">
        <v>381</v>
      </c>
      <c r="B36" s="358"/>
      <c r="C36" s="1096">
        <f>F1_Methane_Enteric_Dry_Cow_Day_kg* Defaults!$D$8</f>
        <v>1.0258794580945789</v>
      </c>
      <c r="D36" s="3096" t="s">
        <v>259</v>
      </c>
      <c r="E36" s="382"/>
      <c r="F36" s="1107">
        <f>F1_Methane_Enteric_Dry_Cow_Day_kg</f>
        <v>0.4653310149148307</v>
      </c>
      <c r="G36" s="163" t="s">
        <v>37</v>
      </c>
      <c r="H36" s="382"/>
      <c r="I36" s="360"/>
      <c r="J36" s="1097">
        <f>F2_Methane_Enteric_Dry_Cow_Day_kg* Defaults!$D$8</f>
        <v>1.0258794580945789</v>
      </c>
      <c r="K36" s="3098" t="s">
        <v>259</v>
      </c>
      <c r="L36" s="96"/>
      <c r="M36" s="1109">
        <f>F2_Methane_Enteric_Dry_Cow_Day_kg</f>
        <v>0.4653310149148307</v>
      </c>
      <c r="N36" s="145" t="s">
        <v>37</v>
      </c>
      <c r="O36" s="96"/>
      <c r="P36" s="493"/>
      <c r="Q36" s="1098">
        <f>F3_Methane_Enteric_Dry_Cow_Day_kg* Defaults!$D$8</f>
        <v>0.96874297296562972</v>
      </c>
      <c r="R36" s="431" t="s">
        <v>259</v>
      </c>
      <c r="S36" s="494"/>
      <c r="T36" s="1110">
        <f>F3_Methane_Enteric_Dry_Cow_Day_kg</f>
        <v>0.43941434565711673</v>
      </c>
      <c r="U36" s="388" t="s">
        <v>37</v>
      </c>
      <c r="V36" s="495"/>
      <c r="W36" s="496"/>
      <c r="X36" s="1099">
        <f>F4_Methane_Enteric_Dry_Cow_Day_kg* Defaults!$D$8</f>
        <v>0.84147491080946779</v>
      </c>
      <c r="Y36" s="434" t="s">
        <v>259</v>
      </c>
      <c r="Z36" s="496"/>
      <c r="AA36" s="1108">
        <f>F4_Methane_Enteric_Dry_Cow_Day_kg</f>
        <v>0.38168653362024607</v>
      </c>
      <c r="AB36" s="465" t="s">
        <v>37</v>
      </c>
      <c r="AC36" s="497"/>
    </row>
    <row r="37" spans="1:29">
      <c r="A37" s="209" t="s">
        <v>382</v>
      </c>
      <c r="B37" s="358"/>
      <c r="C37" s="1464">
        <f>F1_Methane_Enteric_Heifer_Day_kg*Defaults!$D$8</f>
        <v>0.74705445579230789</v>
      </c>
      <c r="D37" s="3096" t="s">
        <v>259</v>
      </c>
      <c r="E37" s="1466"/>
      <c r="F37" s="1464">
        <f>F1_Methane_Enteric_Heifer_Day_kg</f>
        <v>0.33885814299873845</v>
      </c>
      <c r="G37" s="163" t="s">
        <v>37</v>
      </c>
      <c r="H37" s="1466"/>
      <c r="I37" s="1468"/>
      <c r="J37" s="1470">
        <f>F2_Methane_Enteric_Heifer_Day_kg*Defaults!$D$8</f>
        <v>0.68951649273468019</v>
      </c>
      <c r="K37" s="3098" t="s">
        <v>259</v>
      </c>
      <c r="L37" s="1469"/>
      <c r="M37" s="1470">
        <f>F2_Methane_Enteric_Heifer_Day_kg</f>
        <v>0.31275936644708874</v>
      </c>
      <c r="N37" s="145" t="s">
        <v>37</v>
      </c>
      <c r="O37" s="1469"/>
      <c r="P37" s="1663"/>
      <c r="Q37" s="1664">
        <f>F3_Methane_Enteric_Heifer_Day_kg*Defaults!$D$8</f>
        <v>0.70544716414892927</v>
      </c>
      <c r="R37" s="3278" t="s">
        <v>259</v>
      </c>
      <c r="S37" s="1603"/>
      <c r="T37" s="1664">
        <f>F3_Methane_Enteric_Heifer_Day_kg</f>
        <v>0.31998539621011357</v>
      </c>
      <c r="U37" s="388" t="s">
        <v>37</v>
      </c>
      <c r="V37" s="1666"/>
      <c r="W37" s="1605"/>
      <c r="X37" s="1667">
        <f>F4_Methane_Enteric_Heifer_Day_kg*Defaults!$D$8</f>
        <v>0.56684678792301435</v>
      </c>
      <c r="Y37" s="3279" t="s">
        <v>259</v>
      </c>
      <c r="Z37" s="1605"/>
      <c r="AA37" s="1667">
        <f>F4_Methane_Enteric_Heifer_Day_kg</f>
        <v>0.25711733385844848</v>
      </c>
      <c r="AB37" s="465" t="s">
        <v>37</v>
      </c>
      <c r="AC37" s="497"/>
    </row>
    <row r="38" spans="1:29">
      <c r="A38" s="209" t="s">
        <v>383</v>
      </c>
      <c r="B38" s="358"/>
      <c r="C38" s="1464">
        <f>F1_Methane_Enteric_Calf_Day_kg*Defaults!$D$8</f>
        <v>0.26155453486549907</v>
      </c>
      <c r="D38" s="3096" t="s">
        <v>259</v>
      </c>
      <c r="E38" s="1466"/>
      <c r="F38" s="1076">
        <f>F1_Methane_Enteric_Calf_Day_kg</f>
        <v>0.11863912100413497</v>
      </c>
      <c r="G38" s="163" t="s">
        <v>37</v>
      </c>
      <c r="H38" s="1466"/>
      <c r="I38" s="1468"/>
      <c r="J38" s="1470">
        <f>F2_Methane_Enteric_Calf_Day_kg*Defaults!$D$8</f>
        <v>0.24140966450436172</v>
      </c>
      <c r="K38" s="3098" t="s">
        <v>259</v>
      </c>
      <c r="L38" s="1469"/>
      <c r="M38" s="1080">
        <f>F2_Methane_Enteric_Calf_Day_kg</f>
        <v>0.10950156308101734</v>
      </c>
      <c r="N38" s="145" t="s">
        <v>37</v>
      </c>
      <c r="O38" s="1469"/>
      <c r="P38" s="1663"/>
      <c r="Q38" s="1664">
        <f>F3_Methane_Enteric_Calf_Day_kg*Defaults!$D$8</f>
        <v>0.24698722223063199</v>
      </c>
      <c r="R38" s="3278" t="s">
        <v>259</v>
      </c>
      <c r="S38" s="1603"/>
      <c r="T38" s="1084">
        <f>F3_Methane_Enteric_Calf_Day_kg</f>
        <v>0.11203150027493679</v>
      </c>
      <c r="U38" s="388" t="s">
        <v>37</v>
      </c>
      <c r="V38" s="1666"/>
      <c r="W38" s="1605"/>
      <c r="X38" s="1667">
        <f>F4_Methane_Enteric_Calf_Day_kg*Defaults!$D$8</f>
        <v>0.20612610469927795</v>
      </c>
      <c r="Y38" s="3279" t="s">
        <v>259</v>
      </c>
      <c r="Z38" s="1605"/>
      <c r="AA38" s="1088">
        <f>F4_Methane_Enteric_Calf_Day_kg</f>
        <v>9.3497212312163083E-2</v>
      </c>
      <c r="AB38" s="465" t="s">
        <v>37</v>
      </c>
      <c r="AC38" s="497"/>
    </row>
    <row r="39" spans="1:29" ht="5.25" customHeight="1">
      <c r="A39" s="286"/>
      <c r="B39" s="498"/>
      <c r="C39" s="499"/>
      <c r="D39" s="3097"/>
      <c r="E39" s="499"/>
      <c r="F39" s="499"/>
      <c r="G39" s="3097"/>
      <c r="H39" s="499"/>
      <c r="I39" s="500"/>
      <c r="J39" s="501"/>
      <c r="K39" s="3099"/>
      <c r="L39" s="501"/>
      <c r="M39" s="501"/>
      <c r="N39" s="3099"/>
      <c r="O39" s="501"/>
      <c r="P39" s="502"/>
      <c r="Q39" s="503"/>
      <c r="R39" s="503"/>
      <c r="S39" s="503"/>
      <c r="T39" s="503"/>
      <c r="U39" s="3100"/>
      <c r="V39" s="504"/>
      <c r="W39" s="505"/>
      <c r="X39" s="505"/>
      <c r="Y39" s="505"/>
      <c r="Z39" s="505"/>
      <c r="AA39" s="505"/>
      <c r="AB39" s="505"/>
      <c r="AC39" s="506"/>
    </row>
    <row r="40" spans="1:29" ht="5.25" customHeight="1">
      <c r="A40" s="281"/>
      <c r="B40" s="358"/>
      <c r="C40" s="382"/>
      <c r="D40" s="1594"/>
      <c r="E40" s="382"/>
      <c r="F40" s="382"/>
      <c r="G40" s="1594"/>
      <c r="H40" s="382"/>
      <c r="I40" s="360"/>
      <c r="J40" s="96"/>
      <c r="K40" s="1596"/>
      <c r="L40" s="96"/>
      <c r="M40" s="96"/>
      <c r="N40" s="1596"/>
      <c r="O40" s="96"/>
      <c r="P40" s="493"/>
      <c r="Q40" s="494"/>
      <c r="R40" s="494"/>
      <c r="S40" s="494"/>
      <c r="T40" s="494"/>
      <c r="U40" s="1597"/>
      <c r="V40" s="495"/>
      <c r="W40" s="496"/>
      <c r="X40" s="496"/>
      <c r="Y40" s="496"/>
      <c r="Z40" s="496"/>
      <c r="AA40" s="496"/>
      <c r="AB40" s="496"/>
      <c r="AC40" s="497"/>
    </row>
    <row r="41" spans="1:29">
      <c r="A41" s="1106" t="s">
        <v>263</v>
      </c>
      <c r="B41" s="358"/>
      <c r="C41" s="382"/>
      <c r="D41" s="1594"/>
      <c r="E41" s="382"/>
      <c r="F41" s="382"/>
      <c r="G41" s="1594"/>
      <c r="H41" s="382"/>
      <c r="I41" s="360"/>
      <c r="J41" s="96"/>
      <c r="K41" s="1596"/>
      <c r="L41" s="96"/>
      <c r="M41" s="96"/>
      <c r="N41" s="1596"/>
      <c r="O41" s="96"/>
      <c r="P41" s="493"/>
      <c r="Q41" s="494"/>
      <c r="R41" s="494"/>
      <c r="S41" s="494"/>
      <c r="T41" s="494"/>
      <c r="U41" s="1597"/>
      <c r="V41" s="495"/>
      <c r="W41" s="496"/>
      <c r="X41" s="496"/>
      <c r="Y41" s="496"/>
      <c r="Z41" s="496"/>
      <c r="AA41" s="496"/>
      <c r="AB41" s="496"/>
      <c r="AC41" s="497"/>
    </row>
    <row r="42" spans="1:29">
      <c r="A42" s="209" t="s">
        <v>381</v>
      </c>
      <c r="B42" s="358"/>
      <c r="C42" s="1096">
        <f>F1_Methane_Manure_Dry_Cow_Day_kg* Defaults!$D$8</f>
        <v>1.2619130090547122</v>
      </c>
      <c r="D42" s="3096" t="s">
        <v>259</v>
      </c>
      <c r="E42" s="382"/>
      <c r="F42" s="1107">
        <f>F1_Methane_Manure_Dry_Cow_Day_kg</f>
        <v>0.57239401433021064</v>
      </c>
      <c r="G42" s="163" t="s">
        <v>37</v>
      </c>
      <c r="H42" s="382"/>
      <c r="I42" s="360"/>
      <c r="J42" s="1097">
        <f>F2_Methane_Manure_Dry_Cow_Day_kg* Defaults!$D$8</f>
        <v>1.0183169398108276</v>
      </c>
      <c r="K42" s="3098" t="s">
        <v>259</v>
      </c>
      <c r="L42" s="96"/>
      <c r="M42" s="1109">
        <f>F2_Methane_Manure_Dry_Cow_Day_kg</f>
        <v>0.46190071491172302</v>
      </c>
      <c r="N42" s="145" t="s">
        <v>37</v>
      </c>
      <c r="O42" s="96"/>
      <c r="P42" s="493"/>
      <c r="Q42" s="1098">
        <f>F3_Methane_Manure_Dry_Cow_Day_kg* Defaults!$D$8</f>
        <v>0.36970859444288351</v>
      </c>
      <c r="R42" s="431" t="s">
        <v>259</v>
      </c>
      <c r="S42" s="494"/>
      <c r="T42" s="1110">
        <f>F3_Methane_Manure_Dry_Cow_Day_kg</f>
        <v>0.16769696879824056</v>
      </c>
      <c r="U42" s="388" t="s">
        <v>37</v>
      </c>
      <c r="V42" s="495"/>
      <c r="W42" s="496"/>
      <c r="X42" s="1099">
        <f>F4_Methane_Manure_Dry_Cow_Day_kg* Defaults!$D$8</f>
        <v>0.18477260887425306</v>
      </c>
      <c r="Y42" s="434" t="s">
        <v>259</v>
      </c>
      <c r="Z42" s="496"/>
      <c r="AA42" s="1108">
        <f>F4_Methane_Manure_Dry_Cow_Day_kg</f>
        <v>8.3811431194473179E-2</v>
      </c>
      <c r="AB42" s="465" t="s">
        <v>37</v>
      </c>
      <c r="AC42" s="497"/>
    </row>
    <row r="43" spans="1:29">
      <c r="A43" s="209" t="s">
        <v>382</v>
      </c>
      <c r="B43" s="358"/>
      <c r="C43" s="1464">
        <f>F1_Methane_Manure_Heifer_Day_kg*Defaults!$D$8</f>
        <v>0.91893616623103269</v>
      </c>
      <c r="D43" s="3096" t="s">
        <v>259</v>
      </c>
      <c r="E43" s="382"/>
      <c r="F43" s="1464">
        <f>F1_Methane_Manure_Heifer_Day_kg</f>
        <v>0.41682236202336298</v>
      </c>
      <c r="G43" s="163" t="s">
        <v>37</v>
      </c>
      <c r="H43" s="382"/>
      <c r="I43" s="360"/>
      <c r="J43" s="1470">
        <f>F2_Methane_Manure_Heifer_Day_kg*Defaults!$D$8</f>
        <v>0.74154736337876004</v>
      </c>
      <c r="K43" s="3098" t="s">
        <v>259</v>
      </c>
      <c r="L43" s="96"/>
      <c r="M43" s="1470">
        <f>F2_Methane_Manure_Heifer_Day_kg</f>
        <v>0.33636016832753718</v>
      </c>
      <c r="N43" s="145" t="s">
        <v>37</v>
      </c>
      <c r="O43" s="96"/>
      <c r="P43" s="493"/>
      <c r="Q43" s="1664">
        <f>F3_Methane_Manure_Heifer_Day_kg*Defaults!$D$8</f>
        <v>0.26922505431218452</v>
      </c>
      <c r="R43" s="431" t="s">
        <v>259</v>
      </c>
      <c r="S43" s="494"/>
      <c r="T43" s="1664">
        <f>F3_Methane_Manure_Heifer_Day_kg</f>
        <v>0.12211840950229789</v>
      </c>
      <c r="U43" s="388" t="s">
        <v>37</v>
      </c>
      <c r="V43" s="495"/>
      <c r="W43" s="496"/>
      <c r="X43" s="1667">
        <f>F4_Methane_Manure_Heifer_Day_kg*Defaults!$D$8</f>
        <v>0.12446926045100019</v>
      </c>
      <c r="Y43" s="434" t="s">
        <v>259</v>
      </c>
      <c r="Z43" s="496"/>
      <c r="AA43" s="1667">
        <f>F4_Methane_Manure_Heifer_Day_kg</f>
        <v>5.6458297156021769E-2</v>
      </c>
      <c r="AB43" s="465" t="s">
        <v>37</v>
      </c>
      <c r="AC43" s="497"/>
    </row>
    <row r="44" spans="1:29">
      <c r="A44" s="209" t="s">
        <v>383</v>
      </c>
      <c r="B44" s="358"/>
      <c r="C44" s="1464">
        <f>F1_Methane_Manure_Calf_Day_kg*Defaults!$D$8</f>
        <v>0.32173279961864532</v>
      </c>
      <c r="D44" s="3096" t="s">
        <v>259</v>
      </c>
      <c r="E44" s="382"/>
      <c r="F44" s="1076">
        <f>F1_Methane_Manure_Calf_Day_kg</f>
        <v>0.14593551805394631</v>
      </c>
      <c r="G44" s="163" t="s">
        <v>37</v>
      </c>
      <c r="H44" s="382"/>
      <c r="I44" s="360"/>
      <c r="J44" s="1470">
        <f>F2_Methane_Manure_Calf_Day_kg*Defaults!$D$8</f>
        <v>0.25962642241865053</v>
      </c>
      <c r="K44" s="3098" t="s">
        <v>259</v>
      </c>
      <c r="L44" s="96"/>
      <c r="M44" s="1080">
        <f>F2_Methane_Manure_Calf_Day_kg</f>
        <v>0.11776454405975557</v>
      </c>
      <c r="N44" s="145" t="s">
        <v>37</v>
      </c>
      <c r="O44" s="96"/>
      <c r="P44" s="493"/>
      <c r="Q44" s="1664">
        <f>F3_Methane_Manure_Calf_Day_kg*Defaults!$D$8</f>
        <v>9.4259572791222504E-2</v>
      </c>
      <c r="R44" s="431" t="s">
        <v>259</v>
      </c>
      <c r="S44" s="494"/>
      <c r="T44" s="1084">
        <f>F3_Methane_Manure_Calf_Day_kg</f>
        <v>4.2755415683870888E-2</v>
      </c>
      <c r="U44" s="388" t="s">
        <v>37</v>
      </c>
      <c r="V44" s="495"/>
      <c r="W44" s="496"/>
      <c r="X44" s="1667">
        <f>F4_Methane_Manure_Calf_Day_kg*Defaults!$D$8</f>
        <v>4.5261549254909161E-2</v>
      </c>
      <c r="Y44" s="434" t="s">
        <v>259</v>
      </c>
      <c r="Z44" s="496"/>
      <c r="AA44" s="1088">
        <f>F4_Methane_Manure_Calf_Day_kg</f>
        <v>2.0530289874917007E-2</v>
      </c>
      <c r="AB44" s="465" t="s">
        <v>37</v>
      </c>
      <c r="AC44" s="497"/>
    </row>
    <row r="45" spans="1:29" ht="5.25" customHeight="1">
      <c r="A45" s="286"/>
      <c r="B45" s="498"/>
      <c r="C45" s="499"/>
      <c r="D45" s="3097"/>
      <c r="E45" s="499"/>
      <c r="F45" s="499"/>
      <c r="G45" s="3097"/>
      <c r="H45" s="499"/>
      <c r="I45" s="500"/>
      <c r="J45" s="501"/>
      <c r="K45" s="3099"/>
      <c r="L45" s="501"/>
      <c r="M45" s="501"/>
      <c r="N45" s="3099"/>
      <c r="O45" s="501"/>
      <c r="P45" s="502"/>
      <c r="Q45" s="503"/>
      <c r="R45" s="503"/>
      <c r="S45" s="503"/>
      <c r="T45" s="503"/>
      <c r="U45" s="3100"/>
      <c r="V45" s="504"/>
      <c r="W45" s="505"/>
      <c r="X45" s="1604"/>
      <c r="Y45" s="505"/>
      <c r="Z45" s="505"/>
      <c r="AA45" s="505"/>
      <c r="AB45" s="505"/>
      <c r="AC45" s="506"/>
    </row>
    <row r="46" spans="1:29" ht="5.25" customHeight="1">
      <c r="A46" s="281"/>
      <c r="B46" s="358"/>
      <c r="C46" s="382"/>
      <c r="D46" s="1594"/>
      <c r="E46" s="382"/>
      <c r="F46" s="382"/>
      <c r="G46" s="1594"/>
      <c r="H46" s="382"/>
      <c r="I46" s="360"/>
      <c r="J46" s="96"/>
      <c r="K46" s="1596"/>
      <c r="L46" s="96"/>
      <c r="M46" s="96"/>
      <c r="N46" s="1596"/>
      <c r="O46" s="96"/>
      <c r="P46" s="493"/>
      <c r="Q46" s="494"/>
      <c r="R46" s="494"/>
      <c r="S46" s="494"/>
      <c r="T46" s="494"/>
      <c r="U46" s="1597"/>
      <c r="V46" s="495"/>
      <c r="W46" s="496"/>
      <c r="X46" s="496"/>
      <c r="Y46" s="496"/>
      <c r="Z46" s="496"/>
      <c r="AA46" s="496"/>
      <c r="AB46" s="496"/>
      <c r="AC46" s="497"/>
    </row>
    <row r="47" spans="1:29">
      <c r="A47" s="1106" t="s">
        <v>241</v>
      </c>
      <c r="B47" s="358"/>
      <c r="C47" s="382"/>
      <c r="D47" s="1594"/>
      <c r="E47" s="382"/>
      <c r="F47" s="382"/>
      <c r="G47" s="1594"/>
      <c r="H47" s="382"/>
      <c r="I47" s="360"/>
      <c r="J47" s="96"/>
      <c r="K47" s="1596"/>
      <c r="L47" s="96"/>
      <c r="M47" s="96"/>
      <c r="N47" s="1596"/>
      <c r="O47" s="96"/>
      <c r="P47" s="493"/>
      <c r="Q47" s="494"/>
      <c r="R47" s="494"/>
      <c r="S47" s="494"/>
      <c r="T47" s="494"/>
      <c r="U47" s="1597"/>
      <c r="V47" s="495"/>
      <c r="W47" s="496"/>
      <c r="X47" s="496"/>
      <c r="Y47" s="496"/>
      <c r="Z47" s="496"/>
      <c r="AA47" s="496"/>
      <c r="AB47" s="496"/>
      <c r="AC47" s="497"/>
    </row>
    <row r="48" spans="1:29">
      <c r="A48" s="209" t="s">
        <v>381</v>
      </c>
      <c r="B48" s="358"/>
      <c r="C48" s="1096">
        <f>C36+C42</f>
        <v>2.2877924671492913</v>
      </c>
      <c r="D48" s="3096" t="s">
        <v>259</v>
      </c>
      <c r="E48" s="382"/>
      <c r="F48" s="1096">
        <f>F36+F42</f>
        <v>1.0377250292450413</v>
      </c>
      <c r="G48" s="163" t="s">
        <v>37</v>
      </c>
      <c r="H48" s="382"/>
      <c r="I48" s="360"/>
      <c r="J48" s="1097">
        <f>J36+J42</f>
        <v>2.0441963979054067</v>
      </c>
      <c r="K48" s="3098" t="s">
        <v>259</v>
      </c>
      <c r="L48" s="96"/>
      <c r="M48" s="1097">
        <f>M36+M42</f>
        <v>0.92723172982655377</v>
      </c>
      <c r="N48" s="145" t="s">
        <v>37</v>
      </c>
      <c r="O48" s="96"/>
      <c r="P48" s="493"/>
      <c r="Q48" s="1098">
        <f>Q36+Q42</f>
        <v>1.3384515674085131</v>
      </c>
      <c r="R48" s="431" t="s">
        <v>259</v>
      </c>
      <c r="S48" s="494"/>
      <c r="T48" s="1098">
        <f>T36+T42</f>
        <v>0.60711131445535726</v>
      </c>
      <c r="U48" s="388" t="s">
        <v>37</v>
      </c>
      <c r="V48" s="495"/>
      <c r="W48" s="496"/>
      <c r="X48" s="1099">
        <f>X36+X42</f>
        <v>1.0262475196837209</v>
      </c>
      <c r="Y48" s="434" t="s">
        <v>259</v>
      </c>
      <c r="Z48" s="496"/>
      <c r="AA48" s="1099">
        <f>AA36+AA42</f>
        <v>0.46549796481471928</v>
      </c>
      <c r="AB48" s="465" t="s">
        <v>37</v>
      </c>
      <c r="AC48" s="497"/>
    </row>
    <row r="49" spans="1:29">
      <c r="A49" s="209" t="s">
        <v>382</v>
      </c>
      <c r="B49" s="358"/>
      <c r="C49" s="1096">
        <f>C37+C43</f>
        <v>1.6659906220233407</v>
      </c>
      <c r="D49" s="3096" t="s">
        <v>259</v>
      </c>
      <c r="E49" s="382"/>
      <c r="F49" s="1096">
        <f>F37+F43</f>
        <v>0.75568050502210138</v>
      </c>
      <c r="G49" s="163" t="s">
        <v>37</v>
      </c>
      <c r="H49" s="382"/>
      <c r="I49" s="360"/>
      <c r="J49" s="1097">
        <f>J37+J43</f>
        <v>1.4310638561134401</v>
      </c>
      <c r="K49" s="3098" t="s">
        <v>259</v>
      </c>
      <c r="L49" s="96"/>
      <c r="M49" s="1097">
        <f>M37+M43</f>
        <v>0.64911953477462592</v>
      </c>
      <c r="N49" s="145" t="s">
        <v>37</v>
      </c>
      <c r="O49" s="96"/>
      <c r="P49" s="493"/>
      <c r="Q49" s="1098">
        <f>Q37+Q43</f>
        <v>0.97467221846111385</v>
      </c>
      <c r="R49" s="431" t="s">
        <v>259</v>
      </c>
      <c r="S49" s="494"/>
      <c r="T49" s="1098">
        <f>T37+T43</f>
        <v>0.44210380571241148</v>
      </c>
      <c r="U49" s="388" t="s">
        <v>37</v>
      </c>
      <c r="V49" s="495"/>
      <c r="W49" s="496"/>
      <c r="X49" s="1099">
        <f>X37+X43</f>
        <v>0.6913160483740145</v>
      </c>
      <c r="Y49" s="434" t="s">
        <v>259</v>
      </c>
      <c r="Z49" s="496"/>
      <c r="AA49" s="1099">
        <f>AA37+AA43</f>
        <v>0.31357563101447028</v>
      </c>
      <c r="AB49" s="465" t="s">
        <v>37</v>
      </c>
      <c r="AC49" s="497"/>
    </row>
    <row r="50" spans="1:29">
      <c r="A50" s="209" t="s">
        <v>383</v>
      </c>
      <c r="B50" s="358"/>
      <c r="C50" s="1096">
        <f>C38+C44</f>
        <v>0.58328733448414438</v>
      </c>
      <c r="D50" s="3096" t="s">
        <v>259</v>
      </c>
      <c r="E50" s="382"/>
      <c r="F50" s="1096">
        <f>F38+F44</f>
        <v>0.26457463905808126</v>
      </c>
      <c r="G50" s="163" t="s">
        <v>37</v>
      </c>
      <c r="H50" s="382"/>
      <c r="I50" s="360"/>
      <c r="J50" s="1097">
        <f>J38+J44</f>
        <v>0.50103608692301227</v>
      </c>
      <c r="K50" s="3098" t="s">
        <v>259</v>
      </c>
      <c r="L50" s="96"/>
      <c r="M50" s="1097">
        <f>M38+M44</f>
        <v>0.22726610714077292</v>
      </c>
      <c r="N50" s="145" t="s">
        <v>37</v>
      </c>
      <c r="O50" s="96"/>
      <c r="P50" s="493"/>
      <c r="Q50" s="1098">
        <f>Q38+Q44</f>
        <v>0.34124679502185451</v>
      </c>
      <c r="R50" s="431" t="s">
        <v>259</v>
      </c>
      <c r="S50" s="494"/>
      <c r="T50" s="1098">
        <f>T38+T44</f>
        <v>0.15478691595880767</v>
      </c>
      <c r="U50" s="388" t="s">
        <v>37</v>
      </c>
      <c r="V50" s="495"/>
      <c r="W50" s="496"/>
      <c r="X50" s="1099">
        <f>X38+X44</f>
        <v>0.25138765395418711</v>
      </c>
      <c r="Y50" s="434" t="s">
        <v>259</v>
      </c>
      <c r="Z50" s="496"/>
      <c r="AA50" s="1099">
        <f>AA38+AA44</f>
        <v>0.11402750218708009</v>
      </c>
      <c r="AB50" s="465" t="s">
        <v>37</v>
      </c>
      <c r="AC50" s="497"/>
    </row>
    <row r="51" spans="1:29">
      <c r="A51" s="209"/>
      <c r="B51" s="358"/>
      <c r="C51" s="1042"/>
      <c r="D51" s="3096"/>
      <c r="E51" s="382"/>
      <c r="F51" s="1042"/>
      <c r="G51" s="186"/>
      <c r="H51" s="382"/>
      <c r="I51" s="360"/>
      <c r="J51" s="1043"/>
      <c r="K51" s="226"/>
      <c r="L51" s="96"/>
      <c r="M51" s="1043"/>
      <c r="N51" s="44"/>
      <c r="O51" s="96"/>
      <c r="P51" s="493"/>
      <c r="Q51" s="1044"/>
      <c r="R51" s="431"/>
      <c r="S51" s="494"/>
      <c r="T51" s="1044"/>
      <c r="U51" s="511"/>
      <c r="V51" s="495"/>
      <c r="W51" s="496"/>
      <c r="X51" s="1045"/>
      <c r="Y51" s="434"/>
      <c r="Z51" s="496"/>
      <c r="AA51" s="1045"/>
      <c r="AB51" s="465"/>
      <c r="AC51" s="497"/>
    </row>
    <row r="52" spans="1:29" ht="5.25" customHeight="1">
      <c r="A52" s="286"/>
      <c r="B52" s="498"/>
      <c r="C52" s="499"/>
      <c r="D52" s="499"/>
      <c r="E52" s="499"/>
      <c r="F52" s="499"/>
      <c r="G52" s="499"/>
      <c r="H52" s="499"/>
      <c r="I52" s="500"/>
      <c r="J52" s="501"/>
      <c r="K52" s="501"/>
      <c r="L52" s="501"/>
      <c r="M52" s="501"/>
      <c r="N52" s="501"/>
      <c r="O52" s="501"/>
      <c r="P52" s="502"/>
      <c r="Q52" s="503"/>
      <c r="R52" s="503"/>
      <c r="S52" s="503"/>
      <c r="T52" s="503"/>
      <c r="U52" s="503"/>
      <c r="V52" s="504"/>
      <c r="W52" s="505"/>
      <c r="X52" s="505"/>
      <c r="Y52" s="505"/>
      <c r="Z52" s="505"/>
      <c r="AA52" s="505"/>
      <c r="AB52" s="505"/>
      <c r="AC52" s="506"/>
    </row>
    <row r="53" spans="1:29" ht="32.25" customHeight="1">
      <c r="A53" s="4011" t="s">
        <v>1525</v>
      </c>
      <c r="B53" s="4012"/>
      <c r="C53" s="4012"/>
      <c r="D53" s="4012"/>
      <c r="E53" s="4012"/>
      <c r="F53" s="4012"/>
      <c r="G53" s="4012"/>
      <c r="H53" s="4012"/>
      <c r="I53" s="4012"/>
      <c r="J53" s="4012"/>
      <c r="K53" s="4012"/>
      <c r="L53" s="4012"/>
      <c r="M53" s="4012"/>
      <c r="N53" s="4012"/>
      <c r="O53" s="4012"/>
      <c r="P53" s="4012"/>
      <c r="Q53" s="4012"/>
      <c r="R53" s="4012"/>
      <c r="S53" s="4012"/>
      <c r="T53" s="4012"/>
      <c r="U53" s="4012"/>
      <c r="V53" s="4012"/>
      <c r="W53" s="4012"/>
      <c r="X53" s="4012"/>
      <c r="Y53" s="4012"/>
      <c r="Z53" s="4012"/>
      <c r="AA53" s="4012"/>
      <c r="AB53" s="4012"/>
      <c r="AC53" s="4013"/>
    </row>
    <row r="54" spans="1:29" ht="5.25" customHeight="1">
      <c r="A54" s="3843"/>
      <c r="B54" s="357"/>
      <c r="C54" s="366"/>
      <c r="D54" s="366"/>
      <c r="E54" s="366"/>
      <c r="F54" s="3844"/>
      <c r="G54" s="366"/>
      <c r="H54" s="366"/>
      <c r="I54" s="359"/>
      <c r="J54" s="126"/>
      <c r="K54" s="126"/>
      <c r="L54" s="126"/>
      <c r="M54" s="3845"/>
      <c r="N54" s="126"/>
      <c r="O54" s="3848"/>
      <c r="P54" s="604"/>
      <c r="Q54" s="604"/>
      <c r="R54" s="604"/>
      <c r="S54" s="604"/>
      <c r="T54" s="3846"/>
      <c r="U54" s="604"/>
      <c r="V54" s="634"/>
      <c r="W54" s="595"/>
      <c r="X54" s="595"/>
      <c r="Y54" s="595"/>
      <c r="Z54" s="595"/>
      <c r="AA54" s="3847"/>
      <c r="AB54" s="595"/>
      <c r="AC54" s="614"/>
    </row>
    <row r="55" spans="1:29" ht="12" customHeight="1">
      <c r="A55" s="4010" t="s">
        <v>1089</v>
      </c>
      <c r="B55" s="358"/>
      <c r="C55" s="3853" t="s">
        <v>48</v>
      </c>
      <c r="D55" s="163"/>
      <c r="E55" s="382"/>
      <c r="F55" s="3851">
        <v>1</v>
      </c>
      <c r="G55" s="382"/>
      <c r="H55" s="820"/>
      <c r="I55" s="96"/>
      <c r="J55" s="3859" t="s">
        <v>48</v>
      </c>
      <c r="K55" s="145"/>
      <c r="L55" s="96"/>
      <c r="M55" s="3860">
        <v>1</v>
      </c>
      <c r="N55" s="96"/>
      <c r="O55" s="3852"/>
      <c r="P55" s="494"/>
      <c r="Q55" s="3863" t="s">
        <v>48</v>
      </c>
      <c r="R55" s="388"/>
      <c r="S55" s="494"/>
      <c r="T55" s="3864">
        <v>1</v>
      </c>
      <c r="U55" s="494"/>
      <c r="V55" s="495"/>
      <c r="W55" s="496"/>
      <c r="X55" s="3855" t="s">
        <v>48</v>
      </c>
      <c r="Y55" s="397"/>
      <c r="Z55" s="496"/>
      <c r="AA55" s="3856">
        <v>1</v>
      </c>
      <c r="AB55" s="496"/>
      <c r="AC55" s="497"/>
    </row>
    <row r="56" spans="1:29" s="40" customFormat="1" ht="12.75" customHeight="1">
      <c r="A56" s="4010"/>
      <c r="B56" s="3011"/>
      <c r="C56" s="3854" t="s">
        <v>51</v>
      </c>
      <c r="D56" s="3107"/>
      <c r="E56" s="3841"/>
      <c r="F56" s="3851">
        <f>F1_Dry_Cow_Units</f>
        <v>0.14097037755756678</v>
      </c>
      <c r="G56" s="3015"/>
      <c r="H56" s="3842"/>
      <c r="I56" s="3019"/>
      <c r="J56" s="3861" t="s">
        <v>51</v>
      </c>
      <c r="K56" s="3109"/>
      <c r="L56" s="3862"/>
      <c r="M56" s="3860">
        <f>F2_Dry_Cow_Units</f>
        <v>0.14765955875110809</v>
      </c>
      <c r="N56" s="3020"/>
      <c r="O56" s="3849"/>
      <c r="P56" s="3024"/>
      <c r="Q56" s="3865" t="s">
        <v>51</v>
      </c>
      <c r="R56" s="3111"/>
      <c r="S56" s="3866"/>
      <c r="T56" s="3864">
        <f>F3_Dry_Cow_Units</f>
        <v>0.17159515651767643</v>
      </c>
      <c r="U56" s="3025"/>
      <c r="V56" s="3026"/>
      <c r="W56" s="3030"/>
      <c r="X56" s="3857" t="s">
        <v>51</v>
      </c>
      <c r="Y56" s="3113"/>
      <c r="Z56" s="3858"/>
      <c r="AA56" s="3856">
        <f>F4_Dry_Cow_Units</f>
        <v>0.18494816331754776</v>
      </c>
      <c r="AB56" s="3113"/>
      <c r="AC56" s="3095"/>
    </row>
    <row r="57" spans="1:29" s="40" customFormat="1">
      <c r="A57" s="4010"/>
      <c r="B57" s="3011"/>
      <c r="C57" s="3854" t="s">
        <v>1535</v>
      </c>
      <c r="D57" s="3107"/>
      <c r="E57" s="3841"/>
      <c r="F57" s="3851">
        <f>F1_Heifer_Units</f>
        <v>0.64208606291772286</v>
      </c>
      <c r="G57" s="3015"/>
      <c r="H57" s="3842"/>
      <c r="I57" s="3019"/>
      <c r="J57" s="3861" t="s">
        <v>1535</v>
      </c>
      <c r="K57" s="3109"/>
      <c r="L57" s="3862"/>
      <c r="M57" s="3860">
        <f>F2_Heifer_Units</f>
        <v>0.53983446268238322</v>
      </c>
      <c r="N57" s="3020"/>
      <c r="O57" s="3849"/>
      <c r="P57" s="3024"/>
      <c r="Q57" s="3865" t="s">
        <v>1535</v>
      </c>
      <c r="R57" s="3111"/>
      <c r="S57" s="3866"/>
      <c r="T57" s="3864">
        <f>F3_Heifer_Units</f>
        <v>0.41681153564123852</v>
      </c>
      <c r="U57" s="3025"/>
      <c r="V57" s="3026"/>
      <c r="W57" s="3030"/>
      <c r="X57" s="3857" t="s">
        <v>1535</v>
      </c>
      <c r="Y57" s="3113"/>
      <c r="Z57" s="3858"/>
      <c r="AA57" s="3856">
        <f>F4_Heifer_Units</f>
        <v>0.34160339708622189</v>
      </c>
      <c r="AB57" s="3113"/>
      <c r="AC57" s="3095"/>
    </row>
    <row r="58" spans="1:29" s="40" customFormat="1">
      <c r="A58" s="4010"/>
      <c r="B58" s="3011"/>
      <c r="C58" s="3854" t="s">
        <v>710</v>
      </c>
      <c r="D58" s="3107"/>
      <c r="E58" s="3841"/>
      <c r="F58" s="3851">
        <f>F1_Heifer_Calf_Units</f>
        <v>0.65518986012012537</v>
      </c>
      <c r="G58" s="3015"/>
      <c r="H58" s="3842"/>
      <c r="I58" s="3019"/>
      <c r="J58" s="3861" t="s">
        <v>710</v>
      </c>
      <c r="K58" s="3109"/>
      <c r="L58" s="3862"/>
      <c r="M58" s="3860">
        <f>F2_Heifer_Calf_Units</f>
        <v>0.54972959539957567</v>
      </c>
      <c r="N58" s="3020"/>
      <c r="O58" s="3849"/>
      <c r="P58" s="3024"/>
      <c r="Q58" s="3865" t="s">
        <v>710</v>
      </c>
      <c r="R58" s="3111"/>
      <c r="S58" s="3866"/>
      <c r="T58" s="3864">
        <f>F3_Heifer_Calf_Units</f>
        <v>0.42187402392837908</v>
      </c>
      <c r="U58" s="3025"/>
      <c r="V58" s="3026"/>
      <c r="W58" s="3030"/>
      <c r="X58" s="3857" t="s">
        <v>710</v>
      </c>
      <c r="Y58" s="3113"/>
      <c r="Z58" s="3858"/>
      <c r="AA58" s="3856">
        <f>F4_Heifer_Calf_Units</f>
        <v>0.34505393645072924</v>
      </c>
      <c r="AB58" s="3113"/>
      <c r="AC58" s="3095"/>
    </row>
    <row r="59" spans="1:29" ht="5.25" customHeight="1">
      <c r="A59" s="286"/>
      <c r="B59" s="498"/>
      <c r="C59" s="499"/>
      <c r="D59" s="499"/>
      <c r="E59" s="499"/>
      <c r="F59" s="1601"/>
      <c r="G59" s="499"/>
      <c r="H59" s="499"/>
      <c r="I59" s="500"/>
      <c r="J59" s="501"/>
      <c r="K59" s="501"/>
      <c r="L59" s="501"/>
      <c r="M59" s="1600"/>
      <c r="N59" s="501"/>
      <c r="O59" s="3850"/>
      <c r="P59" s="503"/>
      <c r="Q59" s="503"/>
      <c r="R59" s="503"/>
      <c r="S59" s="503"/>
      <c r="T59" s="1602"/>
      <c r="U59" s="503"/>
      <c r="V59" s="504"/>
      <c r="W59" s="505"/>
      <c r="X59" s="505"/>
      <c r="Y59" s="505"/>
      <c r="Z59" s="505"/>
      <c r="AA59" s="1604"/>
      <c r="AB59" s="505"/>
      <c r="AC59" s="506"/>
    </row>
    <row r="60" spans="1:29" s="40" customFormat="1" ht="15.75" customHeight="1">
      <c r="A60" s="3094" t="s">
        <v>849</v>
      </c>
      <c r="B60" s="3011"/>
      <c r="C60" s="3012">
        <f>F1_Methane_Enteric_Lact_Cow_Day_lb+(F1_Methane_Enteric_Dry_Cow_Day_lb*F1_Dry_Cow_Units)+(F1_Methane_Enteric_Heifer_Day_lb*F1_Heifer_Units)+(F1_Methane_Enteric_Calf_Day_lb*F1_Heifer_Calf_Units)</f>
        <v>1.8215392060478595</v>
      </c>
      <c r="D60" s="3106" t="s">
        <v>259</v>
      </c>
      <c r="E60" s="3014"/>
      <c r="F60" s="3012">
        <f>F1_Methane_Enteric_Lact_Cow_Day_kg+(F1_Methane_Enteric_Dry_Cow_Day_kg*F1_Dry_Cow_Units)+(F1_Methane_Enteric_Heifer_Day_kg*F1_Heifer_Units)+(F1_Methane_Enteric_Calf_Day_kg*F1_Heifer_Calf_Units)</f>
        <v>0.82623614379776467</v>
      </c>
      <c r="G60" s="3107" t="s">
        <v>37</v>
      </c>
      <c r="H60" s="3014"/>
      <c r="I60" s="3016"/>
      <c r="J60" s="3017">
        <f>F2_Methane_Enteric_Lact_Cow_Day_lb+(F2_Methane_Enteric_Dry_Cow_Day_lb*F2_Dry_Cow_Units)+(F2_Methane_Enteric_Heifer_Day_lb*F2_Heifer_Units)+(F2_Methane_Enteric_Calf_Day_lb*F2_Heifer_Calf_Units)</f>
        <v>1.6032821679036424</v>
      </c>
      <c r="K60" s="3108" t="s">
        <v>259</v>
      </c>
      <c r="L60" s="3019"/>
      <c r="M60" s="3017">
        <f>F2_Methane_Enteric_Lact_Cow_Day_kg+(F2_Methane_Enteric_Dry_Cow_Day_kg*F2_Dry_Cow_Units)+(F2_Methane_Enteric_Heifer_Day_kg*F2_Heifer_Units)+(F2_Methane_Enteric_Calf_Day_kg*F2_Heifer_Calf_Units)</f>
        <v>0.72723643357782364</v>
      </c>
      <c r="N60" s="3109" t="s">
        <v>37</v>
      </c>
      <c r="O60" s="3019"/>
      <c r="P60" s="3021"/>
      <c r="Q60" s="3022">
        <f>F3_Methane_Enteric_Lact_Cow_Day_lb+(F3_Methane_Enteric_Dry_Cow_Day_lb*F3_Dry_Cow_Units)+(F3_Methane_Enteric_Heifer_Day_lb*F3_Heifer_Units)+(F3_Methane_Enteric_Calf_Day_lb*F3_Heifer_Calf_Units)</f>
        <v>1.5332105841410677</v>
      </c>
      <c r="R60" s="3110" t="s">
        <v>259</v>
      </c>
      <c r="S60" s="3024"/>
      <c r="T60" s="3022">
        <f>F3_Methane_Enteric_Lact_Cow_Day_kg+(F3_Methane_Enteric_Dry_Cow_Day_kg*F3_Dry_Cow_Units)+(F3_Methane_Enteric_Heifer_Day_kg*F3_Heifer_Units)+(F3_Methane_Enteric_Calf_Day_kg*F3_Heifer_Calf_Units)</f>
        <v>0.69545250328109054</v>
      </c>
      <c r="U60" s="3111" t="s">
        <v>37</v>
      </c>
      <c r="V60" s="3026"/>
      <c r="W60" s="3027"/>
      <c r="X60" s="3028">
        <f>F4_Methane_Enteric_Lact_Cow_Day_lb+(F4_Methane_Enteric_Dry_Cow_Day_lb*F4_Dry_Cow_Units)+(F4_Methane_Enteric_Heifer_Day_lb*F4_Heifer_Units)+(F4_Methane_Enteric_Calf_Day_lb*F4_Heifer_Calf_Units)</f>
        <v>1.261865562255132</v>
      </c>
      <c r="Y60" s="3112" t="s">
        <v>259</v>
      </c>
      <c r="Z60" s="3027"/>
      <c r="AA60" s="3028">
        <f>F4_Methane_Enteric_Lact_Cow_Day_kg+(F4_Methane_Enteric_Dry_Cow_Day_kg*F4_Dry_Cow_Units)+(F4_Methane_Enteric_Heifer_Day_kg*F4_Heifer_Units)+(F4_Methane_Enteric_Calf_Day_kg*F4_Heifer_Calf_Units)</f>
        <v>0.57237249282763181</v>
      </c>
      <c r="AB60" s="3113" t="s">
        <v>37</v>
      </c>
      <c r="AC60" s="3031"/>
    </row>
    <row r="61" spans="1:29" ht="15.75" customHeight="1">
      <c r="A61" s="2457" t="s">
        <v>855</v>
      </c>
      <c r="B61" s="358"/>
      <c r="C61" s="1464">
        <f>F1_Methane_Manure_Lact_Cow_Day_lb+(F1_Methane_Manure_Dry_Cow_Day_lb*F1_Dry_Cow_Units)+(F1_Methane_Manure_Heifer_Day_lb*F1_Heifer_Units)+(F1_Methane_Manure_Calf_Day_lb*F1_Heifer_Calf_Units)</f>
        <v>2.2406375354121466</v>
      </c>
      <c r="D61" s="163" t="s">
        <v>259</v>
      </c>
      <c r="E61" s="1466"/>
      <c r="F61" s="1464">
        <f>F1_Methane_Manure_Lact_Cow_Day_kg+(F1_Methane_Manure_Dry_Cow_Day_kg*F1_Dry_Cow_Units)+(F1_Methane_Manure_Heifer_Day_kg*F1_Heifer_Units)+(F1_Methane_Manure_Calf_Day_kg*F1_Heifer_Calf_Units)</f>
        <v>1.0163359156700016</v>
      </c>
      <c r="G61" s="163" t="s">
        <v>37</v>
      </c>
      <c r="H61" s="1466"/>
      <c r="I61" s="1468"/>
      <c r="J61" s="1470">
        <f>F2_Methane_Manure_Lact_Cow_Day_lb+(F2_Methane_Manure_Dry_Cow_Day_lb*F2_Dry_Cow_Units)+(F2_Methane_Manure_Heifer_Day_lb*F2_Heifer_Units)+(F2_Methane_Manure_Calf_Day_lb*F2_Heifer_Calf_Units)</f>
        <v>1.7117183204264281</v>
      </c>
      <c r="K61" s="145" t="s">
        <v>259</v>
      </c>
      <c r="L61" s="1469"/>
      <c r="M61" s="1470">
        <f>F2_Methane_Manure_Lact_Cow_Day_kg+(F2_Methane_Manure_Dry_Cow_Day_kg*F2_Dry_Cow_Units)+(F2_Methane_Manure_Heifer_Day_kg*F2_Heifer_Units)+(F2_Methane_Manure_Calf_Day_kg*F2_Heifer_Calf_Units)</f>
        <v>0.77642223655764631</v>
      </c>
      <c r="N61" s="145" t="s">
        <v>37</v>
      </c>
      <c r="O61" s="1469"/>
      <c r="P61" s="1663"/>
      <c r="Q61" s="1664">
        <f>F3_Methane_Manure_Lact_Cow_Day_lb+(F3_Methane_Manure_Dry_Cow_Day_lb*F3_Dry_Cow_Units)+(F3_Methane_Manure_Heifer_Day_lb*F3_Heifer_Units)+(F3_Methane_Manure_Calf_Day_lb*F3_Heifer_Calf_Units)</f>
        <v>0.58513057216040076</v>
      </c>
      <c r="R61" s="388" t="s">
        <v>259</v>
      </c>
      <c r="S61" s="1603"/>
      <c r="T61" s="1664">
        <f>F3_Methane_Manure_Lact_Cow_Day_kg+(F3_Methane_Manure_Dry_Cow_Day_kg*F3_Dry_Cow_Units)+(F3_Methane_Manure_Heifer_Day_kg*F3_Heifer_Units)+(F3_Methane_Manure_Calf_Day_kg*F3_Heifer_Calf_Units)</f>
        <v>0.26541071746071809</v>
      </c>
      <c r="U61" s="388" t="s">
        <v>37</v>
      </c>
      <c r="V61" s="1666"/>
      <c r="W61" s="1605"/>
      <c r="X61" s="1667">
        <f>F4_Methane_Manure_Lact_Cow_Day_lb+(F4_Methane_Manure_Dry_Cow_Day_lb*F4_Dry_Cow_Units)+(F4_Methane_Manure_Heifer_Day_lb*F4_Heifer_Units)+(F4_Methane_Manure_Calf_Day_lb*F4_Heifer_Calf_Units)</f>
        <v>0.27708276146007416</v>
      </c>
      <c r="Y61" s="397" t="s">
        <v>259</v>
      </c>
      <c r="Z61" s="1605"/>
      <c r="AA61" s="1667">
        <f>F4_Methane_Manure_Lact_Cow_Day_kg+(F4_Methane_Manure_Dry_Cow_Day_kg*F4_Dry_Cow_Units)+(F4_Methane_Manure_Heifer_Day_kg*F4_Heifer_Units)+(F4_Methane_Manure_Calf_Day_kg*F4_Heifer_Calf_Units)</f>
        <v>0.12568260489892111</v>
      </c>
      <c r="AB61" s="465" t="s">
        <v>37</v>
      </c>
      <c r="AC61" s="497"/>
    </row>
    <row r="62" spans="1:29" ht="5.25" customHeight="1">
      <c r="A62" s="286"/>
      <c r="B62" s="498"/>
      <c r="C62" s="499"/>
      <c r="D62" s="3097"/>
      <c r="E62" s="499"/>
      <c r="F62" s="499"/>
      <c r="G62" s="3097"/>
      <c r="H62" s="499"/>
      <c r="I62" s="500"/>
      <c r="J62" s="501"/>
      <c r="K62" s="3099"/>
      <c r="L62" s="501"/>
      <c r="M62" s="501"/>
      <c r="N62" s="3099"/>
      <c r="O62" s="501"/>
      <c r="P62" s="502"/>
      <c r="Q62" s="503"/>
      <c r="R62" s="3100"/>
      <c r="S62" s="503"/>
      <c r="T62" s="503"/>
      <c r="U62" s="3100"/>
      <c r="V62" s="504"/>
      <c r="W62" s="505"/>
      <c r="X62" s="505"/>
      <c r="Y62" s="3101"/>
      <c r="Z62" s="505"/>
      <c r="AA62" s="505"/>
      <c r="AB62" s="505"/>
      <c r="AC62" s="506"/>
    </row>
    <row r="63" spans="1:29" s="20" customFormat="1" ht="15.75" customHeight="1">
      <c r="A63" s="1194" t="s">
        <v>850</v>
      </c>
      <c r="B63" s="2383"/>
      <c r="C63" s="2998">
        <f>C60+C61</f>
        <v>4.0621767414600063</v>
      </c>
      <c r="D63" s="3105" t="s">
        <v>259</v>
      </c>
      <c r="E63" s="2999"/>
      <c r="F63" s="2998">
        <f>F60+F61</f>
        <v>1.8425720594677664</v>
      </c>
      <c r="G63" s="3105" t="s">
        <v>37</v>
      </c>
      <c r="H63" s="2999"/>
      <c r="I63" s="3000"/>
      <c r="J63" s="3001">
        <f>J60+J61</f>
        <v>3.3150004883300705</v>
      </c>
      <c r="K63" s="3104" t="s">
        <v>259</v>
      </c>
      <c r="L63" s="3002"/>
      <c r="M63" s="3001">
        <f>M60+M61</f>
        <v>1.5036586701354699</v>
      </c>
      <c r="N63" s="3104" t="s">
        <v>37</v>
      </c>
      <c r="O63" s="3002"/>
      <c r="P63" s="3003"/>
      <c r="Q63" s="3004">
        <f>Q60+Q61</f>
        <v>2.1183411563014687</v>
      </c>
      <c r="R63" s="3103" t="s">
        <v>259</v>
      </c>
      <c r="S63" s="3005"/>
      <c r="T63" s="3004">
        <f>T60+T61</f>
        <v>0.96086322074180863</v>
      </c>
      <c r="U63" s="3103" t="s">
        <v>37</v>
      </c>
      <c r="V63" s="3006"/>
      <c r="W63" s="3007"/>
      <c r="X63" s="3008">
        <f>X60+X61</f>
        <v>1.5389483237152062</v>
      </c>
      <c r="Y63" s="3102" t="s">
        <v>259</v>
      </c>
      <c r="Z63" s="3007"/>
      <c r="AA63" s="3008">
        <f>AA60+AA61</f>
        <v>0.69805509772655294</v>
      </c>
      <c r="AB63" s="3009" t="s">
        <v>37</v>
      </c>
      <c r="AC63" s="2055"/>
    </row>
    <row r="64" spans="1:29" ht="5.25" customHeight="1" thickBot="1">
      <c r="A64" s="2233"/>
      <c r="B64" s="2995"/>
      <c r="C64" s="1551"/>
      <c r="D64" s="1551"/>
      <c r="E64" s="1551"/>
      <c r="F64" s="1551"/>
      <c r="G64" s="1551"/>
      <c r="H64" s="1551"/>
      <c r="I64" s="1987"/>
      <c r="J64" s="1552"/>
      <c r="K64" s="1552"/>
      <c r="L64" s="1552"/>
      <c r="M64" s="1552"/>
      <c r="N64" s="1552"/>
      <c r="O64" s="1552"/>
      <c r="P64" s="2996"/>
      <c r="Q64" s="2985"/>
      <c r="R64" s="2985"/>
      <c r="S64" s="2985"/>
      <c r="T64" s="2985"/>
      <c r="U64" s="2985"/>
      <c r="V64" s="2997"/>
      <c r="W64" s="2950"/>
      <c r="X64" s="2950"/>
      <c r="Y64" s="2950"/>
      <c r="Z64" s="2950"/>
      <c r="AA64" s="2950"/>
      <c r="AB64" s="2950"/>
      <c r="AC64" s="2953"/>
    </row>
  </sheetData>
  <sheetProtection password="E0BE" sheet="1" objects="1" scenarios="1"/>
  <mergeCells count="14">
    <mergeCell ref="A55:A58"/>
    <mergeCell ref="A53:AC53"/>
    <mergeCell ref="A1:AC1"/>
    <mergeCell ref="W4:AC4"/>
    <mergeCell ref="A5:AC5"/>
    <mergeCell ref="A2:AC2"/>
    <mergeCell ref="A33:AC33"/>
    <mergeCell ref="B3:H3"/>
    <mergeCell ref="I3:O3"/>
    <mergeCell ref="P3:U3"/>
    <mergeCell ref="W3:AC3"/>
    <mergeCell ref="B4:H4"/>
    <mergeCell ref="I4:O4"/>
    <mergeCell ref="P4:V4"/>
  </mergeCells>
  <pageMargins left="0.7" right="0.7" top="0.75" bottom="0.75" header="0.3" footer="0.3"/>
  <pageSetup scale="58" orientation="landscape" horizontalDpi="1200" verticalDpi="1200" r:id="rId1"/>
  <headerFooter>
    <oddFooter>&amp;L&amp;A&amp;C&amp;F&amp;R&amp;D</oddFooter>
  </headerFooter>
</worksheet>
</file>

<file path=xl/worksheets/sheet11.xml><?xml version="1.0" encoding="utf-8"?>
<worksheet xmlns="http://schemas.openxmlformats.org/spreadsheetml/2006/main" xmlns:r="http://schemas.openxmlformats.org/officeDocument/2006/relationships">
  <sheetPr codeName="Sheet19">
    <pageSetUpPr fitToPage="1"/>
  </sheetPr>
  <dimension ref="A1:BC188"/>
  <sheetViews>
    <sheetView topLeftCell="A102" zoomScale="85" zoomScaleNormal="85" workbookViewId="0">
      <selection activeCell="A139" sqref="A139"/>
    </sheetView>
  </sheetViews>
  <sheetFormatPr defaultRowHeight="12.75"/>
  <cols>
    <col min="1" max="1" width="45.42578125" style="57" customWidth="1"/>
    <col min="2" max="2" width="1.28515625" style="21" customWidth="1"/>
    <col min="3" max="3" width="4.7109375" style="21" customWidth="1"/>
    <col min="4" max="4" width="8.7109375" style="21" customWidth="1"/>
    <col min="5" max="6" width="2.7109375" style="21" customWidth="1"/>
    <col min="7" max="7" width="8.7109375" style="21" customWidth="1"/>
    <col min="8" max="8" width="2.7109375" style="21" customWidth="1"/>
    <col min="9" max="10" width="1.28515625" style="21" customWidth="1"/>
    <col min="11" max="11" width="7.7109375" style="21" customWidth="1"/>
    <col min="12" max="13" width="1.42578125" style="21" customWidth="1"/>
    <col min="14" max="14" width="4.7109375" style="21" customWidth="1"/>
    <col min="15" max="15" width="8.7109375" style="21" customWidth="1"/>
    <col min="16" max="17" width="2.7109375" style="21" customWidth="1"/>
    <col min="18" max="18" width="8.7109375" style="21" customWidth="1"/>
    <col min="19" max="19" width="2.7109375" style="21" customWidth="1"/>
    <col min="20" max="21" width="1.28515625" style="21" customWidth="1"/>
    <col min="22" max="22" width="7.7109375" style="21" customWidth="1"/>
    <col min="23" max="24" width="1.28515625" style="21" customWidth="1"/>
    <col min="25" max="25" width="4.7109375" style="21" customWidth="1"/>
    <col min="26" max="26" width="8.7109375" style="21" customWidth="1"/>
    <col min="27" max="28" width="2.7109375" style="21" customWidth="1"/>
    <col min="29" max="29" width="8.7109375" style="21" customWidth="1"/>
    <col min="30" max="30" width="2.7109375" style="21" customWidth="1"/>
    <col min="31" max="32" width="1.28515625" style="21" customWidth="1"/>
    <col min="33" max="33" width="7.7109375" style="21" customWidth="1"/>
    <col min="34" max="35" width="1.42578125" style="21" customWidth="1"/>
    <col min="36" max="36" width="4.7109375" style="21" customWidth="1"/>
    <col min="37" max="37" width="8.7109375" style="21" customWidth="1"/>
    <col min="38" max="39" width="2.7109375" style="21" customWidth="1"/>
    <col min="40" max="40" width="8.7109375" style="21" customWidth="1"/>
    <col min="41" max="41" width="2.7109375" style="21" customWidth="1"/>
    <col min="42" max="43" width="1.28515625" style="21" customWidth="1"/>
    <col min="44" max="44" width="7.7109375" style="21" customWidth="1"/>
    <col min="45" max="45" width="1.28515625" style="21" customWidth="1"/>
    <col min="46" max="16384" width="9.140625" style="21"/>
  </cols>
  <sheetData>
    <row r="1" spans="1:46" ht="30" customHeight="1">
      <c r="A1" s="4014" t="str">
        <f>CONCATENATE("Application: ",Application_Name)</f>
        <v>Application: Conventional and Organic Farm Environmental Footprints (COFEF)</v>
      </c>
      <c r="B1" s="4015"/>
      <c r="C1" s="4015"/>
      <c r="D1" s="4015"/>
      <c r="E1" s="4015"/>
      <c r="F1" s="4015"/>
      <c r="G1" s="4015"/>
      <c r="H1" s="4015"/>
      <c r="I1" s="4015"/>
      <c r="J1" s="4015"/>
      <c r="K1" s="4015"/>
      <c r="L1" s="4015"/>
      <c r="M1" s="4015"/>
      <c r="N1" s="4015"/>
      <c r="O1" s="4015"/>
      <c r="P1" s="4015"/>
      <c r="Q1" s="4015"/>
      <c r="R1" s="4015"/>
      <c r="S1" s="4015"/>
      <c r="T1" s="4015"/>
      <c r="U1" s="4015"/>
      <c r="V1" s="4015"/>
      <c r="W1" s="4015"/>
      <c r="X1" s="4015"/>
      <c r="Y1" s="4015"/>
      <c r="Z1" s="4015"/>
      <c r="AA1" s="4015"/>
      <c r="AB1" s="4015"/>
      <c r="AC1" s="4015"/>
      <c r="AD1" s="4015"/>
      <c r="AE1" s="4015"/>
      <c r="AF1" s="4015"/>
      <c r="AG1" s="4015"/>
      <c r="AH1" s="4015"/>
      <c r="AI1" s="4015"/>
      <c r="AJ1" s="4015"/>
      <c r="AK1" s="4015"/>
      <c r="AL1" s="4015"/>
      <c r="AM1" s="4015"/>
      <c r="AN1" s="4015"/>
      <c r="AO1" s="4015"/>
      <c r="AP1" s="4015"/>
      <c r="AQ1" s="4015"/>
      <c r="AR1" s="4015"/>
      <c r="AS1" s="4015"/>
    </row>
    <row r="2" spans="1:46" ht="30" customHeight="1">
      <c r="A2" s="4016" t="s">
        <v>699</v>
      </c>
      <c r="B2" s="4017"/>
      <c r="C2" s="4017"/>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17"/>
      <c r="AL2" s="4017"/>
      <c r="AM2" s="4017"/>
      <c r="AN2" s="4017"/>
      <c r="AO2" s="4017"/>
      <c r="AP2" s="4017"/>
      <c r="AQ2" s="4017"/>
      <c r="AR2" s="4017"/>
      <c r="AS2" s="4017"/>
    </row>
    <row r="3" spans="1:46" s="149" customFormat="1" ht="21" customHeight="1">
      <c r="A3" s="182"/>
      <c r="B3" s="4080" t="str">
        <f>'Chosen Parameters-Part I'!B4</f>
        <v>Scenario 1</v>
      </c>
      <c r="C3" s="4081"/>
      <c r="D3" s="4081"/>
      <c r="E3" s="4081"/>
      <c r="F3" s="4081"/>
      <c r="G3" s="4081"/>
      <c r="H3" s="4081"/>
      <c r="I3" s="4081"/>
      <c r="J3" s="4081"/>
      <c r="K3" s="4081"/>
      <c r="L3" s="4082"/>
      <c r="M3" s="4077" t="str">
        <f>'Chosen Parameters-Part I'!C4</f>
        <v>Scenario 2</v>
      </c>
      <c r="N3" s="4078"/>
      <c r="O3" s="4078"/>
      <c r="P3" s="4078"/>
      <c r="Q3" s="4078"/>
      <c r="R3" s="4078"/>
      <c r="S3" s="4078"/>
      <c r="T3" s="4078"/>
      <c r="U3" s="4078"/>
      <c r="V3" s="4078"/>
      <c r="W3" s="4079"/>
      <c r="X3" s="4034" t="str">
        <f>'Chosen Parameters-Part I'!D4</f>
        <v>Scenario 3</v>
      </c>
      <c r="Y3" s="4035"/>
      <c r="Z3" s="4035"/>
      <c r="AA3" s="4035"/>
      <c r="AB3" s="4035"/>
      <c r="AC3" s="4035"/>
      <c r="AD3" s="4035"/>
      <c r="AE3" s="4035"/>
      <c r="AF3" s="4035"/>
      <c r="AG3" s="4035"/>
      <c r="AH3" s="4036"/>
      <c r="AI3" s="4037" t="str">
        <f>'Chosen Parameters-Part I'!E4</f>
        <v>Scenario 4</v>
      </c>
      <c r="AJ3" s="4038"/>
      <c r="AK3" s="4038"/>
      <c r="AL3" s="4038"/>
      <c r="AM3" s="4038"/>
      <c r="AN3" s="4038"/>
      <c r="AO3" s="4038"/>
      <c r="AP3" s="4038"/>
      <c r="AQ3" s="4038"/>
      <c r="AR3" s="4038"/>
      <c r="AS3" s="4039"/>
      <c r="AT3" s="101"/>
    </row>
    <row r="4" spans="1:46" s="148" customFormat="1" ht="36" customHeight="1">
      <c r="A4" s="150"/>
      <c r="B4" s="4083" t="str">
        <f>'Application Setup'!B4</f>
        <v>Intensive Conventional Management with Holsteins and rbST</v>
      </c>
      <c r="C4" s="4084"/>
      <c r="D4" s="4084"/>
      <c r="E4" s="4084"/>
      <c r="F4" s="4084"/>
      <c r="G4" s="4084"/>
      <c r="H4" s="4084"/>
      <c r="I4" s="4084"/>
      <c r="J4" s="4084"/>
      <c r="K4" s="4084"/>
      <c r="L4" s="4085"/>
      <c r="M4" s="4089" t="str">
        <f>'Application Setup'!B5</f>
        <v>Conventional Management, Holsteins</v>
      </c>
      <c r="N4" s="4090"/>
      <c r="O4" s="4090"/>
      <c r="P4" s="4090"/>
      <c r="Q4" s="4090"/>
      <c r="R4" s="4090"/>
      <c r="S4" s="4090"/>
      <c r="T4" s="4090"/>
      <c r="U4" s="4090"/>
      <c r="V4" s="4090"/>
      <c r="W4" s="4091"/>
      <c r="X4" s="4040" t="str">
        <f>'Application Setup'!B6</f>
        <v>Intensive Organic Management, Holsteins</v>
      </c>
      <c r="Y4" s="4041"/>
      <c r="Z4" s="4041"/>
      <c r="AA4" s="4041"/>
      <c r="AB4" s="4041"/>
      <c r="AC4" s="4041"/>
      <c r="AD4" s="4041"/>
      <c r="AE4" s="4041"/>
      <c r="AF4" s="4041"/>
      <c r="AG4" s="4041"/>
      <c r="AH4" s="4042"/>
      <c r="AI4" s="4043" t="str">
        <f>'Application Setup'!B7</f>
        <v>Pasture-Based Organic, Jersey Cows</v>
      </c>
      <c r="AJ4" s="4044"/>
      <c r="AK4" s="4044"/>
      <c r="AL4" s="4044"/>
      <c r="AM4" s="4044"/>
      <c r="AN4" s="4044"/>
      <c r="AO4" s="4044"/>
      <c r="AP4" s="4044"/>
      <c r="AQ4" s="4044"/>
      <c r="AR4" s="4044"/>
      <c r="AS4" s="4045"/>
      <c r="AT4" s="147"/>
    </row>
    <row r="5" spans="1:46" s="11" customFormat="1" ht="20.25" customHeight="1">
      <c r="A5" s="4031" t="s">
        <v>872</v>
      </c>
      <c r="B5" s="4087"/>
      <c r="C5" s="4087"/>
      <c r="D5" s="4087"/>
      <c r="E5" s="4087"/>
      <c r="F5" s="4087"/>
      <c r="G5" s="4087"/>
      <c r="H5" s="4087"/>
      <c r="I5" s="4087"/>
      <c r="J5" s="4087"/>
      <c r="K5" s="4087"/>
      <c r="L5" s="4087"/>
      <c r="M5" s="4087"/>
      <c r="N5" s="4087"/>
      <c r="O5" s="4087"/>
      <c r="P5" s="4087"/>
      <c r="Q5" s="4087"/>
      <c r="R5" s="4087"/>
      <c r="S5" s="4087"/>
      <c r="T5" s="4087"/>
      <c r="U5" s="4087"/>
      <c r="V5" s="4087"/>
      <c r="W5" s="4087"/>
      <c r="X5" s="4087"/>
      <c r="Y5" s="4087"/>
      <c r="Z5" s="4087"/>
      <c r="AA5" s="4087"/>
      <c r="AB5" s="4087"/>
      <c r="AC5" s="4087"/>
      <c r="AD5" s="4087"/>
      <c r="AE5" s="4087"/>
      <c r="AF5" s="4087"/>
      <c r="AG5" s="4087"/>
      <c r="AH5" s="4087"/>
      <c r="AI5" s="4087"/>
      <c r="AJ5" s="4087"/>
      <c r="AK5" s="4087"/>
      <c r="AL5" s="4087"/>
      <c r="AM5" s="4087"/>
      <c r="AN5" s="4087"/>
      <c r="AO5" s="4087"/>
      <c r="AP5" s="4087"/>
      <c r="AQ5" s="4087"/>
      <c r="AR5" s="4087"/>
      <c r="AS5" s="4088"/>
    </row>
    <row r="6" spans="1:46" s="11" customFormat="1" ht="45" customHeight="1">
      <c r="A6" s="2369"/>
      <c r="B6" s="2293"/>
      <c r="C6" s="4052" t="s">
        <v>906</v>
      </c>
      <c r="D6" s="4052"/>
      <c r="E6" s="2304"/>
      <c r="F6" s="4052" t="s">
        <v>641</v>
      </c>
      <c r="G6" s="4052"/>
      <c r="H6" s="4052"/>
      <c r="I6" s="2305"/>
      <c r="J6" s="4067" t="s">
        <v>83</v>
      </c>
      <c r="K6" s="4068"/>
      <c r="L6" s="4069"/>
      <c r="M6" s="2306"/>
      <c r="N6" s="4065" t="s">
        <v>906</v>
      </c>
      <c r="O6" s="4065"/>
      <c r="P6" s="2307"/>
      <c r="Q6" s="4065" t="s">
        <v>641</v>
      </c>
      <c r="R6" s="4065"/>
      <c r="S6" s="4065"/>
      <c r="T6" s="2360"/>
      <c r="U6" s="4064" t="s">
        <v>83</v>
      </c>
      <c r="V6" s="4065"/>
      <c r="W6" s="4066"/>
      <c r="X6" s="2611"/>
      <c r="Y6" s="4021" t="s">
        <v>906</v>
      </c>
      <c r="Z6" s="4021"/>
      <c r="AA6" s="2612"/>
      <c r="AB6" s="4021" t="s">
        <v>641</v>
      </c>
      <c r="AC6" s="4021"/>
      <c r="AD6" s="4021"/>
      <c r="AE6" s="2613"/>
      <c r="AF6" s="4022" t="s">
        <v>83</v>
      </c>
      <c r="AG6" s="4023"/>
      <c r="AH6" s="4024"/>
      <c r="AI6" s="2657"/>
      <c r="AJ6" s="4025" t="s">
        <v>906</v>
      </c>
      <c r="AK6" s="4025"/>
      <c r="AL6" s="2658"/>
      <c r="AM6" s="4025" t="s">
        <v>641</v>
      </c>
      <c r="AN6" s="4025"/>
      <c r="AO6" s="4025"/>
      <c r="AP6" s="2659"/>
      <c r="AQ6" s="4026" t="s">
        <v>83</v>
      </c>
      <c r="AR6" s="4025"/>
      <c r="AS6" s="4027"/>
    </row>
    <row r="7" spans="1:46" ht="3" customHeight="1">
      <c r="A7" s="246"/>
      <c r="B7" s="247"/>
      <c r="C7" s="2295"/>
      <c r="D7" s="248"/>
      <c r="E7" s="294"/>
      <c r="F7" s="294"/>
      <c r="G7" s="294"/>
      <c r="H7" s="294"/>
      <c r="I7" s="294"/>
      <c r="J7" s="179"/>
      <c r="K7" s="177"/>
      <c r="L7" s="177"/>
      <c r="M7" s="249"/>
      <c r="N7" s="291"/>
      <c r="O7" s="291"/>
      <c r="P7" s="301"/>
      <c r="Q7" s="301"/>
      <c r="R7" s="301"/>
      <c r="S7" s="2289"/>
      <c r="T7" s="302"/>
      <c r="U7" s="180"/>
      <c r="V7" s="178"/>
      <c r="W7" s="181"/>
      <c r="X7" s="413"/>
      <c r="Y7" s="2614"/>
      <c r="Z7" s="414"/>
      <c r="AA7" s="415"/>
      <c r="AB7" s="415"/>
      <c r="AC7" s="415"/>
      <c r="AD7" s="415"/>
      <c r="AE7" s="415"/>
      <c r="AF7" s="416"/>
      <c r="AG7" s="417"/>
      <c r="AH7" s="417"/>
      <c r="AI7" s="441"/>
      <c r="AJ7" s="442"/>
      <c r="AK7" s="442"/>
      <c r="AL7" s="443"/>
      <c r="AM7" s="443"/>
      <c r="AN7" s="443"/>
      <c r="AO7" s="2660"/>
      <c r="AP7" s="444"/>
      <c r="AQ7" s="445"/>
      <c r="AR7" s="446"/>
      <c r="AS7" s="447"/>
    </row>
    <row r="8" spans="1:46">
      <c r="A8" s="618" t="s">
        <v>1377</v>
      </c>
      <c r="B8" s="259"/>
      <c r="C8" s="2296"/>
      <c r="D8" s="166"/>
      <c r="E8" s="293"/>
      <c r="F8" s="293"/>
      <c r="G8" s="293"/>
      <c r="H8" s="293"/>
      <c r="I8" s="293"/>
      <c r="J8" s="164"/>
      <c r="K8" s="165"/>
      <c r="L8" s="165"/>
      <c r="M8" s="260"/>
      <c r="N8" s="290"/>
      <c r="O8" s="290"/>
      <c r="P8" s="300"/>
      <c r="Q8" s="300"/>
      <c r="R8" s="300"/>
      <c r="S8" s="2290"/>
      <c r="T8" s="297"/>
      <c r="U8" s="130"/>
      <c r="V8" s="132"/>
      <c r="W8" s="134"/>
      <c r="X8" s="391"/>
      <c r="Y8" s="2615"/>
      <c r="Z8" s="393"/>
      <c r="AA8" s="410"/>
      <c r="AB8" s="410"/>
      <c r="AC8" s="410"/>
      <c r="AD8" s="410"/>
      <c r="AE8" s="410"/>
      <c r="AF8" s="389"/>
      <c r="AG8" s="390"/>
      <c r="AH8" s="390"/>
      <c r="AI8" s="402"/>
      <c r="AJ8" s="403"/>
      <c r="AK8" s="403"/>
      <c r="AL8" s="437"/>
      <c r="AM8" s="437"/>
      <c r="AN8" s="437"/>
      <c r="AO8" s="2661"/>
      <c r="AP8" s="405"/>
      <c r="AQ8" s="399"/>
      <c r="AR8" s="400"/>
      <c r="AS8" s="401"/>
    </row>
    <row r="9" spans="1:46">
      <c r="A9" s="618" t="s">
        <v>1378</v>
      </c>
      <c r="B9" s="259" t="s">
        <v>118</v>
      </c>
      <c r="C9" s="2296"/>
      <c r="D9" s="166"/>
      <c r="E9" s="293"/>
      <c r="F9" s="293"/>
      <c r="G9" s="293"/>
      <c r="H9" s="293"/>
      <c r="I9" s="293"/>
      <c r="J9" s="164"/>
      <c r="K9" s="165"/>
      <c r="L9" s="165"/>
      <c r="M9" s="260" t="s">
        <v>118</v>
      </c>
      <c r="N9" s="290"/>
      <c r="O9" s="290"/>
      <c r="P9" s="300"/>
      <c r="Q9" s="300"/>
      <c r="R9" s="300"/>
      <c r="S9" s="2290"/>
      <c r="T9" s="297"/>
      <c r="U9" s="130"/>
      <c r="V9" s="132"/>
      <c r="W9" s="134"/>
      <c r="X9" s="391" t="s">
        <v>118</v>
      </c>
      <c r="Y9" s="2615"/>
      <c r="Z9" s="393"/>
      <c r="AA9" s="410"/>
      <c r="AB9" s="410"/>
      <c r="AC9" s="410"/>
      <c r="AD9" s="410"/>
      <c r="AE9" s="410"/>
      <c r="AF9" s="389"/>
      <c r="AG9" s="390"/>
      <c r="AH9" s="390"/>
      <c r="AI9" s="402" t="s">
        <v>118</v>
      </c>
      <c r="AJ9" s="403"/>
      <c r="AK9" s="403"/>
      <c r="AL9" s="437"/>
      <c r="AM9" s="437"/>
      <c r="AN9" s="437"/>
      <c r="AO9" s="2661"/>
      <c r="AP9" s="405"/>
      <c r="AQ9" s="399"/>
      <c r="AR9" s="400"/>
      <c r="AS9" s="401"/>
    </row>
    <row r="10" spans="1:46" ht="3.75" customHeight="1">
      <c r="A10" s="151"/>
      <c r="B10" s="160"/>
      <c r="C10" s="2298"/>
      <c r="D10" s="166"/>
      <c r="E10" s="293"/>
      <c r="F10" s="293"/>
      <c r="G10" s="293"/>
      <c r="H10" s="293"/>
      <c r="I10" s="293"/>
      <c r="J10" s="164"/>
      <c r="K10" s="165"/>
      <c r="L10" s="165"/>
      <c r="M10" s="154"/>
      <c r="N10" s="128"/>
      <c r="O10" s="128"/>
      <c r="P10" s="278"/>
      <c r="Q10" s="278"/>
      <c r="R10" s="278"/>
      <c r="S10" s="2290"/>
      <c r="T10" s="297"/>
      <c r="U10" s="130"/>
      <c r="V10" s="132"/>
      <c r="W10" s="134"/>
      <c r="X10" s="392"/>
      <c r="Y10" s="2616"/>
      <c r="Z10" s="393"/>
      <c r="AA10" s="410"/>
      <c r="AB10" s="410"/>
      <c r="AC10" s="410"/>
      <c r="AD10" s="410"/>
      <c r="AE10" s="410"/>
      <c r="AF10" s="389"/>
      <c r="AG10" s="390"/>
      <c r="AH10" s="390"/>
      <c r="AI10" s="406"/>
      <c r="AJ10" s="407"/>
      <c r="AK10" s="407"/>
      <c r="AL10" s="409"/>
      <c r="AM10" s="409"/>
      <c r="AN10" s="409"/>
      <c r="AO10" s="2661"/>
      <c r="AP10" s="405"/>
      <c r="AQ10" s="399"/>
      <c r="AR10" s="400"/>
      <c r="AS10" s="401"/>
    </row>
    <row r="11" spans="1:46" ht="12.75" customHeight="1">
      <c r="A11" s="208" t="s">
        <v>702</v>
      </c>
      <c r="B11" s="167"/>
      <c r="C11" s="2297"/>
      <c r="D11" s="2595"/>
      <c r="E11" s="293"/>
      <c r="F11" s="293"/>
      <c r="G11" s="293"/>
      <c r="H11" s="293"/>
      <c r="I11" s="293"/>
      <c r="J11" s="164"/>
      <c r="K11" s="183"/>
      <c r="L11" s="165"/>
      <c r="M11" s="156"/>
      <c r="N11" s="1614"/>
      <c r="O11" s="2253"/>
      <c r="P11" s="298"/>
      <c r="Q11" s="298"/>
      <c r="R11" s="300"/>
      <c r="S11" s="2261"/>
      <c r="T11" s="299"/>
      <c r="U11" s="130"/>
      <c r="V11" s="183"/>
      <c r="W11" s="134"/>
      <c r="X11" s="411"/>
      <c r="Y11" s="2629"/>
      <c r="Z11" s="2565"/>
      <c r="AA11" s="410"/>
      <c r="AB11" s="410"/>
      <c r="AC11" s="410"/>
      <c r="AD11" s="410"/>
      <c r="AE11" s="410"/>
      <c r="AF11" s="389"/>
      <c r="AG11" s="2567"/>
      <c r="AH11" s="390"/>
      <c r="AI11" s="435"/>
      <c r="AJ11" s="2662"/>
      <c r="AK11" s="2565"/>
      <c r="AL11" s="433"/>
      <c r="AM11" s="433"/>
      <c r="AN11" s="437"/>
      <c r="AO11" s="2663"/>
      <c r="AP11" s="436"/>
      <c r="AQ11" s="399"/>
      <c r="AR11" s="2564"/>
      <c r="AS11" s="401"/>
      <c r="AT11" s="2351" t="str">
        <f>IF(AT13=FALSE,"If UR and IC values differ significantly, check accuracy of input parameter values used in the IC formula."," ")</f>
        <v xml:space="preserve"> </v>
      </c>
    </row>
    <row r="12" spans="1:46" ht="3.75" customHeight="1">
      <c r="A12" s="209"/>
      <c r="B12" s="160"/>
      <c r="C12" s="2298"/>
      <c r="D12" s="166"/>
      <c r="E12" s="293"/>
      <c r="F12" s="293"/>
      <c r="G12" s="293"/>
      <c r="H12" s="293"/>
      <c r="I12" s="293"/>
      <c r="J12" s="164"/>
      <c r="K12" s="165"/>
      <c r="L12" s="165"/>
      <c r="M12" s="154"/>
      <c r="N12" s="128"/>
      <c r="O12" s="76"/>
      <c r="P12" s="278"/>
      <c r="Q12" s="278"/>
      <c r="R12" s="2308"/>
      <c r="S12" s="2290"/>
      <c r="T12" s="297"/>
      <c r="U12" s="130"/>
      <c r="V12" s="132"/>
      <c r="W12" s="134"/>
      <c r="X12" s="392"/>
      <c r="Y12" s="2616"/>
      <c r="Z12" s="393"/>
      <c r="AA12" s="410"/>
      <c r="AB12" s="410"/>
      <c r="AC12" s="410"/>
      <c r="AD12" s="410"/>
      <c r="AE12" s="410"/>
      <c r="AF12" s="389"/>
      <c r="AG12" s="390"/>
      <c r="AH12" s="390"/>
      <c r="AI12" s="406"/>
      <c r="AJ12" s="407"/>
      <c r="AK12" s="408"/>
      <c r="AL12" s="409"/>
      <c r="AM12" s="409"/>
      <c r="AN12" s="2664"/>
      <c r="AO12" s="2661"/>
      <c r="AP12" s="405"/>
      <c r="AQ12" s="399"/>
      <c r="AR12" s="400"/>
      <c r="AS12" s="401"/>
    </row>
    <row r="13" spans="1:46" ht="12.75" customHeight="1">
      <c r="A13" s="208" t="s">
        <v>827</v>
      </c>
      <c r="B13" s="167"/>
      <c r="C13" s="2297"/>
      <c r="D13" s="2250">
        <f>F1_Length_of_Lactation/F1_Calving_Interval</f>
        <v>0.87644694346987617</v>
      </c>
      <c r="E13" s="293"/>
      <c r="F13" s="293"/>
      <c r="G13" s="3714"/>
      <c r="H13" s="293"/>
      <c r="I13" s="293"/>
      <c r="J13" s="164"/>
      <c r="K13" s="2287" t="s">
        <v>478</v>
      </c>
      <c r="L13" s="165"/>
      <c r="M13" s="156"/>
      <c r="N13" s="1614"/>
      <c r="O13" s="2251">
        <f>F2_Length_of_Lactation/F2_Calving_Interval</f>
        <v>0.87133853621905755</v>
      </c>
      <c r="P13" s="298"/>
      <c r="Q13" s="298"/>
      <c r="R13" s="3715"/>
      <c r="S13" s="2261"/>
      <c r="T13" s="299"/>
      <c r="U13" s="130"/>
      <c r="V13" s="2288" t="s">
        <v>478</v>
      </c>
      <c r="W13" s="134"/>
      <c r="X13" s="411"/>
      <c r="Y13" s="2629"/>
      <c r="Z13" s="2635">
        <f>F3_Length_of_Lactation/F3_Calving_Interval</f>
        <v>0.85353715781165618</v>
      </c>
      <c r="AA13" s="410"/>
      <c r="AB13" s="410"/>
      <c r="AC13" s="3716"/>
      <c r="AD13" s="410"/>
      <c r="AE13" s="410"/>
      <c r="AF13" s="389"/>
      <c r="AG13" s="2637" t="s">
        <v>478</v>
      </c>
      <c r="AH13" s="390"/>
      <c r="AI13" s="435"/>
      <c r="AJ13" s="2662"/>
      <c r="AK13" s="2665">
        <f>F4_Length_of_Lactation/F4_Calving_Interval</f>
        <v>0.84391877295312157</v>
      </c>
      <c r="AL13" s="433"/>
      <c r="AM13" s="433"/>
      <c r="AN13" s="3717"/>
      <c r="AO13" s="2663"/>
      <c r="AP13" s="436"/>
      <c r="AQ13" s="399"/>
      <c r="AR13" s="2666" t="s">
        <v>478</v>
      </c>
      <c r="AS13" s="401"/>
      <c r="AT13" s="3651" t="str">
        <f>IF(Options!B4=2,IF(Options!C4=2,IF(Options!D4=2,IF(Options!E4=2," ",FALSE))))</f>
        <v xml:space="preserve"> </v>
      </c>
    </row>
    <row r="14" spans="1:46" ht="12.75" customHeight="1">
      <c r="A14" s="209" t="s">
        <v>1310</v>
      </c>
      <c r="B14" s="167"/>
      <c r="C14" s="2297"/>
      <c r="D14" s="2241"/>
      <c r="E14" s="293"/>
      <c r="F14" s="293"/>
      <c r="G14" s="293"/>
      <c r="H14" s="293"/>
      <c r="I14" s="293"/>
      <c r="J14" s="164"/>
      <c r="K14" s="2835"/>
      <c r="L14" s="165"/>
      <c r="M14" s="156"/>
      <c r="N14" s="1614"/>
      <c r="O14" s="2261"/>
      <c r="P14" s="298"/>
      <c r="Q14" s="298"/>
      <c r="R14" s="300"/>
      <c r="S14" s="2261"/>
      <c r="T14" s="299"/>
      <c r="U14" s="130"/>
      <c r="V14" s="2303"/>
      <c r="W14" s="134"/>
      <c r="X14" s="411"/>
      <c r="Y14" s="2629"/>
      <c r="Z14" s="2811"/>
      <c r="AA14" s="410"/>
      <c r="AB14" s="410"/>
      <c r="AC14" s="410"/>
      <c r="AD14" s="410"/>
      <c r="AE14" s="410"/>
      <c r="AF14" s="389"/>
      <c r="AG14" s="2836"/>
      <c r="AH14" s="390"/>
      <c r="AI14" s="435"/>
      <c r="AJ14" s="2662"/>
      <c r="AK14" s="2663"/>
      <c r="AL14" s="433"/>
      <c r="AM14" s="433"/>
      <c r="AN14" s="437"/>
      <c r="AO14" s="2663"/>
      <c r="AP14" s="436"/>
      <c r="AQ14" s="399"/>
      <c r="AR14" s="2690"/>
      <c r="AS14" s="401"/>
      <c r="AT14" s="2351"/>
    </row>
    <row r="15" spans="1:46" ht="6" customHeight="1">
      <c r="A15" s="2396"/>
      <c r="B15" s="2397"/>
      <c r="C15" s="2398"/>
      <c r="D15" s="2399"/>
      <c r="E15" s="2400"/>
      <c r="F15" s="2400"/>
      <c r="G15" s="2400"/>
      <c r="H15" s="2400"/>
      <c r="I15" s="2400"/>
      <c r="J15" s="2264"/>
      <c r="K15" s="161"/>
      <c r="L15" s="161"/>
      <c r="M15" s="2401"/>
      <c r="N15" s="2402"/>
      <c r="O15" s="2402"/>
      <c r="P15" s="2403"/>
      <c r="Q15" s="2403"/>
      <c r="R15" s="2403"/>
      <c r="S15" s="2404"/>
      <c r="T15" s="2405"/>
      <c r="U15" s="75"/>
      <c r="V15" s="85"/>
      <c r="W15" s="138"/>
      <c r="X15" s="2630"/>
      <c r="Y15" s="2631"/>
      <c r="Z15" s="2638"/>
      <c r="AA15" s="2617"/>
      <c r="AB15" s="2617"/>
      <c r="AC15" s="2617"/>
      <c r="AD15" s="2617"/>
      <c r="AE15" s="2617"/>
      <c r="AF15" s="2628"/>
      <c r="AG15" s="568"/>
      <c r="AH15" s="568"/>
      <c r="AI15" s="2667"/>
      <c r="AJ15" s="2668"/>
      <c r="AK15" s="2668"/>
      <c r="AL15" s="2669"/>
      <c r="AM15" s="2669"/>
      <c r="AN15" s="2669"/>
      <c r="AO15" s="2670"/>
      <c r="AP15" s="2671"/>
      <c r="AQ15" s="594"/>
      <c r="AR15" s="553"/>
      <c r="AS15" s="555"/>
    </row>
    <row r="16" spans="1:46" ht="6.75" customHeight="1">
      <c r="A16" s="151"/>
      <c r="B16" s="162"/>
      <c r="C16" s="2299"/>
      <c r="D16" s="163"/>
      <c r="E16" s="163"/>
      <c r="F16" s="163"/>
      <c r="G16" s="163"/>
      <c r="H16" s="163"/>
      <c r="I16" s="163"/>
      <c r="J16" s="164"/>
      <c r="K16" s="165"/>
      <c r="L16" s="165"/>
      <c r="M16" s="155"/>
      <c r="N16" s="63"/>
      <c r="O16" s="63"/>
      <c r="P16" s="145"/>
      <c r="Q16" s="145"/>
      <c r="R16" s="145"/>
      <c r="S16" s="63"/>
      <c r="T16" s="86"/>
      <c r="U16" s="130"/>
      <c r="V16" s="132"/>
      <c r="W16" s="134"/>
      <c r="X16" s="387"/>
      <c r="Y16" s="2632"/>
      <c r="Z16" s="388"/>
      <c r="AA16" s="388"/>
      <c r="AB16" s="388"/>
      <c r="AC16" s="388"/>
      <c r="AD16" s="388"/>
      <c r="AE16" s="388"/>
      <c r="AF16" s="389"/>
      <c r="AG16" s="390"/>
      <c r="AH16" s="390"/>
      <c r="AI16" s="395"/>
      <c r="AJ16" s="396"/>
      <c r="AK16" s="396"/>
      <c r="AL16" s="397"/>
      <c r="AM16" s="397"/>
      <c r="AN16" s="397"/>
      <c r="AO16" s="396"/>
      <c r="AP16" s="398"/>
      <c r="AQ16" s="399"/>
      <c r="AR16" s="400"/>
      <c r="AS16" s="401"/>
    </row>
    <row r="17" spans="1:55" ht="12.75" customHeight="1">
      <c r="A17" s="220" t="s">
        <v>1015</v>
      </c>
      <c r="B17" s="167"/>
      <c r="C17" s="2297"/>
      <c r="D17" s="2250">
        <f>IF(Options!B4=1,1-F1_Lact_Cows_reported,1-F1_Lact_Cows_projected)</f>
        <v>0.12355305653012383</v>
      </c>
      <c r="E17" s="293"/>
      <c r="F17" s="4086"/>
      <c r="G17" s="4086"/>
      <c r="H17" s="4086"/>
      <c r="I17" s="293"/>
      <c r="J17" s="164"/>
      <c r="K17" s="2287">
        <v>1</v>
      </c>
      <c r="L17" s="165"/>
      <c r="M17" s="156"/>
      <c r="N17" s="1614"/>
      <c r="O17" s="2251">
        <f>IF(Options!C4=1,1-F2_Lact_Cows_reported,1-F2_Lact_Cows_projected)</f>
        <v>0.12866146378094245</v>
      </c>
      <c r="P17" s="298"/>
      <c r="Q17" s="298"/>
      <c r="R17" s="300"/>
      <c r="S17" s="2261"/>
      <c r="T17" s="299"/>
      <c r="U17" s="130"/>
      <c r="V17" s="2288">
        <v>1</v>
      </c>
      <c r="W17" s="134"/>
      <c r="X17" s="411"/>
      <c r="Y17" s="2629"/>
      <c r="Z17" s="2635">
        <f>IF(Options!D4=1,1-F3_Lact_Cows_reported,1-F3_Lact_Cows_projected)</f>
        <v>0.14646284218834382</v>
      </c>
      <c r="AA17" s="410"/>
      <c r="AB17" s="410"/>
      <c r="AC17" s="410"/>
      <c r="AD17" s="410"/>
      <c r="AE17" s="410"/>
      <c r="AF17" s="389"/>
      <c r="AG17" s="2637">
        <v>1</v>
      </c>
      <c r="AH17" s="390"/>
      <c r="AI17" s="435"/>
      <c r="AJ17" s="2662"/>
      <c r="AK17" s="2665">
        <f>IF(Options!E4=1,1-F4_Lact_Cows_reported,1-F4_Lact_Cows_projected)</f>
        <v>0.15608122704687843</v>
      </c>
      <c r="AL17" s="433"/>
      <c r="AM17" s="433"/>
      <c r="AN17" s="437"/>
      <c r="AO17" s="2663"/>
      <c r="AP17" s="436"/>
      <c r="AQ17" s="399"/>
      <c r="AR17" s="2666">
        <v>1</v>
      </c>
      <c r="AS17" s="401"/>
    </row>
    <row r="18" spans="1:55" ht="6" customHeight="1">
      <c r="A18" s="152"/>
      <c r="B18" s="160"/>
      <c r="C18" s="2298"/>
      <c r="D18" s="166"/>
      <c r="E18" s="293"/>
      <c r="F18" s="293"/>
      <c r="G18" s="293"/>
      <c r="H18" s="293"/>
      <c r="I18" s="293"/>
      <c r="J18" s="168"/>
      <c r="K18" s="169"/>
      <c r="L18" s="169"/>
      <c r="M18" s="154"/>
      <c r="N18" s="128"/>
      <c r="O18" s="128"/>
      <c r="P18" s="300"/>
      <c r="Q18" s="300"/>
      <c r="R18" s="300"/>
      <c r="S18" s="2290"/>
      <c r="T18" s="297"/>
      <c r="U18" s="131"/>
      <c r="V18" s="114"/>
      <c r="W18" s="135"/>
      <c r="X18" s="392"/>
      <c r="Y18" s="2616"/>
      <c r="Z18" s="393"/>
      <c r="AA18" s="410"/>
      <c r="AB18" s="410"/>
      <c r="AC18" s="410"/>
      <c r="AD18" s="410"/>
      <c r="AE18" s="410"/>
      <c r="AF18" s="412"/>
      <c r="AG18" s="367"/>
      <c r="AH18" s="367"/>
      <c r="AI18" s="406"/>
      <c r="AJ18" s="407"/>
      <c r="AK18" s="407"/>
      <c r="AL18" s="437"/>
      <c r="AM18" s="437"/>
      <c r="AN18" s="437"/>
      <c r="AO18" s="2661"/>
      <c r="AP18" s="405"/>
      <c r="AQ18" s="438"/>
      <c r="AR18" s="439"/>
      <c r="AS18" s="440"/>
    </row>
    <row r="19" spans="1:55" ht="5.25" customHeight="1">
      <c r="A19" s="246"/>
      <c r="B19" s="247"/>
      <c r="C19" s="2295"/>
      <c r="D19" s="248"/>
      <c r="E19" s="294"/>
      <c r="F19" s="294"/>
      <c r="G19" s="294"/>
      <c r="H19" s="294"/>
      <c r="I19" s="294"/>
      <c r="J19" s="179"/>
      <c r="K19" s="177"/>
      <c r="L19" s="177"/>
      <c r="M19" s="249"/>
      <c r="N19" s="291"/>
      <c r="O19" s="291"/>
      <c r="P19" s="301"/>
      <c r="Q19" s="301"/>
      <c r="R19" s="301"/>
      <c r="S19" s="2289"/>
      <c r="T19" s="302"/>
      <c r="U19" s="180"/>
      <c r="V19" s="178"/>
      <c r="W19" s="181"/>
      <c r="X19" s="413"/>
      <c r="Y19" s="2614"/>
      <c r="Z19" s="414"/>
      <c r="AA19" s="415"/>
      <c r="AB19" s="415"/>
      <c r="AC19" s="415"/>
      <c r="AD19" s="415"/>
      <c r="AE19" s="415"/>
      <c r="AF19" s="416"/>
      <c r="AG19" s="417"/>
      <c r="AH19" s="417"/>
      <c r="AI19" s="441"/>
      <c r="AJ19" s="442"/>
      <c r="AK19" s="442"/>
      <c r="AL19" s="443"/>
      <c r="AM19" s="443"/>
      <c r="AN19" s="443"/>
      <c r="AO19" s="2660"/>
      <c r="AP19" s="444"/>
      <c r="AQ19" s="445"/>
      <c r="AR19" s="446"/>
      <c r="AS19" s="447"/>
    </row>
    <row r="20" spans="1:55" ht="14.25" customHeight="1">
      <c r="A20" s="2309" t="s">
        <v>698</v>
      </c>
      <c r="B20" s="174"/>
      <c r="C20" s="2301"/>
      <c r="D20" s="225"/>
      <c r="E20" s="277"/>
      <c r="F20" s="2409"/>
      <c r="G20" s="2312">
        <f>F1_Dry_Cows/F1_Lact_Cows</f>
        <v>0.14097037755756678</v>
      </c>
      <c r="H20" s="2409"/>
      <c r="I20" s="277"/>
      <c r="J20" s="176"/>
      <c r="K20" s="2287">
        <v>5</v>
      </c>
      <c r="L20" s="163"/>
      <c r="M20" s="159"/>
      <c r="N20" s="146"/>
      <c r="O20" s="226"/>
      <c r="P20" s="314"/>
      <c r="Q20" s="2411"/>
      <c r="R20" s="2313">
        <f>F2_Dry_Cows/F2_Lact_Cows</f>
        <v>0.14765955875110809</v>
      </c>
      <c r="S20" s="2411"/>
      <c r="T20" s="2310"/>
      <c r="U20" s="41"/>
      <c r="V20" s="2408">
        <v>5</v>
      </c>
      <c r="W20" s="52"/>
      <c r="X20" s="428"/>
      <c r="Y20" s="2633"/>
      <c r="Z20" s="431"/>
      <c r="AA20" s="394"/>
      <c r="AB20" s="2618"/>
      <c r="AC20" s="2619">
        <f>F3_Dry_Cows/F3_Lact_Cows</f>
        <v>0.17159515651767643</v>
      </c>
      <c r="AD20" s="2618"/>
      <c r="AE20" s="394"/>
      <c r="AF20" s="429"/>
      <c r="AG20" s="2637">
        <v>5</v>
      </c>
      <c r="AH20" s="388"/>
      <c r="AI20" s="461"/>
      <c r="AJ20" s="467"/>
      <c r="AK20" s="434"/>
      <c r="AL20" s="462"/>
      <c r="AM20" s="2676"/>
      <c r="AN20" s="2673">
        <f>F4_Dry_Cows/F4_Lact_Cows</f>
        <v>0.18494816331754776</v>
      </c>
      <c r="AO20" s="2676"/>
      <c r="AP20" s="2674"/>
      <c r="AQ20" s="464"/>
      <c r="AR20" s="2677">
        <v>5</v>
      </c>
      <c r="AS20" s="466"/>
    </row>
    <row r="21" spans="1:55" ht="6" customHeight="1">
      <c r="A21" s="618"/>
      <c r="B21" s="250"/>
      <c r="C21" s="2300"/>
      <c r="D21" s="251"/>
      <c r="E21" s="295"/>
      <c r="F21" s="2410"/>
      <c r="G21" s="2410"/>
      <c r="H21" s="2410"/>
      <c r="I21" s="295"/>
      <c r="J21" s="252"/>
      <c r="K21" s="253"/>
      <c r="L21" s="253"/>
      <c r="M21" s="254"/>
      <c r="N21" s="292"/>
      <c r="O21" s="292"/>
      <c r="P21" s="255"/>
      <c r="Q21" s="2412"/>
      <c r="R21" s="2412"/>
      <c r="S21" s="2412"/>
      <c r="T21" s="2311"/>
      <c r="U21" s="256"/>
      <c r="V21" s="257"/>
      <c r="W21" s="258"/>
      <c r="X21" s="423"/>
      <c r="Y21" s="2634"/>
      <c r="Z21" s="424"/>
      <c r="AA21" s="425"/>
      <c r="AB21" s="2620"/>
      <c r="AC21" s="2620"/>
      <c r="AD21" s="2620"/>
      <c r="AE21" s="425"/>
      <c r="AF21" s="426"/>
      <c r="AG21" s="427"/>
      <c r="AH21" s="427"/>
      <c r="AI21" s="455"/>
      <c r="AJ21" s="456"/>
      <c r="AK21" s="456"/>
      <c r="AL21" s="457"/>
      <c r="AM21" s="2678"/>
      <c r="AN21" s="2678"/>
      <c r="AO21" s="2678"/>
      <c r="AP21" s="2675"/>
      <c r="AQ21" s="458"/>
      <c r="AR21" s="459"/>
      <c r="AS21" s="460"/>
    </row>
    <row r="22" spans="1:55" ht="20.25" customHeight="1">
      <c r="A22" s="4028" t="s">
        <v>873</v>
      </c>
      <c r="B22" s="4029"/>
      <c r="C22" s="4029"/>
      <c r="D22" s="4029"/>
      <c r="E22" s="4029"/>
      <c r="F22" s="4029"/>
      <c r="G22" s="4029"/>
      <c r="H22" s="4029"/>
      <c r="I22" s="4029"/>
      <c r="J22" s="4029"/>
      <c r="K22" s="4029"/>
      <c r="L22" s="4029"/>
      <c r="M22" s="4029"/>
      <c r="N22" s="4029"/>
      <c r="O22" s="4029"/>
      <c r="P22" s="4029"/>
      <c r="Q22" s="4029"/>
      <c r="R22" s="4029"/>
      <c r="S22" s="4029"/>
      <c r="T22" s="4029"/>
      <c r="U22" s="4029"/>
      <c r="V22" s="4029"/>
      <c r="W22" s="4029"/>
      <c r="X22" s="4029"/>
      <c r="Y22" s="4029"/>
      <c r="Z22" s="4029"/>
      <c r="AA22" s="4029"/>
      <c r="AB22" s="4029"/>
      <c r="AC22" s="4029"/>
      <c r="AD22" s="4029"/>
      <c r="AE22" s="4029"/>
      <c r="AF22" s="4029"/>
      <c r="AG22" s="4029"/>
      <c r="AH22" s="4029"/>
      <c r="AI22" s="4029"/>
      <c r="AJ22" s="4029"/>
      <c r="AK22" s="4029"/>
      <c r="AL22" s="4029"/>
      <c r="AM22" s="4029"/>
      <c r="AN22" s="4029"/>
      <c r="AO22" s="4029"/>
      <c r="AP22" s="4029"/>
      <c r="AQ22" s="4029"/>
      <c r="AR22" s="4029"/>
      <c r="AS22" s="4030"/>
    </row>
    <row r="23" spans="1:55" s="11" customFormat="1" ht="20.25" customHeight="1">
      <c r="A23" s="4053" t="s">
        <v>1291</v>
      </c>
      <c r="B23" s="4054"/>
      <c r="C23" s="4054"/>
      <c r="D23" s="4054"/>
      <c r="E23" s="4054"/>
      <c r="F23" s="4054"/>
      <c r="G23" s="4054"/>
      <c r="H23" s="4054"/>
      <c r="I23" s="4054"/>
      <c r="J23" s="4054"/>
      <c r="K23" s="4054"/>
      <c r="L23" s="4054"/>
      <c r="M23" s="4054"/>
      <c r="N23" s="4054"/>
      <c r="O23" s="4054"/>
      <c r="P23" s="4054"/>
      <c r="Q23" s="4054"/>
      <c r="R23" s="4054"/>
      <c r="S23" s="4054"/>
      <c r="T23" s="4054"/>
      <c r="U23" s="4054"/>
      <c r="V23" s="4054"/>
      <c r="W23" s="4054"/>
      <c r="X23" s="4054"/>
      <c r="Y23" s="4054"/>
      <c r="Z23" s="4054"/>
      <c r="AA23" s="4054"/>
      <c r="AB23" s="4054"/>
      <c r="AC23" s="4054"/>
      <c r="AD23" s="4054"/>
      <c r="AE23" s="4054"/>
      <c r="AF23" s="4054"/>
      <c r="AG23" s="4054"/>
      <c r="AH23" s="4054"/>
      <c r="AI23" s="4054"/>
      <c r="AJ23" s="4054"/>
      <c r="AK23" s="4054"/>
      <c r="AL23" s="4054"/>
      <c r="AM23" s="4054"/>
      <c r="AN23" s="4054"/>
      <c r="AO23" s="4054"/>
      <c r="AP23" s="4054"/>
      <c r="AQ23" s="4054"/>
      <c r="AR23" s="4054"/>
      <c r="AS23" s="4055"/>
    </row>
    <row r="24" spans="1:55" customFormat="1" ht="6" customHeight="1">
      <c r="A24" s="209"/>
      <c r="B24" s="232"/>
      <c r="C24" s="2247"/>
      <c r="D24" s="175"/>
      <c r="E24" s="304"/>
      <c r="F24" s="2247"/>
      <c r="G24" s="2247"/>
      <c r="H24" s="2247"/>
      <c r="I24" s="175"/>
      <c r="J24" s="274"/>
      <c r="K24" s="4050"/>
      <c r="L24" s="188"/>
      <c r="M24" s="44"/>
      <c r="N24" s="44"/>
      <c r="O24" s="44"/>
      <c r="P24" s="44"/>
      <c r="Q24" s="44"/>
      <c r="R24" s="44"/>
      <c r="S24" s="44"/>
      <c r="T24" s="44"/>
      <c r="U24" s="41"/>
      <c r="V24" s="4048"/>
      <c r="W24" s="52"/>
      <c r="X24" s="578"/>
      <c r="Y24" s="2566"/>
      <c r="Z24" s="2566"/>
      <c r="AA24" s="2566"/>
      <c r="AB24" s="2566"/>
      <c r="AC24" s="2566"/>
      <c r="AD24" s="2566"/>
      <c r="AE24" s="2566"/>
      <c r="AF24" s="590"/>
      <c r="AG24" s="4046"/>
      <c r="AH24" s="513"/>
      <c r="AI24" s="465"/>
      <c r="AJ24" s="465"/>
      <c r="AK24" s="465"/>
      <c r="AL24" s="465"/>
      <c r="AM24" s="465"/>
      <c r="AN24" s="465"/>
      <c r="AO24" s="465"/>
      <c r="AP24" s="465"/>
      <c r="AQ24" s="464"/>
      <c r="AR24" s="4056"/>
      <c r="AS24" s="466"/>
    </row>
    <row r="25" spans="1:55" customFormat="1">
      <c r="A25" s="221" t="s">
        <v>1402</v>
      </c>
      <c r="B25" s="203" t="s">
        <v>118</v>
      </c>
      <c r="C25" s="262"/>
      <c r="D25" s="171"/>
      <c r="E25" s="171"/>
      <c r="F25" s="171"/>
      <c r="G25" s="171"/>
      <c r="H25" s="171"/>
      <c r="I25" s="171"/>
      <c r="J25" s="170"/>
      <c r="K25" s="4051"/>
      <c r="L25" s="188"/>
      <c r="M25" s="263" t="s">
        <v>118</v>
      </c>
      <c r="N25" s="263"/>
      <c r="O25" s="44"/>
      <c r="P25" s="44"/>
      <c r="Q25" s="44"/>
      <c r="R25" s="44"/>
      <c r="S25" s="44"/>
      <c r="T25" s="44"/>
      <c r="U25" s="41"/>
      <c r="V25" s="4049"/>
      <c r="W25" s="52"/>
      <c r="X25" s="548" t="s">
        <v>118</v>
      </c>
      <c r="Y25" s="566"/>
      <c r="Z25" s="419"/>
      <c r="AA25" s="419"/>
      <c r="AB25" s="419"/>
      <c r="AC25" s="419"/>
      <c r="AD25" s="419"/>
      <c r="AE25" s="419"/>
      <c r="AF25" s="418"/>
      <c r="AG25" s="4047"/>
      <c r="AH25" s="513"/>
      <c r="AI25" s="552" t="s">
        <v>118</v>
      </c>
      <c r="AJ25" s="552"/>
      <c r="AK25" s="465"/>
      <c r="AL25" s="465"/>
      <c r="AM25" s="465"/>
      <c r="AN25" s="465"/>
      <c r="AO25" s="465"/>
      <c r="AP25" s="465"/>
      <c r="AQ25" s="464"/>
      <c r="AR25" s="4057"/>
      <c r="AS25" s="466"/>
      <c r="AT25" s="21"/>
    </row>
    <row r="26" spans="1:55" customFormat="1">
      <c r="A26" s="208" t="s">
        <v>1354</v>
      </c>
      <c r="B26" s="227"/>
      <c r="C26" s="171"/>
      <c r="D26" s="2250">
        <f>'Step 2--Cull Rates'!F24</f>
        <v>0.31999999999999995</v>
      </c>
      <c r="E26" s="225"/>
      <c r="F26" s="225"/>
      <c r="G26" s="225"/>
      <c r="H26" s="225"/>
      <c r="I26" s="171"/>
      <c r="J26" s="170"/>
      <c r="K26" s="330" t="s">
        <v>1286</v>
      </c>
      <c r="L26" s="188"/>
      <c r="M26" s="44"/>
      <c r="N26" s="44"/>
      <c r="O26" s="2251">
        <f>'Step 2--Cull Rates'!O24</f>
        <v>0.27</v>
      </c>
      <c r="P26" s="226"/>
      <c r="Q26" s="226"/>
      <c r="R26" s="226"/>
      <c r="S26" s="44"/>
      <c r="T26" s="44"/>
      <c r="U26" s="41"/>
      <c r="V26" s="2057" t="s">
        <v>1286</v>
      </c>
      <c r="W26" s="52"/>
      <c r="X26" s="565"/>
      <c r="Y26" s="419"/>
      <c r="Z26" s="2635">
        <f>'Step 2--Cull Rates'!X24</f>
        <v>0.20000000000000004</v>
      </c>
      <c r="AA26" s="431"/>
      <c r="AB26" s="431"/>
      <c r="AC26" s="431"/>
      <c r="AD26" s="431"/>
      <c r="AE26" s="419"/>
      <c r="AF26" s="418"/>
      <c r="AG26" s="2646" t="s">
        <v>1286</v>
      </c>
      <c r="AH26" s="513"/>
      <c r="AI26" s="465"/>
      <c r="AJ26" s="465"/>
      <c r="AK26" s="2672">
        <f>'Step 2--Cull Rates'!AG24</f>
        <v>0.15000000000000002</v>
      </c>
      <c r="AL26" s="434"/>
      <c r="AM26" s="434"/>
      <c r="AN26" s="434"/>
      <c r="AO26" s="465"/>
      <c r="AP26" s="465"/>
      <c r="AQ26" s="464"/>
      <c r="AR26" s="649" t="s">
        <v>1286</v>
      </c>
      <c r="AS26" s="466"/>
    </row>
    <row r="27" spans="1:55" customFormat="1" ht="3" customHeight="1">
      <c r="A27" s="208"/>
      <c r="B27" s="227"/>
      <c r="C27" s="171"/>
      <c r="D27" s="2212"/>
      <c r="E27" s="2212"/>
      <c r="F27" s="2247"/>
      <c r="G27" s="2247"/>
      <c r="H27" s="2247"/>
      <c r="I27" s="171"/>
      <c r="J27" s="170"/>
      <c r="K27" s="171"/>
      <c r="L27" s="188"/>
      <c r="M27" s="44"/>
      <c r="N27" s="44"/>
      <c r="O27" s="104"/>
      <c r="P27" s="44"/>
      <c r="Q27" s="44"/>
      <c r="R27" s="44"/>
      <c r="S27" s="44"/>
      <c r="T27" s="44"/>
      <c r="U27" s="41"/>
      <c r="V27" s="44"/>
      <c r="W27" s="52"/>
      <c r="X27" s="565"/>
      <c r="Y27" s="419"/>
      <c r="Z27" s="2566"/>
      <c r="AA27" s="2566"/>
      <c r="AB27" s="2566"/>
      <c r="AC27" s="2566"/>
      <c r="AD27" s="2566"/>
      <c r="AE27" s="419"/>
      <c r="AF27" s="418"/>
      <c r="AG27" s="419"/>
      <c r="AH27" s="513"/>
      <c r="AI27" s="465"/>
      <c r="AJ27" s="465"/>
      <c r="AK27" s="593"/>
      <c r="AL27" s="465"/>
      <c r="AM27" s="465"/>
      <c r="AN27" s="465"/>
      <c r="AO27" s="465"/>
      <c r="AP27" s="465"/>
      <c r="AQ27" s="464"/>
      <c r="AR27" s="465"/>
      <c r="AS27" s="466"/>
    </row>
    <row r="28" spans="1:55" customFormat="1">
      <c r="A28" s="2213" t="s">
        <v>631</v>
      </c>
      <c r="B28" s="227"/>
      <c r="C28" s="171"/>
      <c r="D28" s="2250">
        <f>'Step 2--Cull Rates'!D24</f>
        <v>0.21248800000000001</v>
      </c>
      <c r="E28" s="225"/>
      <c r="F28" s="225"/>
      <c r="G28" s="225"/>
      <c r="H28" s="225"/>
      <c r="I28" s="171"/>
      <c r="J28" s="170"/>
      <c r="K28" s="330" t="s">
        <v>1286</v>
      </c>
      <c r="L28" s="188"/>
      <c r="M28" s="44"/>
      <c r="N28" s="44"/>
      <c r="O28" s="2251">
        <f>'Step 2--Cull Rates'!M24</f>
        <v>0.21248800000000001</v>
      </c>
      <c r="P28" s="226"/>
      <c r="Q28" s="226"/>
      <c r="R28" s="226"/>
      <c r="S28" s="44"/>
      <c r="T28" s="44"/>
      <c r="U28" s="41"/>
      <c r="V28" s="2057" t="s">
        <v>1286</v>
      </c>
      <c r="W28" s="52"/>
      <c r="X28" s="565"/>
      <c r="Y28" s="419"/>
      <c r="Z28" s="2635">
        <f>'Step 2--Cull Rates'!V24</f>
        <v>0.21248800000000001</v>
      </c>
      <c r="AA28" s="431"/>
      <c r="AB28" s="431"/>
      <c r="AC28" s="431"/>
      <c r="AD28" s="431"/>
      <c r="AE28" s="419"/>
      <c r="AF28" s="418"/>
      <c r="AG28" s="2646" t="s">
        <v>1286</v>
      </c>
      <c r="AH28" s="513"/>
      <c r="AI28" s="465"/>
      <c r="AJ28" s="465"/>
      <c r="AK28" s="2665">
        <f>'Step 2--Cull Rates'!AE24</f>
        <v>0.21248800000000001</v>
      </c>
      <c r="AL28" s="434"/>
      <c r="AM28" s="434"/>
      <c r="AN28" s="434"/>
      <c r="AO28" s="465"/>
      <c r="AP28" s="465"/>
      <c r="AQ28" s="464"/>
      <c r="AR28" s="649" t="s">
        <v>1286</v>
      </c>
      <c r="AS28" s="466"/>
      <c r="AT28" s="103"/>
      <c r="AU28" s="103"/>
      <c r="AV28" s="103"/>
      <c r="AW28" s="103"/>
      <c r="AX28" s="103"/>
      <c r="AY28" s="103"/>
      <c r="AZ28" s="103"/>
      <c r="BA28" s="40"/>
      <c r="BB28" s="40"/>
      <c r="BC28" s="40"/>
    </row>
    <row r="29" spans="1:55" ht="6" customHeight="1">
      <c r="A29" s="205"/>
      <c r="B29" s="230"/>
      <c r="C29" s="161"/>
      <c r="D29" s="190"/>
      <c r="E29" s="190"/>
      <c r="F29" s="190"/>
      <c r="G29" s="190"/>
      <c r="H29" s="190"/>
      <c r="I29" s="190"/>
      <c r="J29" s="215"/>
      <c r="K29" s="161"/>
      <c r="L29" s="190"/>
      <c r="M29" s="184"/>
      <c r="N29" s="67"/>
      <c r="O29" s="67"/>
      <c r="P29" s="85"/>
      <c r="Q29" s="85"/>
      <c r="R29" s="85"/>
      <c r="S29" s="85"/>
      <c r="T29" s="85"/>
      <c r="U29" s="75"/>
      <c r="V29" s="67"/>
      <c r="W29" s="88"/>
      <c r="X29" s="567"/>
      <c r="Y29" s="568"/>
      <c r="Z29" s="516"/>
      <c r="AA29" s="516"/>
      <c r="AB29" s="516"/>
      <c r="AC29" s="516"/>
      <c r="AD29" s="516"/>
      <c r="AE29" s="516"/>
      <c r="AF29" s="569"/>
      <c r="AG29" s="568"/>
      <c r="AH29" s="516"/>
      <c r="AI29" s="551"/>
      <c r="AJ29" s="469"/>
      <c r="AK29" s="469"/>
      <c r="AL29" s="553"/>
      <c r="AM29" s="553"/>
      <c r="AN29" s="553"/>
      <c r="AO29" s="553"/>
      <c r="AP29" s="553"/>
      <c r="AQ29" s="594"/>
      <c r="AR29" s="469"/>
      <c r="AS29" s="470"/>
      <c r="AT29" s="46"/>
      <c r="AU29" s="224"/>
      <c r="AV29" s="46"/>
      <c r="AW29" s="46"/>
      <c r="AX29" s="224"/>
      <c r="AY29" s="224"/>
      <c r="AZ29" s="46"/>
      <c r="BA29" s="39"/>
      <c r="BB29" s="39"/>
      <c r="BC29" s="39"/>
    </row>
    <row r="30" spans="1:55" customFormat="1" ht="6" customHeight="1">
      <c r="A30" s="209"/>
      <c r="B30" s="232"/>
      <c r="C30" s="2247"/>
      <c r="D30" s="2247"/>
      <c r="E30" s="2247"/>
      <c r="F30" s="2247"/>
      <c r="G30" s="2247"/>
      <c r="H30" s="2247"/>
      <c r="I30" s="2247"/>
      <c r="J30" s="274"/>
      <c r="K30" s="4050"/>
      <c r="L30" s="188"/>
      <c r="M30" s="44"/>
      <c r="N30" s="44"/>
      <c r="O30" s="44"/>
      <c r="P30" s="44"/>
      <c r="Q30" s="44"/>
      <c r="R30" s="44"/>
      <c r="S30" s="44"/>
      <c r="T30" s="44"/>
      <c r="U30" s="41"/>
      <c r="V30" s="4048"/>
      <c r="W30" s="52"/>
      <c r="X30" s="578"/>
      <c r="Y30" s="2779"/>
      <c r="Z30" s="2779"/>
      <c r="AA30" s="2779"/>
      <c r="AB30" s="2779"/>
      <c r="AC30" s="2779"/>
      <c r="AD30" s="2779"/>
      <c r="AE30" s="2779"/>
      <c r="AF30" s="590"/>
      <c r="AG30" s="4046"/>
      <c r="AH30" s="513"/>
      <c r="AI30" s="465"/>
      <c r="AJ30" s="465"/>
      <c r="AK30" s="465"/>
      <c r="AL30" s="465"/>
      <c r="AM30" s="465"/>
      <c r="AN30" s="465"/>
      <c r="AO30" s="465"/>
      <c r="AP30" s="465"/>
      <c r="AQ30" s="464"/>
      <c r="AR30" s="4056"/>
      <c r="AS30" s="466"/>
    </row>
    <row r="31" spans="1:55" customFormat="1">
      <c r="A31" s="221" t="s">
        <v>1403</v>
      </c>
      <c r="B31" s="203" t="s">
        <v>118</v>
      </c>
      <c r="C31" s="262"/>
      <c r="D31" s="171"/>
      <c r="E31" s="171"/>
      <c r="F31" s="171"/>
      <c r="G31" s="171"/>
      <c r="H31" s="171"/>
      <c r="I31" s="171"/>
      <c r="J31" s="170"/>
      <c r="K31" s="4051"/>
      <c r="L31" s="188"/>
      <c r="M31" s="263" t="s">
        <v>118</v>
      </c>
      <c r="N31" s="263"/>
      <c r="O31" s="44"/>
      <c r="P31" s="44"/>
      <c r="Q31" s="44"/>
      <c r="R31" s="44"/>
      <c r="S31" s="44"/>
      <c r="T31" s="44"/>
      <c r="U31" s="41"/>
      <c r="V31" s="4049"/>
      <c r="W31" s="52"/>
      <c r="X31" s="548" t="s">
        <v>118</v>
      </c>
      <c r="Y31" s="566"/>
      <c r="Z31" s="419"/>
      <c r="AA31" s="419"/>
      <c r="AB31" s="419"/>
      <c r="AC31" s="419"/>
      <c r="AD31" s="419"/>
      <c r="AE31" s="419"/>
      <c r="AF31" s="418"/>
      <c r="AG31" s="4047"/>
      <c r="AH31" s="513"/>
      <c r="AI31" s="552" t="s">
        <v>118</v>
      </c>
      <c r="AJ31" s="552"/>
      <c r="AK31" s="465"/>
      <c r="AL31" s="465"/>
      <c r="AM31" s="465"/>
      <c r="AN31" s="465"/>
      <c r="AO31" s="465"/>
      <c r="AP31" s="465"/>
      <c r="AQ31" s="464"/>
      <c r="AR31" s="4057"/>
      <c r="AS31" s="466"/>
      <c r="AT31" s="21"/>
    </row>
    <row r="32" spans="1:55" customFormat="1">
      <c r="A32" s="208" t="s">
        <v>1354</v>
      </c>
      <c r="B32" s="227"/>
      <c r="C32" s="171"/>
      <c r="D32" s="2250">
        <f>'Step 2--Cull Rates'!F33</f>
        <v>0.05</v>
      </c>
      <c r="E32" s="225"/>
      <c r="F32" s="225"/>
      <c r="G32" s="225"/>
      <c r="H32" s="225"/>
      <c r="I32" s="171"/>
      <c r="J32" s="170"/>
      <c r="K32" s="330" t="s">
        <v>1286</v>
      </c>
      <c r="L32" s="188"/>
      <c r="M32" s="44"/>
      <c r="N32" s="44"/>
      <c r="O32" s="2251">
        <f>'Step 2--Cull Rates'!O33</f>
        <v>4.5000000000000005E-2</v>
      </c>
      <c r="P32" s="226"/>
      <c r="Q32" s="226"/>
      <c r="R32" s="226"/>
      <c r="S32" s="44"/>
      <c r="T32" s="44"/>
      <c r="U32" s="41"/>
      <c r="V32" s="2057" t="s">
        <v>1286</v>
      </c>
      <c r="W32" s="52"/>
      <c r="X32" s="565"/>
      <c r="Y32" s="419"/>
      <c r="Z32" s="2635">
        <f>'Step 2--Cull Rates'!X33</f>
        <v>0.05</v>
      </c>
      <c r="AA32" s="431"/>
      <c r="AB32" s="431"/>
      <c r="AC32" s="431"/>
      <c r="AD32" s="431"/>
      <c r="AE32" s="419"/>
      <c r="AF32" s="418"/>
      <c r="AG32" s="2646" t="s">
        <v>1286</v>
      </c>
      <c r="AH32" s="513"/>
      <c r="AI32" s="465"/>
      <c r="AJ32" s="465"/>
      <c r="AK32" s="2672">
        <f>'Step 2--Cull Rates'!AG33</f>
        <v>6.0000000000000005E-2</v>
      </c>
      <c r="AL32" s="434"/>
      <c r="AM32" s="434"/>
      <c r="AN32" s="434"/>
      <c r="AO32" s="465"/>
      <c r="AP32" s="465"/>
      <c r="AQ32" s="464"/>
      <c r="AR32" s="649" t="s">
        <v>1286</v>
      </c>
      <c r="AS32" s="466"/>
    </row>
    <row r="33" spans="1:55" customFormat="1" ht="3" customHeight="1">
      <c r="A33" s="208"/>
      <c r="B33" s="227"/>
      <c r="C33" s="171"/>
      <c r="D33" s="2247"/>
      <c r="E33" s="2247"/>
      <c r="F33" s="2247"/>
      <c r="G33" s="2247"/>
      <c r="H33" s="2247"/>
      <c r="I33" s="171"/>
      <c r="J33" s="170"/>
      <c r="K33" s="171"/>
      <c r="L33" s="188"/>
      <c r="M33" s="44"/>
      <c r="N33" s="44"/>
      <c r="O33" s="104"/>
      <c r="P33" s="44"/>
      <c r="Q33" s="44"/>
      <c r="R33" s="44"/>
      <c r="S33" s="44"/>
      <c r="T33" s="44"/>
      <c r="U33" s="41"/>
      <c r="V33" s="44"/>
      <c r="W33" s="52"/>
      <c r="X33" s="565"/>
      <c r="Y33" s="419"/>
      <c r="Z33" s="2779"/>
      <c r="AA33" s="2779"/>
      <c r="AB33" s="2779"/>
      <c r="AC33" s="2779"/>
      <c r="AD33" s="2779"/>
      <c r="AE33" s="419"/>
      <c r="AF33" s="418"/>
      <c r="AG33" s="419"/>
      <c r="AH33" s="513"/>
      <c r="AI33" s="465"/>
      <c r="AJ33" s="465"/>
      <c r="AK33" s="593"/>
      <c r="AL33" s="465"/>
      <c r="AM33" s="465"/>
      <c r="AN33" s="465"/>
      <c r="AO33" s="465"/>
      <c r="AP33" s="465"/>
      <c r="AQ33" s="464"/>
      <c r="AR33" s="465"/>
      <c r="AS33" s="466"/>
    </row>
    <row r="34" spans="1:55" customFormat="1">
      <c r="A34" s="3665" t="s">
        <v>631</v>
      </c>
      <c r="B34" s="227"/>
      <c r="C34" s="171"/>
      <c r="D34" s="2250">
        <f>'Step 2--Cull Rates'!D33</f>
        <v>2.3688000000000001E-2</v>
      </c>
      <c r="E34" s="225"/>
      <c r="F34" s="225"/>
      <c r="G34" s="225"/>
      <c r="H34" s="225"/>
      <c r="I34" s="171"/>
      <c r="J34" s="170"/>
      <c r="K34" s="330" t="s">
        <v>1286</v>
      </c>
      <c r="L34" s="188"/>
      <c r="M34" s="44"/>
      <c r="N34" s="44"/>
      <c r="O34" s="2251">
        <f>'Step 2--Cull Rates'!M33</f>
        <v>2.3688000000000001E-2</v>
      </c>
      <c r="P34" s="226"/>
      <c r="Q34" s="226"/>
      <c r="R34" s="226"/>
      <c r="S34" s="44"/>
      <c r="T34" s="44"/>
      <c r="U34" s="41"/>
      <c r="V34" s="2057" t="s">
        <v>1286</v>
      </c>
      <c r="W34" s="52"/>
      <c r="X34" s="565"/>
      <c r="Y34" s="419"/>
      <c r="Z34" s="2635">
        <f>'Step 2--Cull Rates'!V33</f>
        <v>2.3688000000000001E-2</v>
      </c>
      <c r="AA34" s="431"/>
      <c r="AB34" s="431"/>
      <c r="AC34" s="431"/>
      <c r="AD34" s="431"/>
      <c r="AE34" s="419"/>
      <c r="AF34" s="418"/>
      <c r="AG34" s="2646" t="s">
        <v>1286</v>
      </c>
      <c r="AH34" s="513"/>
      <c r="AI34" s="465"/>
      <c r="AJ34" s="465"/>
      <c r="AK34" s="2665">
        <f>'Step 2--Cull Rates'!AE33</f>
        <v>2.3688000000000001E-2</v>
      </c>
      <c r="AL34" s="434"/>
      <c r="AM34" s="434"/>
      <c r="AN34" s="434"/>
      <c r="AO34" s="465"/>
      <c r="AP34" s="465"/>
      <c r="AQ34" s="464"/>
      <c r="AR34" s="649" t="s">
        <v>1286</v>
      </c>
      <c r="AS34" s="466"/>
      <c r="AT34" s="103"/>
      <c r="AU34" s="103"/>
      <c r="AV34" s="103"/>
      <c r="AW34" s="103"/>
      <c r="AX34" s="103"/>
      <c r="AY34" s="103"/>
      <c r="AZ34" s="103"/>
      <c r="BA34" s="40"/>
      <c r="BB34" s="40"/>
      <c r="BC34" s="40"/>
    </row>
    <row r="35" spans="1:55" ht="6" customHeight="1">
      <c r="A35" s="205"/>
      <c r="B35" s="230"/>
      <c r="C35" s="161"/>
      <c r="D35" s="190"/>
      <c r="E35" s="190"/>
      <c r="F35" s="190"/>
      <c r="G35" s="190"/>
      <c r="H35" s="190"/>
      <c r="I35" s="190"/>
      <c r="J35" s="215"/>
      <c r="K35" s="161"/>
      <c r="L35" s="190"/>
      <c r="M35" s="184"/>
      <c r="N35" s="67"/>
      <c r="O35" s="67"/>
      <c r="P35" s="85"/>
      <c r="Q35" s="85"/>
      <c r="R35" s="85"/>
      <c r="S35" s="85"/>
      <c r="T35" s="85"/>
      <c r="U35" s="75"/>
      <c r="V35" s="67"/>
      <c r="W35" s="88"/>
      <c r="X35" s="567"/>
      <c r="Y35" s="568"/>
      <c r="Z35" s="516"/>
      <c r="AA35" s="516"/>
      <c r="AB35" s="516"/>
      <c r="AC35" s="516"/>
      <c r="AD35" s="516"/>
      <c r="AE35" s="516"/>
      <c r="AF35" s="569"/>
      <c r="AG35" s="568"/>
      <c r="AH35" s="516"/>
      <c r="AI35" s="551"/>
      <c r="AJ35" s="469"/>
      <c r="AK35" s="469"/>
      <c r="AL35" s="553"/>
      <c r="AM35" s="553"/>
      <c r="AN35" s="553"/>
      <c r="AO35" s="553"/>
      <c r="AP35" s="553"/>
      <c r="AQ35" s="594"/>
      <c r="AR35" s="469"/>
      <c r="AS35" s="470"/>
      <c r="AT35" s="46"/>
      <c r="AU35" s="224"/>
      <c r="AV35" s="46"/>
      <c r="AW35" s="46"/>
      <c r="AX35" s="224"/>
      <c r="AY35" s="224"/>
      <c r="AZ35" s="46"/>
      <c r="BA35" s="39"/>
      <c r="BB35" s="39"/>
      <c r="BC35" s="39"/>
    </row>
    <row r="36" spans="1:55">
      <c r="A36" s="220" t="s">
        <v>1404</v>
      </c>
      <c r="B36" s="203" t="s">
        <v>118</v>
      </c>
      <c r="C36" s="3286"/>
      <c r="D36" s="876"/>
      <c r="E36" s="2124"/>
      <c r="F36" s="2124"/>
      <c r="G36" s="2124"/>
      <c r="H36" s="2124"/>
      <c r="I36" s="2124"/>
      <c r="J36" s="3287"/>
      <c r="K36" s="2124"/>
      <c r="L36" s="3288"/>
      <c r="M36" s="3289" t="s">
        <v>118</v>
      </c>
      <c r="N36" s="3289"/>
      <c r="O36" s="3290"/>
      <c r="P36" s="2261"/>
      <c r="Q36" s="2261"/>
      <c r="R36" s="2261"/>
      <c r="S36" s="3291"/>
      <c r="T36" s="3291"/>
      <c r="U36" s="3292"/>
      <c r="V36" s="2261"/>
      <c r="W36" s="3293"/>
      <c r="X36" s="3294" t="s">
        <v>118</v>
      </c>
      <c r="Y36" s="3295"/>
      <c r="Z36" s="922"/>
      <c r="AA36" s="2126"/>
      <c r="AB36" s="2126"/>
      <c r="AC36" s="2126"/>
      <c r="AD36" s="2126"/>
      <c r="AE36" s="2126"/>
      <c r="AF36" s="3296"/>
      <c r="AG36" s="2126"/>
      <c r="AH36" s="3297"/>
      <c r="AI36" s="3298" t="s">
        <v>118</v>
      </c>
      <c r="AJ36" s="3298"/>
      <c r="AK36" s="3299"/>
      <c r="AL36" s="2663"/>
      <c r="AM36" s="2663"/>
      <c r="AN36" s="2663"/>
      <c r="AO36" s="3300"/>
      <c r="AP36" s="3300"/>
      <c r="AQ36" s="3301"/>
      <c r="AR36" s="2663"/>
      <c r="AS36" s="401"/>
    </row>
    <row r="37" spans="1:55" customFormat="1">
      <c r="A37" s="208" t="s">
        <v>1355</v>
      </c>
      <c r="B37" s="227"/>
      <c r="C37" s="171"/>
      <c r="D37" s="2250">
        <f>'Step 2--Cull Rates'!F57</f>
        <v>9.219999999999999E-2</v>
      </c>
      <c r="E37" s="225"/>
      <c r="F37" s="225"/>
      <c r="G37" s="225"/>
      <c r="H37" s="225"/>
      <c r="I37" s="171"/>
      <c r="J37" s="170"/>
      <c r="K37" s="330" t="s">
        <v>1290</v>
      </c>
      <c r="L37" s="188"/>
      <c r="M37" s="44"/>
      <c r="N37" s="44"/>
      <c r="O37" s="2251">
        <f>'Step 2--Cull Rates'!O57</f>
        <v>7.6200000000000004E-2</v>
      </c>
      <c r="P37" s="226"/>
      <c r="Q37" s="226"/>
      <c r="R37" s="226"/>
      <c r="S37" s="44"/>
      <c r="T37" s="44"/>
      <c r="U37" s="41"/>
      <c r="V37" s="2057" t="s">
        <v>1290</v>
      </c>
      <c r="W37" s="52"/>
      <c r="X37" s="565"/>
      <c r="Y37" s="419"/>
      <c r="Z37" s="2635">
        <f>'Step 2--Cull Rates'!X57</f>
        <v>5.0199999999999995E-2</v>
      </c>
      <c r="AA37" s="431"/>
      <c r="AB37" s="431"/>
      <c r="AC37" s="431"/>
      <c r="AD37" s="431"/>
      <c r="AE37" s="419"/>
      <c r="AF37" s="418"/>
      <c r="AG37" s="2646" t="s">
        <v>1290</v>
      </c>
      <c r="AH37" s="513"/>
      <c r="AI37" s="465"/>
      <c r="AJ37" s="465"/>
      <c r="AK37" s="2672">
        <f>'Step 2--Cull Rates'!AG57</f>
        <v>4.02E-2</v>
      </c>
      <c r="AL37" s="434"/>
      <c r="AM37" s="434"/>
      <c r="AN37" s="434"/>
      <c r="AO37" s="465"/>
      <c r="AP37" s="465"/>
      <c r="AQ37" s="464"/>
      <c r="AR37" s="649" t="s">
        <v>1290</v>
      </c>
      <c r="AS37" s="466"/>
    </row>
    <row r="38" spans="1:55" customFormat="1" ht="3" customHeight="1">
      <c r="A38" s="208"/>
      <c r="B38" s="227"/>
      <c r="C38" s="171"/>
      <c r="D38" s="2247"/>
      <c r="E38" s="2247"/>
      <c r="F38" s="2247"/>
      <c r="G38" s="2247"/>
      <c r="H38" s="2247"/>
      <c r="I38" s="171"/>
      <c r="J38" s="170"/>
      <c r="K38" s="171"/>
      <c r="L38" s="188"/>
      <c r="M38" s="44"/>
      <c r="N38" s="44"/>
      <c r="O38" s="104"/>
      <c r="P38" s="44"/>
      <c r="Q38" s="44"/>
      <c r="R38" s="44"/>
      <c r="S38" s="44"/>
      <c r="T38" s="44"/>
      <c r="U38" s="41"/>
      <c r="V38" s="44"/>
      <c r="W38" s="52"/>
      <c r="X38" s="565"/>
      <c r="Y38" s="419"/>
      <c r="Z38" s="2566"/>
      <c r="AA38" s="2566"/>
      <c r="AB38" s="2566"/>
      <c r="AC38" s="2566"/>
      <c r="AD38" s="2566"/>
      <c r="AE38" s="419"/>
      <c r="AF38" s="418"/>
      <c r="AG38" s="419"/>
      <c r="AH38" s="513"/>
      <c r="AI38" s="465"/>
      <c r="AJ38" s="465"/>
      <c r="AK38" s="593"/>
      <c r="AL38" s="465"/>
      <c r="AM38" s="465"/>
      <c r="AN38" s="465"/>
      <c r="AO38" s="465"/>
      <c r="AP38" s="465"/>
      <c r="AQ38" s="464"/>
      <c r="AR38" s="465"/>
      <c r="AS38" s="466"/>
    </row>
    <row r="39" spans="1:55" customFormat="1">
      <c r="A39" s="2248" t="s">
        <v>631</v>
      </c>
      <c r="B39" s="227"/>
      <c r="C39" s="171"/>
      <c r="D39" s="2250">
        <f>'Step 2--Cull Rates'!D57</f>
        <v>5.7000000000000002E-2</v>
      </c>
      <c r="E39" s="225"/>
      <c r="F39" s="225"/>
      <c r="G39" s="225"/>
      <c r="H39" s="225"/>
      <c r="I39" s="171"/>
      <c r="J39" s="170"/>
      <c r="K39" s="330" t="s">
        <v>1290</v>
      </c>
      <c r="L39" s="188"/>
      <c r="M39" s="44"/>
      <c r="N39" s="44"/>
      <c r="O39" s="2286">
        <f>'Step 2--Cull Rates'!M57</f>
        <v>5.7000000000000002E-2</v>
      </c>
      <c r="P39" s="226"/>
      <c r="Q39" s="226"/>
      <c r="R39" s="226"/>
      <c r="S39" s="44"/>
      <c r="T39" s="44"/>
      <c r="U39" s="41"/>
      <c r="V39" s="2057" t="s">
        <v>1290</v>
      </c>
      <c r="W39" s="52"/>
      <c r="X39" s="565"/>
      <c r="Y39" s="419"/>
      <c r="Z39" s="2635">
        <f>'Step 2--Cull Rates'!V57</f>
        <v>5.7000000000000002E-2</v>
      </c>
      <c r="AA39" s="431"/>
      <c r="AB39" s="431"/>
      <c r="AC39" s="431"/>
      <c r="AD39" s="431"/>
      <c r="AE39" s="419"/>
      <c r="AF39" s="418"/>
      <c r="AG39" s="2646" t="s">
        <v>1290</v>
      </c>
      <c r="AH39" s="513"/>
      <c r="AI39" s="465"/>
      <c r="AJ39" s="465"/>
      <c r="AK39" s="2672">
        <f>'Step 2--Cull Rates'!AE57</f>
        <v>5.7000000000000002E-2</v>
      </c>
      <c r="AL39" s="434"/>
      <c r="AM39" s="434"/>
      <c r="AN39" s="434"/>
      <c r="AO39" s="465"/>
      <c r="AP39" s="465"/>
      <c r="AQ39" s="464"/>
      <c r="AR39" s="649" t="s">
        <v>1290</v>
      </c>
      <c r="AS39" s="466"/>
      <c r="AT39" s="103"/>
      <c r="AU39" s="103"/>
      <c r="AV39" s="103"/>
      <c r="AW39" s="103"/>
      <c r="AX39" s="103"/>
      <c r="AY39" s="103"/>
      <c r="AZ39" s="103"/>
      <c r="BA39" s="40"/>
      <c r="BB39" s="40"/>
      <c r="BC39" s="40"/>
    </row>
    <row r="40" spans="1:55" customFormat="1" ht="6.75" customHeight="1">
      <c r="A40" s="2395"/>
      <c r="B40" s="230"/>
      <c r="C40" s="161"/>
      <c r="D40" s="1007"/>
      <c r="E40" s="1007"/>
      <c r="F40" s="1007"/>
      <c r="G40" s="1007"/>
      <c r="H40" s="1007"/>
      <c r="I40" s="161"/>
      <c r="J40" s="2264"/>
      <c r="K40" s="161"/>
      <c r="L40" s="191"/>
      <c r="M40" s="67"/>
      <c r="N40" s="67"/>
      <c r="O40" s="501"/>
      <c r="P40" s="67"/>
      <c r="Q40" s="67"/>
      <c r="R40" s="67"/>
      <c r="S40" s="67"/>
      <c r="T40" s="67"/>
      <c r="U40" s="66"/>
      <c r="V40" s="67"/>
      <c r="W40" s="88"/>
      <c r="X40" s="567"/>
      <c r="Y40" s="568"/>
      <c r="Z40" s="1944"/>
      <c r="AA40" s="1944"/>
      <c r="AB40" s="1944"/>
      <c r="AC40" s="1944"/>
      <c r="AD40" s="1944"/>
      <c r="AE40" s="568"/>
      <c r="AF40" s="2628"/>
      <c r="AG40" s="568"/>
      <c r="AH40" s="517"/>
      <c r="AI40" s="469"/>
      <c r="AJ40" s="469"/>
      <c r="AK40" s="505"/>
      <c r="AL40" s="469"/>
      <c r="AM40" s="469"/>
      <c r="AN40" s="469"/>
      <c r="AO40" s="469"/>
      <c r="AP40" s="469"/>
      <c r="AQ40" s="554"/>
      <c r="AR40" s="469"/>
      <c r="AS40" s="470"/>
    </row>
    <row r="41" spans="1:55" customFormat="1" ht="5.25" customHeight="1">
      <c r="A41" s="209"/>
      <c r="B41" s="232"/>
      <c r="C41" s="2247"/>
      <c r="D41" s="2247"/>
      <c r="E41" s="2247"/>
      <c r="F41" s="2247"/>
      <c r="G41" s="2247"/>
      <c r="H41" s="2247"/>
      <c r="I41" s="2247"/>
      <c r="J41" s="274"/>
      <c r="K41" s="171"/>
      <c r="L41" s="188"/>
      <c r="M41" s="44"/>
      <c r="N41" s="44"/>
      <c r="O41" s="44"/>
      <c r="P41" s="44"/>
      <c r="Q41" s="44"/>
      <c r="R41" s="44"/>
      <c r="S41" s="44"/>
      <c r="T41" s="44"/>
      <c r="U41" s="136"/>
      <c r="V41" s="44"/>
      <c r="W41" s="52"/>
      <c r="X41" s="578"/>
      <c r="Y41" s="2779"/>
      <c r="Z41" s="2779"/>
      <c r="AA41" s="2779"/>
      <c r="AB41" s="2779"/>
      <c r="AC41" s="2779"/>
      <c r="AD41" s="2779"/>
      <c r="AE41" s="2779"/>
      <c r="AF41" s="590"/>
      <c r="AG41" s="419"/>
      <c r="AH41" s="513"/>
      <c r="AI41" s="465"/>
      <c r="AJ41" s="465"/>
      <c r="AK41" s="465"/>
      <c r="AL41" s="465"/>
      <c r="AM41" s="465"/>
      <c r="AN41" s="465"/>
      <c r="AO41" s="465"/>
      <c r="AP41" s="465"/>
      <c r="AQ41" s="550"/>
      <c r="AR41" s="465"/>
      <c r="AS41" s="466"/>
    </row>
    <row r="42" spans="1:55" customFormat="1">
      <c r="A42" s="221" t="s">
        <v>1385</v>
      </c>
      <c r="B42" s="203"/>
      <c r="C42" s="3286"/>
      <c r="D42" s="2250">
        <f>F1_Cull_Rate_Involuntary_Lact_Cows+F1_Cull_Rate_Voluntary_Lact_Cows+F1_Death_Rate_Lact_Cows</f>
        <v>0.46219999999999994</v>
      </c>
      <c r="E42" s="2241"/>
      <c r="F42" s="2241"/>
      <c r="G42" s="316"/>
      <c r="H42" s="2241"/>
      <c r="I42" s="2241"/>
      <c r="J42" s="3302"/>
      <c r="K42" s="330">
        <v>4</v>
      </c>
      <c r="L42" s="1221"/>
      <c r="M42" s="880"/>
      <c r="N42" s="880"/>
      <c r="O42" s="2251">
        <f>F2_Cull_Rate_Involuntary_Lact_Cows+F2_Cull_Rate_Voluntary_Lact_Cows+F2_Death_Rate_Lact_Cows</f>
        <v>0.39119999999999999</v>
      </c>
      <c r="P42" s="2261"/>
      <c r="Q42" s="2261"/>
      <c r="R42" s="2261"/>
      <c r="S42" s="880"/>
      <c r="T42" s="880"/>
      <c r="U42" s="2133"/>
      <c r="V42" s="331">
        <v>4</v>
      </c>
      <c r="W42" s="1226"/>
      <c r="X42" s="3294"/>
      <c r="Y42" s="3295"/>
      <c r="Z42" s="2635">
        <f>F3_Cull_Rate_Involuntary_Lact_Cows+F3_Cull_Rate_Voluntary_Lact_Cows+F3_Death_Rate_Lact_Cows</f>
        <v>0.30020000000000002</v>
      </c>
      <c r="AA42" s="2811"/>
      <c r="AB42" s="2811"/>
      <c r="AC42" s="573"/>
      <c r="AD42" s="2811"/>
      <c r="AE42" s="2811"/>
      <c r="AF42" s="3303"/>
      <c r="AG42" s="2646">
        <v>4</v>
      </c>
      <c r="AH42" s="1329"/>
      <c r="AI42" s="909"/>
      <c r="AJ42" s="909"/>
      <c r="AK42" s="2665">
        <f>F4_Cull_Rate_Involuntary_Lact_Cows+F4_Cull_Rate_Voluntary_Lact_Cows+F4_Death_Rate_Lact_Cows</f>
        <v>0.25020000000000003</v>
      </c>
      <c r="AL42" s="2663"/>
      <c r="AM42" s="2663"/>
      <c r="AN42" s="2663"/>
      <c r="AO42" s="909"/>
      <c r="AP42" s="909"/>
      <c r="AQ42" s="2138"/>
      <c r="AR42" s="649">
        <v>4</v>
      </c>
      <c r="AS42" s="1354"/>
      <c r="AU42" s="103"/>
      <c r="AV42" s="103"/>
      <c r="AW42" s="103"/>
      <c r="AX42" s="103"/>
      <c r="AY42" s="103"/>
      <c r="AZ42" s="103"/>
      <c r="BA42" s="40"/>
      <c r="BB42" s="40"/>
      <c r="BC42" s="40"/>
    </row>
    <row r="43" spans="1:55" ht="6" customHeight="1">
      <c r="A43" s="206"/>
      <c r="B43" s="227"/>
      <c r="C43" s="316"/>
      <c r="D43" s="876"/>
      <c r="E43" s="876"/>
      <c r="F43" s="876"/>
      <c r="G43" s="876"/>
      <c r="H43" s="876"/>
      <c r="I43" s="876"/>
      <c r="J43" s="878"/>
      <c r="K43" s="2241"/>
      <c r="L43" s="876"/>
      <c r="M43" s="3304"/>
      <c r="N43" s="880"/>
      <c r="O43" s="321"/>
      <c r="P43" s="317"/>
      <c r="Q43" s="317"/>
      <c r="R43" s="317"/>
      <c r="S43" s="317"/>
      <c r="T43" s="317"/>
      <c r="U43" s="2466"/>
      <c r="V43" s="880"/>
      <c r="W43" s="1226"/>
      <c r="X43" s="3305"/>
      <c r="Y43" s="573"/>
      <c r="Z43" s="922"/>
      <c r="AA43" s="922"/>
      <c r="AB43" s="922"/>
      <c r="AC43" s="922"/>
      <c r="AD43" s="922"/>
      <c r="AE43" s="922"/>
      <c r="AF43" s="924"/>
      <c r="AG43" s="2811"/>
      <c r="AH43" s="922"/>
      <c r="AI43" s="3306"/>
      <c r="AJ43" s="909"/>
      <c r="AK43" s="563"/>
      <c r="AL43" s="558"/>
      <c r="AM43" s="558"/>
      <c r="AN43" s="558"/>
      <c r="AO43" s="558"/>
      <c r="AP43" s="558"/>
      <c r="AQ43" s="2768"/>
      <c r="AR43" s="909"/>
      <c r="AS43" s="1354"/>
      <c r="AT43" s="46"/>
      <c r="AU43" s="224"/>
      <c r="AV43" s="46"/>
      <c r="AW43" s="46"/>
      <c r="AX43" s="224"/>
      <c r="AY43" s="224"/>
      <c r="AZ43" s="46"/>
      <c r="BA43" s="39"/>
      <c r="BB43" s="39"/>
      <c r="BC43" s="39"/>
    </row>
    <row r="44" spans="1:55" s="11" customFormat="1" ht="20.25" customHeight="1">
      <c r="A44" s="4028" t="s">
        <v>1292</v>
      </c>
      <c r="B44" s="4029"/>
      <c r="C44" s="4029"/>
      <c r="D44" s="4029"/>
      <c r="E44" s="4029"/>
      <c r="F44" s="4029"/>
      <c r="G44" s="4029"/>
      <c r="H44" s="4029"/>
      <c r="I44" s="4029"/>
      <c r="J44" s="4029"/>
      <c r="K44" s="4029"/>
      <c r="L44" s="4029"/>
      <c r="M44" s="4029"/>
      <c r="N44" s="4029"/>
      <c r="O44" s="4029"/>
      <c r="P44" s="4029"/>
      <c r="Q44" s="4029"/>
      <c r="R44" s="4029"/>
      <c r="S44" s="4029"/>
      <c r="T44" s="4029"/>
      <c r="U44" s="4029"/>
      <c r="V44" s="4029"/>
      <c r="W44" s="4029"/>
      <c r="X44" s="4029"/>
      <c r="Y44" s="4029"/>
      <c r="Z44" s="4029"/>
      <c r="AA44" s="4029"/>
      <c r="AB44" s="4029"/>
      <c r="AC44" s="4029"/>
      <c r="AD44" s="4029"/>
      <c r="AE44" s="4029"/>
      <c r="AF44" s="4029"/>
      <c r="AG44" s="4029"/>
      <c r="AH44" s="4029"/>
      <c r="AI44" s="4029"/>
      <c r="AJ44" s="4029"/>
      <c r="AK44" s="4029"/>
      <c r="AL44" s="4029"/>
      <c r="AM44" s="4029"/>
      <c r="AN44" s="4029"/>
      <c r="AO44" s="4029"/>
      <c r="AP44" s="4029"/>
      <c r="AQ44" s="4029"/>
      <c r="AR44" s="4029"/>
      <c r="AS44" s="4030"/>
    </row>
    <row r="45" spans="1:55" customFormat="1" ht="6" customHeight="1">
      <c r="A45" s="209"/>
      <c r="B45" s="232"/>
      <c r="C45" s="2247"/>
      <c r="D45" s="2247"/>
      <c r="E45" s="2247"/>
      <c r="F45" s="2247"/>
      <c r="G45" s="2247"/>
      <c r="H45" s="2247"/>
      <c r="I45" s="2247"/>
      <c r="J45" s="274"/>
      <c r="K45" s="4050"/>
      <c r="L45" s="188"/>
      <c r="M45" s="44"/>
      <c r="N45" s="44"/>
      <c r="O45" s="44"/>
      <c r="P45" s="44"/>
      <c r="Q45" s="44"/>
      <c r="R45" s="44"/>
      <c r="S45" s="44"/>
      <c r="T45" s="44"/>
      <c r="U45" s="41"/>
      <c r="V45" s="4048"/>
      <c r="W45" s="52"/>
      <c r="X45" s="578"/>
      <c r="Y45" s="2779"/>
      <c r="Z45" s="2779"/>
      <c r="AA45" s="2779"/>
      <c r="AB45" s="2779"/>
      <c r="AC45" s="2779"/>
      <c r="AD45" s="2779"/>
      <c r="AE45" s="2779"/>
      <c r="AF45" s="590"/>
      <c r="AG45" s="4046"/>
      <c r="AH45" s="513"/>
      <c r="AI45" s="465"/>
      <c r="AJ45" s="465"/>
      <c r="AK45" s="465"/>
      <c r="AL45" s="465"/>
      <c r="AM45" s="465"/>
      <c r="AN45" s="465"/>
      <c r="AO45" s="465"/>
      <c r="AP45" s="465"/>
      <c r="AQ45" s="464"/>
      <c r="AR45" s="4056"/>
      <c r="AS45" s="466"/>
    </row>
    <row r="46" spans="1:55" customFormat="1">
      <c r="A46" s="221" t="s">
        <v>1405</v>
      </c>
      <c r="B46" s="203" t="s">
        <v>118</v>
      </c>
      <c r="C46" s="262"/>
      <c r="D46" s="171"/>
      <c r="E46" s="171"/>
      <c r="F46" s="171"/>
      <c r="G46" s="171"/>
      <c r="H46" s="171"/>
      <c r="I46" s="171"/>
      <c r="J46" s="170"/>
      <c r="K46" s="4051"/>
      <c r="L46" s="188"/>
      <c r="M46" s="263" t="s">
        <v>118</v>
      </c>
      <c r="N46" s="263"/>
      <c r="O46" s="44"/>
      <c r="P46" s="44"/>
      <c r="Q46" s="44"/>
      <c r="R46" s="44"/>
      <c r="S46" s="44"/>
      <c r="T46" s="44"/>
      <c r="U46" s="41"/>
      <c r="V46" s="4049"/>
      <c r="W46" s="52"/>
      <c r="X46" s="548" t="s">
        <v>118</v>
      </c>
      <c r="Y46" s="566"/>
      <c r="Z46" s="419"/>
      <c r="AA46" s="419"/>
      <c r="AB46" s="419"/>
      <c r="AC46" s="419"/>
      <c r="AD46" s="419"/>
      <c r="AE46" s="419"/>
      <c r="AF46" s="418"/>
      <c r="AG46" s="4047"/>
      <c r="AH46" s="513"/>
      <c r="AI46" s="552" t="s">
        <v>118</v>
      </c>
      <c r="AJ46" s="552"/>
      <c r="AK46" s="465"/>
      <c r="AL46" s="465"/>
      <c r="AM46" s="465"/>
      <c r="AN46" s="465"/>
      <c r="AO46" s="465"/>
      <c r="AP46" s="465"/>
      <c r="AQ46" s="464"/>
      <c r="AR46" s="4057"/>
      <c r="AS46" s="466"/>
      <c r="AT46" s="21"/>
    </row>
    <row r="47" spans="1:55" customFormat="1">
      <c r="A47" s="208" t="s">
        <v>702</v>
      </c>
      <c r="B47" s="227"/>
      <c r="C47" s="171"/>
      <c r="D47" s="2254">
        <v>1.4999999999999999E-2</v>
      </c>
      <c r="E47" s="225"/>
      <c r="F47" s="225"/>
      <c r="G47" s="225"/>
      <c r="H47" s="225"/>
      <c r="I47" s="171"/>
      <c r="J47" s="170"/>
      <c r="K47" s="3578"/>
      <c r="L47" s="188"/>
      <c r="M47" s="44"/>
      <c r="N47" s="44"/>
      <c r="O47" s="2254">
        <v>1.2E-2</v>
      </c>
      <c r="P47" s="226"/>
      <c r="Q47" s="226"/>
      <c r="R47" s="226"/>
      <c r="S47" s="44"/>
      <c r="T47" s="44"/>
      <c r="U47" s="41"/>
      <c r="V47" s="3578"/>
      <c r="W47" s="52"/>
      <c r="X47" s="565"/>
      <c r="Y47" s="419"/>
      <c r="Z47" s="2254">
        <v>0.01</v>
      </c>
      <c r="AA47" s="431"/>
      <c r="AB47" s="431"/>
      <c r="AC47" s="431"/>
      <c r="AD47" s="431"/>
      <c r="AE47" s="419"/>
      <c r="AF47" s="418"/>
      <c r="AG47" s="3578"/>
      <c r="AH47" s="513"/>
      <c r="AI47" s="465"/>
      <c r="AJ47" s="465"/>
      <c r="AK47" s="3579">
        <v>0.01</v>
      </c>
      <c r="AL47" s="434"/>
      <c r="AM47" s="434"/>
      <c r="AN47" s="434"/>
      <c r="AO47" s="465"/>
      <c r="AP47" s="465"/>
      <c r="AQ47" s="464"/>
      <c r="AR47" s="3578"/>
      <c r="AS47" s="466"/>
    </row>
    <row r="48" spans="1:55" customFormat="1" ht="3" customHeight="1">
      <c r="A48" s="208"/>
      <c r="B48" s="227"/>
      <c r="C48" s="171"/>
      <c r="D48" s="2247"/>
      <c r="E48" s="2247"/>
      <c r="F48" s="2247"/>
      <c r="G48" s="2247"/>
      <c r="H48" s="2247"/>
      <c r="I48" s="171"/>
      <c r="J48" s="170"/>
      <c r="K48" s="171"/>
      <c r="L48" s="188"/>
      <c r="M48" s="44"/>
      <c r="N48" s="44"/>
      <c r="O48" s="104"/>
      <c r="P48" s="44"/>
      <c r="Q48" s="44"/>
      <c r="R48" s="44"/>
      <c r="S48" s="44"/>
      <c r="T48" s="44"/>
      <c r="U48" s="41"/>
      <c r="V48" s="44"/>
      <c r="W48" s="52"/>
      <c r="X48" s="565"/>
      <c r="Y48" s="419"/>
      <c r="Z48" s="2779"/>
      <c r="AA48" s="2779"/>
      <c r="AB48" s="2779"/>
      <c r="AC48" s="2779"/>
      <c r="AD48" s="2779"/>
      <c r="AE48" s="419"/>
      <c r="AF48" s="418"/>
      <c r="AG48" s="419"/>
      <c r="AH48" s="513"/>
      <c r="AI48" s="465"/>
      <c r="AJ48" s="465"/>
      <c r="AK48" s="593"/>
      <c r="AL48" s="465"/>
      <c r="AM48" s="465"/>
      <c r="AN48" s="465"/>
      <c r="AO48" s="465"/>
      <c r="AP48" s="465"/>
      <c r="AQ48" s="464"/>
      <c r="AR48" s="465"/>
      <c r="AS48" s="466"/>
    </row>
    <row r="49" spans="1:55" customFormat="1">
      <c r="A49" s="3577" t="s">
        <v>631</v>
      </c>
      <c r="B49" s="227"/>
      <c r="C49" s="171"/>
      <c r="D49" s="2250">
        <f>Defaults!$B$14</f>
        <v>0.02</v>
      </c>
      <c r="E49" s="225"/>
      <c r="F49" s="225"/>
      <c r="G49" s="225"/>
      <c r="H49" s="225"/>
      <c r="I49" s="171"/>
      <c r="J49" s="170"/>
      <c r="K49" s="330">
        <v>2</v>
      </c>
      <c r="L49" s="188"/>
      <c r="M49" s="44"/>
      <c r="N49" s="44"/>
      <c r="O49" s="2251">
        <f>Defaults!$B$14</f>
        <v>0.02</v>
      </c>
      <c r="P49" s="226"/>
      <c r="Q49" s="226"/>
      <c r="R49" s="226"/>
      <c r="S49" s="44"/>
      <c r="T49" s="44"/>
      <c r="U49" s="41"/>
      <c r="V49" s="2057">
        <v>2</v>
      </c>
      <c r="W49" s="52"/>
      <c r="X49" s="565"/>
      <c r="Y49" s="419"/>
      <c r="Z49" s="2635">
        <f>Defaults!$B$14</f>
        <v>0.02</v>
      </c>
      <c r="AA49" s="431"/>
      <c r="AB49" s="431"/>
      <c r="AC49" s="431"/>
      <c r="AD49" s="431"/>
      <c r="AE49" s="419"/>
      <c r="AF49" s="418"/>
      <c r="AG49" s="2646">
        <v>2</v>
      </c>
      <c r="AH49" s="513"/>
      <c r="AI49" s="465"/>
      <c r="AJ49" s="465"/>
      <c r="AK49" s="2665">
        <f>Defaults!$B$14</f>
        <v>0.02</v>
      </c>
      <c r="AL49" s="434"/>
      <c r="AM49" s="434"/>
      <c r="AN49" s="434"/>
      <c r="AO49" s="465"/>
      <c r="AP49" s="465"/>
      <c r="AQ49" s="464"/>
      <c r="AR49" s="649">
        <v>2</v>
      </c>
      <c r="AS49" s="466"/>
      <c r="AT49" s="103"/>
      <c r="AU49" s="103"/>
      <c r="AV49" s="103"/>
      <c r="AW49" s="103"/>
      <c r="AX49" s="103"/>
      <c r="AY49" s="103"/>
      <c r="AZ49" s="103"/>
      <c r="BA49" s="40"/>
      <c r="BB49" s="40"/>
      <c r="BC49" s="40"/>
    </row>
    <row r="50" spans="1:55" ht="6" customHeight="1">
      <c r="A50" s="205"/>
      <c r="B50" s="230"/>
      <c r="C50" s="161"/>
      <c r="D50" s="190"/>
      <c r="E50" s="190"/>
      <c r="F50" s="190"/>
      <c r="G50" s="190"/>
      <c r="H50" s="190"/>
      <c r="I50" s="190"/>
      <c r="J50" s="215"/>
      <c r="K50" s="161"/>
      <c r="L50" s="190"/>
      <c r="M50" s="184"/>
      <c r="N50" s="67"/>
      <c r="O50" s="67"/>
      <c r="P50" s="85"/>
      <c r="Q50" s="85"/>
      <c r="R50" s="85"/>
      <c r="S50" s="85"/>
      <c r="T50" s="85"/>
      <c r="U50" s="75"/>
      <c r="V50" s="67"/>
      <c r="W50" s="88"/>
      <c r="X50" s="567"/>
      <c r="Y50" s="568"/>
      <c r="Z50" s="516"/>
      <c r="AA50" s="516"/>
      <c r="AB50" s="516"/>
      <c r="AC50" s="516"/>
      <c r="AD50" s="516"/>
      <c r="AE50" s="516"/>
      <c r="AF50" s="569"/>
      <c r="AG50" s="568"/>
      <c r="AH50" s="516"/>
      <c r="AI50" s="551"/>
      <c r="AJ50" s="469"/>
      <c r="AK50" s="469"/>
      <c r="AL50" s="553"/>
      <c r="AM50" s="553"/>
      <c r="AN50" s="553"/>
      <c r="AO50" s="553"/>
      <c r="AP50" s="553"/>
      <c r="AQ50" s="594"/>
      <c r="AR50" s="469"/>
      <c r="AS50" s="470"/>
      <c r="AT50" s="46"/>
      <c r="AU50" s="224"/>
      <c r="AV50" s="46"/>
      <c r="AW50" s="46"/>
      <c r="AX50" s="224"/>
      <c r="AY50" s="224"/>
      <c r="AZ50" s="46"/>
      <c r="BA50" s="39"/>
      <c r="BB50" s="39"/>
      <c r="BC50" s="39"/>
    </row>
    <row r="51" spans="1:55">
      <c r="A51" s="220" t="s">
        <v>1406</v>
      </c>
      <c r="B51" s="203" t="s">
        <v>118</v>
      </c>
      <c r="C51" s="3286"/>
      <c r="D51" s="876"/>
      <c r="E51" s="2124"/>
      <c r="F51" s="2124"/>
      <c r="G51" s="2124"/>
      <c r="H51" s="2124"/>
      <c r="I51" s="2124"/>
      <c r="J51" s="3287"/>
      <c r="K51" s="2124"/>
      <c r="L51" s="3288"/>
      <c r="M51" s="3289" t="s">
        <v>118</v>
      </c>
      <c r="N51" s="3289"/>
      <c r="O51" s="3290"/>
      <c r="P51" s="2261"/>
      <c r="Q51" s="2261"/>
      <c r="R51" s="2261"/>
      <c r="S51" s="3291"/>
      <c r="T51" s="3291"/>
      <c r="U51" s="3292"/>
      <c r="V51" s="2261"/>
      <c r="W51" s="3293"/>
      <c r="X51" s="3294" t="s">
        <v>118</v>
      </c>
      <c r="Y51" s="3295"/>
      <c r="Z51" s="922"/>
      <c r="AA51" s="2126"/>
      <c r="AB51" s="2126"/>
      <c r="AC51" s="2126"/>
      <c r="AD51" s="2126"/>
      <c r="AE51" s="2126"/>
      <c r="AF51" s="3296"/>
      <c r="AG51" s="2126"/>
      <c r="AH51" s="3297"/>
      <c r="AI51" s="3298" t="s">
        <v>118</v>
      </c>
      <c r="AJ51" s="3298"/>
      <c r="AK51" s="3299"/>
      <c r="AL51" s="2663"/>
      <c r="AM51" s="2663"/>
      <c r="AN51" s="2663"/>
      <c r="AO51" s="3300"/>
      <c r="AP51" s="3300"/>
      <c r="AQ51" s="3301"/>
      <c r="AR51" s="2663"/>
      <c r="AS51" s="401"/>
    </row>
    <row r="52" spans="1:55" customFormat="1">
      <c r="A52" s="208" t="s">
        <v>702</v>
      </c>
      <c r="B52" s="227"/>
      <c r="C52" s="171"/>
      <c r="D52" s="2254">
        <v>1.4999999999999999E-2</v>
      </c>
      <c r="E52" s="225"/>
      <c r="F52" s="225"/>
      <c r="G52" s="225"/>
      <c r="H52" s="225"/>
      <c r="I52" s="171"/>
      <c r="J52" s="170"/>
      <c r="K52" s="3569"/>
      <c r="L52" s="188"/>
      <c r="M52" s="44"/>
      <c r="N52" s="44"/>
      <c r="O52" s="2254">
        <v>1.2E-2</v>
      </c>
      <c r="P52" s="226"/>
      <c r="Q52" s="226"/>
      <c r="R52" s="226"/>
      <c r="S52" s="44"/>
      <c r="T52" s="44"/>
      <c r="U52" s="41"/>
      <c r="V52" s="3569"/>
      <c r="W52" s="52"/>
      <c r="X52" s="565"/>
      <c r="Y52" s="419"/>
      <c r="Z52" s="2254">
        <v>0.01</v>
      </c>
      <c r="AA52" s="431"/>
      <c r="AB52" s="431"/>
      <c r="AC52" s="431"/>
      <c r="AD52" s="431"/>
      <c r="AE52" s="419"/>
      <c r="AF52" s="418"/>
      <c r="AG52" s="3569"/>
      <c r="AH52" s="513"/>
      <c r="AI52" s="465"/>
      <c r="AJ52" s="465"/>
      <c r="AK52" s="3568">
        <v>8.0000000000000002E-3</v>
      </c>
      <c r="AL52" s="434"/>
      <c r="AM52" s="434"/>
      <c r="AN52" s="434"/>
      <c r="AO52" s="465"/>
      <c r="AP52" s="465"/>
      <c r="AQ52" s="464"/>
      <c r="AR52" s="3569"/>
      <c r="AS52" s="466"/>
    </row>
    <row r="53" spans="1:55" customFormat="1" ht="3" customHeight="1">
      <c r="A53" s="208"/>
      <c r="B53" s="227"/>
      <c r="C53" s="171"/>
      <c r="D53" s="2247"/>
      <c r="E53" s="2247"/>
      <c r="F53" s="2247"/>
      <c r="G53" s="2247"/>
      <c r="H53" s="2247"/>
      <c r="I53" s="171"/>
      <c r="J53" s="170"/>
      <c r="K53" s="171"/>
      <c r="L53" s="188"/>
      <c r="M53" s="44"/>
      <c r="N53" s="44"/>
      <c r="O53" s="104"/>
      <c r="P53" s="44"/>
      <c r="Q53" s="44"/>
      <c r="R53" s="44"/>
      <c r="S53" s="44"/>
      <c r="T53" s="44"/>
      <c r="U53" s="41"/>
      <c r="V53" s="44"/>
      <c r="W53" s="52"/>
      <c r="X53" s="565"/>
      <c r="Y53" s="419"/>
      <c r="Z53" s="2779"/>
      <c r="AA53" s="2779"/>
      <c r="AB53" s="2779"/>
      <c r="AC53" s="2779"/>
      <c r="AD53" s="2779"/>
      <c r="AE53" s="419"/>
      <c r="AF53" s="418"/>
      <c r="AG53" s="419"/>
      <c r="AH53" s="513"/>
      <c r="AI53" s="465"/>
      <c r="AJ53" s="465"/>
      <c r="AK53" s="593"/>
      <c r="AL53" s="465"/>
      <c r="AM53" s="465"/>
      <c r="AN53" s="465"/>
      <c r="AO53" s="465"/>
      <c r="AP53" s="465"/>
      <c r="AQ53" s="464"/>
      <c r="AR53" s="465"/>
      <c r="AS53" s="466"/>
    </row>
    <row r="54" spans="1:55" customFormat="1">
      <c r="A54" s="3567" t="s">
        <v>631</v>
      </c>
      <c r="B54" s="227"/>
      <c r="C54" s="171"/>
      <c r="D54" s="2250">
        <f>Defaults!$B$16</f>
        <v>5.7000000000000002E-2</v>
      </c>
      <c r="E54" s="225"/>
      <c r="F54" s="225"/>
      <c r="G54" s="225"/>
      <c r="H54" s="225"/>
      <c r="I54" s="171"/>
      <c r="J54" s="170"/>
      <c r="K54" s="330">
        <v>3</v>
      </c>
      <c r="L54" s="188"/>
      <c r="M54" s="44"/>
      <c r="N54" s="44"/>
      <c r="O54" s="2286">
        <f>Defaults!$B$16</f>
        <v>5.7000000000000002E-2</v>
      </c>
      <c r="P54" s="226"/>
      <c r="Q54" s="226"/>
      <c r="R54" s="226"/>
      <c r="S54" s="44"/>
      <c r="T54" s="44"/>
      <c r="U54" s="41"/>
      <c r="V54" s="2057">
        <v>3</v>
      </c>
      <c r="W54" s="52"/>
      <c r="X54" s="565"/>
      <c r="Y54" s="419"/>
      <c r="Z54" s="2635">
        <f>Defaults!$B$16</f>
        <v>5.7000000000000002E-2</v>
      </c>
      <c r="AA54" s="431"/>
      <c r="AB54" s="431"/>
      <c r="AC54" s="431"/>
      <c r="AD54" s="431"/>
      <c r="AE54" s="419"/>
      <c r="AF54" s="418"/>
      <c r="AG54" s="2646">
        <v>3</v>
      </c>
      <c r="AH54" s="513"/>
      <c r="AI54" s="465"/>
      <c r="AJ54" s="465"/>
      <c r="AK54" s="2672">
        <f>Defaults!$B$16</f>
        <v>5.7000000000000002E-2</v>
      </c>
      <c r="AL54" s="434"/>
      <c r="AM54" s="434"/>
      <c r="AN54" s="434"/>
      <c r="AO54" s="465"/>
      <c r="AP54" s="465"/>
      <c r="AQ54" s="464"/>
      <c r="AR54" s="649">
        <v>3</v>
      </c>
      <c r="AS54" s="466"/>
      <c r="AT54" s="103"/>
      <c r="AU54" s="103"/>
      <c r="AV54" s="103"/>
      <c r="AW54" s="103"/>
      <c r="AX54" s="103"/>
      <c r="AY54" s="103"/>
      <c r="AZ54" s="103"/>
      <c r="BA54" s="40"/>
      <c r="BB54" s="40"/>
      <c r="BC54" s="40"/>
    </row>
    <row r="55" spans="1:55" customFormat="1" ht="6.75" customHeight="1">
      <c r="A55" s="2395"/>
      <c r="B55" s="230"/>
      <c r="C55" s="161"/>
      <c r="D55" s="1007"/>
      <c r="E55" s="1007"/>
      <c r="F55" s="1007"/>
      <c r="G55" s="1007"/>
      <c r="H55" s="1007"/>
      <c r="I55" s="161"/>
      <c r="J55" s="2264"/>
      <c r="K55" s="161"/>
      <c r="L55" s="191"/>
      <c r="M55" s="67"/>
      <c r="N55" s="67"/>
      <c r="O55" s="501"/>
      <c r="P55" s="67"/>
      <c r="Q55" s="67"/>
      <c r="R55" s="67"/>
      <c r="S55" s="67"/>
      <c r="T55" s="67"/>
      <c r="U55" s="66"/>
      <c r="V55" s="67"/>
      <c r="W55" s="88"/>
      <c r="X55" s="567"/>
      <c r="Y55" s="568"/>
      <c r="Z55" s="1944"/>
      <c r="AA55" s="1944"/>
      <c r="AB55" s="1944"/>
      <c r="AC55" s="1944"/>
      <c r="AD55" s="1944"/>
      <c r="AE55" s="568"/>
      <c r="AF55" s="2628"/>
      <c r="AG55" s="568"/>
      <c r="AH55" s="517"/>
      <c r="AI55" s="469"/>
      <c r="AJ55" s="469"/>
      <c r="AK55" s="505"/>
      <c r="AL55" s="469"/>
      <c r="AM55" s="469"/>
      <c r="AN55" s="469"/>
      <c r="AO55" s="469"/>
      <c r="AP55" s="469"/>
      <c r="AQ55" s="554"/>
      <c r="AR55" s="469"/>
      <c r="AS55" s="470"/>
    </row>
    <row r="56" spans="1:55" customFormat="1" ht="5.25" customHeight="1">
      <c r="A56" s="209"/>
      <c r="B56" s="232"/>
      <c r="C56" s="2247"/>
      <c r="D56" s="2247"/>
      <c r="E56" s="2247"/>
      <c r="F56" s="2247"/>
      <c r="G56" s="2247"/>
      <c r="H56" s="2247"/>
      <c r="I56" s="2247"/>
      <c r="J56" s="274"/>
      <c r="K56" s="171"/>
      <c r="L56" s="188"/>
      <c r="M56" s="44"/>
      <c r="N56" s="44"/>
      <c r="O56" s="44"/>
      <c r="P56" s="44"/>
      <c r="Q56" s="44"/>
      <c r="R56" s="44"/>
      <c r="S56" s="44"/>
      <c r="T56" s="44"/>
      <c r="U56" s="136"/>
      <c r="V56" s="44"/>
      <c r="W56" s="52"/>
      <c r="X56" s="578"/>
      <c r="Y56" s="2779"/>
      <c r="Z56" s="2779"/>
      <c r="AA56" s="2779"/>
      <c r="AB56" s="2779"/>
      <c r="AC56" s="2779"/>
      <c r="AD56" s="2779"/>
      <c r="AE56" s="2779"/>
      <c r="AF56" s="590"/>
      <c r="AG56" s="419"/>
      <c r="AH56" s="513"/>
      <c r="AI56" s="465"/>
      <c r="AJ56" s="465"/>
      <c r="AK56" s="465"/>
      <c r="AL56" s="465"/>
      <c r="AM56" s="465"/>
      <c r="AN56" s="465"/>
      <c r="AO56" s="465"/>
      <c r="AP56" s="465"/>
      <c r="AQ56" s="550"/>
      <c r="AR56" s="465"/>
      <c r="AS56" s="466"/>
    </row>
    <row r="57" spans="1:55" customFormat="1">
      <c r="A57" s="221" t="s">
        <v>1384</v>
      </c>
      <c r="B57" s="203"/>
      <c r="C57" s="3286"/>
      <c r="D57" s="2334">
        <f>(F1_Cull_Rate_Dry_Cows+F1_Death_Rate_Dry_Cows)*F1_Dry_Cows</f>
        <v>3.7065916959037148E-3</v>
      </c>
      <c r="E57" s="2241"/>
      <c r="F57" s="2241"/>
      <c r="G57" s="316"/>
      <c r="H57" s="2241"/>
      <c r="I57" s="2241"/>
      <c r="J57" s="3302"/>
      <c r="K57" s="330">
        <v>4</v>
      </c>
      <c r="L57" s="1221"/>
      <c r="M57" s="880"/>
      <c r="N57" s="880"/>
      <c r="O57" s="2339">
        <f>(F2_Cull_Rate_Dry_Cows+F2_Death_Rate_Dry_Cows)*F2_Dry_Cows</f>
        <v>3.0878751307426189E-3</v>
      </c>
      <c r="P57" s="2261"/>
      <c r="Q57" s="2261"/>
      <c r="R57" s="2261"/>
      <c r="S57" s="880"/>
      <c r="T57" s="880"/>
      <c r="U57" s="2133"/>
      <c r="V57" s="331">
        <v>4</v>
      </c>
      <c r="W57" s="1226"/>
      <c r="X57" s="3294"/>
      <c r="Y57" s="3295"/>
      <c r="Z57" s="2815">
        <f>(F3_Cull_Rate_Dry_Cows+F3_Death_Rate_Dry_Cows)*F3_Dry_Cows</f>
        <v>2.9292568437668766E-3</v>
      </c>
      <c r="AA57" s="2811"/>
      <c r="AB57" s="2811"/>
      <c r="AC57" s="573"/>
      <c r="AD57" s="2811"/>
      <c r="AE57" s="2811"/>
      <c r="AF57" s="3303"/>
      <c r="AG57" s="2646">
        <v>4</v>
      </c>
      <c r="AH57" s="1329"/>
      <c r="AI57" s="909"/>
      <c r="AJ57" s="909"/>
      <c r="AK57" s="2810">
        <f>(F4_Cull_Rate_Dry_Cows+F4_Death_Rate_Dry_Cows)*F4_Dry_Cows</f>
        <v>2.8094620868438121E-3</v>
      </c>
      <c r="AL57" s="2663"/>
      <c r="AM57" s="2663"/>
      <c r="AN57" s="2663"/>
      <c r="AO57" s="909"/>
      <c r="AP57" s="909"/>
      <c r="AQ57" s="2138"/>
      <c r="AR57" s="649">
        <v>4</v>
      </c>
      <c r="AS57" s="1354"/>
      <c r="AU57" s="103"/>
      <c r="AV57" s="103"/>
      <c r="AW57" s="103"/>
      <c r="AX57" s="103"/>
      <c r="AY57" s="103"/>
      <c r="AZ57" s="103"/>
      <c r="BA57" s="40"/>
      <c r="BB57" s="40"/>
      <c r="BC57" s="40"/>
    </row>
    <row r="58" spans="1:55" ht="6" customHeight="1">
      <c r="A58" s="206"/>
      <c r="B58" s="227"/>
      <c r="C58" s="316"/>
      <c r="D58" s="876"/>
      <c r="E58" s="876"/>
      <c r="F58" s="876"/>
      <c r="G58" s="876"/>
      <c r="H58" s="876"/>
      <c r="I58" s="876"/>
      <c r="J58" s="878"/>
      <c r="K58" s="2241"/>
      <c r="L58" s="876"/>
      <c r="M58" s="3304"/>
      <c r="N58" s="880"/>
      <c r="O58" s="321"/>
      <c r="P58" s="317"/>
      <c r="Q58" s="317"/>
      <c r="R58" s="317"/>
      <c r="S58" s="317"/>
      <c r="T58" s="317"/>
      <c r="U58" s="2466"/>
      <c r="V58" s="880"/>
      <c r="W58" s="1226"/>
      <c r="X58" s="3305"/>
      <c r="Y58" s="573"/>
      <c r="Z58" s="922"/>
      <c r="AA58" s="922"/>
      <c r="AB58" s="922"/>
      <c r="AC58" s="922"/>
      <c r="AD58" s="922"/>
      <c r="AE58" s="922"/>
      <c r="AF58" s="924"/>
      <c r="AG58" s="2811"/>
      <c r="AH58" s="922"/>
      <c r="AI58" s="3306"/>
      <c r="AJ58" s="909"/>
      <c r="AK58" s="563"/>
      <c r="AL58" s="558"/>
      <c r="AM58" s="558"/>
      <c r="AN58" s="558"/>
      <c r="AO58" s="558"/>
      <c r="AP58" s="558"/>
      <c r="AQ58" s="2768"/>
      <c r="AR58" s="909"/>
      <c r="AS58" s="1354"/>
      <c r="AT58" s="46"/>
      <c r="AU58" s="224"/>
      <c r="AV58" s="46"/>
      <c r="AW58" s="46"/>
      <c r="AX58" s="224"/>
      <c r="AY58" s="224"/>
      <c r="AZ58" s="46"/>
      <c r="BA58" s="39"/>
      <c r="BB58" s="39"/>
      <c r="BC58" s="39"/>
    </row>
    <row r="59" spans="1:55" s="11" customFormat="1" ht="20.25" customHeight="1">
      <c r="A59" s="4028" t="s">
        <v>1383</v>
      </c>
      <c r="B59" s="4029"/>
      <c r="C59" s="4029"/>
      <c r="D59" s="4029"/>
      <c r="E59" s="4029"/>
      <c r="F59" s="4029"/>
      <c r="G59" s="4029"/>
      <c r="H59" s="4029"/>
      <c r="I59" s="4029"/>
      <c r="J59" s="4029"/>
      <c r="K59" s="4029"/>
      <c r="L59" s="4029"/>
      <c r="M59" s="4029"/>
      <c r="N59" s="4029"/>
      <c r="O59" s="4029"/>
      <c r="P59" s="4029"/>
      <c r="Q59" s="4029"/>
      <c r="R59" s="4029"/>
      <c r="S59" s="4029"/>
      <c r="T59" s="4029"/>
      <c r="U59" s="4029"/>
      <c r="V59" s="4029"/>
      <c r="W59" s="4029"/>
      <c r="X59" s="4029"/>
      <c r="Y59" s="4029"/>
      <c r="Z59" s="4029"/>
      <c r="AA59" s="4029"/>
      <c r="AB59" s="4029"/>
      <c r="AC59" s="4029"/>
      <c r="AD59" s="4029"/>
      <c r="AE59" s="4029"/>
      <c r="AF59" s="4029"/>
      <c r="AG59" s="4029"/>
      <c r="AH59" s="4029"/>
      <c r="AI59" s="4029"/>
      <c r="AJ59" s="4029"/>
      <c r="AK59" s="4029"/>
      <c r="AL59" s="4029"/>
      <c r="AM59" s="4029"/>
      <c r="AN59" s="4029"/>
      <c r="AO59" s="4029"/>
      <c r="AP59" s="4029"/>
      <c r="AQ59" s="4029"/>
      <c r="AR59" s="4029"/>
      <c r="AS59" s="4030"/>
    </row>
    <row r="60" spans="1:55" customFormat="1" ht="5.25" customHeight="1">
      <c r="A60" s="209"/>
      <c r="B60" s="232"/>
      <c r="C60" s="2247"/>
      <c r="D60" s="1062"/>
      <c r="E60" s="2212"/>
      <c r="F60" s="2247"/>
      <c r="G60" s="2247"/>
      <c r="H60" s="2247"/>
      <c r="I60" s="2212"/>
      <c r="J60" s="274"/>
      <c r="K60" s="171"/>
      <c r="L60" s="188"/>
      <c r="M60" s="44"/>
      <c r="N60" s="44"/>
      <c r="O60" s="44"/>
      <c r="P60" s="44"/>
      <c r="Q60" s="44"/>
      <c r="R60" s="44"/>
      <c r="S60" s="44"/>
      <c r="T60" s="44"/>
      <c r="U60" s="136"/>
      <c r="V60" s="44"/>
      <c r="W60" s="52"/>
      <c r="X60" s="578"/>
      <c r="Y60" s="2566"/>
      <c r="Z60" s="2566"/>
      <c r="AA60" s="2566"/>
      <c r="AB60" s="2566"/>
      <c r="AC60" s="2566"/>
      <c r="AD60" s="2566"/>
      <c r="AE60" s="2566"/>
      <c r="AF60" s="590"/>
      <c r="AG60" s="419"/>
      <c r="AH60" s="513"/>
      <c r="AI60" s="465"/>
      <c r="AJ60" s="465"/>
      <c r="AK60" s="465"/>
      <c r="AL60" s="465"/>
      <c r="AM60" s="465"/>
      <c r="AN60" s="465"/>
      <c r="AO60" s="465"/>
      <c r="AP60" s="465"/>
      <c r="AQ60" s="550"/>
      <c r="AR60" s="465"/>
      <c r="AS60" s="466"/>
    </row>
    <row r="61" spans="1:55" customFormat="1">
      <c r="A61" s="221" t="s">
        <v>693</v>
      </c>
      <c r="B61" s="203"/>
      <c r="C61" s="262"/>
      <c r="D61" s="171"/>
      <c r="E61" s="171"/>
      <c r="F61" s="171"/>
      <c r="G61" s="171"/>
      <c r="H61" s="171"/>
      <c r="I61" s="171"/>
      <c r="J61" s="170"/>
      <c r="K61" s="171"/>
      <c r="L61" s="188"/>
      <c r="M61" s="263"/>
      <c r="N61" s="263"/>
      <c r="O61" s="96"/>
      <c r="P61" s="44"/>
      <c r="Q61" s="44"/>
      <c r="R61" s="44"/>
      <c r="S61" s="44"/>
      <c r="T61" s="44"/>
      <c r="U61" s="41"/>
      <c r="V61" s="42"/>
      <c r="W61" s="52"/>
      <c r="X61" s="548"/>
      <c r="Y61" s="566"/>
      <c r="Z61" s="419"/>
      <c r="AA61" s="419"/>
      <c r="AB61" s="419"/>
      <c r="AC61" s="419"/>
      <c r="AD61" s="419"/>
      <c r="AE61" s="419"/>
      <c r="AF61" s="418"/>
      <c r="AG61" s="419"/>
      <c r="AH61" s="513"/>
      <c r="AI61" s="552"/>
      <c r="AJ61" s="552"/>
      <c r="AK61" s="496"/>
      <c r="AL61" s="465"/>
      <c r="AM61" s="465"/>
      <c r="AN61" s="465"/>
      <c r="AO61" s="465"/>
      <c r="AP61" s="465"/>
      <c r="AQ61" s="464"/>
      <c r="AR61" s="449"/>
      <c r="AS61" s="466"/>
      <c r="AU61" s="103"/>
      <c r="AV61" s="103"/>
      <c r="AW61" s="103"/>
      <c r="AX61" s="103"/>
      <c r="AY61" s="103"/>
      <c r="AZ61" s="103"/>
      <c r="BA61" s="40"/>
      <c r="BB61" s="40"/>
      <c r="BC61" s="40"/>
    </row>
    <row r="62" spans="1:55" customFormat="1">
      <c r="A62" s="220" t="s">
        <v>695</v>
      </c>
      <c r="B62" s="203"/>
      <c r="C62" s="3286"/>
      <c r="D62" s="2250">
        <f>D42+D57</f>
        <v>0.46590659169590365</v>
      </c>
      <c r="E62" s="2241"/>
      <c r="F62" s="2241"/>
      <c r="G62" s="316"/>
      <c r="H62" s="2241"/>
      <c r="I62" s="2241"/>
      <c r="J62" s="3302"/>
      <c r="K62" s="330">
        <v>4</v>
      </c>
      <c r="L62" s="1221"/>
      <c r="M62" s="880"/>
      <c r="N62" s="880"/>
      <c r="O62" s="2251">
        <f>O42+O57</f>
        <v>0.39428787513074259</v>
      </c>
      <c r="P62" s="2261"/>
      <c r="Q62" s="2261"/>
      <c r="R62" s="2261"/>
      <c r="S62" s="880"/>
      <c r="T62" s="880"/>
      <c r="U62" s="2133"/>
      <c r="V62" s="331">
        <v>4</v>
      </c>
      <c r="W62" s="1226"/>
      <c r="X62" s="3294"/>
      <c r="Y62" s="3295"/>
      <c r="Z62" s="2635">
        <f>Z42+Z57</f>
        <v>0.3031292568437669</v>
      </c>
      <c r="AA62" s="2811"/>
      <c r="AB62" s="2811"/>
      <c r="AC62" s="573"/>
      <c r="AD62" s="2811"/>
      <c r="AE62" s="2811"/>
      <c r="AF62" s="3303"/>
      <c r="AG62" s="2646">
        <v>4</v>
      </c>
      <c r="AH62" s="1329"/>
      <c r="AI62" s="909"/>
      <c r="AJ62" s="909"/>
      <c r="AK62" s="2665">
        <f>AK42+AK57</f>
        <v>0.25300946208684383</v>
      </c>
      <c r="AL62" s="2663"/>
      <c r="AM62" s="2663"/>
      <c r="AN62" s="2663"/>
      <c r="AO62" s="909"/>
      <c r="AP62" s="909"/>
      <c r="AQ62" s="2138"/>
      <c r="AR62" s="649">
        <v>4</v>
      </c>
      <c r="AS62" s="1354"/>
      <c r="AU62" s="103"/>
      <c r="AV62" s="103"/>
      <c r="AW62" s="103"/>
      <c r="AX62" s="103"/>
      <c r="AY62" s="103"/>
      <c r="AZ62" s="103"/>
      <c r="BA62" s="40"/>
      <c r="BB62" s="40"/>
      <c r="BC62" s="40"/>
    </row>
    <row r="63" spans="1:55" ht="6" customHeight="1">
      <c r="A63" s="206"/>
      <c r="B63" s="227"/>
      <c r="C63" s="316"/>
      <c r="D63" s="876"/>
      <c r="E63" s="876"/>
      <c r="F63" s="876"/>
      <c r="G63" s="876"/>
      <c r="H63" s="876"/>
      <c r="I63" s="876"/>
      <c r="J63" s="878"/>
      <c r="K63" s="2241"/>
      <c r="L63" s="876"/>
      <c r="M63" s="3304"/>
      <c r="N63" s="880"/>
      <c r="O63" s="321"/>
      <c r="P63" s="317"/>
      <c r="Q63" s="317"/>
      <c r="R63" s="317"/>
      <c r="S63" s="317"/>
      <c r="T63" s="317"/>
      <c r="U63" s="2466"/>
      <c r="V63" s="880"/>
      <c r="W63" s="1226"/>
      <c r="X63" s="3305"/>
      <c r="Y63" s="573"/>
      <c r="Z63" s="922"/>
      <c r="AA63" s="922"/>
      <c r="AB63" s="922"/>
      <c r="AC63" s="922"/>
      <c r="AD63" s="922"/>
      <c r="AE63" s="922"/>
      <c r="AF63" s="924"/>
      <c r="AG63" s="2811"/>
      <c r="AH63" s="922"/>
      <c r="AI63" s="3306"/>
      <c r="AJ63" s="909"/>
      <c r="AK63" s="563"/>
      <c r="AL63" s="558"/>
      <c r="AM63" s="558"/>
      <c r="AN63" s="558"/>
      <c r="AO63" s="558"/>
      <c r="AP63" s="558"/>
      <c r="AQ63" s="2768"/>
      <c r="AR63" s="909"/>
      <c r="AS63" s="1354"/>
      <c r="AT63" s="46"/>
      <c r="AU63" s="224"/>
      <c r="AV63" s="46"/>
      <c r="AW63" s="46"/>
      <c r="AX63" s="224"/>
      <c r="AY63" s="224"/>
      <c r="AZ63" s="46"/>
      <c r="BA63" s="39"/>
      <c r="BB63" s="39"/>
      <c r="BC63" s="39"/>
    </row>
    <row r="64" spans="1:55" ht="27.75" customHeight="1">
      <c r="A64" s="4028" t="s">
        <v>875</v>
      </c>
      <c r="B64" s="4029"/>
      <c r="C64" s="4029"/>
      <c r="D64" s="4029"/>
      <c r="E64" s="4029"/>
      <c r="F64" s="4029"/>
      <c r="G64" s="4029"/>
      <c r="H64" s="4029"/>
      <c r="I64" s="4029"/>
      <c r="J64" s="4029"/>
      <c r="K64" s="4029"/>
      <c r="L64" s="4029"/>
      <c r="M64" s="4029"/>
      <c r="N64" s="4029"/>
      <c r="O64" s="4029"/>
      <c r="P64" s="4029"/>
      <c r="Q64" s="4029"/>
      <c r="R64" s="4029"/>
      <c r="S64" s="4029"/>
      <c r="T64" s="4029"/>
      <c r="U64" s="4029"/>
      <c r="V64" s="4029"/>
      <c r="W64" s="4029"/>
      <c r="X64" s="4029"/>
      <c r="Y64" s="4029"/>
      <c r="Z64" s="4029"/>
      <c r="AA64" s="4029"/>
      <c r="AB64" s="4029"/>
      <c r="AC64" s="4029"/>
      <c r="AD64" s="4029"/>
      <c r="AE64" s="4029"/>
      <c r="AF64" s="4029"/>
      <c r="AG64" s="4029"/>
      <c r="AH64" s="4029"/>
      <c r="AI64" s="4029"/>
      <c r="AJ64" s="4029"/>
      <c r="AK64" s="4029"/>
      <c r="AL64" s="4029"/>
      <c r="AM64" s="4029"/>
      <c r="AN64" s="4029"/>
      <c r="AO64" s="4029"/>
      <c r="AP64" s="4029"/>
      <c r="AQ64" s="4029"/>
      <c r="AR64" s="4029"/>
      <c r="AS64" s="4030"/>
      <c r="AT64" s="46"/>
      <c r="AU64" s="224"/>
      <c r="AV64" s="46"/>
      <c r="AW64" s="46"/>
      <c r="AX64" s="224"/>
      <c r="AY64" s="224"/>
      <c r="AZ64" s="46"/>
      <c r="BA64" s="39"/>
      <c r="BB64" s="39"/>
      <c r="BC64" s="39"/>
    </row>
    <row r="65" spans="1:55" s="11" customFormat="1" ht="20.25" customHeight="1">
      <c r="A65" s="4053" t="s">
        <v>874</v>
      </c>
      <c r="B65" s="4054"/>
      <c r="C65" s="4054"/>
      <c r="D65" s="4054"/>
      <c r="E65" s="4054"/>
      <c r="F65" s="4054"/>
      <c r="G65" s="4054"/>
      <c r="H65" s="4054"/>
      <c r="I65" s="4054"/>
      <c r="J65" s="4054"/>
      <c r="K65" s="4054"/>
      <c r="L65" s="4054"/>
      <c r="M65" s="4054"/>
      <c r="N65" s="4054"/>
      <c r="O65" s="4054"/>
      <c r="P65" s="4054"/>
      <c r="Q65" s="4054"/>
      <c r="R65" s="4054"/>
      <c r="S65" s="4054"/>
      <c r="T65" s="4054"/>
      <c r="U65" s="4054"/>
      <c r="V65" s="4054"/>
      <c r="W65" s="4054"/>
      <c r="X65" s="4054"/>
      <c r="Y65" s="4054"/>
      <c r="Z65" s="4054"/>
      <c r="AA65" s="4054"/>
      <c r="AB65" s="4054"/>
      <c r="AC65" s="4054"/>
      <c r="AD65" s="4054"/>
      <c r="AE65" s="4054"/>
      <c r="AF65" s="4054"/>
      <c r="AG65" s="4054"/>
      <c r="AH65" s="4054"/>
      <c r="AI65" s="4054"/>
      <c r="AJ65" s="4054"/>
      <c r="AK65" s="4054"/>
      <c r="AL65" s="4054"/>
      <c r="AM65" s="4054"/>
      <c r="AN65" s="4054"/>
      <c r="AO65" s="4054"/>
      <c r="AP65" s="4054"/>
      <c r="AQ65" s="4054"/>
      <c r="AR65" s="4054"/>
      <c r="AS65" s="4055"/>
    </row>
    <row r="66" spans="1:55" ht="5.25" customHeight="1">
      <c r="A66" s="246"/>
      <c r="B66" s="247"/>
      <c r="C66" s="2295"/>
      <c r="D66" s="248"/>
      <c r="E66" s="294"/>
      <c r="F66" s="294"/>
      <c r="G66" s="294"/>
      <c r="H66" s="294"/>
      <c r="I66" s="294"/>
      <c r="J66" s="179"/>
      <c r="K66" s="177"/>
      <c r="L66" s="177"/>
      <c r="M66" s="249"/>
      <c r="N66" s="291"/>
      <c r="O66" s="291"/>
      <c r="P66" s="301"/>
      <c r="Q66" s="301"/>
      <c r="R66" s="301"/>
      <c r="S66" s="2289"/>
      <c r="T66" s="302"/>
      <c r="U66" s="180"/>
      <c r="V66" s="178"/>
      <c r="W66" s="181"/>
      <c r="X66" s="413"/>
      <c r="Y66" s="2614"/>
      <c r="Z66" s="414"/>
      <c r="AA66" s="415"/>
      <c r="AB66" s="415"/>
      <c r="AC66" s="415"/>
      <c r="AD66" s="415"/>
      <c r="AE66" s="415"/>
      <c r="AF66" s="416"/>
      <c r="AG66" s="417"/>
      <c r="AH66" s="417"/>
      <c r="AI66" s="441"/>
      <c r="AJ66" s="442"/>
      <c r="AK66" s="442"/>
      <c r="AL66" s="443"/>
      <c r="AM66" s="443"/>
      <c r="AN66" s="443"/>
      <c r="AO66" s="2660"/>
      <c r="AP66" s="444"/>
      <c r="AQ66" s="445"/>
      <c r="AR66" s="446"/>
      <c r="AS66" s="447"/>
    </row>
    <row r="67" spans="1:55">
      <c r="A67" s="220" t="s">
        <v>1407</v>
      </c>
      <c r="B67" s="203" t="s">
        <v>118</v>
      </c>
      <c r="C67" s="3286"/>
      <c r="D67" s="876"/>
      <c r="E67" s="2124"/>
      <c r="F67" s="2124"/>
      <c r="G67" s="2124"/>
      <c r="H67" s="2124"/>
      <c r="I67" s="2125"/>
      <c r="J67" s="3287"/>
      <c r="K67" s="2124"/>
      <c r="L67" s="3288"/>
      <c r="M67" s="3289" t="s">
        <v>118</v>
      </c>
      <c r="N67" s="3289"/>
      <c r="O67" s="3290"/>
      <c r="P67" s="2261"/>
      <c r="Q67" s="2261"/>
      <c r="R67" s="2261"/>
      <c r="S67" s="3291"/>
      <c r="T67" s="3291"/>
      <c r="U67" s="3292"/>
      <c r="V67" s="2261"/>
      <c r="W67" s="3293"/>
      <c r="X67" s="3294" t="s">
        <v>118</v>
      </c>
      <c r="Y67" s="3295"/>
      <c r="Z67" s="922"/>
      <c r="AA67" s="2126"/>
      <c r="AB67" s="2126"/>
      <c r="AC67" s="2126"/>
      <c r="AD67" s="2126"/>
      <c r="AE67" s="2622"/>
      <c r="AF67" s="3296"/>
      <c r="AG67" s="2126"/>
      <c r="AH67" s="3297"/>
      <c r="AI67" s="3298" t="s">
        <v>118</v>
      </c>
      <c r="AJ67" s="3298"/>
      <c r="AK67" s="3299"/>
      <c r="AL67" s="2663"/>
      <c r="AM67" s="2663"/>
      <c r="AN67" s="2663"/>
      <c r="AO67" s="3300"/>
      <c r="AP67" s="3300"/>
      <c r="AQ67" s="3301"/>
      <c r="AR67" s="2663"/>
      <c r="AS67" s="401"/>
    </row>
    <row r="68" spans="1:55" customFormat="1">
      <c r="A68" s="208" t="s">
        <v>702</v>
      </c>
      <c r="B68" s="227"/>
      <c r="C68" s="171"/>
      <c r="D68" s="2254">
        <v>0.02</v>
      </c>
      <c r="E68" s="225"/>
      <c r="F68" s="225"/>
      <c r="G68" s="225"/>
      <c r="H68" s="225"/>
      <c r="I68" s="171"/>
      <c r="J68" s="170"/>
      <c r="K68" s="3578"/>
      <c r="L68" s="188"/>
      <c r="M68" s="44"/>
      <c r="N68" s="44"/>
      <c r="O68" s="2254">
        <v>1.7999999999999999E-2</v>
      </c>
      <c r="P68" s="226"/>
      <c r="Q68" s="226"/>
      <c r="R68" s="226"/>
      <c r="S68" s="44"/>
      <c r="T68" s="44"/>
      <c r="U68" s="41"/>
      <c r="V68" s="3578"/>
      <c r="W68" s="52"/>
      <c r="X68" s="565"/>
      <c r="Y68" s="419"/>
      <c r="Z68" s="2254">
        <v>1.2E-2</v>
      </c>
      <c r="AA68" s="431"/>
      <c r="AB68" s="431"/>
      <c r="AC68" s="431"/>
      <c r="AD68" s="431"/>
      <c r="AE68" s="419"/>
      <c r="AF68" s="418"/>
      <c r="AG68" s="3578"/>
      <c r="AH68" s="513"/>
      <c r="AI68" s="465"/>
      <c r="AJ68" s="465"/>
      <c r="AK68" s="3579">
        <v>0.01</v>
      </c>
      <c r="AL68" s="434"/>
      <c r="AM68" s="434"/>
      <c r="AN68" s="434"/>
      <c r="AO68" s="465"/>
      <c r="AP68" s="465"/>
      <c r="AQ68" s="464"/>
      <c r="AR68" s="3578"/>
      <c r="AS68" s="466"/>
    </row>
    <row r="69" spans="1:55" customFormat="1" ht="3" customHeight="1">
      <c r="A69" s="208"/>
      <c r="B69" s="227"/>
      <c r="C69" s="171"/>
      <c r="D69" s="2247"/>
      <c r="E69" s="2247"/>
      <c r="F69" s="2247"/>
      <c r="G69" s="2247"/>
      <c r="H69" s="2247"/>
      <c r="I69" s="171"/>
      <c r="J69" s="170"/>
      <c r="K69" s="171"/>
      <c r="L69" s="188"/>
      <c r="M69" s="44"/>
      <c r="N69" s="44"/>
      <c r="O69" s="104"/>
      <c r="P69" s="44"/>
      <c r="Q69" s="44"/>
      <c r="R69" s="44"/>
      <c r="S69" s="44"/>
      <c r="T69" s="44"/>
      <c r="U69" s="41"/>
      <c r="V69" s="44"/>
      <c r="W69" s="52"/>
      <c r="X69" s="565"/>
      <c r="Y69" s="419"/>
      <c r="Z69" s="2779"/>
      <c r="AA69" s="2779"/>
      <c r="AB69" s="2779"/>
      <c r="AC69" s="2779"/>
      <c r="AD69" s="2779"/>
      <c r="AE69" s="419"/>
      <c r="AF69" s="418"/>
      <c r="AG69" s="419"/>
      <c r="AH69" s="513"/>
      <c r="AI69" s="465"/>
      <c r="AJ69" s="465"/>
      <c r="AK69" s="593"/>
      <c r="AL69" s="465"/>
      <c r="AM69" s="465"/>
      <c r="AN69" s="465"/>
      <c r="AO69" s="465"/>
      <c r="AP69" s="465"/>
      <c r="AQ69" s="464"/>
      <c r="AR69" s="465"/>
      <c r="AS69" s="466"/>
    </row>
    <row r="70" spans="1:55" customFormat="1">
      <c r="A70" s="3577" t="s">
        <v>631</v>
      </c>
      <c r="B70" s="227"/>
      <c r="C70" s="171"/>
      <c r="D70" s="2250">
        <f>Defaults!$B$17</f>
        <v>1.7999999999999999E-2</v>
      </c>
      <c r="E70" s="225"/>
      <c r="F70" s="225"/>
      <c r="G70" s="225"/>
      <c r="H70" s="225"/>
      <c r="I70" s="171"/>
      <c r="J70" s="170"/>
      <c r="K70" s="330">
        <v>3</v>
      </c>
      <c r="L70" s="188"/>
      <c r="M70" s="44"/>
      <c r="N70" s="44"/>
      <c r="O70" s="2286">
        <f>Defaults!$B$17</f>
        <v>1.7999999999999999E-2</v>
      </c>
      <c r="P70" s="226"/>
      <c r="Q70" s="226"/>
      <c r="R70" s="226"/>
      <c r="S70" s="44"/>
      <c r="T70" s="44"/>
      <c r="U70" s="41"/>
      <c r="V70" s="2057">
        <v>3</v>
      </c>
      <c r="W70" s="52"/>
      <c r="X70" s="565"/>
      <c r="Y70" s="419"/>
      <c r="Z70" s="2635">
        <f>Defaults!$B$17</f>
        <v>1.7999999999999999E-2</v>
      </c>
      <c r="AA70" s="431"/>
      <c r="AB70" s="431"/>
      <c r="AC70" s="431"/>
      <c r="AD70" s="431"/>
      <c r="AE70" s="419"/>
      <c r="AF70" s="418"/>
      <c r="AG70" s="2646">
        <v>3</v>
      </c>
      <c r="AH70" s="513"/>
      <c r="AI70" s="465"/>
      <c r="AJ70" s="465"/>
      <c r="AK70" s="2672">
        <f>Defaults!$B$17</f>
        <v>1.7999999999999999E-2</v>
      </c>
      <c r="AL70" s="434"/>
      <c r="AM70" s="434"/>
      <c r="AN70" s="434"/>
      <c r="AO70" s="465"/>
      <c r="AP70" s="465"/>
      <c r="AQ70" s="464"/>
      <c r="AR70" s="649">
        <v>3</v>
      </c>
      <c r="AS70" s="466"/>
      <c r="AT70" s="103"/>
      <c r="AU70" s="103"/>
      <c r="AV70" s="103"/>
      <c r="AW70" s="103"/>
      <c r="AX70" s="103"/>
      <c r="AY70" s="103"/>
      <c r="AZ70" s="103"/>
      <c r="BA70" s="40"/>
      <c r="BB70" s="40"/>
      <c r="BC70" s="40"/>
    </row>
    <row r="71" spans="1:55" ht="6.75" customHeight="1">
      <c r="A71" s="1570"/>
      <c r="B71" s="1012"/>
      <c r="C71" s="2294"/>
      <c r="D71" s="190"/>
      <c r="E71" s="1013"/>
      <c r="F71" s="1013"/>
      <c r="G71" s="2265"/>
      <c r="H71" s="2265"/>
      <c r="I71" s="2265"/>
      <c r="J71" s="1014"/>
      <c r="K71" s="1015"/>
      <c r="L71" s="1016"/>
      <c r="M71" s="1017"/>
      <c r="N71" s="1017"/>
      <c r="O71" s="1017"/>
      <c r="P71" s="1018"/>
      <c r="Q71" s="1018"/>
      <c r="R71" s="1018"/>
      <c r="S71" s="1017"/>
      <c r="T71" s="1017"/>
      <c r="U71" s="2244"/>
      <c r="V71" s="2245"/>
      <c r="W71" s="2246"/>
      <c r="X71" s="2643"/>
      <c r="Y71" s="2644"/>
      <c r="Z71" s="516"/>
      <c r="AA71" s="2623"/>
      <c r="AB71" s="2623"/>
      <c r="AC71" s="2624"/>
      <c r="AD71" s="2624"/>
      <c r="AE71" s="2624"/>
      <c r="AF71" s="2648"/>
      <c r="AG71" s="2649"/>
      <c r="AH71" s="2650"/>
      <c r="AI71" s="2688"/>
      <c r="AJ71" s="2688"/>
      <c r="AK71" s="2688"/>
      <c r="AL71" s="1955"/>
      <c r="AM71" s="1955"/>
      <c r="AN71" s="1955"/>
      <c r="AO71" s="2688"/>
      <c r="AP71" s="2688"/>
      <c r="AQ71" s="454"/>
      <c r="AR71" s="2686"/>
      <c r="AS71" s="2687"/>
    </row>
    <row r="72" spans="1:55" ht="6.75" customHeight="1">
      <c r="A72" s="246"/>
      <c r="B72" s="247"/>
      <c r="C72" s="2295"/>
      <c r="D72" s="248"/>
      <c r="E72" s="294"/>
      <c r="F72" s="294"/>
      <c r="G72" s="294"/>
      <c r="H72" s="294"/>
      <c r="I72" s="294"/>
      <c r="J72" s="179"/>
      <c r="K72" s="177"/>
      <c r="L72" s="177"/>
      <c r="M72" s="249"/>
      <c r="N72" s="291"/>
      <c r="O72" s="291"/>
      <c r="P72" s="301"/>
      <c r="Q72" s="301"/>
      <c r="R72" s="301"/>
      <c r="S72" s="2289"/>
      <c r="T72" s="302"/>
      <c r="U72" s="180"/>
      <c r="V72" s="178"/>
      <c r="W72" s="181"/>
      <c r="X72" s="413"/>
      <c r="Y72" s="2614"/>
      <c r="Z72" s="414"/>
      <c r="AA72" s="415"/>
      <c r="AB72" s="415"/>
      <c r="AC72" s="415"/>
      <c r="AD72" s="415"/>
      <c r="AE72" s="415"/>
      <c r="AF72" s="416"/>
      <c r="AG72" s="417"/>
      <c r="AH72" s="417"/>
      <c r="AI72" s="441"/>
      <c r="AJ72" s="442"/>
      <c r="AK72" s="442"/>
      <c r="AL72" s="443"/>
      <c r="AM72" s="443"/>
      <c r="AN72" s="443"/>
      <c r="AO72" s="2660"/>
      <c r="AP72" s="444"/>
      <c r="AQ72" s="445"/>
      <c r="AR72" s="446"/>
      <c r="AS72" s="447"/>
    </row>
    <row r="73" spans="1:55">
      <c r="A73" s="618" t="s">
        <v>722</v>
      </c>
      <c r="B73" s="259"/>
      <c r="C73" s="2296"/>
      <c r="D73" s="2250">
        <f>F1_Heifer_Failure_to_Breed_Rate</f>
        <v>0.12</v>
      </c>
      <c r="E73" s="293"/>
      <c r="F73" s="293"/>
      <c r="G73" s="293"/>
      <c r="H73" s="293"/>
      <c r="I73" s="293"/>
      <c r="J73" s="164"/>
      <c r="K73" s="330" t="s">
        <v>1340</v>
      </c>
      <c r="L73" s="165"/>
      <c r="M73" s="260"/>
      <c r="N73" s="290"/>
      <c r="O73" s="2251">
        <f>F2_Heifer_Failure_to_Breed_Rate</f>
        <v>0.12</v>
      </c>
      <c r="P73" s="300"/>
      <c r="Q73" s="300"/>
      <c r="R73" s="300"/>
      <c r="S73" s="2290"/>
      <c r="T73" s="297"/>
      <c r="U73" s="130"/>
      <c r="V73" s="331" t="s">
        <v>1340</v>
      </c>
      <c r="W73" s="134"/>
      <c r="X73" s="391"/>
      <c r="Y73" s="2615"/>
      <c r="Z73" s="2635">
        <f>F3_Heifer_Failure_to_Breed_Rate</f>
        <v>0.12</v>
      </c>
      <c r="AA73" s="410"/>
      <c r="AB73" s="410"/>
      <c r="AC73" s="410"/>
      <c r="AD73" s="410"/>
      <c r="AE73" s="410"/>
      <c r="AF73" s="389"/>
      <c r="AG73" s="2646" t="s">
        <v>1340</v>
      </c>
      <c r="AH73" s="390"/>
      <c r="AI73" s="402"/>
      <c r="AJ73" s="403"/>
      <c r="AK73" s="2665">
        <f>F4_Heifer_Failure_to_Breed_Rate</f>
        <v>0.1</v>
      </c>
      <c r="AL73" s="437"/>
      <c r="AM73" s="437"/>
      <c r="AN73" s="437"/>
      <c r="AO73" s="2661"/>
      <c r="AP73" s="405"/>
      <c r="AQ73" s="399"/>
      <c r="AR73" s="649" t="s">
        <v>1340</v>
      </c>
      <c r="AS73" s="401"/>
    </row>
    <row r="74" spans="1:55" ht="6" customHeight="1">
      <c r="A74" s="153"/>
      <c r="B74" s="160"/>
      <c r="C74" s="2298"/>
      <c r="D74" s="166"/>
      <c r="E74" s="293"/>
      <c r="F74" s="293"/>
      <c r="G74" s="293"/>
      <c r="H74" s="293"/>
      <c r="I74" s="293"/>
      <c r="J74" s="164"/>
      <c r="K74" s="165"/>
      <c r="L74" s="165"/>
      <c r="M74" s="154"/>
      <c r="N74" s="128"/>
      <c r="O74" s="128"/>
      <c r="P74" s="300"/>
      <c r="Q74" s="300"/>
      <c r="R74" s="300"/>
      <c r="S74" s="2290"/>
      <c r="T74" s="297"/>
      <c r="U74" s="130"/>
      <c r="V74" s="132"/>
      <c r="W74" s="134"/>
      <c r="X74" s="392"/>
      <c r="Y74" s="2616"/>
      <c r="Z74" s="393"/>
      <c r="AA74" s="410"/>
      <c r="AB74" s="410"/>
      <c r="AC74" s="410"/>
      <c r="AD74" s="410"/>
      <c r="AE74" s="410"/>
      <c r="AF74" s="389"/>
      <c r="AG74" s="390"/>
      <c r="AH74" s="390"/>
      <c r="AI74" s="406"/>
      <c r="AJ74" s="407"/>
      <c r="AK74" s="407"/>
      <c r="AL74" s="437"/>
      <c r="AM74" s="437"/>
      <c r="AN74" s="437"/>
      <c r="AO74" s="2661"/>
      <c r="AP74" s="405"/>
      <c r="AQ74" s="399"/>
      <c r="AR74" s="400"/>
      <c r="AS74" s="401"/>
    </row>
    <row r="75" spans="1:55" ht="6" customHeight="1">
      <c r="A75" s="246"/>
      <c r="B75" s="247"/>
      <c r="C75" s="2295"/>
      <c r="D75" s="248"/>
      <c r="E75" s="294"/>
      <c r="F75" s="294"/>
      <c r="G75" s="294"/>
      <c r="H75" s="294"/>
      <c r="I75" s="294"/>
      <c r="J75" s="179"/>
      <c r="K75" s="177"/>
      <c r="L75" s="177"/>
      <c r="M75" s="249"/>
      <c r="N75" s="291"/>
      <c r="O75" s="291"/>
      <c r="P75" s="301"/>
      <c r="Q75" s="301"/>
      <c r="R75" s="301"/>
      <c r="S75" s="2289"/>
      <c r="T75" s="302"/>
      <c r="U75" s="180"/>
      <c r="V75" s="178"/>
      <c r="W75" s="181"/>
      <c r="X75" s="413"/>
      <c r="Y75" s="2614"/>
      <c r="Z75" s="414"/>
      <c r="AA75" s="415"/>
      <c r="AB75" s="415"/>
      <c r="AC75" s="415"/>
      <c r="AD75" s="415"/>
      <c r="AE75" s="415"/>
      <c r="AF75" s="416"/>
      <c r="AG75" s="417"/>
      <c r="AH75" s="417"/>
      <c r="AI75" s="441"/>
      <c r="AJ75" s="442"/>
      <c r="AK75" s="442"/>
      <c r="AL75" s="443"/>
      <c r="AM75" s="443"/>
      <c r="AN75" s="443"/>
      <c r="AO75" s="2660"/>
      <c r="AP75" s="444"/>
      <c r="AQ75" s="445"/>
      <c r="AR75" s="446"/>
      <c r="AS75" s="447"/>
    </row>
    <row r="76" spans="1:55">
      <c r="A76" s="618" t="s">
        <v>639</v>
      </c>
      <c r="B76" s="259"/>
      <c r="C76" s="2296"/>
      <c r="D76" s="2250">
        <f>F1_Abortion_Rate_Heifers</f>
        <v>0.04</v>
      </c>
      <c r="E76" s="293"/>
      <c r="F76" s="293"/>
      <c r="G76" s="293"/>
      <c r="H76" s="293"/>
      <c r="I76" s="293"/>
      <c r="J76" s="164"/>
      <c r="K76" s="330" t="s">
        <v>1386</v>
      </c>
      <c r="L76" s="165"/>
      <c r="M76" s="260"/>
      <c r="N76" s="290"/>
      <c r="O76" s="2251">
        <f>F2_Abortion_Rate_Heifers</f>
        <v>0.03</v>
      </c>
      <c r="P76" s="300"/>
      <c r="Q76" s="300"/>
      <c r="R76" s="300"/>
      <c r="S76" s="2290"/>
      <c r="T76" s="297"/>
      <c r="U76" s="130"/>
      <c r="V76" s="331" t="s">
        <v>1386</v>
      </c>
      <c r="W76" s="134"/>
      <c r="X76" s="391"/>
      <c r="Y76" s="2615"/>
      <c r="Z76" s="2635">
        <f>F3_Abortion_Rate_Heifers</f>
        <v>0.02</v>
      </c>
      <c r="AA76" s="410"/>
      <c r="AB76" s="410"/>
      <c r="AC76" s="410"/>
      <c r="AD76" s="410"/>
      <c r="AE76" s="410"/>
      <c r="AF76" s="389"/>
      <c r="AG76" s="2646" t="s">
        <v>1386</v>
      </c>
      <c r="AH76" s="390"/>
      <c r="AI76" s="402"/>
      <c r="AJ76" s="403"/>
      <c r="AK76" s="2665">
        <f>F4_Abortion_Rate_Heifers</f>
        <v>1.4999999999999999E-2</v>
      </c>
      <c r="AL76" s="437"/>
      <c r="AM76" s="437"/>
      <c r="AN76" s="437"/>
      <c r="AO76" s="2661"/>
      <c r="AP76" s="405"/>
      <c r="AQ76" s="399"/>
      <c r="AR76" s="649" t="s">
        <v>1386</v>
      </c>
      <c r="AS76" s="401"/>
    </row>
    <row r="77" spans="1:55" ht="6" customHeight="1">
      <c r="A77" s="153"/>
      <c r="B77" s="160"/>
      <c r="C77" s="2298"/>
      <c r="D77" s="166"/>
      <c r="E77" s="293"/>
      <c r="F77" s="293"/>
      <c r="G77" s="293"/>
      <c r="H77" s="293"/>
      <c r="I77" s="293"/>
      <c r="J77" s="164"/>
      <c r="K77" s="165"/>
      <c r="L77" s="165"/>
      <c r="M77" s="154"/>
      <c r="N77" s="128"/>
      <c r="O77" s="128"/>
      <c r="P77" s="300"/>
      <c r="Q77" s="300"/>
      <c r="R77" s="300"/>
      <c r="S77" s="2290"/>
      <c r="T77" s="297"/>
      <c r="U77" s="130"/>
      <c r="V77" s="132"/>
      <c r="W77" s="134"/>
      <c r="X77" s="392"/>
      <c r="Y77" s="2616"/>
      <c r="Z77" s="393"/>
      <c r="AA77" s="410"/>
      <c r="AB77" s="410"/>
      <c r="AC77" s="410"/>
      <c r="AD77" s="410"/>
      <c r="AE77" s="410"/>
      <c r="AF77" s="389"/>
      <c r="AG77" s="390"/>
      <c r="AH77" s="390"/>
      <c r="AI77" s="406"/>
      <c r="AJ77" s="407"/>
      <c r="AK77" s="407"/>
      <c r="AL77" s="437"/>
      <c r="AM77" s="437"/>
      <c r="AN77" s="437"/>
      <c r="AO77" s="2661"/>
      <c r="AP77" s="405"/>
      <c r="AQ77" s="399"/>
      <c r="AR77" s="400"/>
      <c r="AS77" s="401"/>
    </row>
    <row r="78" spans="1:55" ht="5.25" customHeight="1">
      <c r="A78" s="246"/>
      <c r="B78" s="247"/>
      <c r="C78" s="2295"/>
      <c r="D78" s="248"/>
      <c r="E78" s="294"/>
      <c r="F78" s="294"/>
      <c r="G78" s="294"/>
      <c r="H78" s="294"/>
      <c r="I78" s="294"/>
      <c r="J78" s="179"/>
      <c r="K78" s="177"/>
      <c r="L78" s="177"/>
      <c r="M78" s="249"/>
      <c r="N78" s="291"/>
      <c r="O78" s="291"/>
      <c r="P78" s="301"/>
      <c r="Q78" s="301"/>
      <c r="R78" s="301"/>
      <c r="S78" s="2289"/>
      <c r="T78" s="302"/>
      <c r="U78" s="180"/>
      <c r="V78" s="178"/>
      <c r="W78" s="181"/>
      <c r="X78" s="413"/>
      <c r="Y78" s="2614"/>
      <c r="Z78" s="414"/>
      <c r="AA78" s="415"/>
      <c r="AB78" s="415"/>
      <c r="AC78" s="415"/>
      <c r="AD78" s="415"/>
      <c r="AE78" s="415"/>
      <c r="AF78" s="416"/>
      <c r="AG78" s="417"/>
      <c r="AH78" s="417"/>
      <c r="AI78" s="441"/>
      <c r="AJ78" s="442"/>
      <c r="AK78" s="442"/>
      <c r="AL78" s="443"/>
      <c r="AM78" s="443"/>
      <c r="AN78" s="443"/>
      <c r="AO78" s="2660"/>
      <c r="AP78" s="444"/>
      <c r="AQ78" s="445"/>
      <c r="AR78" s="446"/>
      <c r="AS78" s="447"/>
    </row>
    <row r="79" spans="1:55">
      <c r="A79" s="2394" t="s">
        <v>703</v>
      </c>
      <c r="B79" s="259"/>
      <c r="C79" s="2296"/>
      <c r="D79" s="166"/>
      <c r="E79" s="293"/>
      <c r="F79" s="293"/>
      <c r="G79" s="171"/>
      <c r="H79" s="293"/>
      <c r="I79" s="293"/>
      <c r="J79" s="164"/>
      <c r="K79" s="165"/>
      <c r="L79" s="165"/>
      <c r="M79" s="260"/>
      <c r="N79" s="290"/>
      <c r="O79" s="290"/>
      <c r="P79" s="300"/>
      <c r="Q79" s="300"/>
      <c r="R79" s="300"/>
      <c r="S79" s="2290"/>
      <c r="T79" s="297"/>
      <c r="U79" s="130"/>
      <c r="V79" s="132"/>
      <c r="W79" s="134"/>
      <c r="X79" s="391"/>
      <c r="Y79" s="2615"/>
      <c r="Z79" s="393"/>
      <c r="AA79" s="410"/>
      <c r="AB79" s="410"/>
      <c r="AC79" s="419"/>
      <c r="AD79" s="410"/>
      <c r="AE79" s="410"/>
      <c r="AF79" s="389"/>
      <c r="AG79" s="390"/>
      <c r="AH79" s="390"/>
      <c r="AI79" s="402"/>
      <c r="AJ79" s="403"/>
      <c r="AK79" s="403"/>
      <c r="AL79" s="437"/>
      <c r="AM79" s="437"/>
      <c r="AN79" s="437"/>
      <c r="AO79" s="2661"/>
      <c r="AP79" s="405"/>
      <c r="AQ79" s="399"/>
      <c r="AR79" s="400"/>
      <c r="AS79" s="401"/>
    </row>
    <row r="80" spans="1:55" ht="12" customHeight="1">
      <c r="A80" s="2419" t="s">
        <v>704</v>
      </c>
      <c r="B80" s="167"/>
      <c r="C80" s="2297"/>
      <c r="D80" s="2250">
        <f>F1_Replacement_Heifers/(1-F1_Death_Rate_Heifers)/(1-F1_Heifer_Failure_to_Breed_Rate)/(1-F1_Abortion_Rate_Heifers)</f>
        <v>0.56275436728884476</v>
      </c>
      <c r="E80" s="293"/>
      <c r="F80" s="293"/>
      <c r="G80" s="171"/>
      <c r="H80" s="293"/>
      <c r="I80" s="293"/>
      <c r="J80" s="164"/>
      <c r="K80" s="2287">
        <v>5</v>
      </c>
      <c r="L80" s="165"/>
      <c r="M80" s="156"/>
      <c r="N80" s="1614"/>
      <c r="O80" s="2251">
        <f>F2_Replacement_Heifers/(1-F2_Death_Rate_Heifers)/(1-F2_Heifer_Failure_to_Breed_Rate)/(1-F2_Abortion_Rate_Heifers)</f>
        <v>0.47037857051426929</v>
      </c>
      <c r="P80" s="298"/>
      <c r="Q80" s="298"/>
      <c r="R80" s="1614"/>
      <c r="S80" s="2261"/>
      <c r="T80" s="299"/>
      <c r="U80" s="130"/>
      <c r="V80" s="2288">
        <v>5</v>
      </c>
      <c r="W80" s="134"/>
      <c r="X80" s="411"/>
      <c r="Y80" s="2629"/>
      <c r="Z80" s="2635">
        <f>F3_Replacement_Heifers/(1-F3_Death_Rate_Heifers)/(1-F3_Heifer_Failure_to_Breed_Rate)/(1-F3_Abortion_Rate_Heifers)</f>
        <v>0.35576413347433455</v>
      </c>
      <c r="AA80" s="410"/>
      <c r="AB80" s="410"/>
      <c r="AC80" s="419"/>
      <c r="AD80" s="410"/>
      <c r="AE80" s="410"/>
      <c r="AF80" s="389"/>
      <c r="AG80" s="2637">
        <v>5</v>
      </c>
      <c r="AH80" s="390"/>
      <c r="AI80" s="435"/>
      <c r="AJ80" s="2662"/>
      <c r="AK80" s="2665">
        <f>F4_Replacement_Heifers/(1-F4_Death_Rate_Heifers)/(1-F4_Heifer_Failure_to_Breed_Rate)/(1-F4_Abortion_Rate_Heifers)</f>
        <v>0.28828551970562233</v>
      </c>
      <c r="AL80" s="433"/>
      <c r="AM80" s="433"/>
      <c r="AN80" s="2662"/>
      <c r="AO80" s="2663"/>
      <c r="AP80" s="436"/>
      <c r="AQ80" s="399"/>
      <c r="AR80" s="2666">
        <v>5</v>
      </c>
      <c r="AS80" s="401"/>
      <c r="AT80" s="2214"/>
    </row>
    <row r="81" spans="1:55" ht="6" customHeight="1">
      <c r="A81" s="153"/>
      <c r="B81" s="160"/>
      <c r="C81" s="2298"/>
      <c r="D81" s="166"/>
      <c r="E81" s="293"/>
      <c r="F81" s="293"/>
      <c r="G81" s="2124"/>
      <c r="H81" s="293"/>
      <c r="I81" s="293"/>
      <c r="J81" s="164"/>
      <c r="K81" s="165"/>
      <c r="L81" s="165"/>
      <c r="M81" s="154"/>
      <c r="N81" s="128"/>
      <c r="O81" s="128"/>
      <c r="P81" s="300"/>
      <c r="Q81" s="300"/>
      <c r="R81" s="300"/>
      <c r="S81" s="2290"/>
      <c r="T81" s="297"/>
      <c r="U81" s="130"/>
      <c r="V81" s="132"/>
      <c r="W81" s="134"/>
      <c r="X81" s="392"/>
      <c r="Y81" s="2616"/>
      <c r="Z81" s="393"/>
      <c r="AA81" s="410"/>
      <c r="AB81" s="410"/>
      <c r="AC81" s="2126"/>
      <c r="AD81" s="410"/>
      <c r="AE81" s="410"/>
      <c r="AF81" s="389"/>
      <c r="AG81" s="390"/>
      <c r="AH81" s="390"/>
      <c r="AI81" s="406"/>
      <c r="AJ81" s="407"/>
      <c r="AK81" s="407"/>
      <c r="AL81" s="437"/>
      <c r="AM81" s="437"/>
      <c r="AN81" s="437"/>
      <c r="AO81" s="2661"/>
      <c r="AP81" s="405"/>
      <c r="AQ81" s="399"/>
      <c r="AR81" s="400"/>
      <c r="AS81" s="401"/>
    </row>
    <row r="82" spans="1:55" ht="5.25" customHeight="1">
      <c r="A82" s="246"/>
      <c r="B82" s="247"/>
      <c r="C82" s="2295"/>
      <c r="D82" s="248"/>
      <c r="E82" s="294"/>
      <c r="F82" s="294"/>
      <c r="G82" s="294"/>
      <c r="H82" s="294"/>
      <c r="I82" s="294"/>
      <c r="J82" s="179"/>
      <c r="K82" s="177"/>
      <c r="L82" s="177"/>
      <c r="M82" s="249"/>
      <c r="N82" s="291"/>
      <c r="O82" s="291"/>
      <c r="P82" s="301"/>
      <c r="Q82" s="301"/>
      <c r="R82" s="301"/>
      <c r="S82" s="2289"/>
      <c r="T82" s="302"/>
      <c r="U82" s="180"/>
      <c r="V82" s="178"/>
      <c r="W82" s="181"/>
      <c r="X82" s="413"/>
      <c r="Y82" s="2614"/>
      <c r="Z82" s="414"/>
      <c r="AA82" s="415"/>
      <c r="AB82" s="415"/>
      <c r="AC82" s="415"/>
      <c r="AD82" s="415"/>
      <c r="AE82" s="415"/>
      <c r="AF82" s="416"/>
      <c r="AG82" s="417"/>
      <c r="AH82" s="417"/>
      <c r="AI82" s="441"/>
      <c r="AJ82" s="442"/>
      <c r="AK82" s="442"/>
      <c r="AL82" s="443"/>
      <c r="AM82" s="443"/>
      <c r="AN82" s="443"/>
      <c r="AO82" s="2660"/>
      <c r="AP82" s="444"/>
      <c r="AQ82" s="445"/>
      <c r="AR82" s="446"/>
      <c r="AS82" s="447"/>
    </row>
    <row r="83" spans="1:55" ht="12" customHeight="1">
      <c r="A83" s="2319" t="s">
        <v>697</v>
      </c>
      <c r="B83" s="162"/>
      <c r="C83" s="2299"/>
      <c r="D83" s="163"/>
      <c r="E83" s="2407"/>
      <c r="F83" s="2407"/>
      <c r="G83" s="2407"/>
      <c r="H83" s="2407"/>
      <c r="I83" s="2407"/>
      <c r="J83" s="164"/>
      <c r="K83" s="165"/>
      <c r="L83" s="165"/>
      <c r="M83" s="155"/>
      <c r="N83" s="63"/>
      <c r="O83" s="63"/>
      <c r="P83" s="296"/>
      <c r="Q83" s="296"/>
      <c r="R83" s="296"/>
      <c r="S83" s="2291"/>
      <c r="T83" s="303"/>
      <c r="U83" s="130"/>
      <c r="V83" s="132"/>
      <c r="W83" s="134"/>
      <c r="X83" s="387"/>
      <c r="Y83" s="2632"/>
      <c r="Z83" s="388"/>
      <c r="AA83" s="2199"/>
      <c r="AB83" s="2199"/>
      <c r="AC83" s="2199"/>
      <c r="AD83" s="2199"/>
      <c r="AE83" s="2199"/>
      <c r="AF83" s="389"/>
      <c r="AG83" s="390"/>
      <c r="AH83" s="390"/>
      <c r="AI83" s="395"/>
      <c r="AJ83" s="396"/>
      <c r="AK83" s="396"/>
      <c r="AL83" s="404"/>
      <c r="AM83" s="404"/>
      <c r="AN83" s="404"/>
      <c r="AO83" s="2679"/>
      <c r="AP83" s="448"/>
      <c r="AQ83" s="399"/>
      <c r="AR83" s="400"/>
      <c r="AS83" s="401"/>
    </row>
    <row r="84" spans="1:55" ht="12" customHeight="1">
      <c r="A84" s="2406" t="s">
        <v>1356</v>
      </c>
      <c r="B84" s="174"/>
      <c r="C84" s="2301"/>
      <c r="D84" s="225"/>
      <c r="E84" s="277"/>
      <c r="F84" s="277"/>
      <c r="G84" s="2312">
        <f>F1_Heifers/F1_Lact_Cows</f>
        <v>0.64208606291772286</v>
      </c>
      <c r="H84" s="277"/>
      <c r="I84" s="277"/>
      <c r="J84" s="176"/>
      <c r="K84" s="2287">
        <v>6</v>
      </c>
      <c r="L84" s="163"/>
      <c r="M84" s="159"/>
      <c r="N84" s="146"/>
      <c r="O84" s="226"/>
      <c r="P84" s="314"/>
      <c r="Q84" s="314"/>
      <c r="R84" s="2313">
        <f>F2_Heifers/F2_Lact_Cows</f>
        <v>0.53983446268238322</v>
      </c>
      <c r="S84" s="2259"/>
      <c r="T84" s="129"/>
      <c r="U84" s="41"/>
      <c r="V84" s="2408">
        <v>6</v>
      </c>
      <c r="W84" s="52"/>
      <c r="X84" s="428"/>
      <c r="Y84" s="2633"/>
      <c r="Z84" s="431"/>
      <c r="AA84" s="394"/>
      <c r="AB84" s="394"/>
      <c r="AC84" s="2619">
        <f>F3_Heifers/F3_Lact_Cows</f>
        <v>0.41681153564123852</v>
      </c>
      <c r="AD84" s="394"/>
      <c r="AE84" s="394"/>
      <c r="AF84" s="429"/>
      <c r="AG84" s="2637">
        <v>6</v>
      </c>
      <c r="AH84" s="388"/>
      <c r="AI84" s="461"/>
      <c r="AJ84" s="467"/>
      <c r="AK84" s="434"/>
      <c r="AL84" s="462"/>
      <c r="AM84" s="462"/>
      <c r="AN84" s="2673">
        <f>F4_Heifers/F4_Lact_Cows</f>
        <v>0.34160339708622189</v>
      </c>
      <c r="AO84" s="2680"/>
      <c r="AP84" s="463"/>
      <c r="AQ84" s="464"/>
      <c r="AR84" s="2677">
        <v>6</v>
      </c>
      <c r="AS84" s="466"/>
    </row>
    <row r="85" spans="1:55" ht="5.25" customHeight="1">
      <c r="A85" s="1005"/>
      <c r="B85" s="1006"/>
      <c r="C85" s="685"/>
      <c r="D85" s="1007"/>
      <c r="E85" s="1007"/>
      <c r="F85" s="1007"/>
      <c r="G85" s="2336"/>
      <c r="H85" s="1007"/>
      <c r="I85" s="1007"/>
      <c r="J85" s="2358"/>
      <c r="K85" s="2359"/>
      <c r="L85" s="2359"/>
      <c r="M85" s="1008"/>
      <c r="N85" s="1009"/>
      <c r="O85" s="1009"/>
      <c r="P85" s="1010"/>
      <c r="Q85" s="1010"/>
      <c r="R85" s="1010"/>
      <c r="S85" s="2292"/>
      <c r="T85" s="1011"/>
      <c r="U85" s="2244"/>
      <c r="V85" s="2245"/>
      <c r="W85" s="2246"/>
      <c r="X85" s="2636"/>
      <c r="Y85" s="741"/>
      <c r="Z85" s="1944"/>
      <c r="AA85" s="1944"/>
      <c r="AB85" s="1944"/>
      <c r="AC85" s="2621"/>
      <c r="AD85" s="1944"/>
      <c r="AE85" s="1944"/>
      <c r="AF85" s="422"/>
      <c r="AG85" s="2647"/>
      <c r="AH85" s="2647"/>
      <c r="AI85" s="2681"/>
      <c r="AJ85" s="2682"/>
      <c r="AK85" s="2682"/>
      <c r="AL85" s="2683"/>
      <c r="AM85" s="2683"/>
      <c r="AN85" s="2683"/>
      <c r="AO85" s="2684"/>
      <c r="AP85" s="2685"/>
      <c r="AQ85" s="454"/>
      <c r="AR85" s="2686"/>
      <c r="AS85" s="2687"/>
    </row>
    <row r="86" spans="1:55" s="11" customFormat="1" ht="20.25" customHeight="1">
      <c r="A86" s="4028" t="s">
        <v>876</v>
      </c>
      <c r="B86" s="4029"/>
      <c r="C86" s="4029"/>
      <c r="D86" s="4029"/>
      <c r="E86" s="4029"/>
      <c r="F86" s="4029"/>
      <c r="G86" s="4029"/>
      <c r="H86" s="4029"/>
      <c r="I86" s="4029"/>
      <c r="J86" s="4029"/>
      <c r="K86" s="4029"/>
      <c r="L86" s="4029"/>
      <c r="M86" s="4029"/>
      <c r="N86" s="4029"/>
      <c r="O86" s="4029"/>
      <c r="P86" s="4029"/>
      <c r="Q86" s="4029"/>
      <c r="R86" s="4029"/>
      <c r="S86" s="4029"/>
      <c r="T86" s="4029"/>
      <c r="U86" s="4029"/>
      <c r="V86" s="4029"/>
      <c r="W86" s="4029"/>
      <c r="X86" s="4029"/>
      <c r="Y86" s="4029"/>
      <c r="Z86" s="4029"/>
      <c r="AA86" s="4029"/>
      <c r="AB86" s="4029"/>
      <c r="AC86" s="4029"/>
      <c r="AD86" s="4029"/>
      <c r="AE86" s="4029"/>
      <c r="AF86" s="4029"/>
      <c r="AG86" s="4029"/>
      <c r="AH86" s="4029"/>
      <c r="AI86" s="4029"/>
      <c r="AJ86" s="4029"/>
      <c r="AK86" s="4029"/>
      <c r="AL86" s="4029"/>
      <c r="AM86" s="4029"/>
      <c r="AN86" s="4029"/>
      <c r="AO86" s="4029"/>
      <c r="AP86" s="4029"/>
      <c r="AQ86" s="4029"/>
      <c r="AR86" s="4029"/>
      <c r="AS86" s="4030"/>
    </row>
    <row r="87" spans="1:55" ht="5.25" customHeight="1">
      <c r="A87" s="246"/>
      <c r="B87" s="247"/>
      <c r="C87" s="2295"/>
      <c r="D87" s="248"/>
      <c r="E87" s="294"/>
      <c r="F87" s="294"/>
      <c r="G87" s="294"/>
      <c r="H87" s="294"/>
      <c r="I87" s="294"/>
      <c r="J87" s="179"/>
      <c r="K87" s="177"/>
      <c r="L87" s="177"/>
      <c r="M87" s="249"/>
      <c r="N87" s="291"/>
      <c r="O87" s="291"/>
      <c r="P87" s="301"/>
      <c r="Q87" s="301"/>
      <c r="R87" s="301"/>
      <c r="S87" s="2289"/>
      <c r="T87" s="302"/>
      <c r="U87" s="180"/>
      <c r="V87" s="178"/>
      <c r="W87" s="181"/>
      <c r="X87" s="413"/>
      <c r="Y87" s="2614"/>
      <c r="Z87" s="414"/>
      <c r="AA87" s="415"/>
      <c r="AB87" s="415"/>
      <c r="AC87" s="415"/>
      <c r="AD87" s="415"/>
      <c r="AE87" s="415"/>
      <c r="AF87" s="416"/>
      <c r="AG87" s="417"/>
      <c r="AH87" s="417"/>
      <c r="AI87" s="441"/>
      <c r="AJ87" s="442"/>
      <c r="AK87" s="442"/>
      <c r="AL87" s="443"/>
      <c r="AM87" s="443"/>
      <c r="AN87" s="443"/>
      <c r="AO87" s="2660"/>
      <c r="AP87" s="444"/>
      <c r="AQ87" s="445"/>
      <c r="AR87" s="446"/>
      <c r="AS87" s="447"/>
    </row>
    <row r="88" spans="1:55">
      <c r="A88" s="220" t="s">
        <v>1408</v>
      </c>
      <c r="B88" s="203" t="s">
        <v>118</v>
      </c>
      <c r="C88" s="3286"/>
      <c r="D88" s="876"/>
      <c r="E88" s="2124"/>
      <c r="F88" s="2124"/>
      <c r="G88" s="2124"/>
      <c r="H88" s="2124"/>
      <c r="I88" s="2125"/>
      <c r="J88" s="3287"/>
      <c r="K88" s="2124"/>
      <c r="L88" s="3288"/>
      <c r="M88" s="3289" t="s">
        <v>118</v>
      </c>
      <c r="N88" s="3289"/>
      <c r="O88" s="3290"/>
      <c r="P88" s="2261"/>
      <c r="Q88" s="2261"/>
      <c r="R88" s="2261"/>
      <c r="S88" s="3291"/>
      <c r="T88" s="3291"/>
      <c r="U88" s="3292"/>
      <c r="V88" s="2261"/>
      <c r="W88" s="3293"/>
      <c r="X88" s="3294" t="s">
        <v>118</v>
      </c>
      <c r="Y88" s="3295"/>
      <c r="Z88" s="922"/>
      <c r="AA88" s="2126"/>
      <c r="AB88" s="2126"/>
      <c r="AC88" s="2126"/>
      <c r="AD88" s="2126"/>
      <c r="AE88" s="2622"/>
      <c r="AF88" s="3296"/>
      <c r="AG88" s="2126"/>
      <c r="AH88" s="3297"/>
      <c r="AI88" s="3298" t="s">
        <v>118</v>
      </c>
      <c r="AJ88" s="3298"/>
      <c r="AK88" s="3299"/>
      <c r="AL88" s="2663"/>
      <c r="AM88" s="2663"/>
      <c r="AN88" s="2663"/>
      <c r="AO88" s="3300"/>
      <c r="AP88" s="3300"/>
      <c r="AQ88" s="3301"/>
      <c r="AR88" s="2663"/>
      <c r="AS88" s="401"/>
    </row>
    <row r="89" spans="1:55" customFormat="1">
      <c r="A89" s="208" t="s">
        <v>702</v>
      </c>
      <c r="B89" s="227"/>
      <c r="C89" s="171"/>
      <c r="D89" s="2254">
        <v>0.02</v>
      </c>
      <c r="E89" s="225"/>
      <c r="F89" s="225"/>
      <c r="G89" s="225"/>
      <c r="H89" s="225"/>
      <c r="I89" s="171"/>
      <c r="J89" s="170"/>
      <c r="K89" s="2249"/>
      <c r="L89" s="188"/>
      <c r="M89" s="44"/>
      <c r="N89" s="44"/>
      <c r="O89" s="2254">
        <v>1.7999999999999999E-2</v>
      </c>
      <c r="P89" s="226"/>
      <c r="Q89" s="226"/>
      <c r="R89" s="226"/>
      <c r="S89" s="44"/>
      <c r="T89" s="44"/>
      <c r="U89" s="41"/>
      <c r="V89" s="2249"/>
      <c r="W89" s="52"/>
      <c r="X89" s="565"/>
      <c r="Y89" s="419"/>
      <c r="Z89" s="2254">
        <v>1.2E-2</v>
      </c>
      <c r="AA89" s="431"/>
      <c r="AB89" s="431"/>
      <c r="AC89" s="431"/>
      <c r="AD89" s="431"/>
      <c r="AE89" s="419"/>
      <c r="AF89" s="418"/>
      <c r="AG89" s="2564"/>
      <c r="AH89" s="513"/>
      <c r="AI89" s="465"/>
      <c r="AJ89" s="465"/>
      <c r="AK89" s="2565">
        <v>0.01</v>
      </c>
      <c r="AL89" s="434"/>
      <c r="AM89" s="434"/>
      <c r="AN89" s="434"/>
      <c r="AO89" s="465"/>
      <c r="AP89" s="465"/>
      <c r="AQ89" s="464"/>
      <c r="AR89" s="2564"/>
      <c r="AS89" s="466"/>
    </row>
    <row r="90" spans="1:55" customFormat="1" ht="3" customHeight="1">
      <c r="A90" s="208"/>
      <c r="B90" s="227"/>
      <c r="C90" s="171"/>
      <c r="D90" s="2247"/>
      <c r="E90" s="2247"/>
      <c r="F90" s="2247"/>
      <c r="G90" s="2247"/>
      <c r="H90" s="2247"/>
      <c r="I90" s="171"/>
      <c r="J90" s="170"/>
      <c r="K90" s="171"/>
      <c r="L90" s="188"/>
      <c r="M90" s="44"/>
      <c r="N90" s="44"/>
      <c r="O90" s="104"/>
      <c r="P90" s="44"/>
      <c r="Q90" s="44"/>
      <c r="R90" s="44"/>
      <c r="S90" s="44"/>
      <c r="T90" s="44"/>
      <c r="U90" s="41"/>
      <c r="V90" s="44"/>
      <c r="W90" s="52"/>
      <c r="X90" s="565"/>
      <c r="Y90" s="419"/>
      <c r="Z90" s="2566"/>
      <c r="AA90" s="2566"/>
      <c r="AB90" s="2566"/>
      <c r="AC90" s="2566"/>
      <c r="AD90" s="2566"/>
      <c r="AE90" s="419"/>
      <c r="AF90" s="418"/>
      <c r="AG90" s="419"/>
      <c r="AH90" s="513"/>
      <c r="AI90" s="465"/>
      <c r="AJ90" s="465"/>
      <c r="AK90" s="593"/>
      <c r="AL90" s="465"/>
      <c r="AM90" s="465"/>
      <c r="AN90" s="465"/>
      <c r="AO90" s="465"/>
      <c r="AP90" s="465"/>
      <c r="AQ90" s="464"/>
      <c r="AR90" s="465"/>
      <c r="AS90" s="466"/>
    </row>
    <row r="91" spans="1:55" customFormat="1">
      <c r="A91" s="2248" t="s">
        <v>631</v>
      </c>
      <c r="B91" s="227"/>
      <c r="C91" s="171"/>
      <c r="D91" s="2250">
        <f>Defaults!$B$18</f>
        <v>1.7999999999999999E-2</v>
      </c>
      <c r="E91" s="225"/>
      <c r="F91" s="225"/>
      <c r="G91" s="225"/>
      <c r="H91" s="225"/>
      <c r="I91" s="171"/>
      <c r="J91" s="170"/>
      <c r="K91" s="330">
        <v>3</v>
      </c>
      <c r="L91" s="188"/>
      <c r="M91" s="44"/>
      <c r="N91" s="44"/>
      <c r="O91" s="2286">
        <f>Defaults!$B$18</f>
        <v>1.7999999999999999E-2</v>
      </c>
      <c r="P91" s="226"/>
      <c r="Q91" s="226"/>
      <c r="R91" s="226"/>
      <c r="S91" s="44"/>
      <c r="T91" s="44"/>
      <c r="U91" s="41"/>
      <c r="V91" s="2057">
        <v>3</v>
      </c>
      <c r="W91" s="52"/>
      <c r="X91" s="565"/>
      <c r="Y91" s="419"/>
      <c r="Z91" s="2635">
        <f>Defaults!$B$18</f>
        <v>1.7999999999999999E-2</v>
      </c>
      <c r="AA91" s="431"/>
      <c r="AB91" s="431"/>
      <c r="AC91" s="431"/>
      <c r="AD91" s="431"/>
      <c r="AE91" s="419"/>
      <c r="AF91" s="418"/>
      <c r="AG91" s="2646">
        <v>3</v>
      </c>
      <c r="AH91" s="513"/>
      <c r="AI91" s="465"/>
      <c r="AJ91" s="465"/>
      <c r="AK91" s="2672">
        <f>Defaults!$B$18</f>
        <v>1.7999999999999999E-2</v>
      </c>
      <c r="AL91" s="434"/>
      <c r="AM91" s="434"/>
      <c r="AN91" s="434"/>
      <c r="AO91" s="465"/>
      <c r="AP91" s="465"/>
      <c r="AQ91" s="464"/>
      <c r="AR91" s="649">
        <v>3</v>
      </c>
      <c r="AS91" s="466"/>
      <c r="AT91" s="103"/>
      <c r="AU91" s="103"/>
      <c r="AV91" s="103"/>
      <c r="AW91" s="103"/>
      <c r="AX91" s="103"/>
      <c r="AY91" s="103"/>
      <c r="AZ91" s="103"/>
      <c r="BA91" s="40"/>
      <c r="BB91" s="40"/>
      <c r="BC91" s="40"/>
    </row>
    <row r="92" spans="1:55" ht="6.75" customHeight="1">
      <c r="A92" s="1570"/>
      <c r="B92" s="1012"/>
      <c r="C92" s="2294"/>
      <c r="D92" s="190"/>
      <c r="E92" s="1013"/>
      <c r="F92" s="1013"/>
      <c r="G92" s="2265"/>
      <c r="H92" s="2265"/>
      <c r="I92" s="2265"/>
      <c r="J92" s="1014"/>
      <c r="K92" s="1015"/>
      <c r="L92" s="1016"/>
      <c r="M92" s="1017"/>
      <c r="N92" s="1017"/>
      <c r="O92" s="1017"/>
      <c r="P92" s="1018"/>
      <c r="Q92" s="1018"/>
      <c r="R92" s="1018"/>
      <c r="S92" s="1017"/>
      <c r="T92" s="1017"/>
      <c r="U92" s="2244"/>
      <c r="V92" s="2245"/>
      <c r="W92" s="2246"/>
      <c r="X92" s="2643"/>
      <c r="Y92" s="2644"/>
      <c r="Z92" s="516"/>
      <c r="AA92" s="2623"/>
      <c r="AB92" s="2623"/>
      <c r="AC92" s="2624"/>
      <c r="AD92" s="2624"/>
      <c r="AE92" s="2624"/>
      <c r="AF92" s="2648"/>
      <c r="AG92" s="2649"/>
      <c r="AH92" s="2650"/>
      <c r="AI92" s="2688"/>
      <c r="AJ92" s="2688"/>
      <c r="AK92" s="2688"/>
      <c r="AL92" s="1955"/>
      <c r="AM92" s="1955"/>
      <c r="AN92" s="1955"/>
      <c r="AO92" s="2688"/>
      <c r="AP92" s="2688"/>
      <c r="AQ92" s="454"/>
      <c r="AR92" s="2686"/>
      <c r="AS92" s="2687"/>
    </row>
    <row r="93" spans="1:55" ht="5.25" customHeight="1">
      <c r="A93" s="246"/>
      <c r="B93" s="247"/>
      <c r="C93" s="2295"/>
      <c r="D93" s="248"/>
      <c r="E93" s="294"/>
      <c r="F93" s="294"/>
      <c r="G93" s="2335"/>
      <c r="H93" s="294"/>
      <c r="I93" s="294"/>
      <c r="J93" s="179"/>
      <c r="K93" s="177"/>
      <c r="L93" s="177"/>
      <c r="M93" s="249"/>
      <c r="N93" s="291"/>
      <c r="O93" s="291"/>
      <c r="P93" s="301"/>
      <c r="Q93" s="301"/>
      <c r="R93" s="301"/>
      <c r="S93" s="2289"/>
      <c r="T93" s="302"/>
      <c r="U93" s="180"/>
      <c r="V93" s="178"/>
      <c r="W93" s="181"/>
      <c r="X93" s="413"/>
      <c r="Y93" s="2614"/>
      <c r="Z93" s="414"/>
      <c r="AA93" s="415"/>
      <c r="AB93" s="415"/>
      <c r="AC93" s="2625"/>
      <c r="AD93" s="415"/>
      <c r="AE93" s="415"/>
      <c r="AF93" s="416"/>
      <c r="AG93" s="417"/>
      <c r="AH93" s="417"/>
      <c r="AI93" s="441"/>
      <c r="AJ93" s="442"/>
      <c r="AK93" s="442"/>
      <c r="AL93" s="443"/>
      <c r="AM93" s="443"/>
      <c r="AN93" s="443"/>
      <c r="AO93" s="2660"/>
      <c r="AP93" s="444"/>
      <c r="AQ93" s="445"/>
      <c r="AR93" s="446"/>
      <c r="AS93" s="447"/>
    </row>
    <row r="94" spans="1:55" ht="12" customHeight="1">
      <c r="A94" s="618" t="s">
        <v>696</v>
      </c>
      <c r="B94" s="167"/>
      <c r="C94" s="2297"/>
      <c r="D94" s="2250">
        <f>F1_Heifers/(1-F1_Death_Rate_Weaned_Heifers)</f>
        <v>0.5742391502947396</v>
      </c>
      <c r="E94" s="293"/>
      <c r="F94" s="293"/>
      <c r="G94" s="2247"/>
      <c r="H94" s="293"/>
      <c r="I94" s="293"/>
      <c r="J94" s="164"/>
      <c r="K94" s="2287">
        <v>5</v>
      </c>
      <c r="L94" s="165"/>
      <c r="M94" s="156"/>
      <c r="N94" s="1614"/>
      <c r="O94" s="2251">
        <f>F2_Heifers/(1-F2_Death_Rate_Weaned_Heifers)</f>
        <v>0.47900058097176101</v>
      </c>
      <c r="P94" s="298"/>
      <c r="Q94" s="298"/>
      <c r="R94" s="226"/>
      <c r="S94" s="2261"/>
      <c r="T94" s="299"/>
      <c r="U94" s="130"/>
      <c r="V94" s="2288">
        <v>5</v>
      </c>
      <c r="W94" s="134"/>
      <c r="X94" s="411"/>
      <c r="Y94" s="2629"/>
      <c r="Z94" s="2635">
        <f>F3_Heifers/(1-F3_Death_Rate_Weaned_Heifers)</f>
        <v>0.3600851553383953</v>
      </c>
      <c r="AA94" s="410"/>
      <c r="AB94" s="410"/>
      <c r="AC94" s="2566"/>
      <c r="AD94" s="410"/>
      <c r="AE94" s="410"/>
      <c r="AF94" s="389"/>
      <c r="AG94" s="2637">
        <v>5</v>
      </c>
      <c r="AH94" s="390"/>
      <c r="AI94" s="435"/>
      <c r="AJ94" s="2662"/>
      <c r="AK94" s="2665">
        <f>F4_Heifers/(1-F4_Death_Rate_Weaned_Heifers)</f>
        <v>0.29119749465214378</v>
      </c>
      <c r="AL94" s="433"/>
      <c r="AM94" s="433"/>
      <c r="AN94" s="434"/>
      <c r="AO94" s="2663"/>
      <c r="AP94" s="436"/>
      <c r="AQ94" s="399"/>
      <c r="AR94" s="2666">
        <v>5</v>
      </c>
      <c r="AS94" s="401"/>
    </row>
    <row r="95" spans="1:55" ht="6" customHeight="1">
      <c r="A95" s="151"/>
      <c r="B95" s="160"/>
      <c r="C95" s="2298"/>
      <c r="D95" s="166"/>
      <c r="E95" s="293"/>
      <c r="F95" s="293"/>
      <c r="G95" s="2124"/>
      <c r="H95" s="293"/>
      <c r="I95" s="293"/>
      <c r="J95" s="168"/>
      <c r="K95" s="169"/>
      <c r="L95" s="169"/>
      <c r="M95" s="154"/>
      <c r="N95" s="128"/>
      <c r="O95" s="128"/>
      <c r="P95" s="300"/>
      <c r="Q95" s="300"/>
      <c r="R95" s="300"/>
      <c r="S95" s="2290"/>
      <c r="T95" s="297"/>
      <c r="U95" s="131"/>
      <c r="V95" s="114"/>
      <c r="W95" s="135"/>
      <c r="X95" s="392"/>
      <c r="Y95" s="2616"/>
      <c r="Z95" s="393"/>
      <c r="AA95" s="410"/>
      <c r="AB95" s="410"/>
      <c r="AC95" s="2126"/>
      <c r="AD95" s="410"/>
      <c r="AE95" s="410"/>
      <c r="AF95" s="412"/>
      <c r="AG95" s="367"/>
      <c r="AH95" s="367"/>
      <c r="AI95" s="406"/>
      <c r="AJ95" s="407"/>
      <c r="AK95" s="407"/>
      <c r="AL95" s="437"/>
      <c r="AM95" s="437"/>
      <c r="AN95" s="437"/>
      <c r="AO95" s="2661"/>
      <c r="AP95" s="405"/>
      <c r="AQ95" s="438"/>
      <c r="AR95" s="439"/>
      <c r="AS95" s="440"/>
    </row>
    <row r="96" spans="1:55" ht="5.25" customHeight="1">
      <c r="A96" s="246"/>
      <c r="B96" s="247"/>
      <c r="C96" s="2295"/>
      <c r="D96" s="248"/>
      <c r="E96" s="294"/>
      <c r="F96" s="294"/>
      <c r="G96" s="294"/>
      <c r="H96" s="294"/>
      <c r="I96" s="294"/>
      <c r="J96" s="179"/>
      <c r="K96" s="177"/>
      <c r="L96" s="177"/>
      <c r="M96" s="249"/>
      <c r="N96" s="291"/>
      <c r="O96" s="291"/>
      <c r="P96" s="301"/>
      <c r="Q96" s="301"/>
      <c r="R96" s="301"/>
      <c r="S96" s="2289"/>
      <c r="T96" s="302"/>
      <c r="U96" s="180"/>
      <c r="V96" s="178"/>
      <c r="W96" s="181"/>
      <c r="X96" s="413"/>
      <c r="Y96" s="2614"/>
      <c r="Z96" s="414"/>
      <c r="AA96" s="415"/>
      <c r="AB96" s="415"/>
      <c r="AC96" s="415"/>
      <c r="AD96" s="415"/>
      <c r="AE96" s="415"/>
      <c r="AF96" s="416"/>
      <c r="AG96" s="417"/>
      <c r="AH96" s="417"/>
      <c r="AI96" s="441"/>
      <c r="AJ96" s="442"/>
      <c r="AK96" s="442"/>
      <c r="AL96" s="443"/>
      <c r="AM96" s="443"/>
      <c r="AN96" s="443"/>
      <c r="AO96" s="2660"/>
      <c r="AP96" s="444"/>
      <c r="AQ96" s="445"/>
      <c r="AR96" s="446"/>
      <c r="AS96" s="447"/>
    </row>
    <row r="97" spans="1:55" ht="12" customHeight="1">
      <c r="A97" s="2319" t="s">
        <v>1297</v>
      </c>
      <c r="B97" s="162"/>
      <c r="C97" s="2299"/>
      <c r="D97" s="163"/>
      <c r="E97" s="2407"/>
      <c r="F97" s="2407"/>
      <c r="G97" s="2407"/>
      <c r="H97" s="2407"/>
      <c r="I97" s="2407"/>
      <c r="J97" s="164"/>
      <c r="K97" s="165"/>
      <c r="L97" s="165"/>
      <c r="M97" s="155"/>
      <c r="N97" s="63"/>
      <c r="O97" s="63"/>
      <c r="P97" s="296"/>
      <c r="Q97" s="296"/>
      <c r="R97" s="296"/>
      <c r="S97" s="2291"/>
      <c r="T97" s="303"/>
      <c r="U97" s="130"/>
      <c r="V97" s="132"/>
      <c r="W97" s="134"/>
      <c r="X97" s="387"/>
      <c r="Y97" s="2632"/>
      <c r="Z97" s="388"/>
      <c r="AA97" s="2199"/>
      <c r="AB97" s="2199"/>
      <c r="AC97" s="2199"/>
      <c r="AD97" s="2199"/>
      <c r="AE97" s="2199"/>
      <c r="AF97" s="389"/>
      <c r="AG97" s="390"/>
      <c r="AH97" s="390"/>
      <c r="AI97" s="395"/>
      <c r="AJ97" s="396"/>
      <c r="AK97" s="396"/>
      <c r="AL97" s="404"/>
      <c r="AM97" s="404"/>
      <c r="AN97" s="404"/>
      <c r="AO97" s="2679"/>
      <c r="AP97" s="448"/>
      <c r="AQ97" s="399"/>
      <c r="AR97" s="400"/>
      <c r="AS97" s="401"/>
    </row>
    <row r="98" spans="1:55" ht="12" customHeight="1">
      <c r="A98" s="2319" t="s">
        <v>1356</v>
      </c>
      <c r="B98" s="174"/>
      <c r="C98" s="2301"/>
      <c r="D98" s="225"/>
      <c r="E98" s="277"/>
      <c r="F98" s="277"/>
      <c r="G98" s="2312">
        <f>F1_Heifer_Calf/F1_Lact_Cows</f>
        <v>0.65518986012012537</v>
      </c>
      <c r="H98" s="277"/>
      <c r="I98" s="277"/>
      <c r="J98" s="176"/>
      <c r="K98" s="2287">
        <v>6</v>
      </c>
      <c r="L98" s="163"/>
      <c r="M98" s="159"/>
      <c r="N98" s="146"/>
      <c r="O98" s="226"/>
      <c r="P98" s="314"/>
      <c r="Q98" s="314"/>
      <c r="R98" s="2313">
        <f>F2_Heifer_Calf/F2_Lact_Cows</f>
        <v>0.54972959539957567</v>
      </c>
      <c r="S98" s="2259"/>
      <c r="T98" s="129"/>
      <c r="U98" s="41"/>
      <c r="V98" s="2408">
        <v>6</v>
      </c>
      <c r="W98" s="52"/>
      <c r="X98" s="428"/>
      <c r="Y98" s="2633"/>
      <c r="Z98" s="431"/>
      <c r="AA98" s="394"/>
      <c r="AB98" s="394"/>
      <c r="AC98" s="2619">
        <f>F3_Heifer_Calf/F3_Lact_Cows</f>
        <v>0.42187402392837908</v>
      </c>
      <c r="AD98" s="394"/>
      <c r="AE98" s="394"/>
      <c r="AF98" s="429"/>
      <c r="AG98" s="2637">
        <v>6</v>
      </c>
      <c r="AH98" s="388"/>
      <c r="AI98" s="461"/>
      <c r="AJ98" s="467"/>
      <c r="AK98" s="434"/>
      <c r="AL98" s="462"/>
      <c r="AM98" s="462"/>
      <c r="AN98" s="2673">
        <f>F4_Heifer_Calf/F4_Lact_Cows</f>
        <v>0.34505393645072924</v>
      </c>
      <c r="AO98" s="2680"/>
      <c r="AP98" s="463"/>
      <c r="AQ98" s="464"/>
      <c r="AR98" s="2677">
        <v>6</v>
      </c>
      <c r="AS98" s="466"/>
    </row>
    <row r="99" spans="1:55" ht="5.25" customHeight="1">
      <c r="A99" s="1005"/>
      <c r="B99" s="1006"/>
      <c r="C99" s="685"/>
      <c r="D99" s="1007"/>
      <c r="E99" s="1007"/>
      <c r="F99" s="1007"/>
      <c r="G99" s="2336"/>
      <c r="H99" s="1007"/>
      <c r="I99" s="1007"/>
      <c r="J99" s="2358"/>
      <c r="K99" s="2359"/>
      <c r="L99" s="2359"/>
      <c r="M99" s="1008"/>
      <c r="N99" s="1009"/>
      <c r="O99" s="1009"/>
      <c r="P99" s="1010"/>
      <c r="Q99" s="1010"/>
      <c r="R99" s="1010"/>
      <c r="S99" s="2292"/>
      <c r="T99" s="1011"/>
      <c r="U99" s="2244"/>
      <c r="V99" s="2245"/>
      <c r="W99" s="2246"/>
      <c r="X99" s="2636"/>
      <c r="Y99" s="741"/>
      <c r="Z99" s="1944"/>
      <c r="AA99" s="1944"/>
      <c r="AB99" s="1944"/>
      <c r="AC99" s="2621"/>
      <c r="AD99" s="1944"/>
      <c r="AE99" s="1944"/>
      <c r="AF99" s="422"/>
      <c r="AG99" s="2647"/>
      <c r="AH99" s="2647"/>
      <c r="AI99" s="2681"/>
      <c r="AJ99" s="2682"/>
      <c r="AK99" s="2682"/>
      <c r="AL99" s="2683"/>
      <c r="AM99" s="2683"/>
      <c r="AN99" s="2683"/>
      <c r="AO99" s="2684"/>
      <c r="AP99" s="2685"/>
      <c r="AQ99" s="454"/>
      <c r="AR99" s="2686"/>
      <c r="AS99" s="2687"/>
    </row>
    <row r="100" spans="1:55" ht="20.25" customHeight="1">
      <c r="A100" s="4028" t="s">
        <v>877</v>
      </c>
      <c r="B100" s="4029"/>
      <c r="C100" s="4029"/>
      <c r="D100" s="4029"/>
      <c r="E100" s="4029"/>
      <c r="F100" s="4029"/>
      <c r="G100" s="4029"/>
      <c r="H100" s="4029"/>
      <c r="I100" s="4029"/>
      <c r="J100" s="4029"/>
      <c r="K100" s="4029"/>
      <c r="L100" s="4029"/>
      <c r="M100" s="4029"/>
      <c r="N100" s="4029"/>
      <c r="O100" s="4029"/>
      <c r="P100" s="4029"/>
      <c r="Q100" s="4029"/>
      <c r="R100" s="4029"/>
      <c r="S100" s="4029"/>
      <c r="T100" s="4029"/>
      <c r="U100" s="4029"/>
      <c r="V100" s="4029"/>
      <c r="W100" s="4029"/>
      <c r="X100" s="4029"/>
      <c r="Y100" s="4029"/>
      <c r="Z100" s="4029"/>
      <c r="AA100" s="4029"/>
      <c r="AB100" s="4029"/>
      <c r="AC100" s="4029"/>
      <c r="AD100" s="4029"/>
      <c r="AE100" s="4029"/>
      <c r="AF100" s="4029"/>
      <c r="AG100" s="4029"/>
      <c r="AH100" s="4029"/>
      <c r="AI100" s="4029"/>
      <c r="AJ100" s="4029"/>
      <c r="AK100" s="4029"/>
      <c r="AL100" s="4029"/>
      <c r="AM100" s="4029"/>
      <c r="AN100" s="4029"/>
      <c r="AO100" s="4029"/>
      <c r="AP100" s="4029"/>
      <c r="AQ100" s="4029"/>
      <c r="AR100" s="4029"/>
      <c r="AS100" s="4030"/>
    </row>
    <row r="101" spans="1:55" s="11" customFormat="1" ht="40.5" customHeight="1">
      <c r="A101" s="2393"/>
      <c r="B101" s="2293"/>
      <c r="C101" s="4052" t="s">
        <v>906</v>
      </c>
      <c r="D101" s="4052"/>
      <c r="E101" s="2304"/>
      <c r="F101" s="4052" t="s">
        <v>641</v>
      </c>
      <c r="G101" s="4052"/>
      <c r="H101" s="4052"/>
      <c r="I101" s="2305"/>
      <c r="J101" s="4067" t="s">
        <v>83</v>
      </c>
      <c r="K101" s="4068"/>
      <c r="L101" s="4069"/>
      <c r="M101" s="2306"/>
      <c r="N101" s="4065" t="s">
        <v>906</v>
      </c>
      <c r="O101" s="4065"/>
      <c r="P101" s="2307"/>
      <c r="Q101" s="4065" t="s">
        <v>641</v>
      </c>
      <c r="R101" s="4065"/>
      <c r="S101" s="4065"/>
      <c r="T101" s="2572"/>
      <c r="U101" s="4064" t="s">
        <v>83</v>
      </c>
      <c r="V101" s="4065"/>
      <c r="W101" s="4066"/>
      <c r="X101" s="2611"/>
      <c r="Y101" s="4021" t="s">
        <v>906</v>
      </c>
      <c r="Z101" s="4021"/>
      <c r="AA101" s="2612"/>
      <c r="AB101" s="4021" t="s">
        <v>641</v>
      </c>
      <c r="AC101" s="4021"/>
      <c r="AD101" s="4021"/>
      <c r="AE101" s="2613"/>
      <c r="AF101" s="4022" t="s">
        <v>83</v>
      </c>
      <c r="AG101" s="4023"/>
      <c r="AH101" s="4024"/>
      <c r="AI101" s="2657"/>
      <c r="AJ101" s="4025" t="s">
        <v>906</v>
      </c>
      <c r="AK101" s="4025"/>
      <c r="AL101" s="2658"/>
      <c r="AM101" s="4025" t="s">
        <v>641</v>
      </c>
      <c r="AN101" s="4025"/>
      <c r="AO101" s="4025"/>
      <c r="AP101" s="2659"/>
      <c r="AQ101" s="4026" t="s">
        <v>83</v>
      </c>
      <c r="AR101" s="4025"/>
      <c r="AS101" s="4027"/>
    </row>
    <row r="102" spans="1:55" ht="5.25" customHeight="1">
      <c r="A102" s="246"/>
      <c r="B102" s="247"/>
      <c r="C102" s="2295"/>
      <c r="D102" s="248"/>
      <c r="E102" s="294"/>
      <c r="F102" s="294"/>
      <c r="G102" s="294"/>
      <c r="H102" s="294"/>
      <c r="I102" s="294"/>
      <c r="J102" s="179"/>
      <c r="K102" s="177"/>
      <c r="L102" s="177"/>
      <c r="M102" s="249"/>
      <c r="N102" s="291"/>
      <c r="O102" s="291"/>
      <c r="P102" s="301"/>
      <c r="Q102" s="301"/>
      <c r="R102" s="301"/>
      <c r="S102" s="2289"/>
      <c r="T102" s="302"/>
      <c r="U102" s="180"/>
      <c r="V102" s="178"/>
      <c r="W102" s="181"/>
      <c r="X102" s="413"/>
      <c r="Y102" s="2614"/>
      <c r="Z102" s="414"/>
      <c r="AA102" s="415"/>
      <c r="AB102" s="415"/>
      <c r="AC102" s="415"/>
      <c r="AD102" s="415"/>
      <c r="AE102" s="415"/>
      <c r="AF102" s="416"/>
      <c r="AG102" s="417"/>
      <c r="AH102" s="417"/>
      <c r="AI102" s="441"/>
      <c r="AJ102" s="442"/>
      <c r="AK102" s="442"/>
      <c r="AL102" s="443"/>
      <c r="AM102" s="443"/>
      <c r="AN102" s="443"/>
      <c r="AO102" s="2660"/>
      <c r="AP102" s="444"/>
      <c r="AQ102" s="445"/>
      <c r="AR102" s="446"/>
      <c r="AS102" s="447"/>
    </row>
    <row r="103" spans="1:55">
      <c r="A103" s="220" t="s">
        <v>708</v>
      </c>
      <c r="B103" s="203" t="s">
        <v>118</v>
      </c>
      <c r="C103" s="3286"/>
      <c r="D103" s="876"/>
      <c r="E103" s="2124"/>
      <c r="F103" s="2124"/>
      <c r="G103" s="2124"/>
      <c r="H103" s="2124"/>
      <c r="I103" s="2125"/>
      <c r="J103" s="3287"/>
      <c r="K103" s="2124"/>
      <c r="L103" s="3288"/>
      <c r="M103" s="3289" t="s">
        <v>118</v>
      </c>
      <c r="N103" s="3289"/>
      <c r="O103" s="3290"/>
      <c r="P103" s="2261"/>
      <c r="Q103" s="2261"/>
      <c r="R103" s="2261"/>
      <c r="S103" s="3291"/>
      <c r="T103" s="3291"/>
      <c r="U103" s="3292"/>
      <c r="V103" s="2261"/>
      <c r="W103" s="3293"/>
      <c r="X103" s="3294" t="s">
        <v>118</v>
      </c>
      <c r="Y103" s="3295"/>
      <c r="Z103" s="922"/>
      <c r="AA103" s="2126"/>
      <c r="AB103" s="2126"/>
      <c r="AC103" s="2126"/>
      <c r="AD103" s="2126"/>
      <c r="AE103" s="2622"/>
      <c r="AF103" s="3296"/>
      <c r="AG103" s="2126"/>
      <c r="AH103" s="3297"/>
      <c r="AI103" s="3298" t="s">
        <v>118</v>
      </c>
      <c r="AJ103" s="3298"/>
      <c r="AK103" s="3299"/>
      <c r="AL103" s="2663"/>
      <c r="AM103" s="2663"/>
      <c r="AN103" s="2663"/>
      <c r="AO103" s="3300"/>
      <c r="AP103" s="3300"/>
      <c r="AQ103" s="3301"/>
      <c r="AR103" s="2663"/>
      <c r="AS103" s="401"/>
    </row>
    <row r="104" spans="1:55" customFormat="1">
      <c r="A104" s="208" t="s">
        <v>702</v>
      </c>
      <c r="B104" s="227"/>
      <c r="C104" s="171"/>
      <c r="D104" s="2254">
        <v>8.5000000000000006E-2</v>
      </c>
      <c r="E104" s="225"/>
      <c r="F104" s="225"/>
      <c r="G104" s="225"/>
      <c r="H104" s="225"/>
      <c r="I104" s="171"/>
      <c r="J104" s="170"/>
      <c r="K104" s="2391"/>
      <c r="L104" s="188"/>
      <c r="M104" s="44"/>
      <c r="N104" s="44"/>
      <c r="O104" s="2254">
        <v>7.8E-2</v>
      </c>
      <c r="P104" s="226"/>
      <c r="Q104" s="226"/>
      <c r="R104" s="226"/>
      <c r="S104" s="44"/>
      <c r="T104" s="44"/>
      <c r="U104" s="41"/>
      <c r="V104" s="2391"/>
      <c r="W104" s="52"/>
      <c r="X104" s="565"/>
      <c r="Y104" s="419"/>
      <c r="Z104" s="2254">
        <v>7.0000000000000007E-2</v>
      </c>
      <c r="AA104" s="431"/>
      <c r="AB104" s="431"/>
      <c r="AC104" s="431"/>
      <c r="AD104" s="431"/>
      <c r="AE104" s="419"/>
      <c r="AF104" s="418"/>
      <c r="AG104" s="2564"/>
      <c r="AH104" s="513"/>
      <c r="AI104" s="465"/>
      <c r="AJ104" s="465"/>
      <c r="AK104" s="2565">
        <v>0.06</v>
      </c>
      <c r="AL104" s="434"/>
      <c r="AM104" s="434"/>
      <c r="AN104" s="434"/>
      <c r="AO104" s="465"/>
      <c r="AP104" s="465"/>
      <c r="AQ104" s="464"/>
      <c r="AR104" s="2564"/>
      <c r="AS104" s="466"/>
    </row>
    <row r="105" spans="1:55" customFormat="1" ht="3" customHeight="1">
      <c r="A105" s="208"/>
      <c r="B105" s="227"/>
      <c r="C105" s="171"/>
      <c r="D105" s="2247"/>
      <c r="E105" s="2247"/>
      <c r="F105" s="2247"/>
      <c r="G105" s="2247"/>
      <c r="H105" s="2247"/>
      <c r="I105" s="171"/>
      <c r="J105" s="170"/>
      <c r="K105" s="171"/>
      <c r="L105" s="188"/>
      <c r="M105" s="44"/>
      <c r="N105" s="44"/>
      <c r="O105" s="104"/>
      <c r="P105" s="44"/>
      <c r="Q105" s="44"/>
      <c r="R105" s="44"/>
      <c r="S105" s="44"/>
      <c r="T105" s="44"/>
      <c r="U105" s="41"/>
      <c r="V105" s="44"/>
      <c r="W105" s="52"/>
      <c r="X105" s="565"/>
      <c r="Y105" s="419"/>
      <c r="Z105" s="2566"/>
      <c r="AA105" s="2566"/>
      <c r="AB105" s="2566"/>
      <c r="AC105" s="2566"/>
      <c r="AD105" s="2566"/>
      <c r="AE105" s="419"/>
      <c r="AF105" s="418"/>
      <c r="AG105" s="419"/>
      <c r="AH105" s="513"/>
      <c r="AI105" s="465"/>
      <c r="AJ105" s="465"/>
      <c r="AK105" s="593"/>
      <c r="AL105" s="465"/>
      <c r="AM105" s="465"/>
      <c r="AN105" s="465"/>
      <c r="AO105" s="465"/>
      <c r="AP105" s="465"/>
      <c r="AQ105" s="464"/>
      <c r="AR105" s="465"/>
      <c r="AS105" s="466"/>
    </row>
    <row r="106" spans="1:55" customFormat="1">
      <c r="A106" s="2390" t="s">
        <v>631</v>
      </c>
      <c r="B106" s="227"/>
      <c r="C106" s="171"/>
      <c r="D106" s="2250">
        <f>Defaults!$B$19</f>
        <v>7.8E-2</v>
      </c>
      <c r="E106" s="225"/>
      <c r="F106" s="225"/>
      <c r="G106" s="225"/>
      <c r="H106" s="225"/>
      <c r="I106" s="171"/>
      <c r="J106" s="170"/>
      <c r="K106" s="330">
        <v>3</v>
      </c>
      <c r="L106" s="188"/>
      <c r="M106" s="44"/>
      <c r="N106" s="44"/>
      <c r="O106" s="2286">
        <f>Defaults!$B$19</f>
        <v>7.8E-2</v>
      </c>
      <c r="P106" s="226"/>
      <c r="Q106" s="226"/>
      <c r="R106" s="226"/>
      <c r="S106" s="44"/>
      <c r="T106" s="44"/>
      <c r="U106" s="41"/>
      <c r="V106" s="2057">
        <v>3</v>
      </c>
      <c r="W106" s="52"/>
      <c r="X106" s="565"/>
      <c r="Y106" s="419"/>
      <c r="Z106" s="2635">
        <f>Defaults!$B$19</f>
        <v>7.8E-2</v>
      </c>
      <c r="AA106" s="431"/>
      <c r="AB106" s="431"/>
      <c r="AC106" s="431"/>
      <c r="AD106" s="431"/>
      <c r="AE106" s="419"/>
      <c r="AF106" s="418"/>
      <c r="AG106" s="2646">
        <v>3</v>
      </c>
      <c r="AH106" s="513"/>
      <c r="AI106" s="465"/>
      <c r="AJ106" s="465"/>
      <c r="AK106" s="2672">
        <f>Defaults!$B$19</f>
        <v>7.8E-2</v>
      </c>
      <c r="AL106" s="434"/>
      <c r="AM106" s="434"/>
      <c r="AN106" s="434"/>
      <c r="AO106" s="465"/>
      <c r="AP106" s="465"/>
      <c r="AQ106" s="464"/>
      <c r="AR106" s="649">
        <v>3</v>
      </c>
      <c r="AS106" s="466"/>
      <c r="AT106" s="103"/>
      <c r="AU106" s="103"/>
      <c r="AV106" s="103"/>
      <c r="AW106" s="103"/>
      <c r="AX106" s="103"/>
      <c r="AY106" s="103"/>
      <c r="AZ106" s="103"/>
      <c r="BA106" s="40"/>
      <c r="BB106" s="40"/>
      <c r="BC106" s="40"/>
    </row>
    <row r="107" spans="1:55" ht="6.75" customHeight="1">
      <c r="A107" s="1570"/>
      <c r="B107" s="1012"/>
      <c r="C107" s="2294"/>
      <c r="D107" s="190"/>
      <c r="E107" s="1013"/>
      <c r="F107" s="1013"/>
      <c r="G107" s="2265"/>
      <c r="H107" s="2265"/>
      <c r="I107" s="2265"/>
      <c r="J107" s="1014"/>
      <c r="K107" s="1015"/>
      <c r="L107" s="1016"/>
      <c r="M107" s="1017"/>
      <c r="N107" s="1017"/>
      <c r="O107" s="1017"/>
      <c r="P107" s="1018"/>
      <c r="Q107" s="1018"/>
      <c r="R107" s="1018"/>
      <c r="S107" s="1017"/>
      <c r="T107" s="1017"/>
      <c r="U107" s="2244"/>
      <c r="V107" s="2245"/>
      <c r="W107" s="2246"/>
      <c r="X107" s="2643"/>
      <c r="Y107" s="2644"/>
      <c r="Z107" s="516"/>
      <c r="AA107" s="2623"/>
      <c r="AB107" s="2623"/>
      <c r="AC107" s="2624"/>
      <c r="AD107" s="2624"/>
      <c r="AE107" s="2624"/>
      <c r="AF107" s="2648"/>
      <c r="AG107" s="2649"/>
      <c r="AH107" s="2650"/>
      <c r="AI107" s="2688"/>
      <c r="AJ107" s="2688"/>
      <c r="AK107" s="2688"/>
      <c r="AL107" s="1955"/>
      <c r="AM107" s="1955"/>
      <c r="AN107" s="1955"/>
      <c r="AO107" s="2688"/>
      <c r="AP107" s="2688"/>
      <c r="AQ107" s="454"/>
      <c r="AR107" s="2686"/>
      <c r="AS107" s="2687"/>
    </row>
    <row r="108" spans="1:55" ht="5.25" customHeight="1">
      <c r="A108" s="246"/>
      <c r="B108" s="247"/>
      <c r="C108" s="2295"/>
      <c r="D108" s="248"/>
      <c r="E108" s="294"/>
      <c r="F108" s="294"/>
      <c r="G108" s="2335"/>
      <c r="H108" s="294"/>
      <c r="I108" s="294"/>
      <c r="J108" s="179"/>
      <c r="K108" s="177"/>
      <c r="L108" s="177"/>
      <c r="M108" s="249"/>
      <c r="N108" s="291"/>
      <c r="O108" s="291"/>
      <c r="P108" s="301"/>
      <c r="Q108" s="301"/>
      <c r="R108" s="301"/>
      <c r="S108" s="2289"/>
      <c r="T108" s="302"/>
      <c r="U108" s="180"/>
      <c r="V108" s="178"/>
      <c r="W108" s="181"/>
      <c r="X108" s="413"/>
      <c r="Y108" s="2614"/>
      <c r="Z108" s="414"/>
      <c r="AA108" s="415"/>
      <c r="AB108" s="415"/>
      <c r="AC108" s="2625"/>
      <c r="AD108" s="415"/>
      <c r="AE108" s="415"/>
      <c r="AF108" s="416"/>
      <c r="AG108" s="417"/>
      <c r="AH108" s="417"/>
      <c r="AI108" s="441"/>
      <c r="AJ108" s="442"/>
      <c r="AK108" s="442"/>
      <c r="AL108" s="443"/>
      <c r="AM108" s="443"/>
      <c r="AN108" s="443"/>
      <c r="AO108" s="2660"/>
      <c r="AP108" s="444"/>
      <c r="AQ108" s="445"/>
      <c r="AR108" s="446"/>
      <c r="AS108" s="447"/>
    </row>
    <row r="109" spans="1:55" ht="12" customHeight="1">
      <c r="A109" s="618" t="s">
        <v>709</v>
      </c>
      <c r="B109" s="167"/>
      <c r="C109" s="2297"/>
      <c r="D109" s="2250">
        <f>F1_Heifer_Calf/(1-F1_Death_Rate_Unweaned_Heifers)</f>
        <v>0.62758377081392303</v>
      </c>
      <c r="E109" s="293"/>
      <c r="F109" s="293"/>
      <c r="G109" s="2247"/>
      <c r="H109" s="293"/>
      <c r="I109" s="293"/>
      <c r="J109" s="164"/>
      <c r="K109" s="2287">
        <v>5</v>
      </c>
      <c r="L109" s="165"/>
      <c r="M109" s="156"/>
      <c r="N109" s="1614"/>
      <c r="O109" s="2251">
        <f>F2_Heifer_Calf/(1-F2_Death_Rate_Unweaned_Heifers)</f>
        <v>0.51952340669388397</v>
      </c>
      <c r="P109" s="298"/>
      <c r="Q109" s="298"/>
      <c r="R109" s="226"/>
      <c r="S109" s="2261"/>
      <c r="T109" s="299"/>
      <c r="U109" s="130"/>
      <c r="V109" s="2288">
        <v>5</v>
      </c>
      <c r="W109" s="134"/>
      <c r="X109" s="411"/>
      <c r="Y109" s="2629"/>
      <c r="Z109" s="2635">
        <f>F3_Heifer_Calf/(1-F3_Death_Rate_Unweaned_Heifers)</f>
        <v>0.38718833907354339</v>
      </c>
      <c r="AA109" s="410"/>
      <c r="AB109" s="410"/>
      <c r="AC109" s="2566"/>
      <c r="AD109" s="410"/>
      <c r="AE109" s="410"/>
      <c r="AF109" s="389"/>
      <c r="AG109" s="2637">
        <v>5</v>
      </c>
      <c r="AH109" s="390"/>
      <c r="AI109" s="435"/>
      <c r="AJ109" s="2662"/>
      <c r="AK109" s="2665">
        <f>F4_Heifer_Calf/(1-F4_Death_Rate_Unweaned_Heifers)</f>
        <v>0.30978456877887639</v>
      </c>
      <c r="AL109" s="433"/>
      <c r="AM109" s="433"/>
      <c r="AN109" s="434"/>
      <c r="AO109" s="2663"/>
      <c r="AP109" s="436"/>
      <c r="AQ109" s="399"/>
      <c r="AR109" s="2666">
        <v>5</v>
      </c>
      <c r="AS109" s="401"/>
    </row>
    <row r="110" spans="1:55" ht="6" customHeight="1">
      <c r="A110" s="151"/>
      <c r="B110" s="160"/>
      <c r="C110" s="2298"/>
      <c r="D110" s="166"/>
      <c r="E110" s="293"/>
      <c r="F110" s="293"/>
      <c r="G110" s="2124"/>
      <c r="H110" s="293"/>
      <c r="I110" s="293"/>
      <c r="J110" s="168"/>
      <c r="K110" s="169"/>
      <c r="L110" s="169"/>
      <c r="M110" s="154"/>
      <c r="N110" s="128"/>
      <c r="O110" s="128"/>
      <c r="P110" s="300"/>
      <c r="Q110" s="300"/>
      <c r="R110" s="300"/>
      <c r="S110" s="2290"/>
      <c r="T110" s="297"/>
      <c r="U110" s="131"/>
      <c r="V110" s="114"/>
      <c r="W110" s="135"/>
      <c r="X110" s="392"/>
      <c r="Y110" s="2616"/>
      <c r="Z110" s="393"/>
      <c r="AA110" s="410"/>
      <c r="AB110" s="410"/>
      <c r="AC110" s="2126"/>
      <c r="AD110" s="410"/>
      <c r="AE110" s="410"/>
      <c r="AF110" s="412"/>
      <c r="AG110" s="367"/>
      <c r="AH110" s="367"/>
      <c r="AI110" s="406"/>
      <c r="AJ110" s="407"/>
      <c r="AK110" s="407"/>
      <c r="AL110" s="437"/>
      <c r="AM110" s="437"/>
      <c r="AN110" s="437"/>
      <c r="AO110" s="2661"/>
      <c r="AP110" s="405"/>
      <c r="AQ110" s="438"/>
      <c r="AR110" s="439"/>
      <c r="AS110" s="440"/>
    </row>
    <row r="111" spans="1:55" s="11" customFormat="1" ht="20.25" customHeight="1">
      <c r="A111" s="4028" t="s">
        <v>878</v>
      </c>
      <c r="B111" s="4029"/>
      <c r="C111" s="4029"/>
      <c r="D111" s="4029"/>
      <c r="E111" s="4029"/>
      <c r="F111" s="4029"/>
      <c r="G111" s="4029"/>
      <c r="H111" s="4029"/>
      <c r="I111" s="4029"/>
      <c r="J111" s="4029"/>
      <c r="K111" s="4029"/>
      <c r="L111" s="4029"/>
      <c r="M111" s="4029"/>
      <c r="N111" s="4029"/>
      <c r="O111" s="4029"/>
      <c r="P111" s="4029"/>
      <c r="Q111" s="4029"/>
      <c r="R111" s="4029"/>
      <c r="S111" s="4029"/>
      <c r="T111" s="4029"/>
      <c r="U111" s="4029"/>
      <c r="V111" s="4029"/>
      <c r="W111" s="4029"/>
      <c r="X111" s="4029"/>
      <c r="Y111" s="4029"/>
      <c r="Z111" s="4029"/>
      <c r="AA111" s="4029"/>
      <c r="AB111" s="4029"/>
      <c r="AC111" s="4029"/>
      <c r="AD111" s="4029"/>
      <c r="AE111" s="4029"/>
      <c r="AF111" s="4029"/>
      <c r="AG111" s="4029"/>
      <c r="AH111" s="4029"/>
      <c r="AI111" s="4029"/>
      <c r="AJ111" s="4029"/>
      <c r="AK111" s="4029"/>
      <c r="AL111" s="4029"/>
      <c r="AM111" s="4029"/>
      <c r="AN111" s="4029"/>
      <c r="AO111" s="4029"/>
      <c r="AP111" s="4029"/>
      <c r="AQ111" s="4029"/>
      <c r="AR111" s="4029"/>
      <c r="AS111" s="4030"/>
    </row>
    <row r="112" spans="1:55" ht="5.25" customHeight="1">
      <c r="A112" s="246"/>
      <c r="B112" s="247"/>
      <c r="C112" s="2295"/>
      <c r="D112" s="248"/>
      <c r="E112" s="294"/>
      <c r="F112" s="294"/>
      <c r="G112" s="2335"/>
      <c r="H112" s="294"/>
      <c r="I112" s="294"/>
      <c r="J112" s="179"/>
      <c r="K112" s="177"/>
      <c r="L112" s="177"/>
      <c r="M112" s="249"/>
      <c r="N112" s="291"/>
      <c r="O112" s="291"/>
      <c r="P112" s="301"/>
      <c r="Q112" s="301"/>
      <c r="R112" s="301"/>
      <c r="S112" s="2289"/>
      <c r="T112" s="302"/>
      <c r="U112" s="180"/>
      <c r="V112" s="178"/>
      <c r="W112" s="181"/>
      <c r="X112" s="413"/>
      <c r="Y112" s="2614"/>
      <c r="Z112" s="414"/>
      <c r="AA112" s="415"/>
      <c r="AB112" s="415"/>
      <c r="AC112" s="2625"/>
      <c r="AD112" s="415"/>
      <c r="AE112" s="415"/>
      <c r="AF112" s="416"/>
      <c r="AG112" s="417"/>
      <c r="AH112" s="417"/>
      <c r="AI112" s="441"/>
      <c r="AJ112" s="442"/>
      <c r="AK112" s="442"/>
      <c r="AL112" s="443"/>
      <c r="AM112" s="443"/>
      <c r="AN112" s="443"/>
      <c r="AO112" s="2660"/>
      <c r="AP112" s="444"/>
      <c r="AQ112" s="445"/>
      <c r="AR112" s="446"/>
      <c r="AS112" s="447"/>
    </row>
    <row r="113" spans="1:55">
      <c r="A113" s="2319" t="s">
        <v>781</v>
      </c>
      <c r="B113" s="162"/>
      <c r="C113" s="2531" t="s">
        <v>118</v>
      </c>
      <c r="D113" s="163"/>
      <c r="E113" s="2407"/>
      <c r="F113" s="2407"/>
      <c r="G113" s="2439"/>
      <c r="H113" s="2407"/>
      <c r="I113" s="2407"/>
      <c r="J113" s="164"/>
      <c r="K113" s="165"/>
      <c r="L113" s="289"/>
      <c r="M113" s="63"/>
      <c r="N113" s="63" t="s">
        <v>118</v>
      </c>
      <c r="O113" s="63"/>
      <c r="P113" s="296"/>
      <c r="Q113" s="296"/>
      <c r="R113" s="296"/>
      <c r="S113" s="2291"/>
      <c r="T113" s="2291"/>
      <c r="U113" s="130"/>
      <c r="V113" s="132"/>
      <c r="W113" s="134"/>
      <c r="X113" s="387"/>
      <c r="Y113" s="2569" t="s">
        <v>118</v>
      </c>
      <c r="Z113" s="388"/>
      <c r="AA113" s="2199"/>
      <c r="AB113" s="2199"/>
      <c r="AC113" s="2626"/>
      <c r="AD113" s="2199"/>
      <c r="AE113" s="2199"/>
      <c r="AF113" s="389"/>
      <c r="AG113" s="390"/>
      <c r="AH113" s="430"/>
      <c r="AI113" s="396"/>
      <c r="AJ113" s="396" t="s">
        <v>118</v>
      </c>
      <c r="AK113" s="396"/>
      <c r="AL113" s="404"/>
      <c r="AM113" s="404"/>
      <c r="AN113" s="404"/>
      <c r="AO113" s="2679"/>
      <c r="AP113" s="2679"/>
      <c r="AQ113" s="399"/>
      <c r="AR113" s="400"/>
      <c r="AS113" s="401"/>
    </row>
    <row r="114" spans="1:55" customFormat="1">
      <c r="A114" s="208" t="s">
        <v>702</v>
      </c>
      <c r="B114" s="227"/>
      <c r="C114" s="171"/>
      <c r="D114" s="377"/>
      <c r="E114" s="225"/>
      <c r="F114" s="225"/>
      <c r="G114" s="225"/>
      <c r="H114" s="225"/>
      <c r="I114" s="171"/>
      <c r="J114" s="170"/>
      <c r="K114" s="2428"/>
      <c r="L114" s="188"/>
      <c r="M114" s="44"/>
      <c r="N114" s="44"/>
      <c r="O114" s="377"/>
      <c r="P114" s="226"/>
      <c r="Q114" s="226"/>
      <c r="R114" s="226"/>
      <c r="S114" s="44"/>
      <c r="T114" s="44"/>
      <c r="U114" s="41"/>
      <c r="V114" s="2428"/>
      <c r="W114" s="52"/>
      <c r="X114" s="565"/>
      <c r="Y114" s="419"/>
      <c r="Z114" s="377"/>
      <c r="AA114" s="431"/>
      <c r="AB114" s="431"/>
      <c r="AC114" s="431"/>
      <c r="AD114" s="431"/>
      <c r="AE114" s="419"/>
      <c r="AF114" s="418"/>
      <c r="AG114" s="2564"/>
      <c r="AH114" s="513"/>
      <c r="AI114" s="465"/>
      <c r="AJ114" s="465"/>
      <c r="AK114" s="3461"/>
      <c r="AL114" s="434"/>
      <c r="AM114" s="434"/>
      <c r="AN114" s="434"/>
      <c r="AO114" s="465"/>
      <c r="AP114" s="465"/>
      <c r="AQ114" s="464"/>
      <c r="AR114" s="2564"/>
      <c r="AS114" s="466"/>
    </row>
    <row r="115" spans="1:55" customFormat="1" ht="3" customHeight="1">
      <c r="A115" s="208"/>
      <c r="B115" s="227"/>
      <c r="C115" s="171"/>
      <c r="D115" s="2247"/>
      <c r="E115" s="2247"/>
      <c r="F115" s="2247"/>
      <c r="G115" s="2247"/>
      <c r="H115" s="2247"/>
      <c r="I115" s="171"/>
      <c r="J115" s="170"/>
      <c r="K115" s="171"/>
      <c r="L115" s="188"/>
      <c r="M115" s="44"/>
      <c r="N115" s="44"/>
      <c r="O115" s="104"/>
      <c r="P115" s="44"/>
      <c r="Q115" s="44"/>
      <c r="R115" s="44"/>
      <c r="S115" s="44"/>
      <c r="T115" s="44"/>
      <c r="U115" s="41"/>
      <c r="V115" s="44"/>
      <c r="W115" s="52"/>
      <c r="X115" s="565"/>
      <c r="Y115" s="419"/>
      <c r="Z115" s="2566"/>
      <c r="AA115" s="2566"/>
      <c r="AB115" s="2566"/>
      <c r="AC115" s="2566"/>
      <c r="AD115" s="2566"/>
      <c r="AE115" s="419"/>
      <c r="AF115" s="418"/>
      <c r="AG115" s="419"/>
      <c r="AH115" s="513"/>
      <c r="AI115" s="465"/>
      <c r="AJ115" s="465"/>
      <c r="AK115" s="593"/>
      <c r="AL115" s="465"/>
      <c r="AM115" s="465"/>
      <c r="AN115" s="465"/>
      <c r="AO115" s="465"/>
      <c r="AP115" s="465"/>
      <c r="AQ115" s="464"/>
      <c r="AR115" s="465"/>
      <c r="AS115" s="466"/>
    </row>
    <row r="116" spans="1:55" customFormat="1" ht="12" customHeight="1">
      <c r="A116" s="3478" t="s">
        <v>1072</v>
      </c>
      <c r="B116" s="227"/>
      <c r="C116" s="171"/>
      <c r="D116" s="2437">
        <f>IF(F1_Breeding_Method="Bull",Defaults!C56,Defaults!D56)</f>
        <v>40</v>
      </c>
      <c r="E116" s="225"/>
      <c r="F116" s="225"/>
      <c r="G116" s="225"/>
      <c r="H116" s="225"/>
      <c r="I116" s="171"/>
      <c r="J116" s="170"/>
      <c r="K116" s="330"/>
      <c r="L116" s="188"/>
      <c r="M116" s="44"/>
      <c r="N116" s="44"/>
      <c r="O116" s="2438">
        <f>IF(F2_Breeding_Method="Bull",Defaults!C56,Defaults!D56)</f>
        <v>40</v>
      </c>
      <c r="P116" s="226"/>
      <c r="Q116" s="226"/>
      <c r="R116" s="226"/>
      <c r="S116" s="44"/>
      <c r="T116" s="44"/>
      <c r="U116" s="41"/>
      <c r="V116" s="2057"/>
      <c r="W116" s="52"/>
      <c r="X116" s="565"/>
      <c r="Y116" s="419"/>
      <c r="Z116" s="2645">
        <f>IF(F3_Breeding_Method="Bull",Defaults!C56,Defaults!D56)</f>
        <v>40</v>
      </c>
      <c r="AA116" s="431"/>
      <c r="AB116" s="431"/>
      <c r="AC116" s="431"/>
      <c r="AD116" s="431"/>
      <c r="AE116" s="419"/>
      <c r="AF116" s="418"/>
      <c r="AG116" s="2646"/>
      <c r="AH116" s="513"/>
      <c r="AI116" s="465"/>
      <c r="AJ116" s="465"/>
      <c r="AK116" s="2689">
        <f>IF(F4_Breeding_Method="Bull",Defaults!C56,Defaults!D56)</f>
        <v>40</v>
      </c>
      <c r="AL116" s="434"/>
      <c r="AM116" s="434"/>
      <c r="AN116" s="434"/>
      <c r="AO116" s="465"/>
      <c r="AP116" s="465"/>
      <c r="AQ116" s="464"/>
      <c r="AR116" s="649"/>
      <c r="AS116" s="466"/>
      <c r="AT116" s="103"/>
      <c r="AU116" s="103"/>
      <c r="AV116" s="103"/>
      <c r="AW116" s="103"/>
      <c r="AX116" s="103"/>
      <c r="AY116" s="103"/>
      <c r="AZ116" s="103"/>
      <c r="BA116" s="40"/>
      <c r="BB116" s="40"/>
      <c r="BC116" s="40"/>
    </row>
    <row r="117" spans="1:55">
      <c r="A117" s="2440" t="s">
        <v>1335</v>
      </c>
      <c r="B117" s="232"/>
      <c r="C117" s="225"/>
      <c r="D117" s="225"/>
      <c r="E117" s="293"/>
      <c r="F117" s="293"/>
      <c r="G117" s="225"/>
      <c r="H117" s="225"/>
      <c r="I117" s="225"/>
      <c r="J117" s="216"/>
      <c r="K117" s="225"/>
      <c r="L117" s="213"/>
      <c r="M117" s="44"/>
      <c r="N117" s="226"/>
      <c r="O117" s="226"/>
      <c r="P117" s="144"/>
      <c r="Q117" s="144"/>
      <c r="R117" s="226"/>
      <c r="S117" s="226"/>
      <c r="T117" s="226"/>
      <c r="U117" s="41"/>
      <c r="V117" s="317"/>
      <c r="W117" s="133"/>
      <c r="X117" s="578"/>
      <c r="Y117" s="431"/>
      <c r="Z117" s="431"/>
      <c r="AA117" s="410"/>
      <c r="AB117" s="410"/>
      <c r="AC117" s="431"/>
      <c r="AD117" s="431"/>
      <c r="AE117" s="431"/>
      <c r="AF117" s="532"/>
      <c r="AG117" s="431"/>
      <c r="AH117" s="533"/>
      <c r="AI117" s="465"/>
      <c r="AJ117" s="434"/>
      <c r="AK117" s="434"/>
      <c r="AL117" s="453"/>
      <c r="AM117" s="453"/>
      <c r="AN117" s="434"/>
      <c r="AO117" s="434"/>
      <c r="AP117" s="434"/>
      <c r="AQ117" s="464"/>
      <c r="AR117" s="558"/>
      <c r="AS117" s="450"/>
    </row>
    <row r="118" spans="1:55" ht="6" customHeight="1">
      <c r="A118" s="2363"/>
      <c r="B118" s="227"/>
      <c r="C118" s="171"/>
      <c r="D118" s="171"/>
      <c r="E118" s="186"/>
      <c r="F118" s="309"/>
      <c r="G118" s="225"/>
      <c r="H118" s="225"/>
      <c r="I118" s="225"/>
      <c r="J118" s="216"/>
      <c r="K118" s="171"/>
      <c r="L118" s="213"/>
      <c r="M118" s="44"/>
      <c r="N118" s="42"/>
      <c r="O118" s="42"/>
      <c r="P118" s="44"/>
      <c r="Q118" s="308"/>
      <c r="R118" s="226"/>
      <c r="S118" s="226"/>
      <c r="T118" s="226"/>
      <c r="U118" s="41"/>
      <c r="V118" s="42"/>
      <c r="W118" s="133"/>
      <c r="X118" s="565"/>
      <c r="Y118" s="419"/>
      <c r="Z118" s="419"/>
      <c r="AA118" s="511"/>
      <c r="AB118" s="579"/>
      <c r="AC118" s="431"/>
      <c r="AD118" s="431"/>
      <c r="AE118" s="431"/>
      <c r="AF118" s="532"/>
      <c r="AG118" s="419"/>
      <c r="AH118" s="533"/>
      <c r="AI118" s="465"/>
      <c r="AJ118" s="449"/>
      <c r="AK118" s="449"/>
      <c r="AL118" s="465"/>
      <c r="AM118" s="562"/>
      <c r="AN118" s="434"/>
      <c r="AO118" s="434"/>
      <c r="AP118" s="434"/>
      <c r="AQ118" s="464"/>
      <c r="AR118" s="449"/>
      <c r="AS118" s="450"/>
    </row>
    <row r="119" spans="1:55" ht="5.25" customHeight="1">
      <c r="A119" s="246"/>
      <c r="B119" s="247"/>
      <c r="C119" s="2295"/>
      <c r="D119" s="248"/>
      <c r="E119" s="294"/>
      <c r="F119" s="294"/>
      <c r="G119" s="2335"/>
      <c r="H119" s="294"/>
      <c r="I119" s="294"/>
      <c r="J119" s="179"/>
      <c r="K119" s="177"/>
      <c r="L119" s="177"/>
      <c r="M119" s="249"/>
      <c r="N119" s="291"/>
      <c r="O119" s="291"/>
      <c r="P119" s="301"/>
      <c r="Q119" s="301"/>
      <c r="R119" s="301"/>
      <c r="S119" s="2289"/>
      <c r="T119" s="302"/>
      <c r="U119" s="180"/>
      <c r="V119" s="178"/>
      <c r="W119" s="181"/>
      <c r="X119" s="413"/>
      <c r="Y119" s="2614"/>
      <c r="Z119" s="414"/>
      <c r="AA119" s="415"/>
      <c r="AB119" s="415"/>
      <c r="AC119" s="2625"/>
      <c r="AD119" s="415"/>
      <c r="AE119" s="415"/>
      <c r="AF119" s="416"/>
      <c r="AG119" s="417"/>
      <c r="AH119" s="417"/>
      <c r="AI119" s="441"/>
      <c r="AJ119" s="442"/>
      <c r="AK119" s="442"/>
      <c r="AL119" s="443"/>
      <c r="AM119" s="443"/>
      <c r="AN119" s="443"/>
      <c r="AO119" s="2660"/>
      <c r="AP119" s="444"/>
      <c r="AQ119" s="445"/>
      <c r="AR119" s="446"/>
      <c r="AS119" s="447"/>
    </row>
    <row r="120" spans="1:55">
      <c r="A120" s="618" t="s">
        <v>714</v>
      </c>
      <c r="B120" s="259"/>
      <c r="C120" s="2296"/>
      <c r="D120" s="2250">
        <f>1/F1_Bull_Can_Impregnate</f>
        <v>2.5000000000000001E-2</v>
      </c>
      <c r="E120" s="293"/>
      <c r="F120" s="293"/>
      <c r="G120" s="2312">
        <f>F1_Bulls</f>
        <v>2.5000000000000001E-2</v>
      </c>
      <c r="H120" s="293"/>
      <c r="I120" s="293"/>
      <c r="J120" s="172"/>
      <c r="K120" s="2287">
        <v>7</v>
      </c>
      <c r="L120" s="173"/>
      <c r="M120" s="157"/>
      <c r="N120" s="2303"/>
      <c r="O120" s="2251">
        <f>1/F2_Bull_Can_Impregnate</f>
        <v>2.5000000000000001E-2</v>
      </c>
      <c r="P120" s="298"/>
      <c r="Q120" s="298"/>
      <c r="R120" s="2313">
        <f>F2_Bulls</f>
        <v>2.5000000000000001E-2</v>
      </c>
      <c r="S120" s="2261"/>
      <c r="T120" s="299"/>
      <c r="U120" s="130"/>
      <c r="V120" s="2288">
        <v>7</v>
      </c>
      <c r="W120" s="134"/>
      <c r="X120" s="391"/>
      <c r="Y120" s="2615"/>
      <c r="Z120" s="2635">
        <f>1/F3_Bull_Can_Impregnate</f>
        <v>2.5000000000000001E-2</v>
      </c>
      <c r="AA120" s="410"/>
      <c r="AB120" s="410"/>
      <c r="AC120" s="2619">
        <f>F3_Bulls</f>
        <v>2.5000000000000001E-2</v>
      </c>
      <c r="AD120" s="410"/>
      <c r="AE120" s="410"/>
      <c r="AF120" s="420"/>
      <c r="AG120" s="2637">
        <v>7</v>
      </c>
      <c r="AH120" s="421"/>
      <c r="AI120" s="451"/>
      <c r="AJ120" s="2690"/>
      <c r="AK120" s="2665">
        <f>1/F4_Bull_Can_Impregnate</f>
        <v>2.5000000000000001E-2</v>
      </c>
      <c r="AL120" s="433"/>
      <c r="AM120" s="433"/>
      <c r="AN120" s="2673">
        <f>F4_Bulls</f>
        <v>2.5000000000000001E-2</v>
      </c>
      <c r="AO120" s="2663"/>
      <c r="AP120" s="436"/>
      <c r="AQ120" s="399"/>
      <c r="AR120" s="2666">
        <v>7</v>
      </c>
      <c r="AS120" s="401"/>
    </row>
    <row r="121" spans="1:55" ht="6" customHeight="1">
      <c r="A121" s="153"/>
      <c r="B121" s="160"/>
      <c r="C121" s="2298"/>
      <c r="D121" s="166"/>
      <c r="E121" s="293"/>
      <c r="F121" s="293"/>
      <c r="G121" s="190"/>
      <c r="H121" s="293"/>
      <c r="I121" s="293"/>
      <c r="J121" s="2426"/>
      <c r="K121" s="173"/>
      <c r="L121" s="173"/>
      <c r="M121" s="158"/>
      <c r="N121" s="144"/>
      <c r="O121" s="144"/>
      <c r="P121" s="300"/>
      <c r="Q121" s="300"/>
      <c r="R121" s="300"/>
      <c r="S121" s="2290"/>
      <c r="T121" s="297"/>
      <c r="U121" s="2244"/>
      <c r="V121" s="132"/>
      <c r="W121" s="134"/>
      <c r="X121" s="392"/>
      <c r="Y121" s="2616"/>
      <c r="Z121" s="393"/>
      <c r="AA121" s="410"/>
      <c r="AB121" s="410"/>
      <c r="AC121" s="516"/>
      <c r="AD121" s="410"/>
      <c r="AE121" s="410"/>
      <c r="AF121" s="422"/>
      <c r="AG121" s="421"/>
      <c r="AH121" s="421"/>
      <c r="AI121" s="452"/>
      <c r="AJ121" s="453"/>
      <c r="AK121" s="453"/>
      <c r="AL121" s="437"/>
      <c r="AM121" s="437"/>
      <c r="AN121" s="437"/>
      <c r="AO121" s="2661"/>
      <c r="AP121" s="405"/>
      <c r="AQ121" s="454"/>
      <c r="AR121" s="400"/>
      <c r="AS121" s="401"/>
    </row>
    <row r="122" spans="1:55" s="57" customFormat="1" ht="20.25" customHeight="1">
      <c r="A122" s="4031" t="s">
        <v>879</v>
      </c>
      <c r="B122" s="4032"/>
      <c r="C122" s="4032"/>
      <c r="D122" s="4032"/>
      <c r="E122" s="4032"/>
      <c r="F122" s="4032"/>
      <c r="G122" s="4032"/>
      <c r="H122" s="4032"/>
      <c r="I122" s="4032"/>
      <c r="J122" s="4032"/>
      <c r="K122" s="4032"/>
      <c r="L122" s="4032"/>
      <c r="M122" s="4032"/>
      <c r="N122" s="4032"/>
      <c r="O122" s="4032"/>
      <c r="P122" s="4032"/>
      <c r="Q122" s="4032"/>
      <c r="R122" s="4032"/>
      <c r="S122" s="4032"/>
      <c r="T122" s="4032"/>
      <c r="U122" s="4032"/>
      <c r="V122" s="4032"/>
      <c r="W122" s="4032"/>
      <c r="X122" s="4032"/>
      <c r="Y122" s="4032"/>
      <c r="Z122" s="4032"/>
      <c r="AA122" s="4032"/>
      <c r="AB122" s="4032"/>
      <c r="AC122" s="4032"/>
      <c r="AD122" s="4032"/>
      <c r="AE122" s="4032"/>
      <c r="AF122" s="4032"/>
      <c r="AG122" s="4032"/>
      <c r="AH122" s="4032"/>
      <c r="AI122" s="4032"/>
      <c r="AJ122" s="4032"/>
      <c r="AK122" s="4032"/>
      <c r="AL122" s="4032"/>
      <c r="AM122" s="4032"/>
      <c r="AN122" s="4032"/>
      <c r="AO122" s="4032"/>
      <c r="AP122" s="4032"/>
      <c r="AQ122" s="4032"/>
      <c r="AR122" s="4032"/>
      <c r="AS122" s="4033"/>
    </row>
    <row r="123" spans="1:55" ht="21" customHeight="1">
      <c r="A123" s="2319" t="s">
        <v>645</v>
      </c>
      <c r="B123" s="2316" t="s">
        <v>644</v>
      </c>
      <c r="C123" s="2315"/>
      <c r="D123" s="1745"/>
      <c r="E123" s="1745"/>
      <c r="F123" s="1745"/>
      <c r="G123" s="1745"/>
      <c r="H123" s="1745"/>
      <c r="I123" s="1745"/>
      <c r="J123" s="172"/>
      <c r="K123" s="173"/>
      <c r="L123" s="288"/>
      <c r="M123" s="2329" t="s">
        <v>644</v>
      </c>
      <c r="N123" s="1747"/>
      <c r="O123" s="1747"/>
      <c r="P123" s="1747"/>
      <c r="Q123" s="1747"/>
      <c r="R123" s="1747"/>
      <c r="S123" s="1747"/>
      <c r="T123" s="2314"/>
      <c r="U123" s="130"/>
      <c r="V123" s="132"/>
      <c r="W123" s="134"/>
      <c r="X123" s="2639" t="s">
        <v>644</v>
      </c>
      <c r="Y123" s="2640"/>
      <c r="Z123" s="1858"/>
      <c r="AA123" s="1858"/>
      <c r="AB123" s="1858"/>
      <c r="AC123" s="1858"/>
      <c r="AD123" s="1858"/>
      <c r="AE123" s="1858"/>
      <c r="AF123" s="420"/>
      <c r="AG123" s="421"/>
      <c r="AH123" s="432"/>
      <c r="AI123" s="2609" t="s">
        <v>644</v>
      </c>
      <c r="AJ123" s="1859"/>
      <c r="AK123" s="1859"/>
      <c r="AL123" s="1859"/>
      <c r="AM123" s="1859"/>
      <c r="AN123" s="1859"/>
      <c r="AO123" s="1859"/>
      <c r="AP123" s="2692"/>
      <c r="AQ123" s="399"/>
      <c r="AR123" s="400"/>
      <c r="AS123" s="401"/>
    </row>
    <row r="124" spans="1:55" ht="21" customHeight="1">
      <c r="A124" s="2320" t="s">
        <v>646</v>
      </c>
      <c r="B124" s="2317" t="s">
        <v>646</v>
      </c>
      <c r="C124" s="2318"/>
      <c r="D124" s="2269"/>
      <c r="E124" s="2269"/>
      <c r="F124" s="2269"/>
      <c r="G124" s="2269"/>
      <c r="H124" s="2269"/>
      <c r="I124" s="2269"/>
      <c r="J124" s="2270"/>
      <c r="K124" s="2271"/>
      <c r="L124" s="2272"/>
      <c r="M124" s="2330" t="s">
        <v>646</v>
      </c>
      <c r="N124" s="2273"/>
      <c r="O124" s="2273"/>
      <c r="P124" s="2273"/>
      <c r="Q124" s="2273"/>
      <c r="R124" s="2273"/>
      <c r="S124" s="2273"/>
      <c r="T124" s="2274"/>
      <c r="U124" s="2244"/>
      <c r="V124" s="2245"/>
      <c r="W124" s="2246"/>
      <c r="X124" s="2641" t="s">
        <v>646</v>
      </c>
      <c r="Y124" s="2642"/>
      <c r="Z124" s="2627"/>
      <c r="AA124" s="2627"/>
      <c r="AB124" s="2627"/>
      <c r="AC124" s="2627"/>
      <c r="AD124" s="2627"/>
      <c r="AE124" s="2627"/>
      <c r="AF124" s="422"/>
      <c r="AG124" s="2647"/>
      <c r="AH124" s="2651"/>
      <c r="AI124" s="2610" t="s">
        <v>646</v>
      </c>
      <c r="AJ124" s="2693"/>
      <c r="AK124" s="2693"/>
      <c r="AL124" s="2693"/>
      <c r="AM124" s="2693"/>
      <c r="AN124" s="2693"/>
      <c r="AO124" s="2693"/>
      <c r="AP124" s="2691"/>
      <c r="AQ124" s="454"/>
      <c r="AR124" s="2686"/>
      <c r="AS124" s="2687"/>
    </row>
    <row r="125" spans="1:55" ht="3.75" customHeight="1">
      <c r="A125" s="209"/>
      <c r="B125" s="160"/>
      <c r="C125" s="2298"/>
      <c r="D125" s="166"/>
      <c r="E125" s="166"/>
      <c r="F125" s="166"/>
      <c r="G125" s="166"/>
      <c r="H125" s="166"/>
      <c r="I125" s="166"/>
      <c r="J125" s="164"/>
      <c r="K125" s="165"/>
      <c r="L125" s="289"/>
      <c r="M125" s="128"/>
      <c r="N125" s="128"/>
      <c r="O125" s="128"/>
      <c r="P125" s="76"/>
      <c r="Q125" s="76"/>
      <c r="R125" s="76"/>
      <c r="S125" s="128"/>
      <c r="T125" s="2302"/>
      <c r="U125" s="130"/>
      <c r="V125" s="132"/>
      <c r="W125" s="134"/>
      <c r="X125" s="392"/>
      <c r="Y125" s="2616"/>
      <c r="Z125" s="393"/>
      <c r="AA125" s="393"/>
      <c r="AB125" s="393"/>
      <c r="AC125" s="393"/>
      <c r="AD125" s="393"/>
      <c r="AE125" s="393"/>
      <c r="AF125" s="389"/>
      <c r="AG125" s="390"/>
      <c r="AH125" s="430"/>
      <c r="AI125" s="407"/>
      <c r="AJ125" s="407"/>
      <c r="AK125" s="407"/>
      <c r="AL125" s="408"/>
      <c r="AM125" s="408"/>
      <c r="AN125" s="408"/>
      <c r="AO125" s="407"/>
      <c r="AP125" s="2694"/>
      <c r="AQ125" s="399"/>
      <c r="AR125" s="400"/>
      <c r="AS125" s="401"/>
    </row>
    <row r="126" spans="1:55">
      <c r="A126" s="220" t="s">
        <v>648</v>
      </c>
      <c r="B126" s="203" t="s">
        <v>118</v>
      </c>
      <c r="C126" s="3285"/>
      <c r="D126" s="876"/>
      <c r="E126" s="2124"/>
      <c r="F126" s="2124"/>
      <c r="G126" s="2124"/>
      <c r="H126" s="2124"/>
      <c r="I126" s="2124"/>
      <c r="J126" s="3287"/>
      <c r="K126" s="2124"/>
      <c r="L126" s="3288"/>
      <c r="M126" s="3289" t="s">
        <v>118</v>
      </c>
      <c r="N126" s="3289"/>
      <c r="O126" s="3290"/>
      <c r="P126" s="2261"/>
      <c r="Q126" s="2261"/>
      <c r="R126" s="2261"/>
      <c r="S126" s="3291"/>
      <c r="T126" s="3291"/>
      <c r="U126" s="3292"/>
      <c r="V126" s="2261"/>
      <c r="W126" s="3293"/>
      <c r="X126" s="3294" t="s">
        <v>118</v>
      </c>
      <c r="Y126" s="3284"/>
      <c r="Z126" s="922"/>
      <c r="AA126" s="2126"/>
      <c r="AB126" s="2126"/>
      <c r="AC126" s="2126"/>
      <c r="AD126" s="2126"/>
      <c r="AE126" s="2126"/>
      <c r="AF126" s="3296"/>
      <c r="AG126" s="2126"/>
      <c r="AH126" s="3297"/>
      <c r="AI126" s="3298" t="s">
        <v>118</v>
      </c>
      <c r="AJ126" s="3298"/>
      <c r="AK126" s="3299"/>
      <c r="AL126" s="2663"/>
      <c r="AM126" s="2663"/>
      <c r="AN126" s="2663"/>
      <c r="AO126" s="3300"/>
      <c r="AP126" s="3300"/>
      <c r="AQ126" s="3301"/>
      <c r="AR126" s="2663"/>
      <c r="AS126" s="401"/>
    </row>
    <row r="127" spans="1:55" customFormat="1">
      <c r="A127" s="208" t="s">
        <v>702</v>
      </c>
      <c r="B127" s="227"/>
      <c r="C127" s="171"/>
      <c r="D127" s="2322">
        <v>1323</v>
      </c>
      <c r="E127" s="225" t="str">
        <f>IF(Options!B$60=1,"kg", "lbs")</f>
        <v>lbs</v>
      </c>
      <c r="F127" s="225"/>
      <c r="G127" s="225"/>
      <c r="H127" s="225"/>
      <c r="I127" s="171"/>
      <c r="J127" s="170"/>
      <c r="K127" s="2277"/>
      <c r="L127" s="188"/>
      <c r="M127" s="44"/>
      <c r="N127" s="44"/>
      <c r="O127" s="2322">
        <v>1323</v>
      </c>
      <c r="P127" s="226" t="str">
        <f>IF(Options!C$60=1,"kg", "lbs")</f>
        <v>lbs</v>
      </c>
      <c r="Q127" s="226"/>
      <c r="R127" s="226"/>
      <c r="S127" s="44"/>
      <c r="T127" s="44"/>
      <c r="U127" s="41"/>
      <c r="V127" s="2277"/>
      <c r="W127" s="52"/>
      <c r="X127" s="565"/>
      <c r="Y127" s="419"/>
      <c r="Z127" s="2322">
        <v>1323</v>
      </c>
      <c r="AA127" s="431" t="str">
        <f>IF(Options!D$60=1,"kg", "lbs")</f>
        <v>lbs</v>
      </c>
      <c r="AB127" s="431"/>
      <c r="AC127" s="431"/>
      <c r="AD127" s="431"/>
      <c r="AE127" s="419"/>
      <c r="AF127" s="418"/>
      <c r="AG127" s="2564"/>
      <c r="AH127" s="513"/>
      <c r="AI127" s="465"/>
      <c r="AJ127" s="465"/>
      <c r="AK127" s="2322">
        <v>900</v>
      </c>
      <c r="AL127" s="434" t="str">
        <f>IF(Options!E$60=1,"kg", "lbs")</f>
        <v>lbs</v>
      </c>
      <c r="AM127" s="434"/>
      <c r="AN127" s="434"/>
      <c r="AO127" s="465"/>
      <c r="AP127" s="465"/>
      <c r="AQ127" s="464"/>
      <c r="AR127" s="2564"/>
      <c r="AS127" s="466"/>
    </row>
    <row r="128" spans="1:55" customFormat="1" ht="3" customHeight="1">
      <c r="A128" s="208"/>
      <c r="B128" s="227"/>
      <c r="C128" s="171"/>
      <c r="D128" s="2323"/>
      <c r="E128" s="2247"/>
      <c r="F128" s="2247"/>
      <c r="G128" s="2247"/>
      <c r="H128" s="2247"/>
      <c r="I128" s="171"/>
      <c r="J128" s="170"/>
      <c r="K128" s="171"/>
      <c r="L128" s="188"/>
      <c r="M128" s="44"/>
      <c r="N128" s="44"/>
      <c r="O128" s="2327"/>
      <c r="P128" s="44"/>
      <c r="Q128" s="44"/>
      <c r="R128" s="44"/>
      <c r="S128" s="44"/>
      <c r="T128" s="44"/>
      <c r="U128" s="41"/>
      <c r="V128" s="44"/>
      <c r="W128" s="52"/>
      <c r="X128" s="565"/>
      <c r="Y128" s="419"/>
      <c r="Z128" s="2652"/>
      <c r="AA128" s="2566"/>
      <c r="AB128" s="2566"/>
      <c r="AC128" s="2566"/>
      <c r="AD128" s="2566"/>
      <c r="AE128" s="419"/>
      <c r="AF128" s="418"/>
      <c r="AG128" s="419"/>
      <c r="AH128" s="513"/>
      <c r="AI128" s="465"/>
      <c r="AJ128" s="465"/>
      <c r="AK128" s="2695"/>
      <c r="AL128" s="465"/>
      <c r="AM128" s="465"/>
      <c r="AN128" s="465"/>
      <c r="AO128" s="465"/>
      <c r="AP128" s="465"/>
      <c r="AQ128" s="464"/>
      <c r="AR128" s="465"/>
      <c r="AS128" s="466"/>
    </row>
    <row r="129" spans="1:55" customFormat="1">
      <c r="A129" s="2275" t="s">
        <v>631</v>
      </c>
      <c r="B129" s="227"/>
      <c r="C129" s="171"/>
      <c r="D129" s="2321">
        <f>IF(Options!$B$54=1,IF(Options!$B$60=1,Defaults!$B$22,Defaults!$B$22*Defaults!$D$8),IF(Options!$B$54=2,IF(Options!$B$60=1,Defaults!$C$22,Defaults!$C$22*Defaults!$D$8),IF(Options!$B$60=1,Defaults!$D$22,Defaults!$D$22*Defaults!$D$8)))</f>
        <v>1433.0049500000002</v>
      </c>
      <c r="E129" s="225" t="str">
        <f>IF(Options!B$60=1,"kg", "lbs")</f>
        <v>lbs</v>
      </c>
      <c r="F129" s="225"/>
      <c r="G129" s="225"/>
      <c r="H129" s="225"/>
      <c r="I129" s="171"/>
      <c r="J129" s="170"/>
      <c r="K129" s="330">
        <v>8</v>
      </c>
      <c r="L129" s="188"/>
      <c r="M129" s="44"/>
      <c r="N129" s="44"/>
      <c r="O129" s="2331">
        <f>IF(Options!$C$54=1,IF(Options!$C$60=1,Defaults!B22,Defaults!B22*Defaults!$D$8),IF(Options!$C$54=2,IF(Options!$C$60=1,Defaults!C22,Defaults!C22*Defaults!$D$8),IF(Options!$C$60=1,Defaults!D22,Defaults!D22*Defaults!$D$8)))</f>
        <v>1433.0049500000002</v>
      </c>
      <c r="P129" s="226" t="str">
        <f>IF(Options!C$60=1,"kg", "lbs")</f>
        <v>lbs</v>
      </c>
      <c r="Q129" s="226"/>
      <c r="R129" s="226"/>
      <c r="S129" s="44"/>
      <c r="T129" s="44"/>
      <c r="U129" s="41"/>
      <c r="V129" s="2057">
        <v>8</v>
      </c>
      <c r="W129" s="52"/>
      <c r="X129" s="565"/>
      <c r="Y129" s="419"/>
      <c r="Z129" s="2653">
        <f>IF(Options!$D$54=1,IF(Options!$D$60=1,Defaults!$B$22,Defaults!$B$22*Defaults!$D$8),IF(Options!$D$54=2,IF(Options!$D$60=1,Defaults!$D$22,Defaults!$D$22*Defaults!$D$8),IF(Options!$D$60=1,Defaults!$D$22,Defaults!$D$22*Defaults!$D$8)))</f>
        <v>1433.0049500000002</v>
      </c>
      <c r="AA129" s="431" t="str">
        <f>IF(Options!D$60=1,"kg", "lbs")</f>
        <v>lbs</v>
      </c>
      <c r="AB129" s="431"/>
      <c r="AC129" s="431"/>
      <c r="AD129" s="431"/>
      <c r="AE129" s="419"/>
      <c r="AF129" s="418"/>
      <c r="AG129" s="2646">
        <v>8</v>
      </c>
      <c r="AH129" s="513"/>
      <c r="AI129" s="465"/>
      <c r="AJ129" s="465"/>
      <c r="AK129" s="2696">
        <f>IF(Options!$E$54=1,IF(Options!$E$60=1,Defaults!$B$22,Defaults!$B$22*Defaults!$D$8),IF(Options!$E$54=2,IF(Options!$E$60=1,Defaults!$C$22,Defaults!$C$22*Defaults!$D$8),IF(Options!$E$60=1,Defaults!$D$22,Defaults!$D$22*Defaults!$D$8)))</f>
        <v>881.84920000000011</v>
      </c>
      <c r="AL129" s="434" t="str">
        <f>IF(Options!E$60=1,"kg", "lbs")</f>
        <v>lbs</v>
      </c>
      <c r="AM129" s="434"/>
      <c r="AN129" s="434"/>
      <c r="AO129" s="465"/>
      <c r="AP129" s="465"/>
      <c r="AQ129" s="464"/>
      <c r="AR129" s="649">
        <v>8</v>
      </c>
      <c r="AS129" s="466"/>
      <c r="AT129" s="103"/>
      <c r="AU129" s="103"/>
      <c r="AV129" s="103"/>
      <c r="AW129" s="103"/>
      <c r="AX129" s="103"/>
      <c r="AY129" s="103"/>
      <c r="AZ129" s="103"/>
      <c r="BA129" s="40"/>
      <c r="BB129" s="40"/>
      <c r="BC129" s="40"/>
    </row>
    <row r="130" spans="1:55" customFormat="1" ht="6.75" customHeight="1">
      <c r="A130" s="2395"/>
      <c r="B130" s="230"/>
      <c r="C130" s="161"/>
      <c r="D130" s="2324"/>
      <c r="E130" s="1007"/>
      <c r="F130" s="1007"/>
      <c r="G130" s="1007"/>
      <c r="H130" s="1007"/>
      <c r="I130" s="161"/>
      <c r="J130" s="2264"/>
      <c r="K130" s="161"/>
      <c r="L130" s="191"/>
      <c r="M130" s="67"/>
      <c r="N130" s="67"/>
      <c r="O130" s="639"/>
      <c r="P130" s="67"/>
      <c r="Q130" s="67"/>
      <c r="R130" s="67"/>
      <c r="S130" s="67"/>
      <c r="T130" s="67"/>
      <c r="U130" s="66"/>
      <c r="V130" s="67"/>
      <c r="W130" s="88"/>
      <c r="X130" s="567"/>
      <c r="Y130" s="568"/>
      <c r="Z130" s="2654"/>
      <c r="AA130" s="1944"/>
      <c r="AB130" s="1944"/>
      <c r="AC130" s="1944"/>
      <c r="AD130" s="1944"/>
      <c r="AE130" s="568"/>
      <c r="AF130" s="2628"/>
      <c r="AG130" s="568"/>
      <c r="AH130" s="517"/>
      <c r="AI130" s="469"/>
      <c r="AJ130" s="469"/>
      <c r="AK130" s="640"/>
      <c r="AL130" s="469"/>
      <c r="AM130" s="469"/>
      <c r="AN130" s="469"/>
      <c r="AO130" s="469"/>
      <c r="AP130" s="469"/>
      <c r="AQ130" s="554"/>
      <c r="AR130" s="469"/>
      <c r="AS130" s="470"/>
    </row>
    <row r="131" spans="1:55" ht="3.75" customHeight="1">
      <c r="A131" s="209"/>
      <c r="B131" s="160"/>
      <c r="C131" s="2298"/>
      <c r="D131" s="166"/>
      <c r="E131" s="166"/>
      <c r="F131" s="166"/>
      <c r="G131" s="166"/>
      <c r="H131" s="166"/>
      <c r="I131" s="166"/>
      <c r="J131" s="164"/>
      <c r="K131" s="165"/>
      <c r="L131" s="289"/>
      <c r="M131" s="128"/>
      <c r="N131" s="128"/>
      <c r="O131" s="128"/>
      <c r="P131" s="76"/>
      <c r="Q131" s="76"/>
      <c r="R131" s="76"/>
      <c r="S131" s="128"/>
      <c r="T131" s="2302"/>
      <c r="U131" s="130"/>
      <c r="V131" s="132"/>
      <c r="W131" s="134"/>
      <c r="X131" s="392"/>
      <c r="Y131" s="2616"/>
      <c r="Z131" s="393"/>
      <c r="AA131" s="393"/>
      <c r="AB131" s="393"/>
      <c r="AC131" s="393"/>
      <c r="AD131" s="393"/>
      <c r="AE131" s="393"/>
      <c r="AF131" s="389"/>
      <c r="AG131" s="390"/>
      <c r="AH131" s="430"/>
      <c r="AI131" s="407"/>
      <c r="AJ131" s="407"/>
      <c r="AK131" s="407"/>
      <c r="AL131" s="408"/>
      <c r="AM131" s="408"/>
      <c r="AN131" s="408"/>
      <c r="AO131" s="407"/>
      <c r="AP131" s="2694"/>
      <c r="AQ131" s="399"/>
      <c r="AR131" s="400"/>
      <c r="AS131" s="401"/>
    </row>
    <row r="132" spans="1:55">
      <c r="A132" s="220" t="s">
        <v>649</v>
      </c>
      <c r="B132" s="203" t="s">
        <v>118</v>
      </c>
      <c r="C132" s="3286"/>
      <c r="D132" s="3307"/>
      <c r="E132" s="2124"/>
      <c r="F132" s="2124"/>
      <c r="G132" s="2124"/>
      <c r="H132" s="2124"/>
      <c r="I132" s="2125"/>
      <c r="J132" s="3287"/>
      <c r="K132" s="2124"/>
      <c r="L132" s="3288"/>
      <c r="M132" s="3289" t="s">
        <v>118</v>
      </c>
      <c r="N132" s="3289"/>
      <c r="O132" s="875"/>
      <c r="P132" s="2261"/>
      <c r="Q132" s="2261"/>
      <c r="R132" s="2261"/>
      <c r="S132" s="3291"/>
      <c r="T132" s="3291"/>
      <c r="U132" s="3292"/>
      <c r="V132" s="2261"/>
      <c r="W132" s="3293"/>
      <c r="X132" s="3294" t="s">
        <v>118</v>
      </c>
      <c r="Y132" s="3295"/>
      <c r="Z132" s="3308"/>
      <c r="AA132" s="2126"/>
      <c r="AB132" s="2126"/>
      <c r="AC132" s="2126"/>
      <c r="AD132" s="2126"/>
      <c r="AE132" s="2622"/>
      <c r="AF132" s="3296"/>
      <c r="AG132" s="2126"/>
      <c r="AH132" s="3297"/>
      <c r="AI132" s="3298" t="s">
        <v>118</v>
      </c>
      <c r="AJ132" s="3298"/>
      <c r="AK132" s="941"/>
      <c r="AL132" s="2663"/>
      <c r="AM132" s="2663"/>
      <c r="AN132" s="2663"/>
      <c r="AO132" s="3300"/>
      <c r="AP132" s="3300"/>
      <c r="AQ132" s="3301"/>
      <c r="AR132" s="2663"/>
      <c r="AS132" s="401"/>
    </row>
    <row r="133" spans="1:55" customFormat="1">
      <c r="A133" s="208" t="s">
        <v>702</v>
      </c>
      <c r="B133" s="227"/>
      <c r="C133" s="171"/>
      <c r="D133" s="2322"/>
      <c r="E133" s="225" t="str">
        <f>IF(Options!B$60=1,"kg", "lbs")</f>
        <v>lbs</v>
      </c>
      <c r="F133" s="225"/>
      <c r="G133" s="225"/>
      <c r="H133" s="225"/>
      <c r="I133" s="171"/>
      <c r="J133" s="170"/>
      <c r="K133" s="2277"/>
      <c r="L133" s="188"/>
      <c r="M133" s="44"/>
      <c r="N133" s="44"/>
      <c r="O133" s="2322"/>
      <c r="P133" s="226" t="str">
        <f>IF(Options!C$60=1,"kg", "lbs")</f>
        <v>lbs</v>
      </c>
      <c r="Q133" s="226"/>
      <c r="R133" s="226"/>
      <c r="S133" s="44"/>
      <c r="T133" s="44"/>
      <c r="U133" s="41"/>
      <c r="V133" s="2277"/>
      <c r="W133" s="52"/>
      <c r="X133" s="565"/>
      <c r="Y133" s="419"/>
      <c r="Z133" s="2322"/>
      <c r="AA133" s="431" t="str">
        <f>IF(Options!D$60=1,"kg", "lbs")</f>
        <v>lbs</v>
      </c>
      <c r="AB133" s="431"/>
      <c r="AC133" s="431"/>
      <c r="AD133" s="431"/>
      <c r="AE133" s="419"/>
      <c r="AF133" s="418"/>
      <c r="AG133" s="2564"/>
      <c r="AH133" s="513"/>
      <c r="AI133" s="465"/>
      <c r="AJ133" s="465"/>
      <c r="AK133" s="2322"/>
      <c r="AL133" s="434" t="str">
        <f>IF(Options!E$60=1,"kg", "lbs")</f>
        <v>lbs</v>
      </c>
      <c r="AM133" s="434"/>
      <c r="AN133" s="434"/>
      <c r="AO133" s="465"/>
      <c r="AP133" s="465"/>
      <c r="AQ133" s="464"/>
      <c r="AR133" s="2564"/>
      <c r="AS133" s="466"/>
    </row>
    <row r="134" spans="1:55" customFormat="1" ht="3" customHeight="1">
      <c r="A134" s="208"/>
      <c r="B134" s="227"/>
      <c r="C134" s="171"/>
      <c r="D134" s="2323"/>
      <c r="E134" s="2247"/>
      <c r="F134" s="2247"/>
      <c r="G134" s="2247"/>
      <c r="H134" s="2247"/>
      <c r="I134" s="171"/>
      <c r="J134" s="170"/>
      <c r="K134" s="171"/>
      <c r="L134" s="188"/>
      <c r="M134" s="44"/>
      <c r="N134" s="44"/>
      <c r="O134" s="2327"/>
      <c r="P134" s="44"/>
      <c r="Q134" s="44"/>
      <c r="R134" s="44"/>
      <c r="S134" s="44"/>
      <c r="T134" s="44"/>
      <c r="U134" s="41"/>
      <c r="V134" s="44"/>
      <c r="W134" s="52"/>
      <c r="X134" s="565"/>
      <c r="Y134" s="419"/>
      <c r="Z134" s="2652"/>
      <c r="AA134" s="2566"/>
      <c r="AB134" s="2566"/>
      <c r="AC134" s="2566"/>
      <c r="AD134" s="2566"/>
      <c r="AE134" s="419"/>
      <c r="AF134" s="418"/>
      <c r="AG134" s="419"/>
      <c r="AH134" s="513"/>
      <c r="AI134" s="465"/>
      <c r="AJ134" s="465"/>
      <c r="AK134" s="2695"/>
      <c r="AL134" s="465"/>
      <c r="AM134" s="465"/>
      <c r="AN134" s="465"/>
      <c r="AO134" s="465"/>
      <c r="AP134" s="465"/>
      <c r="AQ134" s="464"/>
      <c r="AR134" s="465"/>
      <c r="AS134" s="466"/>
    </row>
    <row r="135" spans="1:55" customFormat="1">
      <c r="A135" s="2275" t="s">
        <v>631</v>
      </c>
      <c r="B135" s="227"/>
      <c r="C135" s="171"/>
      <c r="D135" s="2321">
        <f>IF(Options!$B$54=1,IF(Options!$B$60=1,Defaults!$B$23,Defaults!$B$23*Defaults!$D$8),IF(Options!$B$54=2,IF(Options!$B$60=1,Defaults!$C$23,Defaults!$C$23*Defaults!$D$8),IF(Options!$B$60=1,Defaults!$D$23,Defaults!$D$23*Defaults!$D$8)))</f>
        <v>1664.4903650000001</v>
      </c>
      <c r="E135" s="225" t="str">
        <f>IF(Options!B$60=1,"kg", "lbs")</f>
        <v>lbs</v>
      </c>
      <c r="F135" s="225"/>
      <c r="G135" s="225"/>
      <c r="H135" s="225"/>
      <c r="I135" s="171"/>
      <c r="J135" s="170"/>
      <c r="K135" s="330">
        <v>8</v>
      </c>
      <c r="L135" s="188"/>
      <c r="M135" s="44"/>
      <c r="N135" s="44"/>
      <c r="O135" s="2331">
        <f>IF(Options!$C$54=1,IF(Options!$C$60=1,Defaults!B23,Defaults!B23*Defaults!$D$8),IF(Options!$C$54=2,IF(Options!$C$60=1,Defaults!C23,Defaults!C23*Defaults!$D$8),IF(Options!$C$60=1,Defaults!D23,Defaults!D23*Defaults!$D$8)))</f>
        <v>1664.4903650000001</v>
      </c>
      <c r="P135" s="226" t="str">
        <f>IF(Options!C$60=1,"kg", "lbs")</f>
        <v>lbs</v>
      </c>
      <c r="Q135" s="226"/>
      <c r="R135" s="226"/>
      <c r="S135" s="44"/>
      <c r="T135" s="44"/>
      <c r="U135" s="41"/>
      <c r="V135" s="2057">
        <v>8</v>
      </c>
      <c r="W135" s="52"/>
      <c r="X135" s="565"/>
      <c r="Y135" s="419"/>
      <c r="Z135" s="2653">
        <f>IF(Options!$D$54=1,IF(Options!$D$60=1,Defaults!$B$23,Defaults!$B$23*Defaults!$D$8),IF(Options!$D$54=2,IF(Options!$D$60=1,Defaults!$C$23,Defaults!$C$23*Defaults!$D$8),IF(Options!$D$60=1,Defaults!$D$23,Defaults!$D$23*Defaults!$D$8)))</f>
        <v>1664.4903650000001</v>
      </c>
      <c r="AA135" s="431" t="str">
        <f>IF(Options!D$60=1,"kg", "lbs")</f>
        <v>lbs</v>
      </c>
      <c r="AB135" s="431"/>
      <c r="AC135" s="431"/>
      <c r="AD135" s="431"/>
      <c r="AE135" s="419"/>
      <c r="AF135" s="418"/>
      <c r="AG135" s="2646">
        <v>8</v>
      </c>
      <c r="AH135" s="513"/>
      <c r="AI135" s="465"/>
      <c r="AJ135" s="465"/>
      <c r="AK135" s="2696">
        <f>IF(Options!$E$54=1,IF(Options!$E$60=1,Defaults!$B$23,Defaults!$B$23*Defaults!$D$8),IF(Options!$E$54=2,IF(Options!$E$60=1,Defaults!$C$23,Defaults!$C$23*Defaults!$D$8),IF(Options!$E$60=1,Defaults!$D$23,Defaults!$D$23*Defaults!$D$8)))</f>
        <v>1102.3115</v>
      </c>
      <c r="AL135" s="434" t="str">
        <f>IF(Options!E$60=1,"kg", "lbs")</f>
        <v>lbs</v>
      </c>
      <c r="AM135" s="434"/>
      <c r="AN135" s="434"/>
      <c r="AO135" s="465"/>
      <c r="AP135" s="465"/>
      <c r="AQ135" s="464"/>
      <c r="AR135" s="649">
        <v>8</v>
      </c>
      <c r="AS135" s="466"/>
      <c r="AT135" s="103"/>
      <c r="AU135" s="103"/>
      <c r="AV135" s="103"/>
      <c r="AW135" s="46" t="s">
        <v>650</v>
      </c>
      <c r="AX135" s="103"/>
      <c r="AY135" s="103"/>
      <c r="AZ135" s="103"/>
      <c r="BA135" s="40"/>
      <c r="BB135" s="40"/>
      <c r="BC135" s="40"/>
    </row>
    <row r="136" spans="1:55" ht="6.75" customHeight="1">
      <c r="A136" s="361"/>
      <c r="B136" s="1012"/>
      <c r="C136" s="2294"/>
      <c r="D136" s="2326"/>
      <c r="E136" s="1013"/>
      <c r="F136" s="1013"/>
      <c r="G136" s="2265"/>
      <c r="H136" s="2265"/>
      <c r="I136" s="2265"/>
      <c r="J136" s="1014"/>
      <c r="K136" s="1015"/>
      <c r="L136" s="1016"/>
      <c r="M136" s="1017"/>
      <c r="N136" s="1017"/>
      <c r="O136" s="2328"/>
      <c r="P136" s="1018"/>
      <c r="Q136" s="1018"/>
      <c r="R136" s="1018"/>
      <c r="S136" s="1017"/>
      <c r="T136" s="1017"/>
      <c r="U136" s="2244"/>
      <c r="V136" s="2245"/>
      <c r="W136" s="2246"/>
      <c r="X136" s="2643"/>
      <c r="Y136" s="2644"/>
      <c r="Z136" s="2656"/>
      <c r="AA136" s="2623"/>
      <c r="AB136" s="2623"/>
      <c r="AC136" s="2624"/>
      <c r="AD136" s="2624"/>
      <c r="AE136" s="2624"/>
      <c r="AF136" s="2648"/>
      <c r="AG136" s="2649"/>
      <c r="AH136" s="2650"/>
      <c r="AI136" s="2688"/>
      <c r="AJ136" s="2688"/>
      <c r="AK136" s="2697"/>
      <c r="AL136" s="1955"/>
      <c r="AM136" s="1955"/>
      <c r="AN136" s="1955"/>
      <c r="AO136" s="2688"/>
      <c r="AP136" s="2688"/>
      <c r="AQ136" s="454"/>
      <c r="AR136" s="2686"/>
      <c r="AS136" s="2687"/>
    </row>
    <row r="137" spans="1:55" ht="3.75" customHeight="1">
      <c r="A137" s="209"/>
      <c r="B137" s="160"/>
      <c r="C137" s="2298"/>
      <c r="D137" s="166"/>
      <c r="E137" s="166"/>
      <c r="F137" s="166"/>
      <c r="G137" s="166"/>
      <c r="H137" s="166"/>
      <c r="I137" s="166"/>
      <c r="J137" s="164"/>
      <c r="K137" s="165"/>
      <c r="L137" s="289"/>
      <c r="M137" s="128"/>
      <c r="N137" s="128"/>
      <c r="O137" s="128"/>
      <c r="P137" s="76"/>
      <c r="Q137" s="76"/>
      <c r="R137" s="76"/>
      <c r="S137" s="128"/>
      <c r="T137" s="2302"/>
      <c r="U137" s="130"/>
      <c r="V137" s="132"/>
      <c r="W137" s="134"/>
      <c r="X137" s="392"/>
      <c r="Y137" s="2616"/>
      <c r="Z137" s="393"/>
      <c r="AA137" s="393"/>
      <c r="AB137" s="393"/>
      <c r="AC137" s="393"/>
      <c r="AD137" s="393"/>
      <c r="AE137" s="393"/>
      <c r="AF137" s="389"/>
      <c r="AG137" s="390"/>
      <c r="AH137" s="430"/>
      <c r="AI137" s="407"/>
      <c r="AJ137" s="407"/>
      <c r="AK137" s="407"/>
      <c r="AL137" s="408"/>
      <c r="AM137" s="408"/>
      <c r="AN137" s="408"/>
      <c r="AO137" s="407"/>
      <c r="AP137" s="2694"/>
      <c r="AQ137" s="399"/>
      <c r="AR137" s="400"/>
      <c r="AS137" s="401"/>
    </row>
    <row r="138" spans="1:55">
      <c r="A138" s="220" t="s">
        <v>654</v>
      </c>
      <c r="B138" s="203" t="s">
        <v>118</v>
      </c>
      <c r="C138" s="3286"/>
      <c r="D138" s="3307"/>
      <c r="E138" s="2124"/>
      <c r="F138" s="2124"/>
      <c r="G138" s="2124"/>
      <c r="H138" s="2124"/>
      <c r="I138" s="2124"/>
      <c r="J138" s="3287"/>
      <c r="K138" s="2124"/>
      <c r="L138" s="3288"/>
      <c r="M138" s="3289" t="s">
        <v>118</v>
      </c>
      <c r="N138" s="3289"/>
      <c r="O138" s="875"/>
      <c r="P138" s="2261"/>
      <c r="Q138" s="2261"/>
      <c r="R138" s="2261"/>
      <c r="S138" s="3291"/>
      <c r="T138" s="3291"/>
      <c r="U138" s="3292"/>
      <c r="V138" s="2261"/>
      <c r="W138" s="3293"/>
      <c r="X138" s="3294" t="s">
        <v>118</v>
      </c>
      <c r="Y138" s="3295"/>
      <c r="Z138" s="3308"/>
      <c r="AA138" s="2126"/>
      <c r="AB138" s="2126"/>
      <c r="AC138" s="2126"/>
      <c r="AD138" s="2126"/>
      <c r="AE138" s="2126"/>
      <c r="AF138" s="3296"/>
      <c r="AG138" s="2126"/>
      <c r="AH138" s="3297"/>
      <c r="AI138" s="3298" t="s">
        <v>118</v>
      </c>
      <c r="AJ138" s="3298"/>
      <c r="AK138" s="941"/>
      <c r="AL138" s="2663"/>
      <c r="AM138" s="2663"/>
      <c r="AN138" s="2663"/>
      <c r="AO138" s="3300"/>
      <c r="AP138" s="3300"/>
      <c r="AQ138" s="3301"/>
      <c r="AR138" s="2663"/>
      <c r="AS138" s="401"/>
    </row>
    <row r="139" spans="1:55" customFormat="1">
      <c r="A139" s="208" t="s">
        <v>702</v>
      </c>
      <c r="B139" s="227"/>
      <c r="C139" s="171"/>
      <c r="D139" s="2322"/>
      <c r="E139" s="225" t="str">
        <f>IF(Options!B$60=1,"kg", "lbs")</f>
        <v>lbs</v>
      </c>
      <c r="F139" s="225"/>
      <c r="G139" s="225"/>
      <c r="H139" s="225"/>
      <c r="I139" s="171"/>
      <c r="J139" s="170"/>
      <c r="K139" s="2277"/>
      <c r="L139" s="188"/>
      <c r="M139" s="44"/>
      <c r="N139" s="44"/>
      <c r="O139" s="2322"/>
      <c r="P139" s="226" t="str">
        <f>IF(Options!C$60=1,"kg", "lbs")</f>
        <v>lbs</v>
      </c>
      <c r="Q139" s="226"/>
      <c r="R139" s="226"/>
      <c r="S139" s="44"/>
      <c r="T139" s="44"/>
      <c r="U139" s="41"/>
      <c r="V139" s="2277"/>
      <c r="W139" s="52"/>
      <c r="X139" s="565"/>
      <c r="Y139" s="419"/>
      <c r="Z139" s="2322"/>
      <c r="AA139" s="431" t="str">
        <f>IF(Options!D$60=1,"kg", "lbs")</f>
        <v>lbs</v>
      </c>
      <c r="AB139" s="431"/>
      <c r="AC139" s="431"/>
      <c r="AD139" s="431"/>
      <c r="AE139" s="419"/>
      <c r="AF139" s="418"/>
      <c r="AG139" s="2564"/>
      <c r="AH139" s="513"/>
      <c r="AI139" s="465"/>
      <c r="AJ139" s="465"/>
      <c r="AK139" s="2322"/>
      <c r="AL139" s="434" t="str">
        <f>IF(Options!E$60=1,"kg", "lbs")</f>
        <v>lbs</v>
      </c>
      <c r="AM139" s="434"/>
      <c r="AN139" s="434"/>
      <c r="AO139" s="465"/>
      <c r="AP139" s="465"/>
      <c r="AQ139" s="464"/>
      <c r="AR139" s="2564"/>
      <c r="AS139" s="466"/>
      <c r="AT139" s="21"/>
    </row>
    <row r="140" spans="1:55" customFormat="1" ht="3" customHeight="1">
      <c r="A140" s="208"/>
      <c r="B140" s="227"/>
      <c r="C140" s="171"/>
      <c r="D140" s="2323"/>
      <c r="E140" s="2247"/>
      <c r="F140" s="2247"/>
      <c r="G140" s="2247"/>
      <c r="H140" s="2247"/>
      <c r="I140" s="171"/>
      <c r="J140" s="170"/>
      <c r="K140" s="171"/>
      <c r="L140" s="188"/>
      <c r="M140" s="44"/>
      <c r="N140" s="44"/>
      <c r="O140" s="2327"/>
      <c r="P140" s="44"/>
      <c r="Q140" s="44"/>
      <c r="R140" s="44"/>
      <c r="S140" s="44"/>
      <c r="T140" s="44"/>
      <c r="U140" s="41"/>
      <c r="V140" s="44"/>
      <c r="W140" s="52"/>
      <c r="X140" s="565"/>
      <c r="Y140" s="419"/>
      <c r="Z140" s="2652"/>
      <c r="AA140" s="2566"/>
      <c r="AB140" s="2566"/>
      <c r="AC140" s="2566"/>
      <c r="AD140" s="2566"/>
      <c r="AE140" s="419"/>
      <c r="AF140" s="418"/>
      <c r="AG140" s="419"/>
      <c r="AH140" s="513"/>
      <c r="AI140" s="465"/>
      <c r="AJ140" s="465"/>
      <c r="AK140" s="2695"/>
      <c r="AL140" s="465"/>
      <c r="AM140" s="465"/>
      <c r="AN140" s="465"/>
      <c r="AO140" s="465"/>
      <c r="AP140" s="465"/>
      <c r="AQ140" s="464"/>
      <c r="AR140" s="465"/>
      <c r="AS140" s="466"/>
    </row>
    <row r="141" spans="1:55" customFormat="1">
      <c r="A141" s="2275" t="s">
        <v>631</v>
      </c>
      <c r="B141" s="227"/>
      <c r="C141" s="171"/>
      <c r="D141" s="2321">
        <f>IF(Options!$B$54=1,IF(Options!$B$60=1,Defaults!$B$24,Defaults!$B$24*Defaults!$D$8),IF(Options!$B$54=2,IF(Options!$B$60=1,Defaults!$C$24,Defaults!$C$24*Defaults!$D$8),IF(Options!$B$60=1,Defaults!$D$24,Defaults!$D$24*Defaults!$D$8)))</f>
        <v>963.42025100000012</v>
      </c>
      <c r="E141" s="225" t="str">
        <f>IF(Options!B$60=1,"kg", "lbs")</f>
        <v>lbs</v>
      </c>
      <c r="F141" s="225"/>
      <c r="G141" s="225"/>
      <c r="H141" s="225"/>
      <c r="I141" s="171"/>
      <c r="J141" s="170"/>
      <c r="K141" s="330">
        <v>8</v>
      </c>
      <c r="L141" s="188"/>
      <c r="M141" s="44"/>
      <c r="N141" s="44"/>
      <c r="O141" s="2331">
        <f>IF(Options!$C$54=1,IF(Options!$C$60=1,Defaults!B24,Defaults!B24*Defaults!$D$8),IF(Options!$C$54=2,IF(Options!$C$60=1,Defaults!C24,Defaults!C24*Defaults!$D$8),IF(Options!$C$60=1,Defaults!D24,Defaults!D24*Defaults!$D$8)))</f>
        <v>963.42025100000012</v>
      </c>
      <c r="P141" s="226" t="str">
        <f>IF(Options!C$60=1,"kg", "lbs")</f>
        <v>lbs</v>
      </c>
      <c r="Q141" s="226"/>
      <c r="R141" s="226"/>
      <c r="S141" s="44"/>
      <c r="T141" s="44"/>
      <c r="U141" s="41"/>
      <c r="V141" s="2057">
        <v>8</v>
      </c>
      <c r="W141" s="52"/>
      <c r="X141" s="565"/>
      <c r="Y141" s="419"/>
      <c r="Z141" s="2653">
        <f>IF(Options!$D$54=1,IF(Options!$D$60=1,Defaults!$B$24,Defaults!$B$24*Defaults!$D$8),IF(Options!$D$54=2,IF(Options!$D$60=1,Defaults!$C$24,Defaults!$C$24*Defaults!$D$8),IF(Options!$D$60=1,Defaults!$D$24,Defaults!$D$24*Defaults!$D$8)))</f>
        <v>963.42025100000012</v>
      </c>
      <c r="AA141" s="431" t="str">
        <f>IF(Options!D$60=1,"kg", "lbs")</f>
        <v>lbs</v>
      </c>
      <c r="AB141" s="431"/>
      <c r="AC141" s="431"/>
      <c r="AD141" s="431"/>
      <c r="AE141" s="419"/>
      <c r="AF141" s="418"/>
      <c r="AG141" s="2646">
        <v>8</v>
      </c>
      <c r="AH141" s="513"/>
      <c r="AI141" s="465"/>
      <c r="AJ141" s="465"/>
      <c r="AK141" s="2696">
        <f>IF(Options!$E$54=1,IF(Options!$E$60=1,Defaults!$B$24,Defaults!$B$24*Defaults!$D$8),IF(Options!$E$54=2,IF(Options!$E$60=1,Defaults!$C$24,Defaults!$C$24*Defaults!$D$8),IF(Options!$E$60=1,Defaults!$D$24,Defaults!$D$24*Defaults!$D$8)))</f>
        <v>606.27132500000005</v>
      </c>
      <c r="AL141" s="434" t="str">
        <f>IF(Options!E$60=1,"kg", "lbs")</f>
        <v>lbs</v>
      </c>
      <c r="AM141" s="434"/>
      <c r="AN141" s="434"/>
      <c r="AO141" s="465"/>
      <c r="AP141" s="465"/>
      <c r="AQ141" s="464"/>
      <c r="AR141" s="649">
        <v>8</v>
      </c>
      <c r="AS141" s="466"/>
      <c r="AT141" s="103"/>
      <c r="AU141" s="103"/>
      <c r="AV141" s="103"/>
      <c r="AW141" s="103"/>
      <c r="AX141" s="103"/>
      <c r="AY141" s="103"/>
      <c r="AZ141" s="103"/>
      <c r="BA141" s="40"/>
      <c r="BB141" s="40"/>
      <c r="BC141" s="40"/>
    </row>
    <row r="142" spans="1:55" ht="6.75" customHeight="1">
      <c r="A142" s="361"/>
      <c r="B142" s="1012"/>
      <c r="C142" s="2294"/>
      <c r="D142" s="2326"/>
      <c r="E142" s="1013"/>
      <c r="F142" s="1013"/>
      <c r="G142" s="2265"/>
      <c r="H142" s="2265"/>
      <c r="I142" s="2265"/>
      <c r="J142" s="1014"/>
      <c r="K142" s="1015"/>
      <c r="L142" s="1016"/>
      <c r="M142" s="1017"/>
      <c r="N142" s="1017"/>
      <c r="O142" s="2328"/>
      <c r="P142" s="1018"/>
      <c r="Q142" s="1018"/>
      <c r="R142" s="1018"/>
      <c r="S142" s="1017"/>
      <c r="T142" s="1017"/>
      <c r="U142" s="2244"/>
      <c r="V142" s="2245"/>
      <c r="W142" s="2246"/>
      <c r="X142" s="2643"/>
      <c r="Y142" s="2644"/>
      <c r="Z142" s="2656"/>
      <c r="AA142" s="2623"/>
      <c r="AB142" s="2623"/>
      <c r="AC142" s="2624"/>
      <c r="AD142" s="2624"/>
      <c r="AE142" s="2624"/>
      <c r="AF142" s="2648"/>
      <c r="AG142" s="2649"/>
      <c r="AH142" s="2650"/>
      <c r="AI142" s="2688"/>
      <c r="AJ142" s="2688"/>
      <c r="AK142" s="2697"/>
      <c r="AL142" s="1955"/>
      <c r="AM142" s="1955"/>
      <c r="AN142" s="1955"/>
      <c r="AO142" s="2688"/>
      <c r="AP142" s="2688"/>
      <c r="AQ142" s="454"/>
      <c r="AR142" s="2686"/>
      <c r="AS142" s="2687"/>
    </row>
    <row r="143" spans="1:55" ht="2.25" customHeight="1">
      <c r="A143" s="209"/>
      <c r="B143" s="160"/>
      <c r="C143" s="2298"/>
      <c r="D143" s="2325"/>
      <c r="E143" s="166"/>
      <c r="F143" s="166"/>
      <c r="G143" s="293"/>
      <c r="H143" s="293"/>
      <c r="I143" s="293"/>
      <c r="J143" s="164"/>
      <c r="K143" s="165"/>
      <c r="L143" s="289"/>
      <c r="M143" s="128"/>
      <c r="N143" s="128"/>
      <c r="O143" s="2733"/>
      <c r="P143" s="76"/>
      <c r="Q143" s="76"/>
      <c r="R143" s="76"/>
      <c r="S143" s="128"/>
      <c r="T143" s="128"/>
      <c r="U143" s="130"/>
      <c r="V143" s="132"/>
      <c r="W143" s="134"/>
      <c r="X143" s="392"/>
      <c r="Y143" s="2616"/>
      <c r="Z143" s="2655"/>
      <c r="AA143" s="393"/>
      <c r="AB143" s="393"/>
      <c r="AC143" s="410"/>
      <c r="AD143" s="410"/>
      <c r="AE143" s="410"/>
      <c r="AF143" s="389"/>
      <c r="AG143" s="390"/>
      <c r="AH143" s="430"/>
      <c r="AI143" s="407"/>
      <c r="AJ143" s="407"/>
      <c r="AK143" s="2734"/>
      <c r="AL143" s="408"/>
      <c r="AM143" s="408"/>
      <c r="AN143" s="408"/>
      <c r="AO143" s="407"/>
      <c r="AP143" s="407"/>
      <c r="AQ143" s="399"/>
      <c r="AR143" s="400"/>
      <c r="AS143" s="401"/>
    </row>
    <row r="144" spans="1:55">
      <c r="A144" s="220" t="s">
        <v>655</v>
      </c>
      <c r="B144" s="203" t="s">
        <v>118</v>
      </c>
      <c r="C144" s="3286"/>
      <c r="D144" s="3307"/>
      <c r="E144" s="2124"/>
      <c r="F144" s="2124"/>
      <c r="G144" s="2124"/>
      <c r="H144" s="2124"/>
      <c r="I144" s="2125"/>
      <c r="J144" s="3287"/>
      <c r="K144" s="2124"/>
      <c r="L144" s="3288"/>
      <c r="M144" s="3289" t="s">
        <v>118</v>
      </c>
      <c r="N144" s="3289"/>
      <c r="O144" s="875"/>
      <c r="P144" s="2261"/>
      <c r="Q144" s="2261"/>
      <c r="R144" s="2261"/>
      <c r="S144" s="3291"/>
      <c r="T144" s="3291"/>
      <c r="U144" s="3292"/>
      <c r="V144" s="2261"/>
      <c r="W144" s="3293"/>
      <c r="X144" s="3294" t="s">
        <v>118</v>
      </c>
      <c r="Y144" s="3295"/>
      <c r="Z144" s="3308"/>
      <c r="AA144" s="2126"/>
      <c r="AB144" s="2126"/>
      <c r="AC144" s="2126"/>
      <c r="AD144" s="2126"/>
      <c r="AE144" s="2622"/>
      <c r="AF144" s="3296"/>
      <c r="AG144" s="2126"/>
      <c r="AH144" s="3297"/>
      <c r="AI144" s="3298" t="s">
        <v>118</v>
      </c>
      <c r="AJ144" s="3298"/>
      <c r="AK144" s="941"/>
      <c r="AL144" s="2663"/>
      <c r="AM144" s="2663"/>
      <c r="AN144" s="2663"/>
      <c r="AO144" s="3300"/>
      <c r="AP144" s="3300"/>
      <c r="AQ144" s="3301"/>
      <c r="AR144" s="2663"/>
      <c r="AS144" s="401"/>
    </row>
    <row r="145" spans="1:55" customFormat="1">
      <c r="A145" s="208" t="s">
        <v>702</v>
      </c>
      <c r="B145" s="227"/>
      <c r="C145" s="171"/>
      <c r="D145" s="2322"/>
      <c r="E145" s="225" t="str">
        <f>IF(Options!B$60=1,"kg", "lbs")</f>
        <v>lbs</v>
      </c>
      <c r="F145" s="225"/>
      <c r="G145" s="225"/>
      <c r="H145" s="225"/>
      <c r="I145" s="171"/>
      <c r="J145" s="170"/>
      <c r="K145" s="2277"/>
      <c r="L145" s="188"/>
      <c r="M145" s="44"/>
      <c r="N145" s="44"/>
      <c r="O145" s="2322"/>
      <c r="P145" s="226" t="str">
        <f>IF(Options!C$60=1,"kg", "lbs")</f>
        <v>lbs</v>
      </c>
      <c r="Q145" s="226"/>
      <c r="R145" s="226"/>
      <c r="S145" s="44"/>
      <c r="T145" s="44"/>
      <c r="U145" s="41"/>
      <c r="V145" s="2277"/>
      <c r="W145" s="52"/>
      <c r="X145" s="565"/>
      <c r="Y145" s="419"/>
      <c r="Z145" s="2322"/>
      <c r="AA145" s="431" t="str">
        <f>IF(Options!D$60=1,"kg", "lbs")</f>
        <v>lbs</v>
      </c>
      <c r="AB145" s="431"/>
      <c r="AC145" s="431"/>
      <c r="AD145" s="431"/>
      <c r="AE145" s="419"/>
      <c r="AF145" s="418"/>
      <c r="AG145" s="2564"/>
      <c r="AH145" s="513"/>
      <c r="AI145" s="465"/>
      <c r="AJ145" s="465"/>
      <c r="AK145" s="2322"/>
      <c r="AL145" s="434" t="str">
        <f>IF(Options!E$60=1,"kg", "lbs")</f>
        <v>lbs</v>
      </c>
      <c r="AM145" s="434"/>
      <c r="AN145" s="434"/>
      <c r="AO145" s="465"/>
      <c r="AP145" s="465"/>
      <c r="AQ145" s="464"/>
      <c r="AR145" s="2564"/>
      <c r="AS145" s="466"/>
    </row>
    <row r="146" spans="1:55" customFormat="1" ht="3" customHeight="1">
      <c r="A146" s="208"/>
      <c r="B146" s="227"/>
      <c r="C146" s="171"/>
      <c r="D146" s="2323"/>
      <c r="E146" s="2247"/>
      <c r="F146" s="2247"/>
      <c r="G146" s="2247"/>
      <c r="H146" s="2247"/>
      <c r="I146" s="171"/>
      <c r="J146" s="170"/>
      <c r="K146" s="171"/>
      <c r="L146" s="188"/>
      <c r="M146" s="44"/>
      <c r="N146" s="44"/>
      <c r="O146" s="2327"/>
      <c r="P146" s="44"/>
      <c r="Q146" s="44"/>
      <c r="R146" s="44"/>
      <c r="S146" s="44"/>
      <c r="T146" s="44"/>
      <c r="U146" s="41"/>
      <c r="V146" s="44"/>
      <c r="W146" s="52"/>
      <c r="X146" s="565"/>
      <c r="Y146" s="419"/>
      <c r="Z146" s="2652"/>
      <c r="AA146" s="2566"/>
      <c r="AB146" s="2566"/>
      <c r="AC146" s="2566"/>
      <c r="AD146" s="2566"/>
      <c r="AE146" s="419"/>
      <c r="AF146" s="418"/>
      <c r="AG146" s="419"/>
      <c r="AH146" s="513"/>
      <c r="AI146" s="465"/>
      <c r="AJ146" s="465"/>
      <c r="AK146" s="2695"/>
      <c r="AL146" s="465"/>
      <c r="AM146" s="465"/>
      <c r="AN146" s="465"/>
      <c r="AO146" s="465"/>
      <c r="AP146" s="465"/>
      <c r="AQ146" s="464"/>
      <c r="AR146" s="465"/>
      <c r="AS146" s="466"/>
    </row>
    <row r="147" spans="1:55" customFormat="1">
      <c r="A147" s="2593" t="s">
        <v>631</v>
      </c>
      <c r="B147" s="227"/>
      <c r="C147" s="171"/>
      <c r="D147" s="2321">
        <f>IF(Options!$B$54=1,IF(Options!$B$60=1,Defaults!$B$25,Defaults!$B$25*Defaults!$D$8),IF(Options!$B$54=2,IF(Options!$B$60=1,Defaults!$C$25,Defaults!$C$25*Defaults!$D$8),IF(Options!$B$60=1,Defaults!$D$25,Defaults!$D$25*Defaults!$D$8)))</f>
        <v>337.30731900000001</v>
      </c>
      <c r="E147" s="186" t="str">
        <f>IF(Options!B$60=1,"kg", "lbs")</f>
        <v>lbs</v>
      </c>
      <c r="F147" s="186"/>
      <c r="G147" s="186"/>
      <c r="H147" s="186"/>
      <c r="I147" s="171"/>
      <c r="J147" s="170"/>
      <c r="K147" s="330">
        <v>8</v>
      </c>
      <c r="L147" s="188"/>
      <c r="M147" s="44"/>
      <c r="N147" s="44"/>
      <c r="O147" s="2331">
        <f>IF(Options!$C$54=1,IF(Options!$C$60=1,Defaults!B25,Defaults!B25*Defaults!$D$8),IF(Options!$C$54=2,IF(Options!$C$60=1,Defaults!C25,Defaults!C25*Defaults!$D$8),IF(Options!$C$60=1,Defaults!D25,Defaults!D25*Defaults!$D$8)))</f>
        <v>337.30731900000001</v>
      </c>
      <c r="P147" s="44" t="str">
        <f>IF(Options!C$60=1,"kg", "lbs")</f>
        <v>lbs</v>
      </c>
      <c r="Q147" s="44"/>
      <c r="R147" s="44"/>
      <c r="S147" s="44"/>
      <c r="T147" s="44"/>
      <c r="U147" s="41"/>
      <c r="V147" s="2057">
        <v>8</v>
      </c>
      <c r="W147" s="52"/>
      <c r="X147" s="565"/>
      <c r="Y147" s="419"/>
      <c r="Z147" s="2653">
        <f>IF(Options!$D$54=1,IF(Options!$D$60=1,Defaults!$B$25,Defaults!$B$25*Defaults!$D$8),IF(Options!$D$54=2,IF(Options!$D$60=1,Defaults!$C$25,Defaults!$C$25*Defaults!$D$8),IF(Options!$D$60=1,Defaults!$D$25,Defaults!$D$25*Defaults!$D$8)))</f>
        <v>337.30731900000001</v>
      </c>
      <c r="AA147" s="431" t="str">
        <f>IF(Options!D$60=1,"kg", "lbs")</f>
        <v>lbs</v>
      </c>
      <c r="AB147" s="511"/>
      <c r="AC147" s="511"/>
      <c r="AD147" s="511"/>
      <c r="AE147" s="419"/>
      <c r="AF147" s="418"/>
      <c r="AG147" s="2646">
        <v>8</v>
      </c>
      <c r="AH147" s="513"/>
      <c r="AI147" s="465"/>
      <c r="AJ147" s="465"/>
      <c r="AK147" s="2696">
        <f>IF(Options!$E$54=1,IF(Options!$E$60=1,Defaults!$B$25,Defaults!$B$25*Defaults!$D$8),IF(Options!$E$54=2,IF(Options!$E$60=1,Defaults!$C$25,Defaults!$C$25*Defaults!$D$8),IF(Options!$E$60=1,Defaults!$D$25,Defaults!$D$25*Defaults!$D$8)))</f>
        <v>220.46230000000003</v>
      </c>
      <c r="AL147" s="434" t="str">
        <f>IF(Options!E$60=1,"kg", "lbs")</f>
        <v>lbs</v>
      </c>
      <c r="AM147" s="465"/>
      <c r="AN147" s="465"/>
      <c r="AO147" s="465"/>
      <c r="AP147" s="465"/>
      <c r="AQ147" s="464"/>
      <c r="AR147" s="649">
        <v>8</v>
      </c>
      <c r="AS147" s="466"/>
      <c r="AT147" s="103"/>
      <c r="AU147" s="103"/>
      <c r="AV147" s="103"/>
      <c r="AW147" s="103"/>
      <c r="AX147" s="103"/>
      <c r="AY147" s="103"/>
      <c r="AZ147" s="103"/>
      <c r="BA147" s="40"/>
      <c r="BB147" s="40"/>
      <c r="BC147" s="40"/>
    </row>
    <row r="148" spans="1:55" ht="6" customHeight="1">
      <c r="A148" s="264"/>
      <c r="B148" s="1012"/>
      <c r="C148" s="2294"/>
      <c r="D148" s="1013"/>
      <c r="E148" s="1013"/>
      <c r="F148" s="1013"/>
      <c r="G148" s="1013"/>
      <c r="H148" s="1013"/>
      <c r="I148" s="1013"/>
      <c r="J148" s="1014"/>
      <c r="K148" s="1015"/>
      <c r="L148" s="1016"/>
      <c r="M148" s="1017"/>
      <c r="N148" s="1017"/>
      <c r="O148" s="1017"/>
      <c r="P148" s="1018"/>
      <c r="Q148" s="1018"/>
      <c r="R148" s="1018"/>
      <c r="S148" s="1017"/>
      <c r="T148" s="2735"/>
      <c r="U148" s="2244"/>
      <c r="V148" s="2245"/>
      <c r="W148" s="2246"/>
      <c r="X148" s="2643"/>
      <c r="Y148" s="2644"/>
      <c r="Z148" s="2623"/>
      <c r="AA148" s="2623"/>
      <c r="AB148" s="2623"/>
      <c r="AC148" s="2623"/>
      <c r="AD148" s="2623"/>
      <c r="AE148" s="2623"/>
      <c r="AF148" s="2648"/>
      <c r="AG148" s="2649"/>
      <c r="AH148" s="2650"/>
      <c r="AI148" s="2688"/>
      <c r="AJ148" s="2688"/>
      <c r="AK148" s="2688"/>
      <c r="AL148" s="1955"/>
      <c r="AM148" s="1955"/>
      <c r="AN148" s="1955"/>
      <c r="AO148" s="2688"/>
      <c r="AP148" s="2736"/>
      <c r="AQ148" s="454"/>
      <c r="AR148" s="2686"/>
      <c r="AS148" s="2687"/>
    </row>
    <row r="149" spans="1:55" ht="3.75" customHeight="1">
      <c r="A149" s="209"/>
      <c r="B149" s="160"/>
      <c r="C149" s="2298"/>
      <c r="D149" s="166"/>
      <c r="E149" s="166"/>
      <c r="F149" s="166"/>
      <c r="G149" s="166"/>
      <c r="H149" s="166"/>
      <c r="I149" s="166"/>
      <c r="J149" s="164"/>
      <c r="K149" s="165"/>
      <c r="L149" s="289"/>
      <c r="M149" s="128"/>
      <c r="N149" s="128"/>
      <c r="O149" s="128"/>
      <c r="P149" s="76"/>
      <c r="Q149" s="76"/>
      <c r="R149" s="76"/>
      <c r="S149" s="128"/>
      <c r="T149" s="2302"/>
      <c r="U149" s="130"/>
      <c r="V149" s="132"/>
      <c r="W149" s="134"/>
      <c r="X149" s="392"/>
      <c r="Y149" s="2616"/>
      <c r="Z149" s="393"/>
      <c r="AA149" s="393"/>
      <c r="AB149" s="393"/>
      <c r="AC149" s="393"/>
      <c r="AD149" s="393"/>
      <c r="AE149" s="393"/>
      <c r="AF149" s="389"/>
      <c r="AG149" s="390"/>
      <c r="AH149" s="430"/>
      <c r="AI149" s="407"/>
      <c r="AJ149" s="407"/>
      <c r="AK149" s="407"/>
      <c r="AL149" s="408"/>
      <c r="AM149" s="408"/>
      <c r="AN149" s="408"/>
      <c r="AO149" s="407"/>
      <c r="AP149" s="2694"/>
      <c r="AQ149" s="399"/>
      <c r="AR149" s="400"/>
      <c r="AS149" s="401"/>
    </row>
    <row r="150" spans="1:55">
      <c r="A150" s="220" t="s">
        <v>785</v>
      </c>
      <c r="B150" s="3309" t="s">
        <v>118</v>
      </c>
      <c r="C150" s="3286"/>
      <c r="D150" s="3307"/>
      <c r="E150" s="2124"/>
      <c r="F150" s="2124"/>
      <c r="G150" s="2124"/>
      <c r="H150" s="2124"/>
      <c r="I150" s="2125"/>
      <c r="J150" s="3287"/>
      <c r="K150" s="2124"/>
      <c r="L150" s="3288"/>
      <c r="M150" s="3289" t="s">
        <v>118</v>
      </c>
      <c r="N150" s="3289"/>
      <c r="O150" s="875"/>
      <c r="P150" s="2261"/>
      <c r="Q150" s="2261"/>
      <c r="R150" s="2261"/>
      <c r="S150" s="3291"/>
      <c r="T150" s="3291"/>
      <c r="U150" s="3292"/>
      <c r="V150" s="2261"/>
      <c r="W150" s="3293"/>
      <c r="X150" s="3294" t="s">
        <v>118</v>
      </c>
      <c r="Y150" s="3295"/>
      <c r="Z150" s="3308"/>
      <c r="AA150" s="2126"/>
      <c r="AB150" s="2126"/>
      <c r="AC150" s="2126"/>
      <c r="AD150" s="2126"/>
      <c r="AE150" s="2622"/>
      <c r="AF150" s="3296"/>
      <c r="AG150" s="2126"/>
      <c r="AH150" s="3297"/>
      <c r="AI150" s="3298" t="s">
        <v>118</v>
      </c>
      <c r="AJ150" s="3298"/>
      <c r="AK150" s="941"/>
      <c r="AL150" s="2663"/>
      <c r="AM150" s="2663"/>
      <c r="AN150" s="2663"/>
      <c r="AO150" s="3300"/>
      <c r="AP150" s="3300"/>
      <c r="AQ150" s="3301"/>
      <c r="AR150" s="2663"/>
      <c r="AS150" s="401"/>
    </row>
    <row r="151" spans="1:55" customFormat="1">
      <c r="A151" s="208" t="s">
        <v>702</v>
      </c>
      <c r="B151" s="227"/>
      <c r="C151" s="171"/>
      <c r="D151" s="2322"/>
      <c r="E151" s="225" t="str">
        <f>IF(Options!B$60=1,"kg", "lbs")</f>
        <v>lbs</v>
      </c>
      <c r="F151" s="225"/>
      <c r="G151" s="225"/>
      <c r="H151" s="225"/>
      <c r="I151" s="171"/>
      <c r="J151" s="170"/>
      <c r="K151" s="2428"/>
      <c r="L151" s="188"/>
      <c r="M151" s="44"/>
      <c r="N151" s="44"/>
      <c r="O151" s="2322"/>
      <c r="P151" s="226" t="str">
        <f>IF(Options!C$60=1,"kg", "lbs")</f>
        <v>lbs</v>
      </c>
      <c r="Q151" s="226"/>
      <c r="R151" s="226"/>
      <c r="S151" s="44"/>
      <c r="T151" s="44"/>
      <c r="U151" s="41"/>
      <c r="V151" s="2428"/>
      <c r="W151" s="52"/>
      <c r="X151" s="565"/>
      <c r="Y151" s="419"/>
      <c r="Z151" s="2322"/>
      <c r="AA151" s="431" t="str">
        <f>IF(Options!D$60=1,"kg", "lbs")</f>
        <v>lbs</v>
      </c>
      <c r="AB151" s="431"/>
      <c r="AC151" s="431"/>
      <c r="AD151" s="431"/>
      <c r="AE151" s="419"/>
      <c r="AF151" s="418"/>
      <c r="AG151" s="2564"/>
      <c r="AH151" s="513"/>
      <c r="AI151" s="465"/>
      <c r="AJ151" s="465"/>
      <c r="AK151" s="2322"/>
      <c r="AL151" s="434" t="str">
        <f>IF(Options!E$60=1,"kg", "lbs")</f>
        <v>lbs</v>
      </c>
      <c r="AM151" s="434"/>
      <c r="AN151" s="434"/>
      <c r="AO151" s="465"/>
      <c r="AP151" s="465"/>
      <c r="AQ151" s="464"/>
      <c r="AR151" s="2564"/>
      <c r="AS151" s="466"/>
    </row>
    <row r="152" spans="1:55" customFormat="1" ht="3" customHeight="1">
      <c r="A152" s="208"/>
      <c r="B152" s="227"/>
      <c r="C152" s="171"/>
      <c r="D152" s="2323"/>
      <c r="E152" s="2247"/>
      <c r="F152" s="2247"/>
      <c r="G152" s="2247"/>
      <c r="H152" s="2247"/>
      <c r="I152" s="171"/>
      <c r="J152" s="170"/>
      <c r="K152" s="171"/>
      <c r="L152" s="188"/>
      <c r="M152" s="44"/>
      <c r="N152" s="44"/>
      <c r="O152" s="2327"/>
      <c r="P152" s="44"/>
      <c r="Q152" s="44"/>
      <c r="R152" s="44"/>
      <c r="S152" s="44"/>
      <c r="T152" s="44"/>
      <c r="U152" s="41"/>
      <c r="V152" s="44"/>
      <c r="W152" s="52"/>
      <c r="X152" s="565"/>
      <c r="Y152" s="419"/>
      <c r="Z152" s="2652"/>
      <c r="AA152" s="2566"/>
      <c r="AB152" s="2566"/>
      <c r="AC152" s="2566"/>
      <c r="AD152" s="2566"/>
      <c r="AE152" s="419"/>
      <c r="AF152" s="418"/>
      <c r="AG152" s="419"/>
      <c r="AH152" s="513"/>
      <c r="AI152" s="465"/>
      <c r="AJ152" s="465"/>
      <c r="AK152" s="2695"/>
      <c r="AL152" s="465"/>
      <c r="AM152" s="465"/>
      <c r="AN152" s="465"/>
      <c r="AO152" s="465"/>
      <c r="AP152" s="465"/>
      <c r="AQ152" s="464"/>
      <c r="AR152" s="465"/>
      <c r="AS152" s="466"/>
    </row>
    <row r="153" spans="1:55" customFormat="1">
      <c r="A153" s="2427" t="s">
        <v>631</v>
      </c>
      <c r="B153" s="227"/>
      <c r="C153" s="171"/>
      <c r="D153" s="2321">
        <f>IF(Options!$B$54=1,IF(Options!$B$60=1,Defaults!$B$26,Defaults!$B$26*Defaults!$D$8),IF(Options!$B$54=2,IF(Options!$B$60=1,Defaults!$C$26,Defaults!$C$26*Defaults!$D$8),IF(Options!$B$60=1,Defaults!$D$26,Defaults!$D$26*Defaults!$D$8)))</f>
        <v>1543.2361000000001</v>
      </c>
      <c r="E153" s="225" t="str">
        <f>IF(Options!B$60=1,"kg", "lbs")</f>
        <v>lbs</v>
      </c>
      <c r="F153" s="225"/>
      <c r="G153" s="225"/>
      <c r="H153" s="225"/>
      <c r="I153" s="171"/>
      <c r="J153" s="170"/>
      <c r="K153" s="330">
        <v>8</v>
      </c>
      <c r="L153" s="188"/>
      <c r="M153" s="44"/>
      <c r="N153" s="44"/>
      <c r="O153" s="2331">
        <f>IF(Options!C54=1,IF(Options!$C$60=1,Defaults!B26,Defaults!$B$26*Defaults!$D$8),IF(Options!$C$54=2,IF(Options!$C$60=1,Defaults!$C$26,Defaults!$C$26*Defaults!$D$8),IF(Options!$C$60=1,Defaults!$D$26,Defaults!$D$26*Defaults!$D$8)))</f>
        <v>1543.2361000000001</v>
      </c>
      <c r="P153" s="226" t="str">
        <f>IF(Options!C$60=1,"kg", "lbs")</f>
        <v>lbs</v>
      </c>
      <c r="Q153" s="226"/>
      <c r="R153" s="226"/>
      <c r="S153" s="44"/>
      <c r="T153" s="44"/>
      <c r="U153" s="41"/>
      <c r="V153" s="2057">
        <v>8</v>
      </c>
      <c r="W153" s="52"/>
      <c r="X153" s="565"/>
      <c r="Y153" s="419"/>
      <c r="Z153" s="2653">
        <f>IF(Options!$D$54=1,IF(Options!$D$60=1,Defaults!$B$26,Defaults!$B$26*Defaults!$D$8),IF(Options!$D$54=2,IF(Options!$D$60=1,Defaults!$C$26,Defaults!$C$26*Defaults!$D$8),IF(Options!$D$60=1,Defaults!$D$26,Defaults!$D$26*Defaults!$D$8)))</f>
        <v>1543.2361000000001</v>
      </c>
      <c r="AA153" s="431" t="str">
        <f>IF(Options!D$60=1,"kg", "lbs")</f>
        <v>lbs</v>
      </c>
      <c r="AB153" s="431"/>
      <c r="AC153" s="431"/>
      <c r="AD153" s="431"/>
      <c r="AE153" s="419"/>
      <c r="AF153" s="418"/>
      <c r="AG153" s="2646">
        <v>8</v>
      </c>
      <c r="AH153" s="513"/>
      <c r="AI153" s="465"/>
      <c r="AJ153" s="465"/>
      <c r="AK153" s="2696">
        <f>IF(Options!$E$54=1,IF(Options!$E$60=1,Defaults!$B$26,Defaults!$B$26*Defaults!$D$8),IF(Options!$E$54=2,IF(Options!$E$60=1,Defaults!$C$26,Defaults!$C$26*Defaults!$D$8),IF(Options!$E$60=1,Defaults!$D$26,Defaults!$D$26*Defaults!$D$8)))</f>
        <v>992.08035000000007</v>
      </c>
      <c r="AL153" s="434" t="str">
        <f>IF(Options!E$60=1,"kg", "lbs")</f>
        <v>lbs</v>
      </c>
      <c r="AM153" s="434"/>
      <c r="AN153" s="434"/>
      <c r="AO153" s="465"/>
      <c r="AP153" s="465"/>
      <c r="AQ153" s="464"/>
      <c r="AR153" s="649">
        <v>8</v>
      </c>
      <c r="AS153" s="466"/>
      <c r="AT153" s="103"/>
      <c r="AU153" s="103"/>
      <c r="AV153" s="103"/>
      <c r="AW153" s="46" t="s">
        <v>650</v>
      </c>
      <c r="AX153" s="103"/>
      <c r="AY153" s="103"/>
      <c r="AZ153" s="103"/>
      <c r="BA153" s="40"/>
      <c r="BB153" s="40"/>
      <c r="BC153" s="40"/>
    </row>
    <row r="154" spans="1:55" ht="6.75" customHeight="1" thickBot="1">
      <c r="A154" s="1570"/>
      <c r="B154" s="1012"/>
      <c r="C154" s="2294"/>
      <c r="D154" s="2326"/>
      <c r="E154" s="1013"/>
      <c r="F154" s="1013"/>
      <c r="G154" s="2265"/>
      <c r="H154" s="2265"/>
      <c r="I154" s="2265"/>
      <c r="J154" s="1014"/>
      <c r="K154" s="1015"/>
      <c r="L154" s="1016"/>
      <c r="M154" s="1017"/>
      <c r="N154" s="1017"/>
      <c r="O154" s="2328"/>
      <c r="P154" s="1018"/>
      <c r="Q154" s="1018"/>
      <c r="R154" s="1018"/>
      <c r="S154" s="1017"/>
      <c r="T154" s="1017"/>
      <c r="U154" s="2244"/>
      <c r="V154" s="2245"/>
      <c r="W154" s="2246"/>
      <c r="X154" s="2643"/>
      <c r="Y154" s="2644"/>
      <c r="Z154" s="2656"/>
      <c r="AA154" s="2623"/>
      <c r="AB154" s="2623"/>
      <c r="AC154" s="2624"/>
      <c r="AD154" s="2624"/>
      <c r="AE154" s="2624"/>
      <c r="AF154" s="2648"/>
      <c r="AG154" s="2649"/>
      <c r="AH154" s="2650"/>
      <c r="AI154" s="2688"/>
      <c r="AJ154" s="2688"/>
      <c r="AK154" s="2697"/>
      <c r="AL154" s="1955"/>
      <c r="AM154" s="1955"/>
      <c r="AN154" s="1955"/>
      <c r="AO154" s="2688"/>
      <c r="AP154" s="2688"/>
      <c r="AQ154" s="454"/>
      <c r="AR154" s="2686"/>
      <c r="AS154" s="2687"/>
    </row>
    <row r="155" spans="1:55" s="11" customFormat="1" ht="30" customHeight="1">
      <c r="A155" s="4018" t="s">
        <v>20</v>
      </c>
      <c r="B155" s="4019"/>
      <c r="C155" s="4019"/>
      <c r="D155" s="4019"/>
      <c r="E155" s="4019"/>
      <c r="F155" s="4019"/>
      <c r="G155" s="4019"/>
      <c r="H155" s="4019"/>
      <c r="I155" s="4019"/>
      <c r="J155" s="4019"/>
      <c r="K155" s="4019"/>
      <c r="L155" s="4019"/>
      <c r="M155" s="4019"/>
      <c r="N155" s="4019"/>
      <c r="O155" s="4019"/>
      <c r="P155" s="4019"/>
      <c r="Q155" s="4019"/>
      <c r="R155" s="4019"/>
      <c r="S155" s="4019"/>
      <c r="T155" s="4019"/>
      <c r="U155" s="4019"/>
      <c r="V155" s="4019"/>
      <c r="W155" s="4019"/>
      <c r="X155" s="4019"/>
      <c r="Y155" s="4019"/>
      <c r="Z155" s="4019"/>
      <c r="AA155" s="4019"/>
      <c r="AB155" s="4019"/>
      <c r="AC155" s="4019"/>
      <c r="AD155" s="4019"/>
      <c r="AE155" s="4019"/>
      <c r="AF155" s="4019"/>
      <c r="AG155" s="4019"/>
      <c r="AH155" s="4019"/>
      <c r="AI155" s="4019"/>
      <c r="AJ155" s="4019"/>
      <c r="AK155" s="4019"/>
      <c r="AL155" s="4019"/>
      <c r="AM155" s="4019"/>
      <c r="AN155" s="4019"/>
      <c r="AO155" s="4019"/>
      <c r="AP155" s="4019"/>
      <c r="AQ155" s="4019"/>
      <c r="AR155" s="4019"/>
      <c r="AS155" s="4020"/>
    </row>
    <row r="156" spans="1:55">
      <c r="A156" s="4058" t="s">
        <v>854</v>
      </c>
      <c r="B156" s="4059"/>
      <c r="C156" s="4059"/>
      <c r="D156" s="4059"/>
      <c r="E156" s="4059"/>
      <c r="F156" s="4059"/>
      <c r="G156" s="4059"/>
      <c r="H156" s="4059"/>
      <c r="I156" s="4059"/>
      <c r="J156" s="4059"/>
      <c r="K156" s="4059"/>
      <c r="L156" s="4059"/>
      <c r="M156" s="4059"/>
      <c r="N156" s="4059"/>
      <c r="O156" s="4059"/>
      <c r="P156" s="4059"/>
      <c r="Q156" s="4059"/>
      <c r="R156" s="4059"/>
      <c r="S156" s="4059"/>
      <c r="T156" s="4059"/>
      <c r="U156" s="4059"/>
      <c r="V156" s="4059"/>
      <c r="W156" s="4059"/>
      <c r="X156" s="4059"/>
      <c r="Y156" s="4059"/>
      <c r="Z156" s="4059"/>
      <c r="AA156" s="4059"/>
      <c r="AB156" s="4059"/>
      <c r="AC156" s="4059"/>
      <c r="AD156" s="4059"/>
      <c r="AE156" s="4059"/>
      <c r="AF156" s="4059"/>
      <c r="AG156" s="4059"/>
      <c r="AH156" s="4059"/>
      <c r="AI156" s="4059"/>
      <c r="AJ156" s="4059"/>
      <c r="AK156" s="4059"/>
      <c r="AL156" s="4059"/>
      <c r="AM156" s="4059"/>
      <c r="AN156" s="4059"/>
      <c r="AO156" s="4059"/>
      <c r="AP156" s="4059"/>
      <c r="AQ156" s="4059"/>
      <c r="AR156" s="4059"/>
      <c r="AS156" s="4060"/>
      <c r="AT156" s="995"/>
      <c r="AU156" s="995"/>
      <c r="AV156" s="995"/>
      <c r="AW156" s="995"/>
    </row>
    <row r="157" spans="1:55">
      <c r="A157" s="4058" t="s">
        <v>1302</v>
      </c>
      <c r="B157" s="4059"/>
      <c r="C157" s="4059"/>
      <c r="D157" s="4059"/>
      <c r="E157" s="4059"/>
      <c r="F157" s="4059"/>
      <c r="G157" s="4059"/>
      <c r="H157" s="4059"/>
      <c r="I157" s="4059"/>
      <c r="J157" s="4059"/>
      <c r="K157" s="4059"/>
      <c r="L157" s="4059"/>
      <c r="M157" s="4059"/>
      <c r="N157" s="4059"/>
      <c r="O157" s="4059"/>
      <c r="P157" s="4059"/>
      <c r="Q157" s="4059"/>
      <c r="R157" s="4059"/>
      <c r="S157" s="4059"/>
      <c r="T157" s="4059"/>
      <c r="U157" s="4059"/>
      <c r="V157" s="4059"/>
      <c r="W157" s="4059"/>
      <c r="X157" s="4059"/>
      <c r="Y157" s="4059"/>
      <c r="Z157" s="4059"/>
      <c r="AA157" s="4059"/>
      <c r="AB157" s="4059"/>
      <c r="AC157" s="4059"/>
      <c r="AD157" s="4059"/>
      <c r="AE157" s="4059"/>
      <c r="AF157" s="4059"/>
      <c r="AG157" s="4059"/>
      <c r="AH157" s="4059"/>
      <c r="AI157" s="4059"/>
      <c r="AJ157" s="4059"/>
      <c r="AK157" s="4059"/>
      <c r="AL157" s="4059"/>
      <c r="AM157" s="4059"/>
      <c r="AN157" s="4059"/>
      <c r="AO157" s="4059"/>
      <c r="AP157" s="4059"/>
      <c r="AQ157" s="4059"/>
      <c r="AR157" s="4059"/>
      <c r="AS157" s="4060"/>
      <c r="AU157" s="23"/>
    </row>
    <row r="158" spans="1:55">
      <c r="A158" s="4058" t="s">
        <v>1191</v>
      </c>
      <c r="B158" s="4059"/>
      <c r="C158" s="4059"/>
      <c r="D158" s="4059"/>
      <c r="E158" s="4059"/>
      <c r="F158" s="4059"/>
      <c r="G158" s="4059"/>
      <c r="H158" s="4059"/>
      <c r="I158" s="4059"/>
      <c r="J158" s="4059"/>
      <c r="K158" s="4059"/>
      <c r="L158" s="4059"/>
      <c r="M158" s="4059"/>
      <c r="N158" s="4059"/>
      <c r="O158" s="4059"/>
      <c r="P158" s="4059"/>
      <c r="Q158" s="4059"/>
      <c r="R158" s="4059"/>
      <c r="S158" s="4059"/>
      <c r="T158" s="4059"/>
      <c r="U158" s="4059"/>
      <c r="V158" s="4059"/>
      <c r="W158" s="4059"/>
      <c r="X158" s="4059"/>
      <c r="Y158" s="4059"/>
      <c r="Z158" s="4059"/>
      <c r="AA158" s="4059"/>
      <c r="AB158" s="4059"/>
      <c r="AC158" s="4059"/>
      <c r="AD158" s="4059"/>
      <c r="AE158" s="4059"/>
      <c r="AF158" s="4059"/>
      <c r="AG158" s="4059"/>
      <c r="AH158" s="4059"/>
      <c r="AI158" s="4059"/>
      <c r="AJ158" s="4059"/>
      <c r="AK158" s="4059"/>
      <c r="AL158" s="4059"/>
      <c r="AM158" s="4059"/>
      <c r="AN158" s="4059"/>
      <c r="AO158" s="4059"/>
      <c r="AP158" s="4059"/>
      <c r="AQ158" s="4059"/>
      <c r="AR158" s="4059"/>
      <c r="AS158" s="4060"/>
      <c r="AU158" s="23"/>
    </row>
    <row r="159" spans="1:55">
      <c r="A159" s="4058" t="s">
        <v>1201</v>
      </c>
      <c r="B159" s="4059"/>
      <c r="C159" s="4059"/>
      <c r="D159" s="4059"/>
      <c r="E159" s="4059"/>
      <c r="F159" s="4059"/>
      <c r="G159" s="4059"/>
      <c r="H159" s="4059"/>
      <c r="I159" s="4059"/>
      <c r="J159" s="4059"/>
      <c r="K159" s="4059"/>
      <c r="L159" s="4059"/>
      <c r="M159" s="4059"/>
      <c r="N159" s="4059"/>
      <c r="O159" s="4059"/>
      <c r="P159" s="4059"/>
      <c r="Q159" s="4059"/>
      <c r="R159" s="4059"/>
      <c r="S159" s="4059"/>
      <c r="T159" s="4059"/>
      <c r="U159" s="4059"/>
      <c r="V159" s="4059"/>
      <c r="W159" s="4059"/>
      <c r="X159" s="4059"/>
      <c r="Y159" s="4059"/>
      <c r="Z159" s="4059"/>
      <c r="AA159" s="4059"/>
      <c r="AB159" s="4059"/>
      <c r="AC159" s="4059"/>
      <c r="AD159" s="4059"/>
      <c r="AE159" s="4059"/>
      <c r="AF159" s="4059"/>
      <c r="AG159" s="4059"/>
      <c r="AH159" s="4059"/>
      <c r="AI159" s="4059"/>
      <c r="AJ159" s="4059"/>
      <c r="AK159" s="4059"/>
      <c r="AL159" s="4059"/>
      <c r="AM159" s="4059"/>
      <c r="AN159" s="4059"/>
      <c r="AO159" s="4059"/>
      <c r="AP159" s="4059"/>
      <c r="AQ159" s="4059"/>
      <c r="AR159" s="4059"/>
      <c r="AS159" s="4060"/>
      <c r="AU159" s="23"/>
    </row>
    <row r="160" spans="1:55">
      <c r="A160" s="4058" t="s">
        <v>1357</v>
      </c>
      <c r="B160" s="4059"/>
      <c r="C160" s="4059"/>
      <c r="D160" s="4059"/>
      <c r="E160" s="4059"/>
      <c r="F160" s="4059"/>
      <c r="G160" s="4059"/>
      <c r="H160" s="4059"/>
      <c r="I160" s="4059"/>
      <c r="J160" s="4059"/>
      <c r="K160" s="4059"/>
      <c r="L160" s="4059"/>
      <c r="M160" s="4059"/>
      <c r="N160" s="4059"/>
      <c r="O160" s="4059"/>
      <c r="P160" s="4059"/>
      <c r="Q160" s="4059"/>
      <c r="R160" s="4059"/>
      <c r="S160" s="4059"/>
      <c r="T160" s="4059"/>
      <c r="U160" s="4059"/>
      <c r="V160" s="4059"/>
      <c r="W160" s="4059"/>
      <c r="X160" s="4059"/>
      <c r="Y160" s="4059"/>
      <c r="Z160" s="4059"/>
      <c r="AA160" s="4059"/>
      <c r="AB160" s="4059"/>
      <c r="AC160" s="4059"/>
      <c r="AD160" s="4059"/>
      <c r="AE160" s="4059"/>
      <c r="AF160" s="4059"/>
      <c r="AG160" s="4059"/>
      <c r="AH160" s="4059"/>
      <c r="AI160" s="4059"/>
      <c r="AJ160" s="4059"/>
      <c r="AK160" s="4059"/>
      <c r="AL160" s="4059"/>
      <c r="AM160" s="4059"/>
      <c r="AN160" s="4059"/>
      <c r="AO160" s="4059"/>
      <c r="AP160" s="4059"/>
      <c r="AQ160" s="4059"/>
      <c r="AR160" s="4059"/>
      <c r="AS160" s="4060"/>
    </row>
    <row r="161" spans="1:49">
      <c r="A161" s="4058" t="s">
        <v>853</v>
      </c>
      <c r="B161" s="4059"/>
      <c r="C161" s="4059"/>
      <c r="D161" s="4059"/>
      <c r="E161" s="4059"/>
      <c r="F161" s="4059"/>
      <c r="G161" s="4059"/>
      <c r="H161" s="4059"/>
      <c r="I161" s="4059"/>
      <c r="J161" s="4059"/>
      <c r="K161" s="4059"/>
      <c r="L161" s="4059"/>
      <c r="M161" s="4059"/>
      <c r="N161" s="4059"/>
      <c r="O161" s="4059"/>
      <c r="P161" s="4059"/>
      <c r="Q161" s="4059"/>
      <c r="R161" s="4059"/>
      <c r="S161" s="4059"/>
      <c r="T161" s="4059"/>
      <c r="U161" s="4059"/>
      <c r="V161" s="4059"/>
      <c r="W161" s="4059"/>
      <c r="X161" s="4059"/>
      <c r="Y161" s="4059"/>
      <c r="Z161" s="4059"/>
      <c r="AA161" s="4059"/>
      <c r="AB161" s="4059"/>
      <c r="AC161" s="4059"/>
      <c r="AD161" s="4059"/>
      <c r="AE161" s="4059"/>
      <c r="AF161" s="4059"/>
      <c r="AG161" s="4059"/>
      <c r="AH161" s="4059"/>
      <c r="AI161" s="4059"/>
      <c r="AJ161" s="4059"/>
      <c r="AK161" s="4059"/>
      <c r="AL161" s="4059"/>
      <c r="AM161" s="4059"/>
      <c r="AN161" s="4059"/>
      <c r="AO161" s="4059"/>
      <c r="AP161" s="4059"/>
      <c r="AQ161" s="4059"/>
      <c r="AR161" s="4059"/>
      <c r="AS161" s="4060"/>
      <c r="AT161" s="995"/>
      <c r="AU161" s="995"/>
      <c r="AV161" s="995"/>
      <c r="AW161" s="995"/>
    </row>
    <row r="162" spans="1:49">
      <c r="A162" s="4058" t="s">
        <v>1336</v>
      </c>
      <c r="B162" s="4059"/>
      <c r="C162" s="4059"/>
      <c r="D162" s="4059"/>
      <c r="E162" s="4059"/>
      <c r="F162" s="4059"/>
      <c r="G162" s="4059"/>
      <c r="H162" s="4059"/>
      <c r="I162" s="4059"/>
      <c r="J162" s="4059"/>
      <c r="K162" s="4059"/>
      <c r="L162" s="4059"/>
      <c r="M162" s="4059"/>
      <c r="N162" s="4059"/>
      <c r="O162" s="4059"/>
      <c r="P162" s="4059"/>
      <c r="Q162" s="4059"/>
      <c r="R162" s="4059"/>
      <c r="S162" s="4059"/>
      <c r="T162" s="4059"/>
      <c r="U162" s="4059"/>
      <c r="V162" s="4059"/>
      <c r="W162" s="4059"/>
      <c r="X162" s="4059"/>
      <c r="Y162" s="4059"/>
      <c r="Z162" s="4059"/>
      <c r="AA162" s="4059"/>
      <c r="AB162" s="4059"/>
      <c r="AC162" s="4059"/>
      <c r="AD162" s="4059"/>
      <c r="AE162" s="4059"/>
      <c r="AF162" s="4059"/>
      <c r="AG162" s="4059"/>
      <c r="AH162" s="4059"/>
      <c r="AI162" s="4059"/>
      <c r="AJ162" s="4059"/>
      <c r="AK162" s="4059"/>
      <c r="AL162" s="4059"/>
      <c r="AM162" s="4059"/>
      <c r="AN162" s="4059"/>
      <c r="AO162" s="4059"/>
      <c r="AP162" s="4059"/>
      <c r="AQ162" s="4059"/>
      <c r="AR162" s="4059"/>
      <c r="AS162" s="4060"/>
      <c r="AT162" s="995"/>
      <c r="AU162" s="995"/>
      <c r="AV162" s="995"/>
      <c r="AW162" s="995"/>
    </row>
    <row r="163" spans="1:49">
      <c r="A163" s="4058" t="s">
        <v>1253</v>
      </c>
      <c r="B163" s="4072"/>
      <c r="C163" s="4072"/>
      <c r="D163" s="4072"/>
      <c r="E163" s="4072"/>
      <c r="F163" s="4072"/>
      <c r="G163" s="4072"/>
      <c r="H163" s="4072"/>
      <c r="I163" s="4072"/>
      <c r="J163" s="4072"/>
      <c r="K163" s="4072"/>
      <c r="L163" s="4072"/>
      <c r="M163" s="4072"/>
      <c r="N163" s="4072"/>
      <c r="O163" s="4072"/>
      <c r="P163" s="4072"/>
      <c r="Q163" s="4072"/>
      <c r="R163" s="4072"/>
      <c r="S163" s="4072"/>
      <c r="T163" s="4072"/>
      <c r="U163" s="4072"/>
      <c r="V163" s="4072"/>
      <c r="W163" s="4072"/>
      <c r="X163" s="4072"/>
      <c r="Y163" s="4072"/>
      <c r="Z163" s="4072"/>
      <c r="AA163" s="4072"/>
      <c r="AB163" s="4072"/>
      <c r="AC163" s="4072"/>
      <c r="AD163" s="4072"/>
      <c r="AE163" s="4072"/>
      <c r="AF163" s="4072"/>
      <c r="AG163" s="4072"/>
      <c r="AH163" s="4072"/>
      <c r="AI163" s="4072"/>
      <c r="AJ163" s="4072"/>
      <c r="AK163" s="4072"/>
      <c r="AL163" s="4072"/>
      <c r="AM163" s="4072"/>
      <c r="AN163" s="4072"/>
      <c r="AO163" s="4072"/>
      <c r="AP163" s="4072"/>
      <c r="AQ163" s="4072"/>
      <c r="AR163" s="4072"/>
      <c r="AS163" s="4073"/>
      <c r="AT163" s="995"/>
      <c r="AU163" s="995"/>
      <c r="AV163" s="995"/>
      <c r="AW163" s="995"/>
    </row>
    <row r="164" spans="1:49">
      <c r="A164" s="4074" t="s">
        <v>576</v>
      </c>
      <c r="B164" s="4075"/>
      <c r="C164" s="4075"/>
      <c r="D164" s="4075"/>
      <c r="E164" s="4075"/>
      <c r="F164" s="4075"/>
      <c r="G164" s="4075"/>
      <c r="H164" s="4075"/>
      <c r="I164" s="4075"/>
      <c r="J164" s="4075"/>
      <c r="K164" s="4075"/>
      <c r="L164" s="4075"/>
      <c r="M164" s="4075"/>
      <c r="N164" s="4075"/>
      <c r="O164" s="4075"/>
      <c r="P164" s="4075"/>
      <c r="Q164" s="4075"/>
      <c r="R164" s="4075"/>
      <c r="S164" s="4075"/>
      <c r="T164" s="4075"/>
      <c r="U164" s="4075"/>
      <c r="V164" s="4075"/>
      <c r="W164" s="4075"/>
      <c r="X164" s="4075"/>
      <c r="Y164" s="4075"/>
      <c r="Z164" s="4075"/>
      <c r="AA164" s="4075"/>
      <c r="AB164" s="4075"/>
      <c r="AC164" s="4075"/>
      <c r="AD164" s="4075"/>
      <c r="AE164" s="4075"/>
      <c r="AF164" s="4075"/>
      <c r="AG164" s="4075"/>
      <c r="AH164" s="4075"/>
      <c r="AI164" s="4075"/>
      <c r="AJ164" s="4075"/>
      <c r="AK164" s="4075"/>
      <c r="AL164" s="4075"/>
      <c r="AM164" s="4075"/>
      <c r="AN164" s="4075"/>
      <c r="AO164" s="4075"/>
      <c r="AP164" s="4075"/>
      <c r="AQ164" s="4075"/>
      <c r="AR164" s="4075"/>
      <c r="AS164" s="4076"/>
      <c r="AT164" s="995"/>
      <c r="AU164" s="995"/>
      <c r="AV164" s="995"/>
      <c r="AW164" s="995"/>
    </row>
    <row r="165" spans="1:49">
      <c r="A165" s="4074" t="s">
        <v>848</v>
      </c>
      <c r="B165" s="4075"/>
      <c r="C165" s="4075"/>
      <c r="D165" s="4075"/>
      <c r="E165" s="4075"/>
      <c r="F165" s="4075"/>
      <c r="G165" s="4075"/>
      <c r="H165" s="4075"/>
      <c r="I165" s="4075"/>
      <c r="J165" s="4075"/>
      <c r="K165" s="4075"/>
      <c r="L165" s="4075"/>
      <c r="M165" s="4075"/>
      <c r="N165" s="4075"/>
      <c r="O165" s="4075"/>
      <c r="P165" s="4075"/>
      <c r="Q165" s="4075"/>
      <c r="R165" s="4075"/>
      <c r="S165" s="4075"/>
      <c r="T165" s="4075"/>
      <c r="U165" s="4075"/>
      <c r="V165" s="4075"/>
      <c r="W165" s="4075"/>
      <c r="X165" s="4075"/>
      <c r="Y165" s="4075"/>
      <c r="Z165" s="4075"/>
      <c r="AA165" s="4075"/>
      <c r="AB165" s="4075"/>
      <c r="AC165" s="4075"/>
      <c r="AD165" s="4075"/>
      <c r="AE165" s="4075"/>
      <c r="AF165" s="4075"/>
      <c r="AG165" s="4075"/>
      <c r="AH165" s="4075"/>
      <c r="AI165" s="4075"/>
      <c r="AJ165" s="4075"/>
      <c r="AK165" s="4075"/>
      <c r="AL165" s="4075"/>
      <c r="AM165" s="4075"/>
      <c r="AN165" s="4075"/>
      <c r="AO165" s="4075"/>
      <c r="AP165" s="4075"/>
      <c r="AQ165" s="4075"/>
      <c r="AR165" s="4075"/>
      <c r="AS165" s="4076"/>
      <c r="AT165" s="995"/>
      <c r="AU165" s="995"/>
      <c r="AV165" s="995"/>
      <c r="AW165" s="995"/>
    </row>
    <row r="166" spans="1:49">
      <c r="A166" s="4074" t="s">
        <v>825</v>
      </c>
      <c r="B166" s="4075"/>
      <c r="C166" s="4075"/>
      <c r="D166" s="4075"/>
      <c r="E166" s="4075"/>
      <c r="F166" s="4075"/>
      <c r="G166" s="4075"/>
      <c r="H166" s="4075"/>
      <c r="I166" s="4075"/>
      <c r="J166" s="4075"/>
      <c r="K166" s="4075"/>
      <c r="L166" s="4075"/>
      <c r="M166" s="4075"/>
      <c r="N166" s="4075"/>
      <c r="O166" s="4075"/>
      <c r="P166" s="4075"/>
      <c r="Q166" s="4075"/>
      <c r="R166" s="4075"/>
      <c r="S166" s="4075"/>
      <c r="T166" s="4075"/>
      <c r="U166" s="4075"/>
      <c r="V166" s="4075"/>
      <c r="W166" s="4075"/>
      <c r="X166" s="4075"/>
      <c r="Y166" s="4075"/>
      <c r="Z166" s="4075"/>
      <c r="AA166" s="4075"/>
      <c r="AB166" s="4075"/>
      <c r="AC166" s="4075"/>
      <c r="AD166" s="4075"/>
      <c r="AE166" s="4075"/>
      <c r="AF166" s="4075"/>
      <c r="AG166" s="4075"/>
      <c r="AH166" s="4075"/>
      <c r="AI166" s="4075"/>
      <c r="AJ166" s="4075"/>
      <c r="AK166" s="4075"/>
      <c r="AL166" s="4075"/>
      <c r="AM166" s="4075"/>
      <c r="AN166" s="4075"/>
      <c r="AO166" s="4075"/>
      <c r="AP166" s="4075"/>
      <c r="AQ166" s="4075"/>
      <c r="AR166" s="4075"/>
      <c r="AS166" s="4076"/>
      <c r="AT166" s="995"/>
      <c r="AU166" s="995"/>
      <c r="AV166" s="995"/>
      <c r="AW166" s="995"/>
    </row>
    <row r="167" spans="1:49" ht="13.5" thickBot="1">
      <c r="A167" s="4061" t="s">
        <v>845</v>
      </c>
      <c r="B167" s="4062"/>
      <c r="C167" s="4062"/>
      <c r="D167" s="4062"/>
      <c r="E167" s="4062"/>
      <c r="F167" s="4062"/>
      <c r="G167" s="4062"/>
      <c r="H167" s="4062"/>
      <c r="I167" s="4062"/>
      <c r="J167" s="4062"/>
      <c r="K167" s="4062"/>
      <c r="L167" s="4062"/>
      <c r="M167" s="4062"/>
      <c r="N167" s="4062"/>
      <c r="O167" s="4062"/>
      <c r="P167" s="4062"/>
      <c r="Q167" s="4062"/>
      <c r="R167" s="4062"/>
      <c r="S167" s="4062"/>
      <c r="T167" s="4062"/>
      <c r="U167" s="4062"/>
      <c r="V167" s="4062"/>
      <c r="W167" s="4062"/>
      <c r="X167" s="4062"/>
      <c r="Y167" s="4062"/>
      <c r="Z167" s="4062"/>
      <c r="AA167" s="4062"/>
      <c r="AB167" s="4062"/>
      <c r="AC167" s="4062"/>
      <c r="AD167" s="4062"/>
      <c r="AE167" s="4062"/>
      <c r="AF167" s="4062"/>
      <c r="AG167" s="4062"/>
      <c r="AH167" s="4062"/>
      <c r="AI167" s="4062"/>
      <c r="AJ167" s="4062"/>
      <c r="AK167" s="4062"/>
      <c r="AL167" s="4062"/>
      <c r="AM167" s="4062"/>
      <c r="AN167" s="4062"/>
      <c r="AO167" s="4062"/>
      <c r="AP167" s="4062"/>
      <c r="AQ167" s="4062"/>
      <c r="AR167" s="4062"/>
      <c r="AS167" s="4063"/>
    </row>
    <row r="168" spans="1:49" ht="15">
      <c r="A168" s="34"/>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row>
    <row r="169" spans="1:49" ht="14.25">
      <c r="A169" s="16"/>
      <c r="B169" s="30"/>
      <c r="C169" s="30"/>
      <c r="D169" s="30"/>
      <c r="E169" s="30"/>
      <c r="F169" s="30"/>
      <c r="G169" s="30"/>
      <c r="H169" s="30"/>
      <c r="I169" s="30"/>
      <c r="J169" s="17"/>
      <c r="K169" s="17"/>
      <c r="L169" s="17"/>
      <c r="M169" s="30"/>
      <c r="N169" s="30"/>
      <c r="O169" s="30"/>
      <c r="P169" s="23"/>
      <c r="Q169" s="23"/>
      <c r="R169" s="23"/>
      <c r="S169" s="30"/>
      <c r="T169" s="30"/>
      <c r="U169" s="17"/>
      <c r="V169" s="17"/>
      <c r="W169" s="17"/>
      <c r="X169" s="30"/>
      <c r="Y169" s="30"/>
      <c r="Z169" s="30"/>
      <c r="AA169" s="30"/>
      <c r="AB169" s="30"/>
      <c r="AC169" s="30"/>
      <c r="AD169" s="30"/>
      <c r="AE169" s="30"/>
      <c r="AF169" s="17"/>
      <c r="AG169" s="17"/>
      <c r="AH169" s="17"/>
      <c r="AI169" s="30"/>
      <c r="AJ169" s="30"/>
      <c r="AK169" s="30"/>
      <c r="AL169" s="23"/>
      <c r="AM169" s="23"/>
      <c r="AN169" s="23"/>
      <c r="AO169" s="30"/>
      <c r="AP169" s="30"/>
      <c r="AQ169" s="17"/>
      <c r="AR169" s="17"/>
      <c r="AS169" s="17"/>
    </row>
    <row r="170" spans="1:49" ht="15">
      <c r="A170" s="34"/>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row>
    <row r="171" spans="1:49" ht="14.25">
      <c r="A171" s="19"/>
      <c r="B171" s="31"/>
      <c r="C171" s="31"/>
      <c r="D171" s="31"/>
      <c r="E171" s="31"/>
      <c r="F171" s="31"/>
      <c r="G171" s="31"/>
      <c r="H171" s="31"/>
      <c r="I171" s="31"/>
      <c r="J171" s="35"/>
      <c r="K171" s="35"/>
      <c r="L171" s="35"/>
      <c r="M171" s="31"/>
      <c r="N171" s="31"/>
      <c r="O171" s="31"/>
      <c r="P171" s="23"/>
      <c r="Q171" s="23"/>
      <c r="R171" s="23"/>
      <c r="S171" s="31"/>
      <c r="T171" s="31"/>
      <c r="U171" s="35"/>
      <c r="V171" s="35"/>
      <c r="W171" s="35"/>
      <c r="X171" s="31"/>
      <c r="Y171" s="31"/>
      <c r="Z171" s="31"/>
      <c r="AA171" s="31"/>
      <c r="AB171" s="31"/>
      <c r="AC171" s="31"/>
      <c r="AD171" s="31"/>
      <c r="AE171" s="31"/>
      <c r="AF171" s="35"/>
      <c r="AG171" s="35"/>
      <c r="AH171" s="35"/>
      <c r="AI171" s="31"/>
      <c r="AJ171" s="31"/>
      <c r="AK171" s="31"/>
      <c r="AL171" s="23"/>
      <c r="AM171" s="23"/>
      <c r="AN171" s="23"/>
      <c r="AO171" s="31"/>
      <c r="AP171" s="31"/>
      <c r="AQ171" s="35"/>
      <c r="AR171" s="35"/>
      <c r="AS171" s="35"/>
    </row>
    <row r="172" spans="1:49" ht="15">
      <c r="A172" s="34"/>
      <c r="B172" s="30"/>
      <c r="C172" s="30"/>
      <c r="D172" s="30"/>
      <c r="E172" s="30"/>
      <c r="F172" s="30"/>
      <c r="G172" s="30"/>
      <c r="H172" s="30"/>
      <c r="I172" s="30"/>
      <c r="J172" s="18"/>
      <c r="K172" s="18"/>
      <c r="L172" s="18"/>
      <c r="M172" s="30"/>
      <c r="N172" s="30"/>
      <c r="O172" s="30"/>
      <c r="P172" s="23"/>
      <c r="Q172" s="23"/>
      <c r="R172" s="23"/>
      <c r="S172" s="30"/>
      <c r="T172" s="30"/>
      <c r="U172" s="18"/>
      <c r="V172" s="18"/>
      <c r="W172" s="18"/>
      <c r="X172" s="30"/>
      <c r="Y172" s="30"/>
      <c r="Z172" s="30"/>
      <c r="AA172" s="30"/>
      <c r="AB172" s="30"/>
      <c r="AC172" s="30"/>
      <c r="AD172" s="30"/>
      <c r="AE172" s="30"/>
      <c r="AF172" s="18"/>
      <c r="AG172" s="18"/>
      <c r="AH172" s="18"/>
      <c r="AI172" s="30"/>
      <c r="AJ172" s="30"/>
      <c r="AK172" s="30"/>
      <c r="AL172" s="23"/>
      <c r="AM172" s="23"/>
      <c r="AN172" s="23"/>
      <c r="AO172" s="30"/>
      <c r="AP172" s="30"/>
      <c r="AQ172" s="18"/>
      <c r="AR172" s="18"/>
      <c r="AS172" s="18"/>
    </row>
    <row r="173" spans="1:49" ht="15">
      <c r="A173" s="34"/>
      <c r="B173" s="30"/>
      <c r="C173" s="30"/>
      <c r="D173" s="30"/>
      <c r="E173" s="30"/>
      <c r="F173" s="30"/>
      <c r="G173" s="30"/>
      <c r="H173" s="30"/>
      <c r="I173" s="30"/>
      <c r="J173" s="18"/>
      <c r="K173" s="18"/>
      <c r="L173" s="18"/>
      <c r="M173" s="30"/>
      <c r="N173" s="30"/>
      <c r="O173" s="30"/>
      <c r="P173" s="23"/>
      <c r="Q173" s="23"/>
      <c r="R173" s="23"/>
      <c r="S173" s="30"/>
      <c r="T173" s="30"/>
      <c r="U173" s="18"/>
      <c r="V173" s="18"/>
      <c r="W173" s="18"/>
      <c r="X173" s="30"/>
      <c r="Y173" s="30"/>
      <c r="Z173" s="30"/>
      <c r="AA173" s="30"/>
      <c r="AB173" s="30"/>
      <c r="AC173" s="30"/>
      <c r="AD173" s="30"/>
      <c r="AE173" s="30"/>
      <c r="AF173" s="18"/>
      <c r="AG173" s="18"/>
      <c r="AH173" s="18"/>
      <c r="AI173" s="30"/>
      <c r="AJ173" s="30"/>
      <c r="AK173" s="30"/>
      <c r="AL173" s="23"/>
      <c r="AM173" s="23"/>
      <c r="AN173" s="23"/>
      <c r="AO173" s="30"/>
      <c r="AP173" s="30"/>
      <c r="AQ173" s="18"/>
      <c r="AR173" s="18"/>
      <c r="AS173" s="18"/>
    </row>
    <row r="174" spans="1:49" ht="15">
      <c r="A174" s="34"/>
      <c r="B174" s="30"/>
      <c r="C174" s="30"/>
      <c r="D174" s="30"/>
      <c r="E174" s="30"/>
      <c r="F174" s="30"/>
      <c r="G174" s="30"/>
      <c r="H174" s="30"/>
      <c r="I174" s="30"/>
      <c r="J174" s="18"/>
      <c r="K174" s="18"/>
      <c r="L174" s="18"/>
      <c r="M174" s="30"/>
      <c r="N174" s="30"/>
      <c r="O174" s="30"/>
      <c r="P174" s="23"/>
      <c r="Q174" s="23"/>
      <c r="R174" s="23"/>
      <c r="S174" s="30"/>
      <c r="T174" s="30"/>
      <c r="U174" s="18"/>
      <c r="V174" s="18"/>
      <c r="W174" s="18"/>
      <c r="X174" s="30"/>
      <c r="Y174" s="30"/>
      <c r="Z174" s="30"/>
      <c r="AA174" s="30"/>
      <c r="AB174" s="30"/>
      <c r="AC174" s="30"/>
      <c r="AD174" s="30"/>
      <c r="AE174" s="30"/>
      <c r="AF174" s="18"/>
      <c r="AG174" s="18"/>
      <c r="AH174" s="18"/>
      <c r="AI174" s="30"/>
      <c r="AJ174" s="30"/>
      <c r="AK174" s="30"/>
      <c r="AL174" s="23"/>
      <c r="AM174" s="23"/>
      <c r="AN174" s="23"/>
      <c r="AO174" s="30"/>
      <c r="AP174" s="30"/>
      <c r="AQ174" s="18"/>
      <c r="AR174" s="18"/>
      <c r="AS174" s="18"/>
    </row>
    <row r="175" spans="1:49" ht="14.25">
      <c r="A175" s="19"/>
      <c r="B175" s="15"/>
      <c r="C175" s="15"/>
      <c r="D175" s="15"/>
      <c r="E175" s="15"/>
      <c r="F175" s="15"/>
      <c r="G175" s="15"/>
      <c r="H175" s="15"/>
      <c r="I175" s="15"/>
      <c r="J175" s="35"/>
      <c r="K175" s="35"/>
      <c r="L175" s="35"/>
      <c r="M175" s="15"/>
      <c r="N175" s="15"/>
      <c r="O175" s="15"/>
      <c r="P175" s="23"/>
      <c r="Q175" s="23"/>
      <c r="R175" s="23"/>
      <c r="S175" s="15"/>
      <c r="T175" s="15"/>
      <c r="U175" s="35"/>
      <c r="V175" s="35"/>
      <c r="W175" s="35"/>
      <c r="X175" s="15"/>
      <c r="Y175" s="15"/>
      <c r="Z175" s="15"/>
      <c r="AA175" s="15"/>
      <c r="AB175" s="15"/>
      <c r="AC175" s="15"/>
      <c r="AD175" s="15"/>
      <c r="AE175" s="15"/>
      <c r="AF175" s="35"/>
      <c r="AG175" s="35"/>
      <c r="AH175" s="35"/>
      <c r="AI175" s="15"/>
      <c r="AJ175" s="15"/>
      <c r="AK175" s="15"/>
      <c r="AL175" s="23"/>
      <c r="AM175" s="23"/>
      <c r="AN175" s="23"/>
      <c r="AO175" s="15"/>
      <c r="AP175" s="15"/>
      <c r="AQ175" s="35"/>
      <c r="AR175" s="35"/>
      <c r="AS175" s="35"/>
    </row>
    <row r="176" spans="1:49" ht="15">
      <c r="A176" s="36"/>
      <c r="B176" s="12"/>
      <c r="C176" s="12"/>
      <c r="D176" s="12"/>
      <c r="E176" s="12"/>
      <c r="F176" s="12"/>
      <c r="G176" s="12"/>
      <c r="H176" s="12"/>
      <c r="I176" s="12"/>
      <c r="J176" s="37"/>
      <c r="K176" s="37"/>
      <c r="L176" s="37"/>
      <c r="M176" s="12"/>
      <c r="N176" s="12"/>
      <c r="O176" s="12"/>
      <c r="P176" s="23"/>
      <c r="Q176" s="23"/>
      <c r="R176" s="23"/>
      <c r="S176" s="12"/>
      <c r="T176" s="12"/>
      <c r="U176" s="37"/>
      <c r="V176" s="37"/>
      <c r="W176" s="37"/>
      <c r="X176" s="12"/>
      <c r="Y176" s="12"/>
      <c r="Z176" s="12"/>
      <c r="AA176" s="12"/>
      <c r="AB176" s="12"/>
      <c r="AC176" s="12"/>
      <c r="AD176" s="12"/>
      <c r="AE176" s="12"/>
      <c r="AF176" s="37"/>
      <c r="AG176" s="37"/>
      <c r="AH176" s="37"/>
      <c r="AI176" s="12"/>
      <c r="AJ176" s="12"/>
      <c r="AK176" s="12"/>
      <c r="AL176" s="23"/>
      <c r="AM176" s="23"/>
      <c r="AN176" s="23"/>
      <c r="AO176" s="12"/>
      <c r="AP176" s="12"/>
      <c r="AQ176" s="37"/>
      <c r="AR176" s="37"/>
      <c r="AS176" s="37"/>
    </row>
    <row r="177" spans="1:45" ht="15">
      <c r="A177" s="38"/>
      <c r="B177" s="14"/>
      <c r="C177" s="14"/>
      <c r="D177" s="14"/>
      <c r="E177" s="14"/>
      <c r="F177" s="14"/>
      <c r="G177" s="14"/>
      <c r="H177" s="14"/>
      <c r="I177" s="14"/>
      <c r="J177" s="37"/>
      <c r="K177" s="37"/>
      <c r="L177" s="37"/>
      <c r="M177" s="14"/>
      <c r="N177" s="14"/>
      <c r="O177" s="14"/>
      <c r="P177" s="23"/>
      <c r="Q177" s="23"/>
      <c r="R177" s="23"/>
      <c r="S177" s="14"/>
      <c r="T177" s="14"/>
      <c r="U177" s="37"/>
      <c r="V177" s="37"/>
      <c r="W177" s="37"/>
      <c r="X177" s="14"/>
      <c r="Y177" s="14"/>
      <c r="Z177" s="14"/>
      <c r="AA177" s="14"/>
      <c r="AB177" s="14"/>
      <c r="AC177" s="14"/>
      <c r="AD177" s="14"/>
      <c r="AE177" s="14"/>
      <c r="AF177" s="37"/>
      <c r="AG177" s="37"/>
      <c r="AH177" s="37"/>
      <c r="AI177" s="14"/>
      <c r="AJ177" s="14"/>
      <c r="AK177" s="14"/>
      <c r="AL177" s="23"/>
      <c r="AM177" s="23"/>
      <c r="AN177" s="23"/>
      <c r="AO177" s="14"/>
      <c r="AP177" s="14"/>
      <c r="AQ177" s="37"/>
      <c r="AR177" s="37"/>
      <c r="AS177" s="37"/>
    </row>
    <row r="178" spans="1:45" ht="7.5" customHeight="1">
      <c r="A178" s="4071"/>
      <c r="B178" s="4071"/>
      <c r="C178" s="4071"/>
      <c r="D178" s="4071"/>
      <c r="E178" s="4071"/>
      <c r="F178" s="4071"/>
      <c r="G178" s="4071"/>
      <c r="H178" s="4071"/>
      <c r="I178" s="4071"/>
      <c r="J178" s="4071"/>
      <c r="K178" s="55"/>
      <c r="L178" s="55"/>
      <c r="M178" s="55"/>
      <c r="N178" s="2267"/>
      <c r="O178" s="55"/>
      <c r="P178" s="23"/>
      <c r="Q178" s="23"/>
      <c r="R178" s="23"/>
      <c r="S178" s="23"/>
      <c r="T178" s="23"/>
      <c r="V178" s="55"/>
      <c r="W178" s="55"/>
      <c r="X178" s="2563"/>
      <c r="Y178" s="2563"/>
      <c r="Z178" s="2563"/>
      <c r="AA178" s="2563"/>
      <c r="AB178" s="2563"/>
      <c r="AC178" s="2563"/>
      <c r="AD178" s="2563"/>
      <c r="AE178" s="2563"/>
      <c r="AF178" s="2563"/>
      <c r="AG178" s="2563"/>
      <c r="AH178" s="2563"/>
      <c r="AI178" s="2563"/>
      <c r="AJ178" s="2563"/>
      <c r="AK178" s="2563"/>
      <c r="AL178" s="23"/>
      <c r="AM178" s="23"/>
      <c r="AN178" s="23"/>
      <c r="AO178" s="23"/>
      <c r="AP178" s="23"/>
      <c r="AR178" s="2563"/>
      <c r="AS178" s="2563"/>
    </row>
    <row r="179" spans="1:45" ht="7.5" customHeight="1">
      <c r="A179" s="4070"/>
      <c r="B179" s="4070"/>
      <c r="C179" s="4070"/>
      <c r="D179" s="4070"/>
      <c r="E179" s="4070"/>
      <c r="F179" s="4070"/>
      <c r="G179" s="4070"/>
      <c r="H179" s="4070"/>
      <c r="I179" s="4070"/>
      <c r="J179" s="4070"/>
      <c r="K179" s="32"/>
      <c r="L179" s="32"/>
      <c r="M179" s="32"/>
      <c r="N179" s="2268"/>
      <c r="O179" s="32"/>
      <c r="P179" s="23"/>
      <c r="Q179" s="23"/>
      <c r="R179" s="23"/>
      <c r="S179" s="23"/>
      <c r="T179" s="23"/>
      <c r="V179" s="32"/>
      <c r="W179" s="32"/>
      <c r="X179" s="2562"/>
      <c r="Y179" s="2562"/>
      <c r="Z179" s="2562"/>
      <c r="AA179" s="2562"/>
      <c r="AB179" s="2562"/>
      <c r="AC179" s="2562"/>
      <c r="AD179" s="2562"/>
      <c r="AE179" s="2562"/>
      <c r="AF179" s="2562"/>
      <c r="AG179" s="2562"/>
      <c r="AH179" s="2562"/>
      <c r="AI179" s="2562"/>
      <c r="AJ179" s="2562"/>
      <c r="AK179" s="2562"/>
      <c r="AL179" s="23"/>
      <c r="AM179" s="23"/>
      <c r="AN179" s="23"/>
      <c r="AO179" s="23"/>
      <c r="AP179" s="23"/>
      <c r="AR179" s="2562"/>
      <c r="AS179" s="2562"/>
    </row>
    <row r="180" spans="1:45">
      <c r="A180" s="56"/>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row>
    <row r="181" spans="1:45">
      <c r="A181" s="56"/>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row>
    <row r="182" spans="1:45">
      <c r="A182" s="56"/>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row>
    <row r="187" spans="1:45">
      <c r="B187" s="58"/>
      <c r="C187" s="58"/>
      <c r="D187" s="58"/>
      <c r="E187" s="58"/>
      <c r="F187" s="58"/>
      <c r="G187" s="58"/>
      <c r="H187" s="58"/>
      <c r="I187" s="58"/>
      <c r="M187" s="58"/>
      <c r="N187" s="58"/>
      <c r="O187" s="58"/>
      <c r="S187" s="58"/>
      <c r="T187" s="58"/>
      <c r="X187" s="58"/>
      <c r="Y187" s="58"/>
      <c r="Z187" s="58"/>
      <c r="AA187" s="58"/>
      <c r="AB187" s="58"/>
      <c r="AC187" s="58"/>
      <c r="AD187" s="58"/>
      <c r="AE187" s="58"/>
      <c r="AI187" s="58"/>
      <c r="AJ187" s="58"/>
      <c r="AK187" s="58"/>
      <c r="AO187" s="58"/>
      <c r="AP187" s="58"/>
    </row>
    <row r="188" spans="1:45">
      <c r="B188" s="58"/>
      <c r="C188" s="58"/>
      <c r="D188" s="58"/>
      <c r="E188" s="58"/>
      <c r="F188" s="58"/>
      <c r="G188" s="58"/>
      <c r="H188" s="58"/>
      <c r="I188" s="58"/>
      <c r="M188" s="58"/>
      <c r="N188" s="58"/>
      <c r="O188" s="58"/>
      <c r="S188" s="58"/>
      <c r="T188" s="58"/>
      <c r="X188" s="58"/>
      <c r="Y188" s="58"/>
      <c r="Z188" s="58"/>
      <c r="AA188" s="58"/>
      <c r="AB188" s="58"/>
      <c r="AC188" s="58"/>
      <c r="AD188" s="58"/>
      <c r="AE188" s="58"/>
      <c r="AI188" s="58"/>
      <c r="AJ188" s="58"/>
      <c r="AK188" s="58"/>
      <c r="AO188" s="58"/>
      <c r="AP188" s="58"/>
    </row>
  </sheetData>
  <sheetProtection password="E0BE" sheet="1" objects="1" scenarios="1"/>
  <mergeCells count="73">
    <mergeCell ref="M3:W3"/>
    <mergeCell ref="B3:L3"/>
    <mergeCell ref="B4:L4"/>
    <mergeCell ref="C6:D6"/>
    <mergeCell ref="F17:H17"/>
    <mergeCell ref="J6:L6"/>
    <mergeCell ref="N6:O6"/>
    <mergeCell ref="Q6:S6"/>
    <mergeCell ref="U6:W6"/>
    <mergeCell ref="A5:AS5"/>
    <mergeCell ref="M4:W4"/>
    <mergeCell ref="A179:J179"/>
    <mergeCell ref="A178:J178"/>
    <mergeCell ref="A158:AS158"/>
    <mergeCell ref="A159:AS159"/>
    <mergeCell ref="A161:AS161"/>
    <mergeCell ref="A160:AS160"/>
    <mergeCell ref="A162:AS162"/>
    <mergeCell ref="A163:AS163"/>
    <mergeCell ref="A164:AS164"/>
    <mergeCell ref="A165:AS165"/>
    <mergeCell ref="A166:AS166"/>
    <mergeCell ref="A157:AS157"/>
    <mergeCell ref="A167:AS167"/>
    <mergeCell ref="A156:AS156"/>
    <mergeCell ref="U101:W101"/>
    <mergeCell ref="A65:AS65"/>
    <mergeCell ref="A86:AS86"/>
    <mergeCell ref="A100:AS100"/>
    <mergeCell ref="C101:D101"/>
    <mergeCell ref="F101:H101"/>
    <mergeCell ref="J101:L101"/>
    <mergeCell ref="N101:O101"/>
    <mergeCell ref="Q101:S101"/>
    <mergeCell ref="A44:AS44"/>
    <mergeCell ref="K30:K31"/>
    <mergeCell ref="V30:V31"/>
    <mergeCell ref="AG30:AG31"/>
    <mergeCell ref="AR30:AR31"/>
    <mergeCell ref="A64:AS64"/>
    <mergeCell ref="K45:K46"/>
    <mergeCell ref="V45:V46"/>
    <mergeCell ref="AG45:AG46"/>
    <mergeCell ref="AR45:AR46"/>
    <mergeCell ref="A59:AS59"/>
    <mergeCell ref="A22:AS22"/>
    <mergeCell ref="AG24:AG25"/>
    <mergeCell ref="AB6:AD6"/>
    <mergeCell ref="AF6:AH6"/>
    <mergeCell ref="AJ6:AK6"/>
    <mergeCell ref="AM6:AO6"/>
    <mergeCell ref="AQ6:AS6"/>
    <mergeCell ref="V24:V25"/>
    <mergeCell ref="K24:K25"/>
    <mergeCell ref="F6:H6"/>
    <mergeCell ref="A23:AS23"/>
    <mergeCell ref="AR24:AR25"/>
    <mergeCell ref="A1:AS1"/>
    <mergeCell ref="A2:AS2"/>
    <mergeCell ref="A155:AS155"/>
    <mergeCell ref="Y101:Z101"/>
    <mergeCell ref="AB101:AD101"/>
    <mergeCell ref="AF101:AH101"/>
    <mergeCell ref="AJ101:AK101"/>
    <mergeCell ref="AM101:AO101"/>
    <mergeCell ref="AQ101:AS101"/>
    <mergeCell ref="A111:AS111"/>
    <mergeCell ref="A122:AS122"/>
    <mergeCell ref="X3:AH3"/>
    <mergeCell ref="AI3:AS3"/>
    <mergeCell ref="X4:AH4"/>
    <mergeCell ref="AI4:AS4"/>
    <mergeCell ref="Y6:Z6"/>
  </mergeCells>
  <printOptions horizontalCentered="1" gridLines="1"/>
  <pageMargins left="0.75" right="0.75" top="1" bottom="1" header="0.5" footer="0.5"/>
  <pageSetup scale="52" fitToHeight="2" orientation="landscape" r:id="rId1"/>
  <headerFooter alignWithMargins="0">
    <oddFooter>&amp;L&amp;A&amp;C&amp;F&amp;R&amp;D</oddFooter>
  </headerFooter>
  <rowBreaks count="1" manualBreakCount="1">
    <brk id="99" max="44" man="1"/>
  </rowBreaks>
  <legacyDrawing r:id="rId2"/>
</worksheet>
</file>

<file path=xl/worksheets/sheet12.xml><?xml version="1.0" encoding="utf-8"?>
<worksheet xmlns="http://schemas.openxmlformats.org/spreadsheetml/2006/main" xmlns:r="http://schemas.openxmlformats.org/officeDocument/2006/relationships">
  <sheetPr codeName="Sheet26">
    <pageSetUpPr fitToPage="1"/>
  </sheetPr>
  <dimension ref="A1:AR71"/>
  <sheetViews>
    <sheetView topLeftCell="A37" zoomScale="85" zoomScaleNormal="85" zoomScaleSheetLayoutView="85" workbookViewId="0">
      <selection activeCell="D57" sqref="D57"/>
    </sheetView>
  </sheetViews>
  <sheetFormatPr defaultRowHeight="12.75"/>
  <cols>
    <col min="1" max="1" width="51.85546875" customWidth="1"/>
    <col min="2" max="2" width="1.28515625" customWidth="1"/>
    <col min="3" max="3" width="2.5703125" customWidth="1"/>
    <col min="4" max="4" width="8.7109375" customWidth="1"/>
    <col min="5" max="5" width="4.7109375" customWidth="1"/>
    <col min="6" max="6" width="8.7109375" customWidth="1"/>
    <col min="7" max="7" width="4.7109375" customWidth="1"/>
    <col min="8" max="8" width="1.28515625" customWidth="1"/>
    <col min="9" max="9" width="7.7109375" customWidth="1"/>
    <col min="10" max="11" width="1.28515625" customWidth="1"/>
    <col min="12" max="12" width="2.7109375" customWidth="1"/>
    <col min="13" max="13" width="8.7109375" customWidth="1"/>
    <col min="14" max="14" width="4.7109375" customWidth="1"/>
    <col min="15" max="15" width="8.85546875" customWidth="1"/>
    <col min="16" max="16" width="4.85546875" customWidth="1"/>
    <col min="17" max="17" width="1.28515625" customWidth="1"/>
    <col min="18" max="18" width="7.7109375" customWidth="1"/>
    <col min="19" max="20" width="1.28515625" customWidth="1"/>
    <col min="21" max="21" width="2.5703125" customWidth="1"/>
    <col min="22" max="22" width="8.7109375" customWidth="1"/>
    <col min="23" max="23" width="4.7109375" customWidth="1"/>
    <col min="24" max="24" width="8.7109375" customWidth="1"/>
    <col min="25" max="25" width="4.7109375" customWidth="1"/>
    <col min="26" max="26" width="1.28515625" customWidth="1"/>
    <col min="27" max="27" width="7.7109375" customWidth="1"/>
    <col min="28" max="29" width="1.28515625" customWidth="1"/>
    <col min="30" max="30" width="2.7109375" customWidth="1"/>
    <col min="31" max="31" width="8.7109375" customWidth="1"/>
    <col min="32" max="32" width="4.7109375" customWidth="1"/>
    <col min="33" max="33" width="8.85546875" customWidth="1"/>
    <col min="34" max="34" width="4.85546875" customWidth="1"/>
    <col min="35" max="35" width="1.28515625" customWidth="1"/>
    <col min="36" max="36" width="7.7109375" customWidth="1"/>
    <col min="37" max="37" width="1.28515625" customWidth="1"/>
  </cols>
  <sheetData>
    <row r="1" spans="1:44" s="23"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7"/>
      <c r="AD1" s="3997"/>
      <c r="AE1" s="3997"/>
      <c r="AF1" s="3997"/>
      <c r="AG1" s="3997"/>
      <c r="AH1" s="3997"/>
      <c r="AI1" s="3997"/>
      <c r="AJ1" s="3997"/>
      <c r="AK1" s="3998"/>
    </row>
    <row r="2" spans="1:44" ht="30" customHeight="1">
      <c r="A2" s="4016" t="s">
        <v>1489</v>
      </c>
      <c r="B2" s="4017"/>
      <c r="C2" s="4017"/>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98"/>
      <c r="AL2" s="140"/>
      <c r="AM2" s="140"/>
      <c r="AN2" s="140"/>
      <c r="AO2" s="140"/>
    </row>
    <row r="3" spans="1:44" ht="21" customHeight="1">
      <c r="A3" s="265"/>
      <c r="B3" s="3999" t="str">
        <f>'Chosen Parameters-Part I'!B4</f>
        <v>Scenario 1</v>
      </c>
      <c r="C3" s="4000"/>
      <c r="D3" s="4000"/>
      <c r="E3" s="4000"/>
      <c r="F3" s="4000"/>
      <c r="G3" s="4000"/>
      <c r="H3" s="4000"/>
      <c r="I3" s="4000"/>
      <c r="J3" s="4001"/>
      <c r="K3" s="4002" t="str">
        <f>'Chosen Parameters-Part I'!C4</f>
        <v>Scenario 2</v>
      </c>
      <c r="L3" s="4003"/>
      <c r="M3" s="4003"/>
      <c r="N3" s="4003"/>
      <c r="O3" s="4003"/>
      <c r="P3" s="4003"/>
      <c r="Q3" s="4003"/>
      <c r="R3" s="4003"/>
      <c r="S3" s="4004"/>
      <c r="T3" s="4005" t="str">
        <f>'Chosen Parameters-Part I'!D4</f>
        <v>Scenario 3</v>
      </c>
      <c r="U3" s="4006"/>
      <c r="V3" s="4006"/>
      <c r="W3" s="4006"/>
      <c r="X3" s="4006"/>
      <c r="Y3" s="4006"/>
      <c r="Z3" s="4006"/>
      <c r="AA3" s="4006"/>
      <c r="AB3" s="4111"/>
      <c r="AC3" s="4112" t="str">
        <f>'Chosen Parameters-Part I'!E4</f>
        <v>Scenario 4</v>
      </c>
      <c r="AD3" s="4113"/>
      <c r="AE3" s="4113"/>
      <c r="AF3" s="4113"/>
      <c r="AG3" s="4113"/>
      <c r="AH3" s="4113"/>
      <c r="AI3" s="4113"/>
      <c r="AJ3" s="4113"/>
      <c r="AK3" s="4114"/>
    </row>
    <row r="4" spans="1:44" ht="36" customHeight="1">
      <c r="A4" s="266"/>
      <c r="B4" s="4118" t="str">
        <f>'Step 1 -- Herd Profile'!B4</f>
        <v>Intensive Conventional Management with Holsteins and rbST</v>
      </c>
      <c r="C4" s="4119"/>
      <c r="D4" s="4119"/>
      <c r="E4" s="4119"/>
      <c r="F4" s="4119"/>
      <c r="G4" s="4119"/>
      <c r="H4" s="4119"/>
      <c r="I4" s="4119"/>
      <c r="J4" s="4120"/>
      <c r="K4" s="4121" t="str">
        <f>'Step 1 -- Herd Profile'!M4</f>
        <v>Conventional Management, Holsteins</v>
      </c>
      <c r="L4" s="4122"/>
      <c r="M4" s="4122"/>
      <c r="N4" s="4122"/>
      <c r="O4" s="4122"/>
      <c r="P4" s="4122"/>
      <c r="Q4" s="4122"/>
      <c r="R4" s="4122"/>
      <c r="S4" s="4123"/>
      <c r="T4" s="4040" t="str">
        <f>'Application Setup'!B6</f>
        <v>Intensive Organic Management, Holsteins</v>
      </c>
      <c r="U4" s="4041"/>
      <c r="V4" s="4041"/>
      <c r="W4" s="4041"/>
      <c r="X4" s="4041"/>
      <c r="Y4" s="4041"/>
      <c r="Z4" s="4041"/>
      <c r="AA4" s="4041"/>
      <c r="AB4" s="4042"/>
      <c r="AC4" s="4115" t="str">
        <f>'Application Setup'!B7</f>
        <v>Pasture-Based Organic, Jersey Cows</v>
      </c>
      <c r="AD4" s="4116"/>
      <c r="AE4" s="4116"/>
      <c r="AF4" s="4116"/>
      <c r="AG4" s="4116"/>
      <c r="AH4" s="4116"/>
      <c r="AI4" s="4116"/>
      <c r="AJ4" s="4116"/>
      <c r="AK4" s="4117"/>
    </row>
    <row r="5" spans="1:44" ht="20.25" customHeight="1">
      <c r="A5" s="4031" t="s">
        <v>1285</v>
      </c>
      <c r="B5" s="4032"/>
      <c r="C5" s="4032"/>
      <c r="D5" s="4032"/>
      <c r="E5" s="4032"/>
      <c r="F5" s="4032"/>
      <c r="G5" s="4032"/>
      <c r="H5" s="4032"/>
      <c r="I5" s="4032"/>
      <c r="J5" s="4032"/>
      <c r="K5" s="4032"/>
      <c r="L5" s="4032"/>
      <c r="M5" s="4032"/>
      <c r="N5" s="4032"/>
      <c r="O5" s="4032"/>
      <c r="P5" s="4032"/>
      <c r="Q5" s="4032"/>
      <c r="R5" s="4032"/>
      <c r="S5" s="4032"/>
      <c r="T5" s="4032"/>
      <c r="U5" s="4032"/>
      <c r="V5" s="4032"/>
      <c r="W5" s="4032"/>
      <c r="X5" s="4032"/>
      <c r="Y5" s="4032"/>
      <c r="Z5" s="4032"/>
      <c r="AA5" s="4032"/>
      <c r="AB5" s="4032"/>
      <c r="AC5" s="4032"/>
      <c r="AD5" s="4032"/>
      <c r="AE5" s="4032"/>
      <c r="AF5" s="4032"/>
      <c r="AG5" s="4032"/>
      <c r="AH5" s="4032"/>
      <c r="AI5" s="4032"/>
      <c r="AJ5" s="4032"/>
      <c r="AK5" s="4033"/>
    </row>
    <row r="6" spans="1:44" s="6" customFormat="1" ht="5.25" customHeight="1">
      <c r="A6" s="207"/>
      <c r="B6" s="227"/>
      <c r="C6" s="171"/>
      <c r="D6" s="171"/>
      <c r="E6" s="316"/>
      <c r="F6" s="171"/>
      <c r="G6" s="171"/>
      <c r="H6" s="2252"/>
      <c r="I6" s="186"/>
      <c r="J6" s="188"/>
      <c r="K6" s="44"/>
      <c r="L6" s="44"/>
      <c r="M6" s="880"/>
      <c r="N6" s="880"/>
      <c r="O6" s="44"/>
      <c r="P6" s="44"/>
      <c r="Q6" s="136"/>
      <c r="R6" s="53"/>
      <c r="S6" s="54"/>
      <c r="T6" s="565"/>
      <c r="U6" s="419"/>
      <c r="V6" s="573"/>
      <c r="W6" s="573"/>
      <c r="X6" s="419"/>
      <c r="Y6" s="419"/>
      <c r="Z6" s="2760"/>
      <c r="AA6" s="511"/>
      <c r="AB6" s="513"/>
      <c r="AC6" s="465"/>
      <c r="AD6" s="465"/>
      <c r="AE6" s="465"/>
      <c r="AF6" s="465"/>
      <c r="AG6" s="465"/>
      <c r="AH6" s="465"/>
      <c r="AI6" s="550"/>
      <c r="AJ6" s="556"/>
      <c r="AK6" s="557"/>
    </row>
    <row r="7" spans="1:44" s="21" customFormat="1" ht="26.25" customHeight="1">
      <c r="A7" s="220" t="s">
        <v>1281</v>
      </c>
      <c r="B7" s="232"/>
      <c r="C7" s="2247"/>
      <c r="D7" s="2824" t="s">
        <v>117</v>
      </c>
      <c r="E7" s="2240"/>
      <c r="F7" s="2824" t="s">
        <v>821</v>
      </c>
      <c r="G7" s="2247"/>
      <c r="H7" s="4099" t="s">
        <v>822</v>
      </c>
      <c r="I7" s="4100"/>
      <c r="J7" s="4101"/>
      <c r="K7" s="44"/>
      <c r="L7" s="44"/>
      <c r="M7" s="3360" t="s">
        <v>117</v>
      </c>
      <c r="N7" s="2260"/>
      <c r="O7" s="2827" t="s">
        <v>821</v>
      </c>
      <c r="P7" s="76"/>
      <c r="Q7" s="4102" t="s">
        <v>822</v>
      </c>
      <c r="R7" s="4103"/>
      <c r="S7" s="4104"/>
      <c r="T7" s="578"/>
      <c r="U7" s="2779"/>
      <c r="V7" s="3361" t="s">
        <v>117</v>
      </c>
      <c r="W7" s="2814"/>
      <c r="X7" s="2825" t="s">
        <v>821</v>
      </c>
      <c r="Y7" s="2779"/>
      <c r="Z7" s="4105" t="s">
        <v>822</v>
      </c>
      <c r="AA7" s="4106"/>
      <c r="AB7" s="4107"/>
      <c r="AC7" s="465"/>
      <c r="AD7" s="465"/>
      <c r="AE7" s="3363" t="s">
        <v>117</v>
      </c>
      <c r="AF7" s="2809"/>
      <c r="AG7" s="2826" t="s">
        <v>821</v>
      </c>
      <c r="AH7" s="408"/>
      <c r="AI7" s="4108" t="s">
        <v>822</v>
      </c>
      <c r="AJ7" s="4109"/>
      <c r="AK7" s="4110"/>
      <c r="AL7" s="23"/>
      <c r="AM7" s="23"/>
      <c r="AN7" s="23"/>
      <c r="AO7" s="23"/>
      <c r="AP7" s="23"/>
      <c r="AQ7" s="23"/>
      <c r="AR7" s="23"/>
    </row>
    <row r="8" spans="1:44">
      <c r="A8" s="209" t="s">
        <v>634</v>
      </c>
      <c r="B8" s="232"/>
      <c r="C8" s="2247"/>
      <c r="D8" s="2250">
        <f>Defaults!$B$13*0.263</f>
        <v>6.2067999999999998E-2</v>
      </c>
      <c r="E8" s="277"/>
      <c r="F8" s="2242">
        <v>0.09</v>
      </c>
      <c r="G8" s="175"/>
      <c r="H8" s="1641"/>
      <c r="I8" s="2243"/>
      <c r="J8" s="188"/>
      <c r="K8" s="44"/>
      <c r="L8" s="44"/>
      <c r="M8" s="2251">
        <f>Defaults!$B$13*0.263</f>
        <v>6.2067999999999998E-2</v>
      </c>
      <c r="N8" s="278"/>
      <c r="O8" s="2242">
        <v>0.08</v>
      </c>
      <c r="P8" s="2261"/>
      <c r="Q8" s="41"/>
      <c r="R8" s="2243"/>
      <c r="S8" s="52"/>
      <c r="T8" s="578"/>
      <c r="U8" s="2779"/>
      <c r="V8" s="2635">
        <f>Defaults!$B$13*0.263</f>
        <v>6.2067999999999998E-2</v>
      </c>
      <c r="W8" s="394"/>
      <c r="X8" s="2254">
        <v>5.5E-2</v>
      </c>
      <c r="Y8" s="2779"/>
      <c r="Z8" s="2239"/>
      <c r="AA8" s="2780"/>
      <c r="AB8" s="513"/>
      <c r="AC8" s="465"/>
      <c r="AD8" s="465"/>
      <c r="AE8" s="2665">
        <f>Defaults!$B$13*0.263</f>
        <v>6.2067999999999998E-2</v>
      </c>
      <c r="AF8" s="409"/>
      <c r="AG8" s="2254">
        <v>0.04</v>
      </c>
      <c r="AH8" s="2663"/>
      <c r="AI8" s="464"/>
      <c r="AJ8" s="2780"/>
      <c r="AK8" s="466"/>
    </row>
    <row r="9" spans="1:44" ht="3" customHeight="1">
      <c r="A9" s="208"/>
      <c r="B9" s="227"/>
      <c r="C9" s="171"/>
      <c r="D9" s="2256"/>
      <c r="E9" s="316"/>
      <c r="F9" s="2256"/>
      <c r="G9" s="171"/>
      <c r="H9" s="170"/>
      <c r="I9" s="171"/>
      <c r="J9" s="188"/>
      <c r="K9" s="44"/>
      <c r="L9" s="104"/>
      <c r="M9" s="2259"/>
      <c r="N9" s="317"/>
      <c r="O9" s="2259"/>
      <c r="P9" s="2262"/>
      <c r="Q9" s="41"/>
      <c r="R9" s="44"/>
      <c r="S9" s="52"/>
      <c r="T9" s="565"/>
      <c r="U9" s="419"/>
      <c r="V9" s="2812"/>
      <c r="W9" s="573"/>
      <c r="X9" s="2812"/>
      <c r="Y9" s="419"/>
      <c r="Z9" s="418"/>
      <c r="AA9" s="419"/>
      <c r="AB9" s="513"/>
      <c r="AC9" s="465"/>
      <c r="AD9" s="593"/>
      <c r="AE9" s="2680"/>
      <c r="AF9" s="558"/>
      <c r="AG9" s="2680"/>
      <c r="AH9" s="2816"/>
      <c r="AI9" s="464"/>
      <c r="AJ9" s="465"/>
      <c r="AK9" s="466"/>
    </row>
    <row r="10" spans="1:44">
      <c r="A10" s="209" t="s">
        <v>105</v>
      </c>
      <c r="B10" s="232"/>
      <c r="C10" s="2247"/>
      <c r="D10" s="2250">
        <f>Defaults!$B$13*0.23</f>
        <v>5.4280000000000002E-2</v>
      </c>
      <c r="E10" s="277"/>
      <c r="F10" s="2242">
        <v>0.08</v>
      </c>
      <c r="G10" s="175"/>
      <c r="H10" s="1641"/>
      <c r="I10" s="2243"/>
      <c r="J10" s="188"/>
      <c r="K10" s="44"/>
      <c r="L10" s="44"/>
      <c r="M10" s="2251">
        <f>Defaults!$B$13*0.23</f>
        <v>5.4280000000000002E-2</v>
      </c>
      <c r="N10" s="278"/>
      <c r="O10" s="2242">
        <v>7.0000000000000007E-2</v>
      </c>
      <c r="P10" s="2261"/>
      <c r="Q10" s="41"/>
      <c r="R10" s="2243"/>
      <c r="S10" s="52"/>
      <c r="T10" s="578"/>
      <c r="U10" s="2779"/>
      <c r="V10" s="2635">
        <f>Defaults!$B$13*0.23</f>
        <v>5.4280000000000002E-2</v>
      </c>
      <c r="W10" s="394"/>
      <c r="X10" s="2254">
        <v>0.05</v>
      </c>
      <c r="Y10" s="2779"/>
      <c r="Z10" s="2239"/>
      <c r="AA10" s="2780"/>
      <c r="AB10" s="513"/>
      <c r="AC10" s="465"/>
      <c r="AD10" s="465"/>
      <c r="AE10" s="2665">
        <f>Defaults!$B$13*0.23</f>
        <v>5.4280000000000002E-2</v>
      </c>
      <c r="AF10" s="409"/>
      <c r="AG10" s="2254">
        <v>3.5000000000000003E-2</v>
      </c>
      <c r="AH10" s="2663"/>
      <c r="AI10" s="464"/>
      <c r="AJ10" s="2780"/>
      <c r="AK10" s="466"/>
    </row>
    <row r="11" spans="1:44" ht="3" customHeight="1">
      <c r="A11" s="208"/>
      <c r="B11" s="227"/>
      <c r="C11" s="171"/>
      <c r="D11" s="2256"/>
      <c r="E11" s="316"/>
      <c r="F11" s="2256"/>
      <c r="G11" s="171"/>
      <c r="H11" s="170"/>
      <c r="I11" s="171"/>
      <c r="J11" s="188"/>
      <c r="K11" s="44"/>
      <c r="L11" s="104"/>
      <c r="M11" s="2259"/>
      <c r="N11" s="317"/>
      <c r="O11" s="2259"/>
      <c r="P11" s="2262"/>
      <c r="Q11" s="41"/>
      <c r="R11" s="44"/>
      <c r="S11" s="52"/>
      <c r="T11" s="565"/>
      <c r="U11" s="419"/>
      <c r="V11" s="2812"/>
      <c r="W11" s="573"/>
      <c r="X11" s="2812"/>
      <c r="Y11" s="419"/>
      <c r="Z11" s="418"/>
      <c r="AA11" s="419"/>
      <c r="AB11" s="513"/>
      <c r="AC11" s="465"/>
      <c r="AD11" s="593"/>
      <c r="AE11" s="2680"/>
      <c r="AF11" s="558"/>
      <c r="AG11" s="2680"/>
      <c r="AH11" s="2816"/>
      <c r="AI11" s="464"/>
      <c r="AJ11" s="465"/>
      <c r="AK11" s="466"/>
    </row>
    <row r="12" spans="1:44">
      <c r="A12" s="209" t="s">
        <v>61</v>
      </c>
      <c r="B12" s="232"/>
      <c r="C12" s="2247"/>
      <c r="D12" s="2250">
        <f>Defaults!$B$13*0.16</f>
        <v>3.7760000000000002E-2</v>
      </c>
      <c r="E12" s="277"/>
      <c r="F12" s="2242">
        <v>0.05</v>
      </c>
      <c r="G12" s="175"/>
      <c r="H12" s="1641"/>
      <c r="I12" s="2243"/>
      <c r="J12" s="188"/>
      <c r="K12" s="44"/>
      <c r="L12" s="44"/>
      <c r="M12" s="2251">
        <f>Defaults!$B$13*0.16</f>
        <v>3.7760000000000002E-2</v>
      </c>
      <c r="N12" s="278"/>
      <c r="O12" s="2242">
        <v>4.4999999999999998E-2</v>
      </c>
      <c r="P12" s="2261"/>
      <c r="Q12" s="41"/>
      <c r="R12" s="2243"/>
      <c r="S12" s="52"/>
      <c r="T12" s="578"/>
      <c r="U12" s="2779"/>
      <c r="V12" s="2635">
        <f>Defaults!$B$13*0.16</f>
        <v>3.7760000000000002E-2</v>
      </c>
      <c r="W12" s="394"/>
      <c r="X12" s="2254">
        <v>0.03</v>
      </c>
      <c r="Y12" s="2779"/>
      <c r="Z12" s="2239"/>
      <c r="AA12" s="2780"/>
      <c r="AB12" s="513"/>
      <c r="AC12" s="465"/>
      <c r="AD12" s="465"/>
      <c r="AE12" s="2665">
        <f>Defaults!$B$13*0.16</f>
        <v>3.7760000000000002E-2</v>
      </c>
      <c r="AF12" s="409"/>
      <c r="AG12" s="2254">
        <v>2.5000000000000001E-2</v>
      </c>
      <c r="AH12" s="2663"/>
      <c r="AI12" s="464"/>
      <c r="AJ12" s="2780"/>
      <c r="AK12" s="466"/>
    </row>
    <row r="13" spans="1:44" ht="3" customHeight="1">
      <c r="A13" s="208"/>
      <c r="B13" s="227"/>
      <c r="C13" s="171"/>
      <c r="D13" s="2256"/>
      <c r="E13" s="316"/>
      <c r="F13" s="2256"/>
      <c r="G13" s="171"/>
      <c r="H13" s="170"/>
      <c r="I13" s="171"/>
      <c r="J13" s="188"/>
      <c r="K13" s="44"/>
      <c r="L13" s="104"/>
      <c r="M13" s="2259"/>
      <c r="N13" s="317"/>
      <c r="O13" s="2259"/>
      <c r="P13" s="2262"/>
      <c r="Q13" s="41"/>
      <c r="R13" s="44"/>
      <c r="S13" s="52"/>
      <c r="T13" s="565"/>
      <c r="U13" s="419"/>
      <c r="V13" s="2812"/>
      <c r="W13" s="573"/>
      <c r="X13" s="2812"/>
      <c r="Y13" s="419"/>
      <c r="Z13" s="418"/>
      <c r="AA13" s="419"/>
      <c r="AB13" s="513"/>
      <c r="AC13" s="465"/>
      <c r="AD13" s="593"/>
      <c r="AE13" s="2680"/>
      <c r="AF13" s="558"/>
      <c r="AG13" s="2680"/>
      <c r="AH13" s="2816"/>
      <c r="AI13" s="464"/>
      <c r="AJ13" s="465"/>
      <c r="AK13" s="466"/>
    </row>
    <row r="14" spans="1:44">
      <c r="A14" s="209" t="s">
        <v>62</v>
      </c>
      <c r="B14" s="232"/>
      <c r="C14" s="2247"/>
      <c r="D14" s="2250"/>
      <c r="E14" s="277"/>
      <c r="F14" s="2242">
        <v>0.02</v>
      </c>
      <c r="G14" s="2247"/>
      <c r="H14" s="1641"/>
      <c r="I14" s="2243"/>
      <c r="J14" s="188"/>
      <c r="K14" s="44"/>
      <c r="L14" s="44"/>
      <c r="M14" s="2251"/>
      <c r="N14" s="278"/>
      <c r="O14" s="2242">
        <v>1.4999999999999999E-2</v>
      </c>
      <c r="P14" s="2261"/>
      <c r="Q14" s="41"/>
      <c r="R14" s="2243"/>
      <c r="S14" s="52"/>
      <c r="T14" s="578"/>
      <c r="U14" s="2779"/>
      <c r="V14" s="2635"/>
      <c r="W14" s="394"/>
      <c r="X14" s="2254">
        <v>0.01</v>
      </c>
      <c r="Y14" s="2779"/>
      <c r="Z14" s="2239"/>
      <c r="AA14" s="2780"/>
      <c r="AB14" s="513"/>
      <c r="AC14" s="465"/>
      <c r="AD14" s="465"/>
      <c r="AE14" s="2665"/>
      <c r="AF14" s="409"/>
      <c r="AG14" s="2254">
        <v>0.01</v>
      </c>
      <c r="AH14" s="2663"/>
      <c r="AI14" s="464"/>
      <c r="AJ14" s="2780"/>
      <c r="AK14" s="466"/>
    </row>
    <row r="15" spans="1:44" ht="3" customHeight="1">
      <c r="A15" s="208"/>
      <c r="B15" s="227"/>
      <c r="C15" s="171"/>
      <c r="D15" s="2256"/>
      <c r="E15" s="316"/>
      <c r="F15" s="2256"/>
      <c r="G15" s="171"/>
      <c r="H15" s="170"/>
      <c r="I15" s="171"/>
      <c r="J15" s="188"/>
      <c r="K15" s="44"/>
      <c r="L15" s="104"/>
      <c r="M15" s="2259"/>
      <c r="N15" s="317"/>
      <c r="O15" s="2259"/>
      <c r="P15" s="2262"/>
      <c r="Q15" s="41"/>
      <c r="R15" s="44"/>
      <c r="S15" s="52"/>
      <c r="T15" s="565"/>
      <c r="U15" s="419"/>
      <c r="V15" s="2812"/>
      <c r="W15" s="573"/>
      <c r="X15" s="2812"/>
      <c r="Y15" s="419"/>
      <c r="Z15" s="418"/>
      <c r="AA15" s="419"/>
      <c r="AB15" s="513"/>
      <c r="AC15" s="465"/>
      <c r="AD15" s="593"/>
      <c r="AE15" s="2680"/>
      <c r="AF15" s="558"/>
      <c r="AG15" s="2680"/>
      <c r="AH15" s="2816"/>
      <c r="AI15" s="464"/>
      <c r="AJ15" s="465"/>
      <c r="AK15" s="466"/>
    </row>
    <row r="16" spans="1:44">
      <c r="A16" s="209" t="s">
        <v>632</v>
      </c>
      <c r="B16" s="232"/>
      <c r="C16" s="2247"/>
      <c r="D16" s="2250">
        <f>Defaults!$B$13*0.161</f>
        <v>3.7996000000000002E-2</v>
      </c>
      <c r="E16" s="277"/>
      <c r="F16" s="2242">
        <v>0.02</v>
      </c>
      <c r="G16" s="2247"/>
      <c r="H16" s="1641"/>
      <c r="I16" s="2243"/>
      <c r="J16" s="188"/>
      <c r="K16" s="44"/>
      <c r="L16" s="44"/>
      <c r="M16" s="2251">
        <f>Defaults!$B$13*0.161</f>
        <v>3.7996000000000002E-2</v>
      </c>
      <c r="N16" s="278"/>
      <c r="O16" s="2242">
        <v>0.02</v>
      </c>
      <c r="P16" s="2261"/>
      <c r="Q16" s="41"/>
      <c r="R16" s="2243"/>
      <c r="S16" s="52"/>
      <c r="T16" s="578"/>
      <c r="U16" s="2779"/>
      <c r="V16" s="2635">
        <f>Defaults!$B$13*0.161</f>
        <v>3.7996000000000002E-2</v>
      </c>
      <c r="W16" s="394"/>
      <c r="X16" s="2254">
        <v>2.5000000000000001E-2</v>
      </c>
      <c r="Y16" s="2779"/>
      <c r="Z16" s="2239"/>
      <c r="AA16" s="2780"/>
      <c r="AB16" s="513"/>
      <c r="AC16" s="465"/>
      <c r="AD16" s="465"/>
      <c r="AE16" s="2665">
        <f>Defaults!$B$13*0.161</f>
        <v>3.7996000000000002E-2</v>
      </c>
      <c r="AF16" s="409"/>
      <c r="AG16" s="2254">
        <v>0.01</v>
      </c>
      <c r="AH16" s="2663"/>
      <c r="AI16" s="464"/>
      <c r="AJ16" s="2780"/>
      <c r="AK16" s="466"/>
    </row>
    <row r="17" spans="1:44" ht="3" customHeight="1">
      <c r="A17" s="208"/>
      <c r="B17" s="227"/>
      <c r="C17" s="171"/>
      <c r="D17" s="2256"/>
      <c r="E17" s="316"/>
      <c r="F17" s="2256"/>
      <c r="G17" s="171"/>
      <c r="H17" s="170"/>
      <c r="I17" s="171"/>
      <c r="J17" s="188"/>
      <c r="K17" s="44"/>
      <c r="L17" s="104"/>
      <c r="M17" s="2259"/>
      <c r="N17" s="317"/>
      <c r="O17" s="2259"/>
      <c r="P17" s="2262"/>
      <c r="Q17" s="41"/>
      <c r="R17" s="44"/>
      <c r="S17" s="52"/>
      <c r="T17" s="565"/>
      <c r="U17" s="419"/>
      <c r="V17" s="2812"/>
      <c r="W17" s="573"/>
      <c r="X17" s="2812"/>
      <c r="Y17" s="419"/>
      <c r="Z17" s="418"/>
      <c r="AA17" s="419"/>
      <c r="AB17" s="513"/>
      <c r="AC17" s="465"/>
      <c r="AD17" s="593"/>
      <c r="AE17" s="2680"/>
      <c r="AF17" s="558"/>
      <c r="AG17" s="2680"/>
      <c r="AH17" s="2816"/>
      <c r="AI17" s="464"/>
      <c r="AJ17" s="465"/>
      <c r="AK17" s="466"/>
    </row>
    <row r="18" spans="1:44">
      <c r="A18" s="209" t="s">
        <v>633</v>
      </c>
      <c r="B18" s="232"/>
      <c r="C18" s="2247"/>
      <c r="D18" s="2250">
        <f>Defaults!$B$13*0.007</f>
        <v>1.652E-3</v>
      </c>
      <c r="E18" s="277"/>
      <c r="F18" s="2242">
        <v>0.01</v>
      </c>
      <c r="G18" s="2247"/>
      <c r="H18" s="1641"/>
      <c r="I18" s="2243"/>
      <c r="J18" s="188"/>
      <c r="K18" s="44"/>
      <c r="L18" s="44"/>
      <c r="M18" s="2251">
        <f>Defaults!$B$13*0.007</f>
        <v>1.652E-3</v>
      </c>
      <c r="N18" s="278"/>
      <c r="O18" s="2242">
        <v>0.01</v>
      </c>
      <c r="P18" s="2261"/>
      <c r="Q18" s="41"/>
      <c r="R18" s="2243"/>
      <c r="S18" s="52"/>
      <c r="T18" s="578"/>
      <c r="U18" s="2779"/>
      <c r="V18" s="2635">
        <f>Defaults!$B$13*0.007</f>
        <v>1.652E-3</v>
      </c>
      <c r="W18" s="394"/>
      <c r="X18" s="2254">
        <v>0.01</v>
      </c>
      <c r="Y18" s="2779"/>
      <c r="Z18" s="2239"/>
      <c r="AA18" s="2780"/>
      <c r="AB18" s="513"/>
      <c r="AC18" s="465"/>
      <c r="AD18" s="465"/>
      <c r="AE18" s="2665">
        <f>Defaults!$B$13*0.007</f>
        <v>1.652E-3</v>
      </c>
      <c r="AF18" s="409"/>
      <c r="AG18" s="2254">
        <v>0.01</v>
      </c>
      <c r="AH18" s="2663"/>
      <c r="AI18" s="464"/>
      <c r="AJ18" s="2780"/>
      <c r="AK18" s="466"/>
    </row>
    <row r="19" spans="1:44" ht="3" customHeight="1">
      <c r="A19" s="208"/>
      <c r="B19" s="227"/>
      <c r="C19" s="171"/>
      <c r="D19" s="2256"/>
      <c r="E19" s="316"/>
      <c r="F19" s="2256"/>
      <c r="G19" s="171"/>
      <c r="H19" s="170"/>
      <c r="I19" s="171"/>
      <c r="J19" s="188"/>
      <c r="K19" s="44"/>
      <c r="L19" s="104"/>
      <c r="M19" s="2259"/>
      <c r="N19" s="317"/>
      <c r="O19" s="2259"/>
      <c r="P19" s="2262"/>
      <c r="Q19" s="41"/>
      <c r="R19" s="44"/>
      <c r="S19" s="52"/>
      <c r="T19" s="565"/>
      <c r="U19" s="419"/>
      <c r="V19" s="2812"/>
      <c r="W19" s="573"/>
      <c r="X19" s="2812"/>
      <c r="Y19" s="419"/>
      <c r="Z19" s="418"/>
      <c r="AA19" s="419"/>
      <c r="AB19" s="513"/>
      <c r="AC19" s="465"/>
      <c r="AD19" s="593"/>
      <c r="AE19" s="2680"/>
      <c r="AF19" s="558"/>
      <c r="AG19" s="2680"/>
      <c r="AH19" s="2816"/>
      <c r="AI19" s="464"/>
      <c r="AJ19" s="465"/>
      <c r="AK19" s="466"/>
    </row>
    <row r="20" spans="1:44">
      <c r="A20" s="209" t="s">
        <v>635</v>
      </c>
      <c r="B20" s="232"/>
      <c r="C20" s="2247"/>
      <c r="D20" s="2250">
        <f>Defaults!$B$13*0.037</f>
        <v>8.7319999999999984E-3</v>
      </c>
      <c r="E20" s="277"/>
      <c r="F20" s="2242">
        <v>0.03</v>
      </c>
      <c r="G20" s="175"/>
      <c r="H20" s="1641"/>
      <c r="I20" s="2243"/>
      <c r="J20" s="188"/>
      <c r="K20" s="44"/>
      <c r="L20" s="44"/>
      <c r="M20" s="2251">
        <f>Defaults!$B$13*0.037</f>
        <v>8.7319999999999984E-3</v>
      </c>
      <c r="N20" s="278"/>
      <c r="O20" s="2242">
        <v>0.02</v>
      </c>
      <c r="P20" s="2261"/>
      <c r="Q20" s="41"/>
      <c r="R20" s="2243"/>
      <c r="S20" s="52"/>
      <c r="T20" s="578"/>
      <c r="U20" s="2779"/>
      <c r="V20" s="2635">
        <f>Defaults!$B$13*0.037</f>
        <v>8.7319999999999984E-3</v>
      </c>
      <c r="W20" s="394"/>
      <c r="X20" s="2254">
        <v>0.01</v>
      </c>
      <c r="Y20" s="2779"/>
      <c r="Z20" s="2239"/>
      <c r="AA20" s="2780"/>
      <c r="AB20" s="513"/>
      <c r="AC20" s="465"/>
      <c r="AD20" s="465"/>
      <c r="AE20" s="2665">
        <f>Defaults!$B$13*0.037</f>
        <v>8.7319999999999984E-3</v>
      </c>
      <c r="AF20" s="409"/>
      <c r="AG20" s="2254">
        <v>0.01</v>
      </c>
      <c r="AH20" s="2663"/>
      <c r="AI20" s="464"/>
      <c r="AJ20" s="2780"/>
      <c r="AK20" s="466"/>
    </row>
    <row r="21" spans="1:44" ht="3" customHeight="1">
      <c r="A21" s="208"/>
      <c r="B21" s="227"/>
      <c r="C21" s="171"/>
      <c r="D21" s="2256"/>
      <c r="E21" s="316"/>
      <c r="F21" s="2256"/>
      <c r="G21" s="171"/>
      <c r="H21" s="170"/>
      <c r="I21" s="171"/>
      <c r="J21" s="188"/>
      <c r="K21" s="44"/>
      <c r="L21" s="104"/>
      <c r="M21" s="2259"/>
      <c r="N21" s="317"/>
      <c r="O21" s="2259"/>
      <c r="P21" s="2262"/>
      <c r="Q21" s="41"/>
      <c r="R21" s="44"/>
      <c r="S21" s="52"/>
      <c r="T21" s="565"/>
      <c r="U21" s="419"/>
      <c r="V21" s="2812"/>
      <c r="W21" s="573"/>
      <c r="X21" s="2812"/>
      <c r="Y21" s="419"/>
      <c r="Z21" s="418"/>
      <c r="AA21" s="419"/>
      <c r="AB21" s="513"/>
      <c r="AC21" s="465"/>
      <c r="AD21" s="593"/>
      <c r="AE21" s="2680"/>
      <c r="AF21" s="558"/>
      <c r="AG21" s="2680"/>
      <c r="AH21" s="2816"/>
      <c r="AI21" s="464"/>
      <c r="AJ21" s="465"/>
      <c r="AK21" s="466"/>
    </row>
    <row r="22" spans="1:44" ht="12.75" customHeight="1">
      <c r="A22" s="209" t="s">
        <v>636</v>
      </c>
      <c r="B22" s="232"/>
      <c r="C22" s="2247"/>
      <c r="D22" s="2250">
        <v>0.01</v>
      </c>
      <c r="E22" s="277"/>
      <c r="F22" s="2242">
        <v>0.02</v>
      </c>
      <c r="G22" s="322"/>
      <c r="H22" s="2258"/>
      <c r="I22" s="2243"/>
      <c r="J22" s="188"/>
      <c r="K22" s="44"/>
      <c r="L22" s="44"/>
      <c r="M22" s="2251">
        <v>0.01</v>
      </c>
      <c r="N22" s="278"/>
      <c r="O22" s="2242">
        <v>0.01</v>
      </c>
      <c r="P22" s="2261"/>
      <c r="Q22" s="2263"/>
      <c r="R22" s="2243"/>
      <c r="S22" s="52"/>
      <c r="T22" s="578"/>
      <c r="U22" s="2779"/>
      <c r="V22" s="2635">
        <v>0.01</v>
      </c>
      <c r="W22" s="394"/>
      <c r="X22" s="2254">
        <v>0.01</v>
      </c>
      <c r="Y22" s="591"/>
      <c r="Z22" s="2813"/>
      <c r="AA22" s="2780"/>
      <c r="AB22" s="513"/>
      <c r="AC22" s="465"/>
      <c r="AD22" s="465"/>
      <c r="AE22" s="2665">
        <v>0.01</v>
      </c>
      <c r="AF22" s="409"/>
      <c r="AG22" s="2254">
        <v>0.01</v>
      </c>
      <c r="AH22" s="2663"/>
      <c r="AI22" s="2817"/>
      <c r="AJ22" s="2780"/>
      <c r="AK22" s="466"/>
    </row>
    <row r="23" spans="1:44" ht="6.75" customHeight="1">
      <c r="A23" s="209"/>
      <c r="B23" s="232"/>
      <c r="C23" s="2247"/>
      <c r="D23" s="2257"/>
      <c r="E23" s="277"/>
      <c r="F23" s="2257"/>
      <c r="G23" s="2247"/>
      <c r="H23" s="1641"/>
      <c r="I23" s="186"/>
      <c r="J23" s="188"/>
      <c r="K23" s="44"/>
      <c r="L23" s="44"/>
      <c r="M23" s="1614"/>
      <c r="N23" s="278"/>
      <c r="O23" s="1614"/>
      <c r="P23" s="2261"/>
      <c r="Q23" s="41"/>
      <c r="R23" s="44"/>
      <c r="S23" s="3677"/>
      <c r="T23" s="578"/>
      <c r="U23" s="2779"/>
      <c r="V23" s="1617"/>
      <c r="W23" s="394"/>
      <c r="X23" s="1617"/>
      <c r="Y23" s="2779"/>
      <c r="Z23" s="2239"/>
      <c r="AA23" s="511"/>
      <c r="AB23" s="513"/>
      <c r="AC23" s="465"/>
      <c r="AD23" s="465"/>
      <c r="AE23" s="2662"/>
      <c r="AF23" s="409"/>
      <c r="AG23" s="2662"/>
      <c r="AH23" s="2663"/>
      <c r="AI23" s="464"/>
      <c r="AJ23" s="465"/>
      <c r="AK23" s="466"/>
    </row>
    <row r="24" spans="1:44" s="20" customFormat="1" ht="12" customHeight="1">
      <c r="A24" s="1194" t="s">
        <v>1294</v>
      </c>
      <c r="B24" s="2818"/>
      <c r="C24" s="3670"/>
      <c r="D24" s="2312">
        <f>D8+D10+D12+D14+D16+D18+D20+D22</f>
        <v>0.21248800000000001</v>
      </c>
      <c r="E24" s="2819"/>
      <c r="F24" s="2312">
        <f>F8+F10+F12+F14+F16+F18+F20+F22</f>
        <v>0.31999999999999995</v>
      </c>
      <c r="G24" s="3676"/>
      <c r="H24" s="2258"/>
      <c r="I24" s="3676"/>
      <c r="J24" s="1035"/>
      <c r="K24" s="1037"/>
      <c r="L24" s="1037"/>
      <c r="M24" s="2313">
        <f>M8+M10+M12+M14+M16+M18+M20+M22</f>
        <v>0.21248800000000001</v>
      </c>
      <c r="N24" s="2820"/>
      <c r="O24" s="2313">
        <f>O8+O10+O12+O14+O16+O18+O20+O22</f>
        <v>0.27</v>
      </c>
      <c r="P24" s="3667"/>
      <c r="Q24" s="3678"/>
      <c r="R24" s="3667"/>
      <c r="S24" s="2386"/>
      <c r="T24" s="2821"/>
      <c r="U24" s="3671"/>
      <c r="V24" s="2619">
        <f>V8+V10+V12+V14+V16+V18+V20+V22</f>
        <v>0.21248800000000001</v>
      </c>
      <c r="W24" s="2822"/>
      <c r="X24" s="2619">
        <f>X8+X10+X12+X14+X16+X18+X20+X22</f>
        <v>0.20000000000000004</v>
      </c>
      <c r="Y24" s="3669"/>
      <c r="Z24" s="3679"/>
      <c r="AA24" s="3669"/>
      <c r="AB24" s="1053"/>
      <c r="AC24" s="1054"/>
      <c r="AD24" s="1054"/>
      <c r="AE24" s="2673">
        <f>AE8+AE10+AE12+AE14+AE16+AE18+AE20+AE22</f>
        <v>0.21248800000000001</v>
      </c>
      <c r="AF24" s="2823"/>
      <c r="AG24" s="2673">
        <f>AG8+AG10+AG12+AG14+AG16+AG18+AG20+AG22</f>
        <v>0.15000000000000002</v>
      </c>
      <c r="AH24" s="3668"/>
      <c r="AI24" s="3680"/>
      <c r="AJ24" s="3668"/>
      <c r="AK24" s="2055"/>
    </row>
    <row r="25" spans="1:44" ht="12.75" customHeight="1">
      <c r="A25" s="209"/>
      <c r="B25" s="232"/>
      <c r="C25" s="2247"/>
      <c r="D25" s="2257"/>
      <c r="E25" s="277"/>
      <c r="F25" s="3694"/>
      <c r="G25" s="2247"/>
      <c r="H25" s="1641"/>
      <c r="I25" s="186"/>
      <c r="J25" s="188"/>
      <c r="K25" s="44"/>
      <c r="L25" s="44"/>
      <c r="M25" s="1614"/>
      <c r="N25" s="278"/>
      <c r="O25" s="1614"/>
      <c r="P25" s="3667"/>
      <c r="Q25" s="3678"/>
      <c r="R25" s="3667"/>
      <c r="S25" s="3677"/>
      <c r="T25" s="578"/>
      <c r="U25" s="2779"/>
      <c r="V25" s="1617"/>
      <c r="W25" s="394"/>
      <c r="X25" s="1617"/>
      <c r="Y25" s="3669"/>
      <c r="Z25" s="3679"/>
      <c r="AA25" s="3669"/>
      <c r="AB25" s="513"/>
      <c r="AC25" s="465"/>
      <c r="AD25" s="465"/>
      <c r="AE25" s="2662"/>
      <c r="AF25" s="409"/>
      <c r="AG25" s="2662"/>
      <c r="AH25" s="3668"/>
      <c r="AI25" s="3680"/>
      <c r="AJ25" s="3668"/>
      <c r="AK25" s="466"/>
    </row>
    <row r="26" spans="1:44" s="21" customFormat="1" ht="17.25" customHeight="1">
      <c r="A26" s="220" t="s">
        <v>1283</v>
      </c>
      <c r="B26" s="232"/>
      <c r="C26" s="2247"/>
      <c r="D26" s="2824"/>
      <c r="E26" s="2240"/>
      <c r="F26" s="3693"/>
      <c r="G26" s="3676"/>
      <c r="H26" s="4099"/>
      <c r="I26" s="4100"/>
      <c r="J26" s="4101"/>
      <c r="K26" s="44"/>
      <c r="L26" s="44"/>
      <c r="M26" s="2827"/>
      <c r="N26" s="2260"/>
      <c r="O26" s="2827"/>
      <c r="P26" s="3667"/>
      <c r="Q26" s="3678"/>
      <c r="R26" s="3667"/>
      <c r="S26" s="52"/>
      <c r="T26" s="578"/>
      <c r="U26" s="2779"/>
      <c r="V26" s="2825"/>
      <c r="W26" s="2814"/>
      <c r="X26" s="2825"/>
      <c r="Y26" s="3669"/>
      <c r="Z26" s="3679"/>
      <c r="AA26" s="3669"/>
      <c r="AB26" s="513"/>
      <c r="AC26" s="465"/>
      <c r="AD26" s="465"/>
      <c r="AE26" s="2826"/>
      <c r="AF26" s="2809"/>
      <c r="AG26" s="2826"/>
      <c r="AH26" s="3668"/>
      <c r="AI26" s="3680"/>
      <c r="AJ26" s="3668"/>
      <c r="AK26" s="466"/>
      <c r="AL26" s="23"/>
      <c r="AM26" s="23"/>
      <c r="AN26" s="23"/>
      <c r="AO26" s="23"/>
      <c r="AP26" s="23"/>
      <c r="AQ26" s="23"/>
      <c r="AR26" s="23"/>
    </row>
    <row r="27" spans="1:44">
      <c r="A27" s="209" t="s">
        <v>1282</v>
      </c>
      <c r="B27" s="232"/>
      <c r="C27" s="2247"/>
      <c r="D27" s="2250"/>
      <c r="E27" s="277"/>
      <c r="F27" s="2254">
        <v>0.03</v>
      </c>
      <c r="G27" s="3676"/>
      <c r="H27" s="1641"/>
      <c r="I27" s="2780"/>
      <c r="J27" s="188"/>
      <c r="K27" s="44"/>
      <c r="L27" s="44"/>
      <c r="M27" s="2251"/>
      <c r="N27" s="278"/>
      <c r="O27" s="2254">
        <v>2.5000000000000001E-2</v>
      </c>
      <c r="P27" s="3667"/>
      <c r="Q27" s="3678"/>
      <c r="R27" s="2780"/>
      <c r="S27" s="52"/>
      <c r="T27" s="578"/>
      <c r="U27" s="2779"/>
      <c r="V27" s="2635"/>
      <c r="W27" s="394"/>
      <c r="X27" s="2254">
        <v>0.03</v>
      </c>
      <c r="Y27" s="3669"/>
      <c r="Z27" s="3679"/>
      <c r="AA27" s="2780"/>
      <c r="AB27" s="513"/>
      <c r="AC27" s="465"/>
      <c r="AD27" s="465"/>
      <c r="AE27" s="2665"/>
      <c r="AF27" s="409"/>
      <c r="AG27" s="2254">
        <v>0.04</v>
      </c>
      <c r="AH27" s="3668"/>
      <c r="AI27" s="3680"/>
      <c r="AJ27" s="2780"/>
      <c r="AK27" s="466"/>
      <c r="AL27" s="6"/>
      <c r="AM27" s="6"/>
      <c r="AN27" s="6"/>
      <c r="AO27" s="6"/>
      <c r="AP27" s="6"/>
      <c r="AQ27" s="6"/>
      <c r="AR27" s="6"/>
    </row>
    <row r="28" spans="1:44" ht="3" customHeight="1">
      <c r="A28" s="208"/>
      <c r="B28" s="227"/>
      <c r="C28" s="171"/>
      <c r="D28" s="2256"/>
      <c r="E28" s="316"/>
      <c r="F28" s="2256"/>
      <c r="G28" s="3676"/>
      <c r="H28" s="170"/>
      <c r="I28" s="171"/>
      <c r="J28" s="188"/>
      <c r="K28" s="44"/>
      <c r="L28" s="104"/>
      <c r="M28" s="2259"/>
      <c r="N28" s="317"/>
      <c r="O28" s="2259"/>
      <c r="P28" s="3667"/>
      <c r="Q28" s="3678"/>
      <c r="R28" s="3667"/>
      <c r="S28" s="52"/>
      <c r="T28" s="565"/>
      <c r="U28" s="419"/>
      <c r="V28" s="2812"/>
      <c r="W28" s="573"/>
      <c r="X28" s="2812"/>
      <c r="Y28" s="3669"/>
      <c r="Z28" s="3679"/>
      <c r="AA28" s="3669"/>
      <c r="AB28" s="513"/>
      <c r="AC28" s="465"/>
      <c r="AD28" s="593"/>
      <c r="AE28" s="2680"/>
      <c r="AF28" s="558"/>
      <c r="AG28" s="2680"/>
      <c r="AH28" s="3668"/>
      <c r="AI28" s="3680"/>
      <c r="AJ28" s="3668"/>
      <c r="AK28" s="466"/>
    </row>
    <row r="29" spans="1:44">
      <c r="A29" s="209" t="s">
        <v>1284</v>
      </c>
      <c r="B29" s="232"/>
      <c r="C29" s="2247"/>
      <c r="D29" s="2250">
        <f>Defaults!$B$13*0.058</f>
        <v>1.3688000000000001E-2</v>
      </c>
      <c r="E29" s="277"/>
      <c r="F29" s="2254">
        <v>0.01</v>
      </c>
      <c r="G29" s="3676"/>
      <c r="H29" s="1641"/>
      <c r="I29" s="2780"/>
      <c r="J29" s="188"/>
      <c r="K29" s="44"/>
      <c r="L29" s="44"/>
      <c r="M29" s="2251">
        <f>Defaults!$B$13*0.058</f>
        <v>1.3688000000000001E-2</v>
      </c>
      <c r="N29" s="278"/>
      <c r="O29" s="2254">
        <v>0.01</v>
      </c>
      <c r="P29" s="3667"/>
      <c r="Q29" s="3678"/>
      <c r="R29" s="2780"/>
      <c r="S29" s="52"/>
      <c r="T29" s="578"/>
      <c r="U29" s="2779"/>
      <c r="V29" s="2635">
        <f>Defaults!$B$13*0.058</f>
        <v>1.3688000000000001E-2</v>
      </c>
      <c r="W29" s="394"/>
      <c r="X29" s="2254">
        <v>0.01</v>
      </c>
      <c r="Y29" s="3669"/>
      <c r="Z29" s="3679"/>
      <c r="AA29" s="2780"/>
      <c r="AB29" s="513"/>
      <c r="AC29" s="465"/>
      <c r="AD29" s="465"/>
      <c r="AE29" s="2665">
        <f>Defaults!$B$13*0.058</f>
        <v>1.3688000000000001E-2</v>
      </c>
      <c r="AF29" s="409"/>
      <c r="AG29" s="2254">
        <v>0.01</v>
      </c>
      <c r="AH29" s="3668"/>
      <c r="AI29" s="3680"/>
      <c r="AJ29" s="2780"/>
      <c r="AK29" s="466"/>
    </row>
    <row r="30" spans="1:44" ht="3" customHeight="1">
      <c r="A30" s="209" t="s">
        <v>171</v>
      </c>
      <c r="B30" s="227"/>
      <c r="C30" s="171"/>
      <c r="D30" s="2256"/>
      <c r="E30" s="316"/>
      <c r="F30" s="2256"/>
      <c r="G30" s="3676"/>
      <c r="H30" s="170"/>
      <c r="I30" s="171"/>
      <c r="J30" s="188"/>
      <c r="K30" s="44"/>
      <c r="L30" s="104"/>
      <c r="M30" s="2259"/>
      <c r="N30" s="317"/>
      <c r="O30" s="2259"/>
      <c r="P30" s="3667"/>
      <c r="Q30" s="3678"/>
      <c r="R30" s="3667"/>
      <c r="S30" s="52"/>
      <c r="T30" s="565"/>
      <c r="U30" s="419"/>
      <c r="V30" s="2812"/>
      <c r="W30" s="573"/>
      <c r="X30" s="2812"/>
      <c r="Y30" s="3669"/>
      <c r="Z30" s="3679"/>
      <c r="AA30" s="3669"/>
      <c r="AB30" s="513"/>
      <c r="AC30" s="465"/>
      <c r="AD30" s="593"/>
      <c r="AE30" s="2680"/>
      <c r="AF30" s="558"/>
      <c r="AG30" s="2680"/>
      <c r="AH30" s="3668"/>
      <c r="AI30" s="3680"/>
      <c r="AJ30" s="3668"/>
      <c r="AK30" s="466"/>
    </row>
    <row r="31" spans="1:44" ht="12.75" customHeight="1">
      <c r="A31" s="209" t="s">
        <v>636</v>
      </c>
      <c r="B31" s="232"/>
      <c r="C31" s="2247"/>
      <c r="D31" s="2250">
        <v>0.01</v>
      </c>
      <c r="E31" s="277"/>
      <c r="F31" s="2254">
        <v>0.01</v>
      </c>
      <c r="G31" s="322"/>
      <c r="H31" s="2258"/>
      <c r="I31" s="2780"/>
      <c r="J31" s="188"/>
      <c r="K31" s="44"/>
      <c r="L31" s="44"/>
      <c r="M31" s="2251">
        <v>0.01</v>
      </c>
      <c r="N31" s="278"/>
      <c r="O31" s="2254">
        <v>0.01</v>
      </c>
      <c r="P31" s="3667"/>
      <c r="Q31" s="3678"/>
      <c r="R31" s="2780"/>
      <c r="S31" s="52"/>
      <c r="T31" s="578"/>
      <c r="U31" s="2779"/>
      <c r="V31" s="2635">
        <v>0.01</v>
      </c>
      <c r="W31" s="394"/>
      <c r="X31" s="2254">
        <v>0.01</v>
      </c>
      <c r="Y31" s="3669"/>
      <c r="Z31" s="3679"/>
      <c r="AA31" s="2780"/>
      <c r="AB31" s="513"/>
      <c r="AC31" s="465"/>
      <c r="AD31" s="465"/>
      <c r="AE31" s="2665">
        <v>0.01</v>
      </c>
      <c r="AF31" s="409"/>
      <c r="AG31" s="2254">
        <v>0.01</v>
      </c>
      <c r="AH31" s="3668"/>
      <c r="AI31" s="3680"/>
      <c r="AJ31" s="2780"/>
      <c r="AK31" s="466"/>
    </row>
    <row r="32" spans="1:44" ht="6.75" customHeight="1">
      <c r="A32" s="209"/>
      <c r="B32" s="232"/>
      <c r="C32" s="2247"/>
      <c r="D32" s="2257"/>
      <c r="E32" s="277"/>
      <c r="F32" s="2257"/>
      <c r="G32" s="2247"/>
      <c r="H32" s="1641"/>
      <c r="I32" s="186"/>
      <c r="J32" s="188"/>
      <c r="K32" s="44"/>
      <c r="L32" s="44"/>
      <c r="M32" s="1614"/>
      <c r="N32" s="278"/>
      <c r="O32" s="1614"/>
      <c r="P32" s="3667"/>
      <c r="Q32" s="3678"/>
      <c r="R32" s="3667"/>
      <c r="S32" s="52"/>
      <c r="T32" s="578"/>
      <c r="U32" s="2779"/>
      <c r="V32" s="1617"/>
      <c r="W32" s="394"/>
      <c r="X32" s="1617"/>
      <c r="Y32" s="3669"/>
      <c r="Z32" s="3679"/>
      <c r="AA32" s="3669"/>
      <c r="AB32" s="513"/>
      <c r="AC32" s="465"/>
      <c r="AD32" s="465"/>
      <c r="AE32" s="2662"/>
      <c r="AF32" s="409"/>
      <c r="AG32" s="2662"/>
      <c r="AH32" s="3668"/>
      <c r="AI32" s="3680"/>
      <c r="AJ32" s="3668"/>
      <c r="AK32" s="466"/>
    </row>
    <row r="33" spans="1:44" s="20" customFormat="1" ht="12" customHeight="1">
      <c r="A33" s="1194" t="s">
        <v>1293</v>
      </c>
      <c r="B33" s="2818"/>
      <c r="C33" s="2783"/>
      <c r="D33" s="2312">
        <f>D27+D29+D31</f>
        <v>2.3688000000000001E-2</v>
      </c>
      <c r="E33" s="2819"/>
      <c r="F33" s="2312">
        <f>F27+F29+F31</f>
        <v>0.05</v>
      </c>
      <c r="G33" s="3676"/>
      <c r="H33" s="2258"/>
      <c r="I33" s="3676"/>
      <c r="J33" s="1035"/>
      <c r="K33" s="1037"/>
      <c r="L33" s="1037"/>
      <c r="M33" s="2313">
        <f>M27+M29+M31</f>
        <v>2.3688000000000001E-2</v>
      </c>
      <c r="N33" s="2820"/>
      <c r="O33" s="2313">
        <f>O27+O29+O31</f>
        <v>4.5000000000000005E-2</v>
      </c>
      <c r="P33" s="3667"/>
      <c r="Q33" s="3678"/>
      <c r="R33" s="3667"/>
      <c r="S33" s="2386"/>
      <c r="T33" s="2821"/>
      <c r="U33" s="2784"/>
      <c r="V33" s="2619">
        <f>V27+V29+V31</f>
        <v>2.3688000000000001E-2</v>
      </c>
      <c r="W33" s="2822"/>
      <c r="X33" s="2619">
        <f>X27+X29+X31</f>
        <v>0.05</v>
      </c>
      <c r="Y33" s="3669"/>
      <c r="Z33" s="3679"/>
      <c r="AA33" s="3669"/>
      <c r="AB33" s="1053"/>
      <c r="AC33" s="1054"/>
      <c r="AD33" s="1054"/>
      <c r="AE33" s="2673">
        <f>AE27+AE29+AE31</f>
        <v>2.3688000000000001E-2</v>
      </c>
      <c r="AF33" s="2823"/>
      <c r="AG33" s="2673">
        <f>AG27+AG29+AG31</f>
        <v>6.0000000000000005E-2</v>
      </c>
      <c r="AH33" s="3668"/>
      <c r="AI33" s="3680"/>
      <c r="AJ33" s="3668"/>
      <c r="AK33" s="2055"/>
    </row>
    <row r="34" spans="1:44" ht="5.25" customHeight="1">
      <c r="A34" s="264"/>
      <c r="B34" s="230"/>
      <c r="C34" s="161"/>
      <c r="D34" s="275"/>
      <c r="E34" s="275"/>
      <c r="F34" s="275"/>
      <c r="G34" s="161"/>
      <c r="H34" s="2264"/>
      <c r="I34" s="190"/>
      <c r="J34" s="191"/>
      <c r="K34" s="67"/>
      <c r="L34" s="276"/>
      <c r="M34" s="276"/>
      <c r="N34" s="276"/>
      <c r="O34" s="67"/>
      <c r="P34" s="67"/>
      <c r="Q34" s="66"/>
      <c r="R34" s="67"/>
      <c r="S34" s="88"/>
      <c r="T34" s="567"/>
      <c r="U34" s="568"/>
      <c r="V34" s="592"/>
      <c r="W34" s="592"/>
      <c r="X34" s="592"/>
      <c r="Y34" s="568"/>
      <c r="Z34" s="2628"/>
      <c r="AA34" s="516"/>
      <c r="AB34" s="517"/>
      <c r="AC34" s="469"/>
      <c r="AD34" s="596"/>
      <c r="AE34" s="596"/>
      <c r="AF34" s="596"/>
      <c r="AG34" s="469"/>
      <c r="AH34" s="469"/>
      <c r="AI34" s="554"/>
      <c r="AJ34" s="469"/>
      <c r="AK34" s="470"/>
    </row>
    <row r="35" spans="1:44" ht="20.25" customHeight="1">
      <c r="A35" s="4031" t="s">
        <v>1287</v>
      </c>
      <c r="B35" s="4032"/>
      <c r="C35" s="4032"/>
      <c r="D35" s="4032"/>
      <c r="E35" s="4032"/>
      <c r="F35" s="4032"/>
      <c r="G35" s="4032"/>
      <c r="H35" s="4032"/>
      <c r="I35" s="4032"/>
      <c r="J35" s="4032"/>
      <c r="K35" s="4032"/>
      <c r="L35" s="4032"/>
      <c r="M35" s="4032"/>
      <c r="N35" s="4032"/>
      <c r="O35" s="4032"/>
      <c r="P35" s="4032"/>
      <c r="Q35" s="4032"/>
      <c r="R35" s="4032"/>
      <c r="S35" s="4032"/>
      <c r="T35" s="4032"/>
      <c r="U35" s="4032"/>
      <c r="V35" s="4032"/>
      <c r="W35" s="4032"/>
      <c r="X35" s="4032"/>
      <c r="Y35" s="4032"/>
      <c r="Z35" s="4032"/>
      <c r="AA35" s="4032"/>
      <c r="AB35" s="4032"/>
      <c r="AC35" s="4032"/>
      <c r="AD35" s="4032"/>
      <c r="AE35" s="4032"/>
      <c r="AF35" s="4032"/>
      <c r="AG35" s="4032"/>
      <c r="AH35" s="4032"/>
      <c r="AI35" s="4032"/>
      <c r="AJ35" s="4032"/>
      <c r="AK35" s="4033"/>
    </row>
    <row r="36" spans="1:44" s="6" customFormat="1" ht="5.25" customHeight="1">
      <c r="A36" s="207"/>
      <c r="B36" s="227"/>
      <c r="C36" s="171"/>
      <c r="D36" s="316"/>
      <c r="E36" s="316"/>
      <c r="F36" s="171"/>
      <c r="G36" s="171"/>
      <c r="H36" s="2252"/>
      <c r="I36" s="186"/>
      <c r="J36" s="188"/>
      <c r="K36" s="44"/>
      <c r="L36" s="44"/>
      <c r="M36" s="880"/>
      <c r="N36" s="880"/>
      <c r="O36" s="44"/>
      <c r="P36" s="44"/>
      <c r="Q36" s="136"/>
      <c r="R36" s="53"/>
      <c r="S36" s="54"/>
      <c r="T36" s="565"/>
      <c r="U36" s="419"/>
      <c r="V36" s="573"/>
      <c r="W36" s="573"/>
      <c r="X36" s="419"/>
      <c r="Y36" s="419"/>
      <c r="Z36" s="2760"/>
      <c r="AA36" s="511"/>
      <c r="AB36" s="513"/>
      <c r="AC36" s="465"/>
      <c r="AD36" s="465"/>
      <c r="AE36" s="909"/>
      <c r="AF36" s="909"/>
      <c r="AG36" s="465"/>
      <c r="AH36" s="465"/>
      <c r="AI36" s="550"/>
      <c r="AJ36" s="556"/>
      <c r="AK36" s="557"/>
    </row>
    <row r="37" spans="1:44" ht="26.25" customHeight="1">
      <c r="A37" s="2473" t="s">
        <v>1288</v>
      </c>
      <c r="B37" s="232"/>
      <c r="C37" s="2247"/>
      <c r="D37" s="3364" t="s">
        <v>117</v>
      </c>
      <c r="E37" s="2240"/>
      <c r="F37" s="2824" t="s">
        <v>821</v>
      </c>
      <c r="G37" s="2247"/>
      <c r="H37" s="4099" t="s">
        <v>822</v>
      </c>
      <c r="I37" s="4100"/>
      <c r="J37" s="4101"/>
      <c r="K37" s="44"/>
      <c r="L37" s="44"/>
      <c r="M37" s="3360" t="s">
        <v>117</v>
      </c>
      <c r="N37" s="2260"/>
      <c r="O37" s="2827" t="s">
        <v>821</v>
      </c>
      <c r="P37" s="76"/>
      <c r="Q37" s="4102" t="s">
        <v>822</v>
      </c>
      <c r="R37" s="4103"/>
      <c r="S37" s="4104"/>
      <c r="T37" s="578"/>
      <c r="U37" s="2779"/>
      <c r="V37" s="3361" t="s">
        <v>117</v>
      </c>
      <c r="W37" s="2814"/>
      <c r="X37" s="2825" t="s">
        <v>821</v>
      </c>
      <c r="Y37" s="2779"/>
      <c r="Z37" s="4105" t="s">
        <v>822</v>
      </c>
      <c r="AA37" s="4106"/>
      <c r="AB37" s="4107"/>
      <c r="AC37" s="465"/>
      <c r="AD37" s="465"/>
      <c r="AE37" s="3363" t="s">
        <v>117</v>
      </c>
      <c r="AF37" s="2809"/>
      <c r="AG37" s="2826" t="s">
        <v>821</v>
      </c>
      <c r="AH37" s="408"/>
      <c r="AI37" s="4108" t="s">
        <v>822</v>
      </c>
      <c r="AJ37" s="4109"/>
      <c r="AK37" s="4110"/>
      <c r="AL37" s="6"/>
      <c r="AM37" s="6"/>
      <c r="AN37" s="6"/>
      <c r="AO37" s="6"/>
      <c r="AP37" s="6"/>
      <c r="AQ37" s="6"/>
      <c r="AR37" s="6"/>
    </row>
    <row r="38" spans="1:44">
      <c r="A38" s="209" t="s">
        <v>671</v>
      </c>
      <c r="B38" s="232"/>
      <c r="C38" s="2247"/>
      <c r="D38" s="2250">
        <v>5.9280000000000001E-3</v>
      </c>
      <c r="E38" s="277"/>
      <c r="F38" s="2254">
        <v>8.0000000000000002E-3</v>
      </c>
      <c r="G38" s="2247"/>
      <c r="H38" s="1641"/>
      <c r="I38" s="2266"/>
      <c r="J38" s="188"/>
      <c r="K38" s="44"/>
      <c r="L38" s="44"/>
      <c r="M38" s="2251">
        <v>5.9280000000000001E-3</v>
      </c>
      <c r="N38" s="278"/>
      <c r="O38" s="2254">
        <v>7.0000000000000001E-3</v>
      </c>
      <c r="P38" s="2261"/>
      <c r="Q38" s="41"/>
      <c r="R38" s="2266"/>
      <c r="S38" s="52"/>
      <c r="T38" s="578"/>
      <c r="U38" s="2779"/>
      <c r="V38" s="2635">
        <v>5.9280000000000001E-3</v>
      </c>
      <c r="W38" s="394"/>
      <c r="X38" s="2254">
        <v>5.0000000000000001E-3</v>
      </c>
      <c r="Y38" s="2779"/>
      <c r="Z38" s="2239"/>
      <c r="AA38" s="2780"/>
      <c r="AB38" s="513"/>
      <c r="AC38" s="465"/>
      <c r="AD38" s="465"/>
      <c r="AE38" s="2665">
        <v>5.9280000000000001E-3</v>
      </c>
      <c r="AF38" s="409"/>
      <c r="AG38" s="2254">
        <v>5.0000000000000001E-3</v>
      </c>
      <c r="AH38" s="2663"/>
      <c r="AI38" s="464"/>
      <c r="AJ38" s="2780"/>
      <c r="AK38" s="466"/>
    </row>
    <row r="39" spans="1:44" ht="3" customHeight="1">
      <c r="A39" s="208"/>
      <c r="B39" s="227"/>
      <c r="C39" s="171"/>
      <c r="D39" s="3365"/>
      <c r="E39" s="316"/>
      <c r="F39" s="2256"/>
      <c r="G39" s="171"/>
      <c r="H39" s="170"/>
      <c r="I39" s="171"/>
      <c r="J39" s="188"/>
      <c r="K39" s="44"/>
      <c r="L39" s="104"/>
      <c r="M39" s="2262"/>
      <c r="N39" s="317"/>
      <c r="O39" s="2259"/>
      <c r="P39" s="2262"/>
      <c r="Q39" s="41"/>
      <c r="R39" s="44"/>
      <c r="S39" s="52"/>
      <c r="T39" s="565"/>
      <c r="U39" s="419"/>
      <c r="V39" s="3362"/>
      <c r="W39" s="573"/>
      <c r="X39" s="2812"/>
      <c r="Y39" s="419"/>
      <c r="Z39" s="418"/>
      <c r="AA39" s="419"/>
      <c r="AB39" s="513"/>
      <c r="AC39" s="465"/>
      <c r="AD39" s="593"/>
      <c r="AE39" s="2816"/>
      <c r="AF39" s="558"/>
      <c r="AG39" s="2680"/>
      <c r="AH39" s="2816"/>
      <c r="AI39" s="464"/>
      <c r="AJ39" s="465"/>
      <c r="AK39" s="466"/>
    </row>
    <row r="40" spans="1:44">
      <c r="A40" s="209" t="s">
        <v>105</v>
      </c>
      <c r="B40" s="232"/>
      <c r="C40" s="2247"/>
      <c r="D40" s="2250">
        <v>9.4050000000000002E-3</v>
      </c>
      <c r="E40" s="277"/>
      <c r="F40" s="2254">
        <v>1.2E-2</v>
      </c>
      <c r="G40" s="2247"/>
      <c r="H40" s="1641"/>
      <c r="I40" s="2266"/>
      <c r="J40" s="188"/>
      <c r="K40" s="44"/>
      <c r="L40" s="44"/>
      <c r="M40" s="2251">
        <v>9.4050000000000002E-3</v>
      </c>
      <c r="N40" s="278"/>
      <c r="O40" s="2254">
        <v>0.01</v>
      </c>
      <c r="P40" s="2261"/>
      <c r="Q40" s="41"/>
      <c r="R40" s="2266"/>
      <c r="S40" s="52"/>
      <c r="T40" s="578"/>
      <c r="U40" s="2779"/>
      <c r="V40" s="2635">
        <v>9.4050000000000002E-3</v>
      </c>
      <c r="W40" s="394"/>
      <c r="X40" s="2254">
        <v>8.0000000000000002E-3</v>
      </c>
      <c r="Y40" s="2779"/>
      <c r="Z40" s="2239"/>
      <c r="AA40" s="2780"/>
      <c r="AB40" s="513"/>
      <c r="AC40" s="465"/>
      <c r="AD40" s="465"/>
      <c r="AE40" s="2665">
        <v>9.4050000000000002E-3</v>
      </c>
      <c r="AF40" s="409"/>
      <c r="AG40" s="2254">
        <v>6.0000000000000001E-3</v>
      </c>
      <c r="AH40" s="2663"/>
      <c r="AI40" s="464"/>
      <c r="AJ40" s="2780"/>
      <c r="AK40" s="466"/>
    </row>
    <row r="41" spans="1:44" ht="3" customHeight="1">
      <c r="A41" s="208"/>
      <c r="B41" s="227"/>
      <c r="C41" s="171"/>
      <c r="D41" s="3365"/>
      <c r="E41" s="316"/>
      <c r="F41" s="2256"/>
      <c r="G41" s="171"/>
      <c r="H41" s="170"/>
      <c r="I41" s="171"/>
      <c r="J41" s="188"/>
      <c r="K41" s="44"/>
      <c r="L41" s="104"/>
      <c r="M41" s="2262"/>
      <c r="N41" s="317"/>
      <c r="O41" s="2259"/>
      <c r="P41" s="2262"/>
      <c r="Q41" s="41"/>
      <c r="R41" s="44"/>
      <c r="S41" s="52"/>
      <c r="T41" s="565"/>
      <c r="U41" s="419"/>
      <c r="V41" s="3362"/>
      <c r="W41" s="573"/>
      <c r="X41" s="2812"/>
      <c r="Y41" s="419"/>
      <c r="Z41" s="418"/>
      <c r="AA41" s="419"/>
      <c r="AB41" s="513"/>
      <c r="AC41" s="465"/>
      <c r="AD41" s="593"/>
      <c r="AE41" s="2816"/>
      <c r="AF41" s="558"/>
      <c r="AG41" s="2680"/>
      <c r="AH41" s="2816"/>
      <c r="AI41" s="464"/>
      <c r="AJ41" s="465"/>
      <c r="AK41" s="466"/>
    </row>
    <row r="42" spans="1:44">
      <c r="A42" s="209" t="s">
        <v>61</v>
      </c>
      <c r="B42" s="232"/>
      <c r="C42" s="2247"/>
      <c r="D42" s="2250">
        <v>1.14E-2</v>
      </c>
      <c r="E42" s="277"/>
      <c r="F42" s="2254">
        <v>0.02</v>
      </c>
      <c r="G42" s="2247"/>
      <c r="H42" s="1641"/>
      <c r="I42" s="2266"/>
      <c r="J42" s="188"/>
      <c r="K42" s="44"/>
      <c r="L42" s="44"/>
      <c r="M42" s="2251">
        <v>1.14E-2</v>
      </c>
      <c r="N42" s="278"/>
      <c r="O42" s="2254">
        <v>1.4999999999999999E-2</v>
      </c>
      <c r="P42" s="2261"/>
      <c r="Q42" s="41"/>
      <c r="R42" s="2266"/>
      <c r="S42" s="52"/>
      <c r="T42" s="578"/>
      <c r="U42" s="2779"/>
      <c r="V42" s="2635">
        <v>1.14E-2</v>
      </c>
      <c r="W42" s="394"/>
      <c r="X42" s="2254">
        <v>0.01</v>
      </c>
      <c r="Y42" s="2779"/>
      <c r="Z42" s="2239"/>
      <c r="AA42" s="2780"/>
      <c r="AB42" s="513"/>
      <c r="AC42" s="465"/>
      <c r="AD42" s="465"/>
      <c r="AE42" s="2665">
        <v>1.14E-2</v>
      </c>
      <c r="AF42" s="409"/>
      <c r="AG42" s="2254">
        <v>8.9999999999999993E-3</v>
      </c>
      <c r="AH42" s="2663"/>
      <c r="AI42" s="464"/>
      <c r="AJ42" s="2780"/>
      <c r="AK42" s="466"/>
    </row>
    <row r="43" spans="1:44" ht="3" customHeight="1">
      <c r="A43" s="208"/>
      <c r="B43" s="227"/>
      <c r="C43" s="171"/>
      <c r="D43" s="3365"/>
      <c r="E43" s="316"/>
      <c r="F43" s="2256"/>
      <c r="G43" s="171"/>
      <c r="H43" s="170"/>
      <c r="I43" s="171"/>
      <c r="J43" s="188"/>
      <c r="K43" s="44"/>
      <c r="L43" s="104"/>
      <c r="M43" s="2262"/>
      <c r="N43" s="317"/>
      <c r="O43" s="2259"/>
      <c r="P43" s="2262"/>
      <c r="Q43" s="41"/>
      <c r="R43" s="44"/>
      <c r="S43" s="52"/>
      <c r="T43" s="565"/>
      <c r="U43" s="419"/>
      <c r="V43" s="3362"/>
      <c r="W43" s="573"/>
      <c r="X43" s="2812"/>
      <c r="Y43" s="419"/>
      <c r="Z43" s="418"/>
      <c r="AA43" s="419"/>
      <c r="AB43" s="513"/>
      <c r="AC43" s="465"/>
      <c r="AD43" s="593"/>
      <c r="AE43" s="2816"/>
      <c r="AF43" s="558"/>
      <c r="AG43" s="2680"/>
      <c r="AH43" s="2816"/>
      <c r="AI43" s="464"/>
      <c r="AJ43" s="465"/>
      <c r="AK43" s="466"/>
    </row>
    <row r="44" spans="1:44">
      <c r="A44" s="209" t="s">
        <v>62</v>
      </c>
      <c r="B44" s="232"/>
      <c r="C44" s="2247"/>
      <c r="D44" s="2250">
        <v>6.4410000000000005E-3</v>
      </c>
      <c r="E44" s="277"/>
      <c r="F44" s="2254">
        <v>0.01</v>
      </c>
      <c r="G44" s="2247"/>
      <c r="H44" s="1641"/>
      <c r="I44" s="2266"/>
      <c r="J44" s="188"/>
      <c r="K44" s="44"/>
      <c r="L44" s="44"/>
      <c r="M44" s="2251">
        <v>6.4410000000000005E-3</v>
      </c>
      <c r="N44" s="278"/>
      <c r="O44" s="2254">
        <v>0.01</v>
      </c>
      <c r="P44" s="2261"/>
      <c r="Q44" s="41"/>
      <c r="R44" s="2266"/>
      <c r="S44" s="52"/>
      <c r="T44" s="578"/>
      <c r="U44" s="2779"/>
      <c r="V44" s="2635">
        <v>6.4410000000000005E-3</v>
      </c>
      <c r="W44" s="394"/>
      <c r="X44" s="2254">
        <v>5.0000000000000001E-3</v>
      </c>
      <c r="Y44" s="2779"/>
      <c r="Z44" s="2239"/>
      <c r="AA44" s="2780"/>
      <c r="AB44" s="513"/>
      <c r="AC44" s="465"/>
      <c r="AD44" s="465"/>
      <c r="AE44" s="2665">
        <v>6.4410000000000005E-3</v>
      </c>
      <c r="AF44" s="409"/>
      <c r="AG44" s="2254">
        <v>4.0000000000000001E-3</v>
      </c>
      <c r="AH44" s="2663"/>
      <c r="AI44" s="464"/>
      <c r="AJ44" s="2780"/>
      <c r="AK44" s="466"/>
    </row>
    <row r="45" spans="1:44" ht="3" customHeight="1">
      <c r="A45" s="208"/>
      <c r="B45" s="227"/>
      <c r="C45" s="171"/>
      <c r="D45" s="3365"/>
      <c r="E45" s="316"/>
      <c r="F45" s="2256"/>
      <c r="G45" s="171"/>
      <c r="H45" s="170"/>
      <c r="I45" s="171"/>
      <c r="J45" s="188"/>
      <c r="K45" s="44"/>
      <c r="L45" s="104"/>
      <c r="M45" s="2262"/>
      <c r="N45" s="317"/>
      <c r="O45" s="2259"/>
      <c r="P45" s="2262"/>
      <c r="Q45" s="41"/>
      <c r="R45" s="44"/>
      <c r="S45" s="52"/>
      <c r="T45" s="565"/>
      <c r="U45" s="419"/>
      <c r="V45" s="3362"/>
      <c r="W45" s="573"/>
      <c r="X45" s="2812"/>
      <c r="Y45" s="419"/>
      <c r="Z45" s="418"/>
      <c r="AA45" s="419"/>
      <c r="AB45" s="513"/>
      <c r="AC45" s="465"/>
      <c r="AD45" s="593"/>
      <c r="AE45" s="2816"/>
      <c r="AF45" s="558"/>
      <c r="AG45" s="2680"/>
      <c r="AH45" s="2816"/>
      <c r="AI45" s="464"/>
      <c r="AJ45" s="465"/>
      <c r="AK45" s="466"/>
    </row>
    <row r="46" spans="1:44">
      <c r="A46" s="209" t="s">
        <v>672</v>
      </c>
      <c r="B46" s="232"/>
      <c r="C46" s="2247"/>
      <c r="D46" s="2334">
        <v>2.2800000000000001E-4</v>
      </c>
      <c r="E46" s="277"/>
      <c r="F46" s="3700">
        <v>2.0000000000000001E-4</v>
      </c>
      <c r="G46" s="2247"/>
      <c r="H46" s="1641"/>
      <c r="I46" s="2266"/>
      <c r="J46" s="188"/>
      <c r="K46" s="44"/>
      <c r="L46" s="44"/>
      <c r="M46" s="2339">
        <v>2.2800000000000001E-4</v>
      </c>
      <c r="N46" s="278"/>
      <c r="O46" s="3700">
        <v>2.0000000000000001E-4</v>
      </c>
      <c r="P46" s="2261"/>
      <c r="Q46" s="41"/>
      <c r="R46" s="2266"/>
      <c r="S46" s="52"/>
      <c r="T46" s="578"/>
      <c r="U46" s="2779"/>
      <c r="V46" s="2815">
        <v>2.2800000000000001E-4</v>
      </c>
      <c r="W46" s="394"/>
      <c r="X46" s="3700">
        <v>2.0000000000000001E-4</v>
      </c>
      <c r="Y46" s="2779"/>
      <c r="Z46" s="2239"/>
      <c r="AA46" s="2780"/>
      <c r="AB46" s="513"/>
      <c r="AC46" s="465"/>
      <c r="AD46" s="465"/>
      <c r="AE46" s="2810">
        <v>2.2800000000000001E-4</v>
      </c>
      <c r="AF46" s="409"/>
      <c r="AG46" s="3700">
        <v>2.0000000000000001E-4</v>
      </c>
      <c r="AH46" s="2663"/>
      <c r="AI46" s="464"/>
      <c r="AJ46" s="2780"/>
      <c r="AK46" s="466"/>
    </row>
    <row r="47" spans="1:44" ht="3" customHeight="1">
      <c r="A47" s="208"/>
      <c r="B47" s="227"/>
      <c r="C47" s="171"/>
      <c r="D47" s="3365"/>
      <c r="E47" s="316"/>
      <c r="F47" s="2256"/>
      <c r="G47" s="171"/>
      <c r="H47" s="170"/>
      <c r="I47" s="171"/>
      <c r="J47" s="188"/>
      <c r="K47" s="44"/>
      <c r="L47" s="104"/>
      <c r="M47" s="2262"/>
      <c r="N47" s="317"/>
      <c r="O47" s="2259"/>
      <c r="P47" s="2262"/>
      <c r="Q47" s="41"/>
      <c r="R47" s="44"/>
      <c r="S47" s="52"/>
      <c r="T47" s="565"/>
      <c r="U47" s="419"/>
      <c r="V47" s="3362"/>
      <c r="W47" s="573"/>
      <c r="X47" s="2812"/>
      <c r="Y47" s="419"/>
      <c r="Z47" s="418"/>
      <c r="AA47" s="419"/>
      <c r="AB47" s="513"/>
      <c r="AC47" s="465"/>
      <c r="AD47" s="593"/>
      <c r="AE47" s="2816"/>
      <c r="AF47" s="558"/>
      <c r="AG47" s="2680"/>
      <c r="AH47" s="2816"/>
      <c r="AI47" s="464"/>
      <c r="AJ47" s="465"/>
      <c r="AK47" s="466"/>
    </row>
    <row r="48" spans="1:44">
      <c r="A48" s="209" t="s">
        <v>868</v>
      </c>
      <c r="B48" s="232"/>
      <c r="C48" s="2247"/>
      <c r="D48" s="2250">
        <v>5.7000000000000009E-4</v>
      </c>
      <c r="E48" s="277"/>
      <c r="F48" s="2254">
        <v>5.0000000000000001E-3</v>
      </c>
      <c r="G48" s="2247"/>
      <c r="H48" s="1641"/>
      <c r="I48" s="2266"/>
      <c r="J48" s="188"/>
      <c r="K48" s="44"/>
      <c r="L48" s="44"/>
      <c r="M48" s="2251">
        <v>5.7000000000000009E-4</v>
      </c>
      <c r="N48" s="278"/>
      <c r="O48" s="2254">
        <v>4.0000000000000001E-3</v>
      </c>
      <c r="P48" s="2261"/>
      <c r="Q48" s="41"/>
      <c r="R48" s="2266"/>
      <c r="S48" s="52"/>
      <c r="T48" s="578"/>
      <c r="U48" s="2779"/>
      <c r="V48" s="2635">
        <v>5.7000000000000009E-4</v>
      </c>
      <c r="W48" s="394"/>
      <c r="X48" s="2254">
        <v>1E-3</v>
      </c>
      <c r="Y48" s="2779"/>
      <c r="Z48" s="2239"/>
      <c r="AA48" s="2780"/>
      <c r="AB48" s="513"/>
      <c r="AC48" s="465"/>
      <c r="AD48" s="465"/>
      <c r="AE48" s="2665">
        <v>5.7000000000000009E-4</v>
      </c>
      <c r="AF48" s="409"/>
      <c r="AG48" s="2254">
        <v>1E-3</v>
      </c>
      <c r="AH48" s="2663"/>
      <c r="AI48" s="464"/>
      <c r="AJ48" s="2780"/>
      <c r="AK48" s="466"/>
    </row>
    <row r="49" spans="1:37" ht="3" customHeight="1">
      <c r="A49" s="208"/>
      <c r="B49" s="227"/>
      <c r="C49" s="171"/>
      <c r="D49" s="3365"/>
      <c r="E49" s="316"/>
      <c r="F49" s="2256"/>
      <c r="G49" s="171"/>
      <c r="H49" s="170"/>
      <c r="I49" s="171"/>
      <c r="J49" s="188"/>
      <c r="K49" s="44"/>
      <c r="L49" s="104"/>
      <c r="M49" s="2262"/>
      <c r="N49" s="317"/>
      <c r="O49" s="2259"/>
      <c r="P49" s="2262"/>
      <c r="Q49" s="41"/>
      <c r="R49" s="44"/>
      <c r="S49" s="52"/>
      <c r="T49" s="565"/>
      <c r="U49" s="419"/>
      <c r="V49" s="3362"/>
      <c r="W49" s="573"/>
      <c r="X49" s="2812"/>
      <c r="Y49" s="419"/>
      <c r="Z49" s="418"/>
      <c r="AA49" s="419"/>
      <c r="AB49" s="513"/>
      <c r="AC49" s="465"/>
      <c r="AD49" s="593"/>
      <c r="AE49" s="2816"/>
      <c r="AF49" s="558"/>
      <c r="AG49" s="2680"/>
      <c r="AH49" s="2816"/>
      <c r="AI49" s="464"/>
      <c r="AJ49" s="465"/>
      <c r="AK49" s="466"/>
    </row>
    <row r="50" spans="1:37">
      <c r="A50" s="209" t="s">
        <v>674</v>
      </c>
      <c r="B50" s="232"/>
      <c r="C50" s="2247"/>
      <c r="D50" s="2250">
        <v>8.6639999999999998E-3</v>
      </c>
      <c r="E50" s="277"/>
      <c r="F50" s="2254">
        <v>1.4999999999999999E-2</v>
      </c>
      <c r="G50" s="2247"/>
      <c r="H50" s="1641"/>
      <c r="I50" s="2266"/>
      <c r="J50" s="188"/>
      <c r="K50" s="44"/>
      <c r="L50" s="44"/>
      <c r="M50" s="2251">
        <v>8.6639999999999998E-3</v>
      </c>
      <c r="N50" s="278"/>
      <c r="O50" s="2254">
        <v>1.2E-2</v>
      </c>
      <c r="P50" s="2261"/>
      <c r="Q50" s="41"/>
      <c r="R50" s="2266"/>
      <c r="S50" s="52"/>
      <c r="T50" s="578"/>
      <c r="U50" s="2779"/>
      <c r="V50" s="2635">
        <v>8.6639999999999998E-3</v>
      </c>
      <c r="W50" s="394"/>
      <c r="X50" s="2254">
        <v>8.9999999999999993E-3</v>
      </c>
      <c r="Y50" s="2779"/>
      <c r="Z50" s="2239"/>
      <c r="AA50" s="2780"/>
      <c r="AB50" s="513"/>
      <c r="AC50" s="465"/>
      <c r="AD50" s="465"/>
      <c r="AE50" s="2665">
        <v>8.6639999999999998E-3</v>
      </c>
      <c r="AF50" s="409"/>
      <c r="AG50" s="2254">
        <v>6.0000000000000001E-3</v>
      </c>
      <c r="AH50" s="2663"/>
      <c r="AI50" s="464"/>
      <c r="AJ50" s="2780"/>
      <c r="AK50" s="466"/>
    </row>
    <row r="51" spans="1:37" ht="3" customHeight="1">
      <c r="A51" s="208"/>
      <c r="B51" s="227"/>
      <c r="C51" s="171"/>
      <c r="D51" s="3365"/>
      <c r="E51" s="316"/>
      <c r="F51" s="2256"/>
      <c r="G51" s="171"/>
      <c r="H51" s="170"/>
      <c r="I51" s="171"/>
      <c r="J51" s="188"/>
      <c r="K51" s="44"/>
      <c r="L51" s="104"/>
      <c r="M51" s="2262"/>
      <c r="N51" s="317"/>
      <c r="O51" s="2259"/>
      <c r="P51" s="2262"/>
      <c r="Q51" s="41"/>
      <c r="R51" s="44"/>
      <c r="S51" s="52"/>
      <c r="T51" s="565"/>
      <c r="U51" s="419"/>
      <c r="V51" s="3362"/>
      <c r="W51" s="573"/>
      <c r="X51" s="2812"/>
      <c r="Y51" s="419"/>
      <c r="Z51" s="418"/>
      <c r="AA51" s="419"/>
      <c r="AB51" s="513"/>
      <c r="AC51" s="465"/>
      <c r="AD51" s="593"/>
      <c r="AE51" s="2816"/>
      <c r="AF51" s="558"/>
      <c r="AG51" s="2680"/>
      <c r="AH51" s="2816"/>
      <c r="AI51" s="464"/>
      <c r="AJ51" s="465"/>
      <c r="AK51" s="466"/>
    </row>
    <row r="52" spans="1:37">
      <c r="A52" s="209" t="s">
        <v>675</v>
      </c>
      <c r="B52" s="232"/>
      <c r="C52" s="2247"/>
      <c r="D52" s="2250">
        <v>5.8139999999999997E-3</v>
      </c>
      <c r="E52" s="277"/>
      <c r="F52" s="2254">
        <v>0.01</v>
      </c>
      <c r="G52" s="2247"/>
      <c r="H52" s="1641"/>
      <c r="I52" s="2266"/>
      <c r="J52" s="188"/>
      <c r="K52" s="44"/>
      <c r="L52" s="44"/>
      <c r="M52" s="2251">
        <v>5.8139999999999997E-3</v>
      </c>
      <c r="N52" s="278"/>
      <c r="O52" s="2254">
        <v>8.0000000000000002E-3</v>
      </c>
      <c r="P52" s="2261"/>
      <c r="Q52" s="41"/>
      <c r="R52" s="2266"/>
      <c r="S52" s="52"/>
      <c r="T52" s="578"/>
      <c r="U52" s="2779"/>
      <c r="V52" s="2635">
        <v>5.8139999999999997E-3</v>
      </c>
      <c r="W52" s="394"/>
      <c r="X52" s="2254">
        <v>5.0000000000000001E-3</v>
      </c>
      <c r="Y52" s="2779"/>
      <c r="Z52" s="2239"/>
      <c r="AA52" s="2780"/>
      <c r="AB52" s="513"/>
      <c r="AC52" s="465"/>
      <c r="AD52" s="465"/>
      <c r="AE52" s="2665">
        <v>5.8139999999999997E-3</v>
      </c>
      <c r="AF52" s="409"/>
      <c r="AG52" s="2254">
        <v>5.0000000000000001E-3</v>
      </c>
      <c r="AH52" s="2663"/>
      <c r="AI52" s="464"/>
      <c r="AJ52" s="2780"/>
      <c r="AK52" s="466"/>
    </row>
    <row r="53" spans="1:37" ht="3" customHeight="1">
      <c r="A53" s="209"/>
      <c r="B53" s="232"/>
      <c r="C53" s="2247"/>
      <c r="D53" s="2241"/>
      <c r="E53" s="277"/>
      <c r="F53" s="2257"/>
      <c r="G53" s="2247"/>
      <c r="H53" s="1641"/>
      <c r="I53" s="186"/>
      <c r="J53" s="188"/>
      <c r="K53" s="44"/>
      <c r="L53" s="44"/>
      <c r="M53" s="2261"/>
      <c r="N53" s="278"/>
      <c r="O53" s="1614"/>
      <c r="P53" s="2261"/>
      <c r="Q53" s="41"/>
      <c r="R53" s="44"/>
      <c r="S53" s="52"/>
      <c r="T53" s="578"/>
      <c r="U53" s="2779"/>
      <c r="V53" s="2811"/>
      <c r="W53" s="394"/>
      <c r="X53" s="1617"/>
      <c r="Y53" s="2779"/>
      <c r="Z53" s="2239"/>
      <c r="AA53" s="511"/>
      <c r="AB53" s="513"/>
      <c r="AC53" s="465"/>
      <c r="AD53" s="465"/>
      <c r="AE53" s="2663"/>
      <c r="AF53" s="409"/>
      <c r="AG53" s="2662"/>
      <c r="AH53" s="2663"/>
      <c r="AI53" s="464"/>
      <c r="AJ53" s="465"/>
      <c r="AK53" s="466"/>
    </row>
    <row r="54" spans="1:37" ht="12.75" customHeight="1">
      <c r="A54" s="209" t="s">
        <v>673</v>
      </c>
      <c r="B54" s="232"/>
      <c r="C54" s="2247"/>
      <c r="D54" s="2250">
        <v>8.5500000000000003E-3</v>
      </c>
      <c r="E54" s="277"/>
      <c r="F54" s="2254">
        <v>1.2E-2</v>
      </c>
      <c r="G54" s="322"/>
      <c r="H54" s="2258"/>
      <c r="I54" s="2266"/>
      <c r="J54" s="188"/>
      <c r="K54" s="44"/>
      <c r="L54" s="44"/>
      <c r="M54" s="2251">
        <v>8.5500000000000003E-3</v>
      </c>
      <c r="N54" s="278"/>
      <c r="O54" s="2254">
        <v>0.01</v>
      </c>
      <c r="P54" s="2261"/>
      <c r="Q54" s="2263"/>
      <c r="R54" s="2266"/>
      <c r="S54" s="52"/>
      <c r="T54" s="578"/>
      <c r="U54" s="2779"/>
      <c r="V54" s="2635">
        <v>8.5500000000000003E-3</v>
      </c>
      <c r="W54" s="394"/>
      <c r="X54" s="2254">
        <v>7.0000000000000001E-3</v>
      </c>
      <c r="Y54" s="591"/>
      <c r="Z54" s="2813"/>
      <c r="AA54" s="2780"/>
      <c r="AB54" s="513"/>
      <c r="AC54" s="465"/>
      <c r="AD54" s="465"/>
      <c r="AE54" s="2665">
        <v>8.5500000000000003E-3</v>
      </c>
      <c r="AF54" s="409"/>
      <c r="AG54" s="2254">
        <v>4.0000000000000001E-3</v>
      </c>
      <c r="AH54" s="2663"/>
      <c r="AI54" s="2817"/>
      <c r="AJ54" s="2780"/>
      <c r="AK54" s="466"/>
    </row>
    <row r="55" spans="1:37" ht="3" customHeight="1">
      <c r="A55" s="209"/>
      <c r="B55" s="232"/>
      <c r="C55" s="2247"/>
      <c r="D55" s="2241"/>
      <c r="E55" s="277"/>
      <c r="F55" s="2257"/>
      <c r="G55" s="2247"/>
      <c r="H55" s="1641"/>
      <c r="I55" s="186"/>
      <c r="J55" s="188"/>
      <c r="K55" s="44"/>
      <c r="L55" s="44"/>
      <c r="M55" s="2261"/>
      <c r="N55" s="278"/>
      <c r="O55" s="1614"/>
      <c r="P55" s="2261"/>
      <c r="Q55" s="41"/>
      <c r="R55" s="44"/>
      <c r="S55" s="52"/>
      <c r="T55" s="578"/>
      <c r="U55" s="2779"/>
      <c r="V55" s="2811"/>
      <c r="W55" s="394"/>
      <c r="X55" s="1617"/>
      <c r="Y55" s="2779"/>
      <c r="Z55" s="2239"/>
      <c r="AA55" s="511"/>
      <c r="AB55" s="513"/>
      <c r="AC55" s="465"/>
      <c r="AD55" s="465"/>
      <c r="AE55" s="2663"/>
      <c r="AF55" s="409"/>
      <c r="AG55" s="2662"/>
      <c r="AH55" s="2663"/>
      <c r="AI55" s="464"/>
      <c r="AJ55" s="465"/>
      <c r="AK55" s="466"/>
    </row>
    <row r="56" spans="1:37" ht="12.75" customHeight="1">
      <c r="A56" s="209"/>
      <c r="B56" s="232"/>
      <c r="C56" s="2247"/>
      <c r="D56" s="277"/>
      <c r="E56" s="2240"/>
      <c r="F56" s="2240"/>
      <c r="G56" s="3666"/>
      <c r="H56" s="3681"/>
      <c r="I56" s="3666"/>
      <c r="J56" s="188"/>
      <c r="K56" s="44"/>
      <c r="L56" s="44"/>
      <c r="M56" s="278"/>
      <c r="N56" s="2260"/>
      <c r="O56" s="2260"/>
      <c r="P56" s="3667"/>
      <c r="Q56" s="3678"/>
      <c r="R56" s="3667"/>
      <c r="S56" s="3677"/>
      <c r="T56" s="578"/>
      <c r="U56" s="2779"/>
      <c r="V56" s="394"/>
      <c r="W56" s="2814"/>
      <c r="X56" s="2814"/>
      <c r="Y56" s="3669"/>
      <c r="Z56" s="3679"/>
      <c r="AA56" s="3669"/>
      <c r="AB56" s="513"/>
      <c r="AC56" s="465"/>
      <c r="AD56" s="465"/>
      <c r="AE56" s="409"/>
      <c r="AF56" s="2809"/>
      <c r="AG56" s="2809"/>
      <c r="AH56" s="3668"/>
      <c r="AI56" s="3680"/>
      <c r="AJ56" s="3668"/>
      <c r="AK56" s="466"/>
    </row>
    <row r="57" spans="1:37" s="20" customFormat="1" ht="12" customHeight="1">
      <c r="A57" s="1194" t="s">
        <v>1289</v>
      </c>
      <c r="B57" s="2818"/>
      <c r="C57" s="2783"/>
      <c r="D57" s="2312">
        <f>D38+D40+D42+D44+D46+D48+D50+D52+D54</f>
        <v>5.7000000000000002E-2</v>
      </c>
      <c r="E57" s="2819"/>
      <c r="F57" s="2312">
        <f>F38+F40+F42+F44+F46+F48+F50+F52+F54</f>
        <v>9.219999999999999E-2</v>
      </c>
      <c r="G57" s="3666"/>
      <c r="H57" s="3681"/>
      <c r="I57" s="3666"/>
      <c r="J57" s="1035"/>
      <c r="K57" s="1037"/>
      <c r="L57" s="1037"/>
      <c r="M57" s="2313">
        <f>M38+M40+M42+M44+M46+M48+M50+M52+M54</f>
        <v>5.7000000000000002E-2</v>
      </c>
      <c r="N57" s="2820"/>
      <c r="O57" s="2313">
        <f>O38+O40+O42+O44+O46+O48+O50+O52+O54</f>
        <v>7.6200000000000004E-2</v>
      </c>
      <c r="P57" s="3667"/>
      <c r="Q57" s="3678"/>
      <c r="R57" s="3667"/>
      <c r="S57" s="3685"/>
      <c r="T57" s="2821"/>
      <c r="U57" s="2784"/>
      <c r="V57" s="2619">
        <f>V38+V40+V42+V44+V46+V48+V50+V52+V54</f>
        <v>5.7000000000000002E-2</v>
      </c>
      <c r="W57" s="2822"/>
      <c r="X57" s="2619">
        <f>X38+X40+X42+X44+X46+X48+X50+X52+X54</f>
        <v>5.0199999999999995E-2</v>
      </c>
      <c r="Y57" s="3669"/>
      <c r="Z57" s="3679"/>
      <c r="AA57" s="3669"/>
      <c r="AB57" s="1053"/>
      <c r="AC57" s="1054"/>
      <c r="AD57" s="1054"/>
      <c r="AE57" s="2673">
        <f>AE38+AE40+AE42+AE44+AE46+AE48+AE50+AE52+AE54</f>
        <v>5.7000000000000002E-2</v>
      </c>
      <c r="AF57" s="2823"/>
      <c r="AG57" s="2673">
        <f>AG38+AG40+AG42+AG44+AG46+AG48+AG50+AG52+AG54</f>
        <v>4.02E-2</v>
      </c>
      <c r="AH57" s="3668"/>
      <c r="AI57" s="3680"/>
      <c r="AJ57" s="3668"/>
      <c r="AK57" s="2055"/>
    </row>
    <row r="58" spans="1:37" ht="5.25" customHeight="1" thickBot="1">
      <c r="A58" s="209"/>
      <c r="B58" s="227"/>
      <c r="C58" s="171"/>
      <c r="D58" s="316"/>
      <c r="E58" s="316"/>
      <c r="F58" s="316"/>
      <c r="G58" s="171"/>
      <c r="H58" s="3682"/>
      <c r="I58" s="3683"/>
      <c r="J58" s="3684"/>
      <c r="K58" s="44"/>
      <c r="L58" s="317"/>
      <c r="M58" s="317"/>
      <c r="N58" s="317"/>
      <c r="O58" s="44"/>
      <c r="P58" s="44"/>
      <c r="Q58" s="3686"/>
      <c r="R58" s="3687"/>
      <c r="S58" s="3688"/>
      <c r="T58" s="565"/>
      <c r="U58" s="419"/>
      <c r="V58" s="573"/>
      <c r="W58" s="573"/>
      <c r="X58" s="573"/>
      <c r="Y58" s="419"/>
      <c r="Z58" s="3689"/>
      <c r="AA58" s="584"/>
      <c r="AB58" s="3690"/>
      <c r="AC58" s="465"/>
      <c r="AD58" s="558"/>
      <c r="AE58" s="558"/>
      <c r="AF58" s="558"/>
      <c r="AG58" s="465"/>
      <c r="AH58" s="465"/>
      <c r="AI58" s="3691"/>
      <c r="AJ58" s="2703"/>
      <c r="AK58" s="3692"/>
    </row>
    <row r="59" spans="1:37" ht="30" customHeight="1">
      <c r="A59" s="4124" t="s">
        <v>20</v>
      </c>
      <c r="B59" s="4125"/>
      <c r="C59" s="4125"/>
      <c r="D59" s="4125"/>
      <c r="E59" s="4125"/>
      <c r="F59" s="4125"/>
      <c r="G59" s="4125"/>
      <c r="H59" s="4125"/>
      <c r="I59" s="4125"/>
      <c r="J59" s="4125"/>
      <c r="K59" s="4125"/>
      <c r="L59" s="4125"/>
      <c r="M59" s="4125"/>
      <c r="N59" s="4125"/>
      <c r="O59" s="4125"/>
      <c r="P59" s="4125"/>
      <c r="Q59" s="4125"/>
      <c r="R59" s="4125"/>
      <c r="S59" s="4125"/>
      <c r="T59" s="4125"/>
      <c r="U59" s="4125"/>
      <c r="V59" s="4125"/>
      <c r="W59" s="4125"/>
      <c r="X59" s="4125"/>
      <c r="Y59" s="4125"/>
      <c r="Z59" s="4125"/>
      <c r="AA59" s="4125"/>
      <c r="AB59" s="4125"/>
      <c r="AC59" s="4125"/>
      <c r="AD59" s="4125"/>
      <c r="AE59" s="4125"/>
      <c r="AF59" s="4125"/>
      <c r="AG59" s="4125"/>
      <c r="AH59" s="4125"/>
      <c r="AI59" s="4125"/>
      <c r="AJ59" s="4125"/>
      <c r="AK59" s="4126"/>
    </row>
    <row r="60" spans="1:37">
      <c r="A60" s="4127" t="s">
        <v>1490</v>
      </c>
      <c r="B60" s="4128"/>
      <c r="C60" s="4128"/>
      <c r="D60" s="4128"/>
      <c r="E60" s="4128"/>
      <c r="F60" s="4128"/>
      <c r="G60" s="4128"/>
      <c r="H60" s="4128"/>
      <c r="I60" s="4128"/>
      <c r="J60" s="4128"/>
      <c r="K60" s="4128"/>
      <c r="L60" s="4128"/>
      <c r="M60" s="4128"/>
      <c r="N60" s="4128"/>
      <c r="O60" s="4128"/>
      <c r="P60" s="4128"/>
      <c r="Q60" s="4128"/>
      <c r="R60" s="4128"/>
      <c r="S60" s="4128"/>
      <c r="T60" s="4128"/>
      <c r="U60" s="4128"/>
      <c r="V60" s="4128"/>
      <c r="W60" s="4128"/>
      <c r="X60" s="4128"/>
      <c r="Y60" s="4128"/>
      <c r="Z60" s="4128"/>
      <c r="AA60" s="4128"/>
      <c r="AB60" s="4128"/>
      <c r="AC60" s="4128"/>
      <c r="AD60" s="4128"/>
      <c r="AE60" s="4128"/>
      <c r="AF60" s="4128"/>
      <c r="AG60" s="4128"/>
      <c r="AH60" s="4128"/>
      <c r="AI60" s="4128"/>
      <c r="AJ60" s="4128"/>
      <c r="AK60" s="4129"/>
    </row>
    <row r="61" spans="1:37">
      <c r="A61" s="4092" t="s">
        <v>1524</v>
      </c>
      <c r="B61" s="4093"/>
      <c r="C61" s="4093"/>
      <c r="D61" s="4093"/>
      <c r="E61" s="4093"/>
      <c r="F61" s="4093"/>
      <c r="G61" s="4093"/>
      <c r="H61" s="4093"/>
      <c r="I61" s="4093"/>
      <c r="J61" s="4093"/>
      <c r="K61" s="4093"/>
      <c r="L61" s="4093"/>
      <c r="M61" s="4093"/>
      <c r="N61" s="4093"/>
      <c r="O61" s="4093"/>
      <c r="P61" s="4093"/>
      <c r="Q61" s="4093"/>
      <c r="R61" s="4093"/>
      <c r="S61" s="4093"/>
      <c r="T61" s="4093"/>
      <c r="U61" s="4093"/>
      <c r="V61" s="4093"/>
      <c r="W61" s="4093"/>
      <c r="X61" s="4093"/>
      <c r="Y61" s="4093"/>
      <c r="Z61" s="4093"/>
      <c r="AA61" s="4093"/>
      <c r="AB61" s="4093"/>
      <c r="AC61" s="4093"/>
      <c r="AD61" s="4093"/>
      <c r="AE61" s="4093"/>
      <c r="AF61" s="4093"/>
      <c r="AG61" s="4093"/>
      <c r="AH61" s="4093"/>
      <c r="AI61" s="4093"/>
      <c r="AJ61" s="4093"/>
      <c r="AK61" s="4094"/>
    </row>
    <row r="62" spans="1:37">
      <c r="A62" s="4092" t="s">
        <v>685</v>
      </c>
      <c r="B62" s="4093"/>
      <c r="C62" s="4093"/>
      <c r="D62" s="4093"/>
      <c r="E62" s="4093"/>
      <c r="F62" s="4093"/>
      <c r="G62" s="4093"/>
      <c r="H62" s="4093"/>
      <c r="I62" s="4093"/>
      <c r="J62" s="4093"/>
      <c r="K62" s="4093"/>
      <c r="L62" s="4093"/>
      <c r="M62" s="4093"/>
      <c r="N62" s="4093"/>
      <c r="O62" s="4093"/>
      <c r="P62" s="4093"/>
      <c r="Q62" s="4093"/>
      <c r="R62" s="4093"/>
      <c r="S62" s="4093"/>
      <c r="T62" s="4093"/>
      <c r="U62" s="4093"/>
      <c r="V62" s="4093"/>
      <c r="W62" s="4093"/>
      <c r="X62" s="4093"/>
      <c r="Y62" s="4093"/>
      <c r="Z62" s="4093"/>
      <c r="AA62" s="4093"/>
      <c r="AB62" s="4093"/>
      <c r="AC62" s="4093"/>
      <c r="AD62" s="4093"/>
      <c r="AE62" s="4093"/>
      <c r="AF62" s="4093"/>
      <c r="AG62" s="4093"/>
      <c r="AH62" s="4093"/>
      <c r="AI62" s="4093"/>
      <c r="AJ62" s="4093"/>
      <c r="AK62" s="4094"/>
    </row>
    <row r="63" spans="1:37">
      <c r="A63" s="4092" t="s">
        <v>186</v>
      </c>
      <c r="B63" s="4093"/>
      <c r="C63" s="4093"/>
      <c r="D63" s="4093"/>
      <c r="E63" s="4093"/>
      <c r="F63" s="4093"/>
      <c r="G63" s="4093"/>
      <c r="H63" s="4093"/>
      <c r="I63" s="4093"/>
      <c r="J63" s="4093"/>
      <c r="K63" s="4093"/>
      <c r="L63" s="4093"/>
      <c r="M63" s="4093"/>
      <c r="N63" s="4093"/>
      <c r="O63" s="4093"/>
      <c r="P63" s="4093"/>
      <c r="Q63" s="4093"/>
      <c r="R63" s="4093"/>
      <c r="S63" s="4093"/>
      <c r="T63" s="4093"/>
      <c r="U63" s="4093"/>
      <c r="V63" s="4093"/>
      <c r="W63" s="4093"/>
      <c r="X63" s="4093"/>
      <c r="Y63" s="4093"/>
      <c r="Z63" s="4093"/>
      <c r="AA63" s="4093"/>
      <c r="AB63" s="4093"/>
      <c r="AC63" s="4093"/>
      <c r="AD63" s="4093"/>
      <c r="AE63" s="4093"/>
      <c r="AF63" s="4093"/>
      <c r="AG63" s="4093"/>
      <c r="AH63" s="4093"/>
      <c r="AI63" s="4093"/>
      <c r="AJ63" s="4093"/>
      <c r="AK63" s="4094"/>
    </row>
    <row r="64" spans="1:37">
      <c r="A64" s="4092" t="s">
        <v>187</v>
      </c>
      <c r="B64" s="4093"/>
      <c r="C64" s="4093"/>
      <c r="D64" s="4093"/>
      <c r="E64" s="4093"/>
      <c r="F64" s="4093"/>
      <c r="G64" s="4093"/>
      <c r="H64" s="4093"/>
      <c r="I64" s="4093"/>
      <c r="J64" s="4093"/>
      <c r="K64" s="4093"/>
      <c r="L64" s="4093"/>
      <c r="M64" s="4093"/>
      <c r="N64" s="4093"/>
      <c r="O64" s="4093"/>
      <c r="P64" s="4093"/>
      <c r="Q64" s="4093"/>
      <c r="R64" s="4093"/>
      <c r="S64" s="4093"/>
      <c r="T64" s="4093"/>
      <c r="U64" s="4093"/>
      <c r="V64" s="4093"/>
      <c r="W64" s="4093"/>
      <c r="X64" s="4093"/>
      <c r="Y64" s="4093"/>
      <c r="Z64" s="4093"/>
      <c r="AA64" s="4093"/>
      <c r="AB64" s="4093"/>
      <c r="AC64" s="4093"/>
      <c r="AD64" s="4093"/>
      <c r="AE64" s="4093"/>
      <c r="AF64" s="4093"/>
      <c r="AG64" s="4093"/>
      <c r="AH64" s="4093"/>
      <c r="AI64" s="4093"/>
      <c r="AJ64" s="4093"/>
      <c r="AK64" s="4094"/>
    </row>
    <row r="65" spans="1:37">
      <c r="A65" s="4092" t="s">
        <v>119</v>
      </c>
      <c r="B65" s="4093"/>
      <c r="C65" s="4093"/>
      <c r="D65" s="4093"/>
      <c r="E65" s="4093"/>
      <c r="F65" s="4093"/>
      <c r="G65" s="4093"/>
      <c r="H65" s="4093"/>
      <c r="I65" s="4093"/>
      <c r="J65" s="4093"/>
      <c r="K65" s="4093"/>
      <c r="L65" s="4093"/>
      <c r="M65" s="4093"/>
      <c r="N65" s="4093"/>
      <c r="O65" s="4093"/>
      <c r="P65" s="4093"/>
      <c r="Q65" s="4093"/>
      <c r="R65" s="4093"/>
      <c r="S65" s="4093"/>
      <c r="T65" s="4093"/>
      <c r="U65" s="4093"/>
      <c r="V65" s="4093"/>
      <c r="W65" s="4093"/>
      <c r="X65" s="4093"/>
      <c r="Y65" s="4093"/>
      <c r="Z65" s="4093"/>
      <c r="AA65" s="4093"/>
      <c r="AB65" s="4093"/>
      <c r="AC65" s="4093"/>
      <c r="AD65" s="4093"/>
      <c r="AE65" s="4093"/>
      <c r="AF65" s="4093"/>
      <c r="AG65" s="4093"/>
      <c r="AH65" s="4093"/>
      <c r="AI65" s="4093"/>
      <c r="AJ65" s="4093"/>
      <c r="AK65" s="4094"/>
    </row>
    <row r="66" spans="1:37">
      <c r="A66" s="4092" t="s">
        <v>823</v>
      </c>
      <c r="B66" s="4093"/>
      <c r="C66" s="4093"/>
      <c r="D66" s="4093"/>
      <c r="E66" s="4093"/>
      <c r="F66" s="4093"/>
      <c r="G66" s="4093"/>
      <c r="H66" s="4093"/>
      <c r="I66" s="4093"/>
      <c r="J66" s="4093"/>
      <c r="K66" s="4093"/>
      <c r="L66" s="4093"/>
      <c r="M66" s="4093"/>
      <c r="N66" s="4093"/>
      <c r="O66" s="4093"/>
      <c r="P66" s="4093"/>
      <c r="Q66" s="4093"/>
      <c r="R66" s="4093"/>
      <c r="S66" s="4093"/>
      <c r="T66" s="4093"/>
      <c r="U66" s="4093"/>
      <c r="V66" s="4093"/>
      <c r="W66" s="4093"/>
      <c r="X66" s="4093"/>
      <c r="Y66" s="4093"/>
      <c r="Z66" s="4093"/>
      <c r="AA66" s="4093"/>
      <c r="AB66" s="4093"/>
      <c r="AC66" s="4093"/>
      <c r="AD66" s="4093"/>
      <c r="AE66" s="4093"/>
      <c r="AF66" s="4093"/>
      <c r="AG66" s="4093"/>
      <c r="AH66" s="4093"/>
      <c r="AI66" s="4093"/>
      <c r="AJ66" s="4093"/>
      <c r="AK66" s="4094"/>
    </row>
    <row r="67" spans="1:37">
      <c r="A67" s="4092" t="s">
        <v>575</v>
      </c>
      <c r="B67" s="4093"/>
      <c r="C67" s="4093"/>
      <c r="D67" s="4093"/>
      <c r="E67" s="4093"/>
      <c r="F67" s="4093"/>
      <c r="G67" s="4093"/>
      <c r="H67" s="4093"/>
      <c r="I67" s="4093"/>
      <c r="J67" s="4093"/>
      <c r="K67" s="4093"/>
      <c r="L67" s="4093"/>
      <c r="M67" s="4093"/>
      <c r="N67" s="4093"/>
      <c r="O67" s="4093"/>
      <c r="P67" s="4093"/>
      <c r="Q67" s="4093"/>
      <c r="R67" s="4093"/>
      <c r="S67" s="4093"/>
      <c r="T67" s="4093"/>
      <c r="U67" s="4093"/>
      <c r="V67" s="4093"/>
      <c r="W67" s="4093"/>
      <c r="X67" s="4093"/>
      <c r="Y67" s="4093"/>
      <c r="Z67" s="4093"/>
      <c r="AA67" s="4093"/>
      <c r="AB67" s="4093"/>
      <c r="AC67" s="4093"/>
      <c r="AD67" s="4093"/>
      <c r="AE67" s="4093"/>
      <c r="AF67" s="4093"/>
      <c r="AG67" s="4093"/>
      <c r="AH67" s="4093"/>
      <c r="AI67" s="4093"/>
      <c r="AJ67" s="4093"/>
      <c r="AK67" s="4094"/>
    </row>
    <row r="68" spans="1:37">
      <c r="A68" s="4092" t="s">
        <v>824</v>
      </c>
      <c r="B68" s="4093"/>
      <c r="C68" s="4093"/>
      <c r="D68" s="4093"/>
      <c r="E68" s="4093"/>
      <c r="F68" s="4093"/>
      <c r="G68" s="4093"/>
      <c r="H68" s="4093"/>
      <c r="I68" s="4093"/>
      <c r="J68" s="4093"/>
      <c r="K68" s="4093"/>
      <c r="L68" s="4093"/>
      <c r="M68" s="4093"/>
      <c r="N68" s="4093"/>
      <c r="O68" s="4093"/>
      <c r="P68" s="4093"/>
      <c r="Q68" s="4093"/>
      <c r="R68" s="4093"/>
      <c r="S68" s="4093"/>
      <c r="T68" s="4093"/>
      <c r="U68" s="4093"/>
      <c r="V68" s="4093"/>
      <c r="W68" s="4093"/>
      <c r="X68" s="4093"/>
      <c r="Y68" s="4093"/>
      <c r="Z68" s="4093"/>
      <c r="AA68" s="4093"/>
      <c r="AB68" s="4093"/>
      <c r="AC68" s="4093"/>
      <c r="AD68" s="4093"/>
      <c r="AE68" s="4093"/>
      <c r="AF68" s="4093"/>
      <c r="AG68" s="4093"/>
      <c r="AH68" s="4093"/>
      <c r="AI68" s="4093"/>
      <c r="AJ68" s="4093"/>
      <c r="AK68" s="4094"/>
    </row>
    <row r="69" spans="1:37">
      <c r="A69" s="4092" t="s">
        <v>577</v>
      </c>
      <c r="B69" s="4093"/>
      <c r="C69" s="4093"/>
      <c r="D69" s="4093"/>
      <c r="E69" s="4093"/>
      <c r="F69" s="4093"/>
      <c r="G69" s="4093"/>
      <c r="H69" s="4093"/>
      <c r="I69" s="4093"/>
      <c r="J69" s="4093"/>
      <c r="K69" s="4093"/>
      <c r="L69" s="4093"/>
      <c r="M69" s="4093"/>
      <c r="N69" s="4093"/>
      <c r="O69" s="4093"/>
      <c r="P69" s="4093"/>
      <c r="Q69" s="4093"/>
      <c r="R69" s="4093"/>
      <c r="S69" s="4093"/>
      <c r="T69" s="4093"/>
      <c r="U69" s="4093"/>
      <c r="V69" s="4093"/>
      <c r="W69" s="4093"/>
      <c r="X69" s="4093"/>
      <c r="Y69" s="4093"/>
      <c r="Z69" s="4093"/>
      <c r="AA69" s="4093"/>
      <c r="AB69" s="4093"/>
      <c r="AC69" s="4093"/>
      <c r="AD69" s="4093"/>
      <c r="AE69" s="4093"/>
      <c r="AF69" s="4093"/>
      <c r="AG69" s="4093"/>
      <c r="AH69" s="4093"/>
      <c r="AI69" s="4093"/>
      <c r="AJ69" s="4093"/>
      <c r="AK69" s="4094"/>
    </row>
    <row r="70" spans="1:37">
      <c r="A70" s="4092" t="s">
        <v>825</v>
      </c>
      <c r="B70" s="4093"/>
      <c r="C70" s="4093"/>
      <c r="D70" s="4093"/>
      <c r="E70" s="4093"/>
      <c r="F70" s="4093"/>
      <c r="G70" s="4093"/>
      <c r="H70" s="4093"/>
      <c r="I70" s="4093"/>
      <c r="J70" s="4093"/>
      <c r="K70" s="4093"/>
      <c r="L70" s="4093"/>
      <c r="M70" s="4093"/>
      <c r="N70" s="4093"/>
      <c r="O70" s="4093"/>
      <c r="P70" s="4093"/>
      <c r="Q70" s="4093"/>
      <c r="R70" s="4093"/>
      <c r="S70" s="4093"/>
      <c r="T70" s="4093"/>
      <c r="U70" s="4093"/>
      <c r="V70" s="4093"/>
      <c r="W70" s="4093"/>
      <c r="X70" s="4093"/>
      <c r="Y70" s="4093"/>
      <c r="Z70" s="4093"/>
      <c r="AA70" s="4093"/>
      <c r="AB70" s="4093"/>
      <c r="AC70" s="4093"/>
      <c r="AD70" s="4093"/>
      <c r="AE70" s="4093"/>
      <c r="AF70" s="4093"/>
      <c r="AG70" s="4093"/>
      <c r="AH70" s="4093"/>
      <c r="AI70" s="4093"/>
      <c r="AJ70" s="4093"/>
      <c r="AK70" s="4094"/>
    </row>
    <row r="71" spans="1:37" ht="13.5" thickBot="1">
      <c r="A71" s="4095" t="s">
        <v>826</v>
      </c>
      <c r="B71" s="4096"/>
      <c r="C71" s="4096"/>
      <c r="D71" s="4096"/>
      <c r="E71" s="4096"/>
      <c r="F71" s="4096"/>
      <c r="G71" s="4096"/>
      <c r="H71" s="4096"/>
      <c r="I71" s="4096"/>
      <c r="J71" s="4096"/>
      <c r="K71" s="4096"/>
      <c r="L71" s="4096"/>
      <c r="M71" s="4096"/>
      <c r="N71" s="4096"/>
      <c r="O71" s="4096"/>
      <c r="P71" s="4096"/>
      <c r="Q71" s="4096"/>
      <c r="R71" s="4096"/>
      <c r="S71" s="4096"/>
      <c r="T71" s="4096"/>
      <c r="U71" s="4096"/>
      <c r="V71" s="4096"/>
      <c r="W71" s="4096"/>
      <c r="X71" s="4096"/>
      <c r="Y71" s="4096"/>
      <c r="Z71" s="4096"/>
      <c r="AA71" s="4096"/>
      <c r="AB71" s="4096"/>
      <c r="AC71" s="4096"/>
      <c r="AD71" s="4096"/>
      <c r="AE71" s="4096"/>
      <c r="AF71" s="4096"/>
      <c r="AG71" s="4096"/>
      <c r="AH71" s="4096"/>
      <c r="AI71" s="4096"/>
      <c r="AJ71" s="4096"/>
      <c r="AK71" s="4097"/>
    </row>
  </sheetData>
  <sheetProtection password="E0BE" sheet="1" objects="1" scenarios="1"/>
  <mergeCells count="34">
    <mergeCell ref="A61:AK61"/>
    <mergeCell ref="B4:J4"/>
    <mergeCell ref="K4:S4"/>
    <mergeCell ref="H37:J37"/>
    <mergeCell ref="Q37:S37"/>
    <mergeCell ref="Z37:AB37"/>
    <mergeCell ref="AI37:AK37"/>
    <mergeCell ref="A59:AK59"/>
    <mergeCell ref="A60:AK60"/>
    <mergeCell ref="B3:J3"/>
    <mergeCell ref="K3:S3"/>
    <mergeCell ref="A35:AK35"/>
    <mergeCell ref="A1:AK1"/>
    <mergeCell ref="A2:AK2"/>
    <mergeCell ref="H7:J7"/>
    <mergeCell ref="Q7:S7"/>
    <mergeCell ref="Z7:AB7"/>
    <mergeCell ref="AI7:AK7"/>
    <mergeCell ref="A5:AK5"/>
    <mergeCell ref="T3:AB3"/>
    <mergeCell ref="AC3:AK3"/>
    <mergeCell ref="T4:AB4"/>
    <mergeCell ref="AC4:AK4"/>
    <mergeCell ref="H26:J26"/>
    <mergeCell ref="A71:AK71"/>
    <mergeCell ref="A66:AK66"/>
    <mergeCell ref="A67:AK67"/>
    <mergeCell ref="A68:AK68"/>
    <mergeCell ref="A69:AK69"/>
    <mergeCell ref="A62:AK62"/>
    <mergeCell ref="A63:AK63"/>
    <mergeCell ref="A64:AK64"/>
    <mergeCell ref="A65:AK65"/>
    <mergeCell ref="A70:AK70"/>
  </mergeCells>
  <printOptions horizontalCentered="1" gridLines="1"/>
  <pageMargins left="0.7" right="0.7" top="0.75" bottom="0.75" header="0.3" footer="0.3"/>
  <pageSetup scale="57" orientation="landscape" horizontalDpi="1200" verticalDpi="1200" r:id="rId1"/>
  <headerFooter>
    <oddFooter>&amp;L&amp;A&amp;C&amp;F&amp;R&amp;D</oddFooter>
  </headerFooter>
  <ignoredErrors>
    <ignoredError sqref="G65:L65 A65" numberStoredAsText="1"/>
  </ignoredErrors>
</worksheet>
</file>

<file path=xl/worksheets/sheet13.xml><?xml version="1.0" encoding="utf-8"?>
<worksheet xmlns="http://schemas.openxmlformats.org/spreadsheetml/2006/main" xmlns:r="http://schemas.openxmlformats.org/officeDocument/2006/relationships">
  <sheetPr codeName="Sheet11">
    <pageSetUpPr fitToPage="1"/>
  </sheetPr>
  <dimension ref="A1:AT56"/>
  <sheetViews>
    <sheetView topLeftCell="A7" zoomScale="85" zoomScaleNormal="85" workbookViewId="0">
      <selection activeCell="AT34" sqref="AT34"/>
    </sheetView>
  </sheetViews>
  <sheetFormatPr defaultRowHeight="12.75"/>
  <cols>
    <col min="1" max="1" width="38" style="21" customWidth="1"/>
    <col min="2" max="2" width="1.28515625" style="21" customWidth="1"/>
    <col min="3" max="5" width="4.7109375" style="21" customWidth="1"/>
    <col min="6" max="6" width="5.7109375" style="21" customWidth="1"/>
    <col min="7" max="7" width="8.7109375" style="21" customWidth="1"/>
    <col min="8" max="8" width="7.7109375" style="21" customWidth="1"/>
    <col min="9" max="9" width="2.7109375" style="21" customWidth="1"/>
    <col min="10" max="10" width="1.28515625" style="21" customWidth="1"/>
    <col min="11" max="11" width="8.7109375" style="21" customWidth="1"/>
    <col min="12" max="13" width="1.28515625" style="21" customWidth="1"/>
    <col min="14" max="16" width="4.7109375" style="21" customWidth="1"/>
    <col min="17" max="17" width="5.7109375" style="21" customWidth="1"/>
    <col min="18" max="18" width="8.7109375" style="21" customWidth="1"/>
    <col min="19" max="19" width="7.7109375" style="21" customWidth="1"/>
    <col min="20" max="20" width="2.7109375" style="21" customWidth="1"/>
    <col min="21" max="21" width="1.28515625" style="21" customWidth="1"/>
    <col min="22" max="22" width="8.7109375" style="21" customWidth="1"/>
    <col min="23" max="24" width="1.28515625" style="21" customWidth="1"/>
    <col min="25" max="27" width="4.7109375" style="21" customWidth="1"/>
    <col min="28" max="28" width="5.7109375" style="21" customWidth="1"/>
    <col min="29" max="29" width="8.7109375" style="21" customWidth="1"/>
    <col min="30" max="30" width="7.7109375" style="21" customWidth="1"/>
    <col min="31" max="31" width="2.7109375" style="21" customWidth="1"/>
    <col min="32" max="32" width="1.28515625" style="21" customWidth="1"/>
    <col min="33" max="33" width="8.7109375" style="21" customWidth="1"/>
    <col min="34" max="35" width="1.28515625" style="21" customWidth="1"/>
    <col min="36" max="38" width="4.7109375" style="21" customWidth="1"/>
    <col min="39" max="39" width="5.7109375" style="21" customWidth="1"/>
    <col min="40" max="40" width="8.7109375" style="21" customWidth="1"/>
    <col min="41" max="41" width="7.7109375" style="21" customWidth="1"/>
    <col min="42" max="42" width="2.7109375" style="21" customWidth="1"/>
    <col min="43" max="43" width="1.28515625" style="21" customWidth="1"/>
    <col min="44" max="44" width="8.7109375" style="21" customWidth="1"/>
    <col min="45" max="45" width="1.28515625" style="21" customWidth="1"/>
    <col min="46" max="46" width="46.28515625" style="39" customWidth="1"/>
    <col min="47" max="16384" width="9.140625" style="21"/>
  </cols>
  <sheetData>
    <row r="1" spans="1:46" ht="30" customHeight="1">
      <c r="A1" s="4014" t="str">
        <f>CONCATENATE("Application: ",Application_Name)</f>
        <v>Application: Conventional and Organic Farm Environmental Footprints (COFEF)</v>
      </c>
      <c r="B1" s="4015"/>
      <c r="C1" s="4015"/>
      <c r="D1" s="4015"/>
      <c r="E1" s="4015"/>
      <c r="F1" s="4015"/>
      <c r="G1" s="4015"/>
      <c r="H1" s="4015"/>
      <c r="I1" s="4015"/>
      <c r="J1" s="4015"/>
      <c r="K1" s="4015"/>
      <c r="L1" s="4015"/>
      <c r="M1" s="4015"/>
      <c r="N1" s="4015"/>
      <c r="O1" s="4015"/>
      <c r="P1" s="4015"/>
      <c r="Q1" s="4015"/>
      <c r="R1" s="4015"/>
      <c r="S1" s="4015"/>
      <c r="T1" s="4015"/>
      <c r="U1" s="4015"/>
      <c r="V1" s="4015"/>
      <c r="W1" s="4015"/>
      <c r="X1" s="4015"/>
      <c r="Y1" s="4015"/>
      <c r="Z1" s="4015"/>
      <c r="AA1" s="4015"/>
      <c r="AB1" s="4015"/>
      <c r="AC1" s="4015"/>
      <c r="AD1" s="4015"/>
      <c r="AE1" s="4015"/>
      <c r="AF1" s="4015"/>
      <c r="AG1" s="4015"/>
      <c r="AH1" s="4015"/>
      <c r="AI1" s="4015"/>
      <c r="AJ1" s="4015"/>
      <c r="AK1" s="4015"/>
      <c r="AL1" s="4015"/>
      <c r="AM1" s="4015"/>
      <c r="AN1" s="4015"/>
      <c r="AO1" s="4015"/>
      <c r="AP1" s="4015"/>
      <c r="AQ1" s="4015"/>
      <c r="AR1" s="4015"/>
      <c r="AS1" s="4015"/>
    </row>
    <row r="2" spans="1:46" ht="30" customHeight="1">
      <c r="A2" s="3967" t="s">
        <v>1303</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8"/>
      <c r="AD2" s="3968"/>
      <c r="AE2" s="3968"/>
      <c r="AF2" s="3968"/>
      <c r="AG2" s="3968"/>
      <c r="AH2" s="3968"/>
      <c r="AI2" s="3968"/>
      <c r="AJ2" s="3968"/>
      <c r="AK2" s="3968"/>
      <c r="AL2" s="3968"/>
      <c r="AM2" s="3968"/>
      <c r="AN2" s="3968"/>
      <c r="AO2" s="3968"/>
      <c r="AP2" s="3968"/>
      <c r="AQ2" s="3968"/>
      <c r="AR2" s="3968"/>
      <c r="AS2" s="3968"/>
    </row>
    <row r="3" spans="1:46" ht="21" customHeight="1">
      <c r="A3" s="211"/>
      <c r="B3" s="4154" t="str">
        <f>'Chosen Parameters-Part I'!B4</f>
        <v>Scenario 1</v>
      </c>
      <c r="C3" s="4155"/>
      <c r="D3" s="4155"/>
      <c r="E3" s="4155"/>
      <c r="F3" s="4155"/>
      <c r="G3" s="4155"/>
      <c r="H3" s="4155"/>
      <c r="I3" s="4155"/>
      <c r="J3" s="4155"/>
      <c r="K3" s="4155"/>
      <c r="L3" s="4156"/>
      <c r="M3" s="4157" t="str">
        <f>'Chosen Parameters-Part I'!C4</f>
        <v>Scenario 2</v>
      </c>
      <c r="N3" s="4158"/>
      <c r="O3" s="4158"/>
      <c r="P3" s="4158"/>
      <c r="Q3" s="4158"/>
      <c r="R3" s="4158"/>
      <c r="S3" s="4158"/>
      <c r="T3" s="4158"/>
      <c r="U3" s="4158"/>
      <c r="V3" s="4158"/>
      <c r="W3" s="4159"/>
      <c r="X3" s="4145" t="str">
        <f>'Chosen Parameters-Part I'!D4</f>
        <v>Scenario 3</v>
      </c>
      <c r="Y3" s="4146"/>
      <c r="Z3" s="4146"/>
      <c r="AA3" s="4146"/>
      <c r="AB3" s="4146"/>
      <c r="AC3" s="4146"/>
      <c r="AD3" s="4146"/>
      <c r="AE3" s="4146"/>
      <c r="AF3" s="4146"/>
      <c r="AG3" s="4146"/>
      <c r="AH3" s="4147"/>
      <c r="AI3" s="4148" t="str">
        <f>'Chosen Parameters-Part I'!E4</f>
        <v>Scenario 4</v>
      </c>
      <c r="AJ3" s="4149"/>
      <c r="AK3" s="4149"/>
      <c r="AL3" s="4149"/>
      <c r="AM3" s="4149"/>
      <c r="AN3" s="4149"/>
      <c r="AO3" s="4149"/>
      <c r="AP3" s="4149"/>
      <c r="AQ3" s="4149"/>
      <c r="AR3" s="4149"/>
      <c r="AS3" s="4150"/>
    </row>
    <row r="4" spans="1:46" ht="36" customHeight="1">
      <c r="A4" s="212"/>
      <c r="B4" s="3944" t="str">
        <f>'Application Setup'!B4</f>
        <v>Intensive Conventional Management with Holsteins and rbST</v>
      </c>
      <c r="C4" s="3945"/>
      <c r="D4" s="3945"/>
      <c r="E4" s="3945"/>
      <c r="F4" s="3945"/>
      <c r="G4" s="3945"/>
      <c r="H4" s="3945"/>
      <c r="I4" s="3945"/>
      <c r="J4" s="3945"/>
      <c r="K4" s="3945"/>
      <c r="L4" s="3946"/>
      <c r="M4" s="4136" t="str">
        <f>'Application Setup'!B5</f>
        <v>Conventional Management, Holsteins</v>
      </c>
      <c r="N4" s="4137"/>
      <c r="O4" s="4137"/>
      <c r="P4" s="4137"/>
      <c r="Q4" s="4137"/>
      <c r="R4" s="4137"/>
      <c r="S4" s="4137"/>
      <c r="T4" s="4137"/>
      <c r="U4" s="4137"/>
      <c r="V4" s="4137"/>
      <c r="W4" s="4138"/>
      <c r="X4" s="3929" t="str">
        <f>'Application Setup'!B6</f>
        <v>Intensive Organic Management, Holsteins</v>
      </c>
      <c r="Y4" s="3930"/>
      <c r="Z4" s="3930"/>
      <c r="AA4" s="3930"/>
      <c r="AB4" s="3930"/>
      <c r="AC4" s="3930"/>
      <c r="AD4" s="3930"/>
      <c r="AE4" s="3930"/>
      <c r="AF4" s="3930"/>
      <c r="AG4" s="3930"/>
      <c r="AH4" s="3931"/>
      <c r="AI4" s="4151" t="str">
        <f>'Application Setup'!B7</f>
        <v>Pasture-Based Organic, Jersey Cows</v>
      </c>
      <c r="AJ4" s="4152"/>
      <c r="AK4" s="4152"/>
      <c r="AL4" s="4152"/>
      <c r="AM4" s="4152"/>
      <c r="AN4" s="4152"/>
      <c r="AO4" s="4152"/>
      <c r="AP4" s="4152"/>
      <c r="AQ4" s="4152"/>
      <c r="AR4" s="4152"/>
      <c r="AS4" s="4153"/>
    </row>
    <row r="5" spans="1:46" s="57" customFormat="1" ht="30" customHeight="1">
      <c r="A5" s="2369" t="s">
        <v>57</v>
      </c>
      <c r="B5" s="2354"/>
      <c r="C5" s="2355"/>
      <c r="D5" s="2355"/>
      <c r="E5" s="2355"/>
      <c r="F5" s="2355"/>
      <c r="G5" s="2355"/>
      <c r="H5" s="2355"/>
      <c r="I5" s="2355"/>
      <c r="J5" s="2376"/>
      <c r="K5" s="2346" t="s">
        <v>142</v>
      </c>
      <c r="L5" s="2377"/>
      <c r="M5" s="2356"/>
      <c r="N5" s="2356"/>
      <c r="O5" s="2356"/>
      <c r="P5" s="2356"/>
      <c r="Q5" s="2356"/>
      <c r="R5" s="2356"/>
      <c r="S5" s="2356"/>
      <c r="T5" s="2356"/>
      <c r="U5" s="2378"/>
      <c r="V5" s="2347" t="s">
        <v>142</v>
      </c>
      <c r="W5" s="2379"/>
      <c r="X5" s="2709"/>
      <c r="Y5" s="2710"/>
      <c r="Z5" s="2710"/>
      <c r="AA5" s="2710"/>
      <c r="AB5" s="2710"/>
      <c r="AC5" s="2710"/>
      <c r="AD5" s="2710"/>
      <c r="AE5" s="2710"/>
      <c r="AF5" s="2711"/>
      <c r="AG5" s="2698" t="s">
        <v>142</v>
      </c>
      <c r="AH5" s="2712"/>
      <c r="AI5" s="2700"/>
      <c r="AJ5" s="2700"/>
      <c r="AK5" s="2700"/>
      <c r="AL5" s="2700"/>
      <c r="AM5" s="2700"/>
      <c r="AN5" s="2700"/>
      <c r="AO5" s="2700"/>
      <c r="AP5" s="2700"/>
      <c r="AQ5" s="2701"/>
      <c r="AR5" s="2699" t="s">
        <v>142</v>
      </c>
      <c r="AS5" s="2720"/>
      <c r="AT5" s="2357"/>
    </row>
    <row r="6" spans="1:46" ht="26.25" customHeight="1">
      <c r="A6" s="335" t="s">
        <v>124</v>
      </c>
      <c r="B6" s="336"/>
      <c r="C6" s="337"/>
      <c r="D6" s="337"/>
      <c r="E6" s="337"/>
      <c r="F6" s="337"/>
      <c r="G6" s="192"/>
      <c r="H6" s="338"/>
      <c r="I6" s="337"/>
      <c r="J6" s="339"/>
      <c r="K6" s="337"/>
      <c r="L6" s="340"/>
      <c r="M6" s="341"/>
      <c r="N6" s="341"/>
      <c r="O6" s="341"/>
      <c r="P6" s="341"/>
      <c r="Q6" s="341"/>
      <c r="R6" s="64"/>
      <c r="S6" s="341"/>
      <c r="T6" s="341"/>
      <c r="U6" s="342"/>
      <c r="V6" s="341"/>
      <c r="W6" s="343"/>
      <c r="X6" s="519"/>
      <c r="Y6" s="520"/>
      <c r="Z6" s="520"/>
      <c r="AA6" s="520"/>
      <c r="AB6" s="520"/>
      <c r="AC6" s="518"/>
      <c r="AD6" s="521"/>
      <c r="AE6" s="520"/>
      <c r="AF6" s="522"/>
      <c r="AG6" s="520"/>
      <c r="AH6" s="523"/>
      <c r="AI6" s="472"/>
      <c r="AJ6" s="472"/>
      <c r="AK6" s="472"/>
      <c r="AL6" s="472"/>
      <c r="AM6" s="472"/>
      <c r="AN6" s="471"/>
      <c r="AO6" s="472"/>
      <c r="AP6" s="472"/>
      <c r="AQ6" s="473"/>
      <c r="AR6" s="472"/>
      <c r="AS6" s="474"/>
    </row>
    <row r="7" spans="1:46" ht="6" customHeight="1">
      <c r="A7" s="207"/>
      <c r="B7" s="195"/>
      <c r="C7" s="186"/>
      <c r="D7" s="186"/>
      <c r="E7" s="186"/>
      <c r="F7" s="186"/>
      <c r="G7" s="186"/>
      <c r="H7" s="186"/>
      <c r="I7" s="186"/>
      <c r="J7" s="216"/>
      <c r="K7" s="171"/>
      <c r="L7" s="213"/>
      <c r="M7" s="44"/>
      <c r="N7" s="44"/>
      <c r="O7" s="44"/>
      <c r="P7" s="44"/>
      <c r="Q7" s="44"/>
      <c r="R7" s="44"/>
      <c r="S7" s="44"/>
      <c r="T7" s="44"/>
      <c r="U7" s="41"/>
      <c r="V7" s="44"/>
      <c r="W7" s="133"/>
      <c r="X7" s="534"/>
      <c r="Y7" s="511"/>
      <c r="Z7" s="511"/>
      <c r="AA7" s="511"/>
      <c r="AB7" s="511"/>
      <c r="AC7" s="511"/>
      <c r="AD7" s="511"/>
      <c r="AE7" s="511"/>
      <c r="AF7" s="532"/>
      <c r="AG7" s="419"/>
      <c r="AH7" s="533"/>
      <c r="AI7" s="465"/>
      <c r="AJ7" s="465"/>
      <c r="AK7" s="465"/>
      <c r="AL7" s="465"/>
      <c r="AM7" s="465"/>
      <c r="AN7" s="465"/>
      <c r="AO7" s="465"/>
      <c r="AP7" s="465"/>
      <c r="AQ7" s="464"/>
      <c r="AR7" s="465"/>
      <c r="AS7" s="450"/>
    </row>
    <row r="8" spans="1:46">
      <c r="A8" s="220" t="s">
        <v>242</v>
      </c>
      <c r="B8" s="195"/>
      <c r="C8" s="316"/>
      <c r="D8" s="316"/>
      <c r="E8" s="186"/>
      <c r="F8" s="186"/>
      <c r="G8" s="186"/>
      <c r="H8" s="186"/>
      <c r="I8" s="186"/>
      <c r="J8" s="216"/>
      <c r="K8" s="316"/>
      <c r="L8" s="213"/>
      <c r="M8" s="44"/>
      <c r="N8" s="317"/>
      <c r="O8" s="3755"/>
      <c r="P8" s="1060"/>
      <c r="Q8" s="3757"/>
      <c r="R8" s="44"/>
      <c r="S8" s="44"/>
      <c r="T8" s="44"/>
      <c r="U8" s="41"/>
      <c r="V8" s="317"/>
      <c r="W8" s="133"/>
      <c r="X8" s="534"/>
      <c r="Y8" s="573"/>
      <c r="Z8" s="3754"/>
      <c r="AA8" s="511"/>
      <c r="AB8" s="511"/>
      <c r="AC8" s="511"/>
      <c r="AD8" s="511"/>
      <c r="AE8" s="511"/>
      <c r="AF8" s="532"/>
      <c r="AG8" s="573"/>
      <c r="AH8" s="533"/>
      <c r="AI8" s="465"/>
      <c r="AJ8" s="558"/>
      <c r="AK8" s="558"/>
      <c r="AL8" s="2571"/>
      <c r="AM8" s="3758"/>
      <c r="AN8" s="465"/>
      <c r="AO8" s="465"/>
      <c r="AP8" s="465"/>
      <c r="AQ8" s="464"/>
      <c r="AR8" s="558"/>
      <c r="AS8" s="450"/>
    </row>
    <row r="9" spans="1:46" ht="6" customHeight="1">
      <c r="A9" s="1066"/>
      <c r="B9" s="189"/>
      <c r="C9" s="190"/>
      <c r="D9" s="190"/>
      <c r="E9" s="190"/>
      <c r="F9" s="190"/>
      <c r="G9" s="190"/>
      <c r="H9" s="190"/>
      <c r="I9" s="190"/>
      <c r="J9" s="215"/>
      <c r="K9" s="161"/>
      <c r="L9" s="231"/>
      <c r="M9" s="67"/>
      <c r="N9" s="67"/>
      <c r="O9" s="67"/>
      <c r="P9" s="67"/>
      <c r="Q9" s="67"/>
      <c r="R9" s="67"/>
      <c r="S9" s="67"/>
      <c r="T9" s="67"/>
      <c r="U9" s="66"/>
      <c r="V9" s="67"/>
      <c r="W9" s="138"/>
      <c r="X9" s="515"/>
      <c r="Y9" s="516"/>
      <c r="Z9" s="516"/>
      <c r="AA9" s="516"/>
      <c r="AB9" s="516"/>
      <c r="AC9" s="516"/>
      <c r="AD9" s="516"/>
      <c r="AE9" s="516"/>
      <c r="AF9" s="569"/>
      <c r="AG9" s="568"/>
      <c r="AH9" s="570"/>
      <c r="AI9" s="469"/>
      <c r="AJ9" s="469"/>
      <c r="AK9" s="469"/>
      <c r="AL9" s="469"/>
      <c r="AM9" s="469"/>
      <c r="AN9" s="469"/>
      <c r="AO9" s="469"/>
      <c r="AP9" s="469"/>
      <c r="AQ9" s="554"/>
      <c r="AR9" s="469"/>
      <c r="AS9" s="555"/>
    </row>
    <row r="10" spans="1:46" ht="6" customHeight="1">
      <c r="A10" s="207"/>
      <c r="B10" s="195"/>
      <c r="C10" s="186"/>
      <c r="D10" s="186"/>
      <c r="E10" s="186"/>
      <c r="F10" s="186"/>
      <c r="G10" s="186"/>
      <c r="H10" s="186"/>
      <c r="I10" s="186"/>
      <c r="J10" s="216"/>
      <c r="K10" s="171"/>
      <c r="L10" s="213"/>
      <c r="M10" s="44"/>
      <c r="N10" s="44"/>
      <c r="O10" s="44"/>
      <c r="P10" s="44"/>
      <c r="Q10" s="44"/>
      <c r="R10" s="44"/>
      <c r="S10" s="44"/>
      <c r="T10" s="44"/>
      <c r="U10" s="41"/>
      <c r="V10" s="44"/>
      <c r="W10" s="133"/>
      <c r="X10" s="534"/>
      <c r="Y10" s="511"/>
      <c r="Z10" s="511"/>
      <c r="AA10" s="511"/>
      <c r="AB10" s="511"/>
      <c r="AC10" s="511"/>
      <c r="AD10" s="511"/>
      <c r="AE10" s="511"/>
      <c r="AF10" s="532"/>
      <c r="AG10" s="419"/>
      <c r="AH10" s="533"/>
      <c r="AI10" s="465"/>
      <c r="AJ10" s="465"/>
      <c r="AK10" s="465"/>
      <c r="AL10" s="465"/>
      <c r="AM10" s="465"/>
      <c r="AN10" s="465"/>
      <c r="AO10" s="465"/>
      <c r="AP10" s="465"/>
      <c r="AQ10" s="464"/>
      <c r="AR10" s="465"/>
      <c r="AS10" s="450"/>
    </row>
    <row r="11" spans="1:46">
      <c r="A11" s="220" t="s">
        <v>125</v>
      </c>
      <c r="B11" s="195"/>
      <c r="C11" s="4160">
        <v>150</v>
      </c>
      <c r="D11" s="4161"/>
      <c r="E11" s="186" t="s">
        <v>128</v>
      </c>
      <c r="F11" s="186"/>
      <c r="G11" s="186"/>
      <c r="H11" s="186"/>
      <c r="I11" s="186"/>
      <c r="J11" s="216"/>
      <c r="K11" s="219">
        <v>5</v>
      </c>
      <c r="L11" s="213"/>
      <c r="M11" s="44"/>
      <c r="N11" s="4160">
        <v>150</v>
      </c>
      <c r="O11" s="4161"/>
      <c r="P11" s="646" t="s">
        <v>128</v>
      </c>
      <c r="Q11" s="3757"/>
      <c r="R11" s="44"/>
      <c r="S11" s="44"/>
      <c r="T11" s="44"/>
      <c r="U11" s="41"/>
      <c r="V11" s="219">
        <v>5</v>
      </c>
      <c r="W11" s="133"/>
      <c r="X11" s="534"/>
      <c r="Y11" s="4160">
        <v>150</v>
      </c>
      <c r="Z11" s="4161"/>
      <c r="AA11" s="511" t="s">
        <v>128</v>
      </c>
      <c r="AB11" s="511"/>
      <c r="AC11" s="511"/>
      <c r="AD11" s="511"/>
      <c r="AE11" s="511"/>
      <c r="AF11" s="532"/>
      <c r="AG11" s="2564">
        <v>5</v>
      </c>
      <c r="AH11" s="533"/>
      <c r="AI11" s="465"/>
      <c r="AJ11" s="4160">
        <v>150</v>
      </c>
      <c r="AK11" s="4161"/>
      <c r="AL11" s="2571" t="s">
        <v>128</v>
      </c>
      <c r="AM11" s="3758"/>
      <c r="AN11" s="465"/>
      <c r="AO11" s="465"/>
      <c r="AP11" s="465"/>
      <c r="AQ11" s="464"/>
      <c r="AR11" s="2564">
        <v>5</v>
      </c>
      <c r="AS11" s="450"/>
    </row>
    <row r="12" spans="1:46" ht="26.25" customHeight="1">
      <c r="A12" s="2446" t="s">
        <v>469</v>
      </c>
      <c r="B12" s="2425"/>
      <c r="C12" s="190"/>
      <c r="D12" s="190"/>
      <c r="E12" s="190"/>
      <c r="F12" s="190"/>
      <c r="G12" s="190"/>
      <c r="H12" s="190"/>
      <c r="I12" s="190"/>
      <c r="J12" s="215"/>
      <c r="K12" s="161"/>
      <c r="L12" s="231"/>
      <c r="M12" s="67"/>
      <c r="N12" s="67"/>
      <c r="O12" s="67"/>
      <c r="P12" s="67"/>
      <c r="Q12" s="67"/>
      <c r="R12" s="67"/>
      <c r="S12" s="67"/>
      <c r="T12" s="67"/>
      <c r="U12" s="66"/>
      <c r="V12" s="67"/>
      <c r="W12" s="138"/>
      <c r="X12" s="617"/>
      <c r="Y12" s="516"/>
      <c r="Z12" s="516"/>
      <c r="AA12" s="516"/>
      <c r="AB12" s="516"/>
      <c r="AC12" s="516"/>
      <c r="AD12" s="516"/>
      <c r="AE12" s="516"/>
      <c r="AF12" s="569"/>
      <c r="AG12" s="568"/>
      <c r="AH12" s="570"/>
      <c r="AI12" s="469"/>
      <c r="AJ12" s="469"/>
      <c r="AK12" s="469"/>
      <c r="AL12" s="469"/>
      <c r="AM12" s="469"/>
      <c r="AN12" s="469"/>
      <c r="AO12" s="469"/>
      <c r="AP12" s="469"/>
      <c r="AQ12" s="554"/>
      <c r="AR12" s="469"/>
      <c r="AS12" s="555"/>
    </row>
    <row r="13" spans="1:46" ht="6" customHeight="1">
      <c r="A13" s="207"/>
      <c r="B13" s="195"/>
      <c r="C13" s="186"/>
      <c r="D13" s="186"/>
      <c r="E13" s="186"/>
      <c r="F13" s="186"/>
      <c r="G13" s="186"/>
      <c r="H13" s="186"/>
      <c r="I13" s="186"/>
      <c r="J13" s="216"/>
      <c r="K13" s="171"/>
      <c r="L13" s="213"/>
      <c r="M13" s="44"/>
      <c r="N13" s="44"/>
      <c r="O13" s="44"/>
      <c r="P13" s="44"/>
      <c r="Q13" s="44"/>
      <c r="R13" s="44"/>
      <c r="S13" s="44"/>
      <c r="T13" s="44"/>
      <c r="U13" s="41"/>
      <c r="V13" s="44"/>
      <c r="W13" s="133"/>
      <c r="X13" s="534"/>
      <c r="Y13" s="511"/>
      <c r="Z13" s="511"/>
      <c r="AA13" s="511"/>
      <c r="AB13" s="511"/>
      <c r="AC13" s="511"/>
      <c r="AD13" s="511"/>
      <c r="AE13" s="511"/>
      <c r="AF13" s="532"/>
      <c r="AG13" s="419"/>
      <c r="AH13" s="533"/>
      <c r="AI13" s="465"/>
      <c r="AJ13" s="465"/>
      <c r="AK13" s="465"/>
      <c r="AL13" s="465"/>
      <c r="AM13" s="465"/>
      <c r="AN13" s="465"/>
      <c r="AO13" s="465"/>
      <c r="AP13" s="465"/>
      <c r="AQ13" s="464"/>
      <c r="AR13" s="465"/>
      <c r="AS13" s="450"/>
    </row>
    <row r="14" spans="1:46">
      <c r="A14" s="220" t="s">
        <v>247</v>
      </c>
      <c r="B14" s="195"/>
      <c r="C14" s="225"/>
      <c r="D14" s="225"/>
      <c r="E14" s="225"/>
      <c r="F14" s="225"/>
      <c r="G14" s="186"/>
      <c r="H14" s="186"/>
      <c r="I14" s="186"/>
      <c r="J14" s="216"/>
      <c r="K14" s="225"/>
      <c r="L14" s="213"/>
      <c r="M14" s="44"/>
      <c r="N14" s="226"/>
      <c r="O14" s="226"/>
      <c r="P14" s="226"/>
      <c r="Q14" s="226"/>
      <c r="R14" s="44"/>
      <c r="S14" s="44"/>
      <c r="T14" s="44"/>
      <c r="U14" s="41"/>
      <c r="V14" s="226"/>
      <c r="W14" s="133"/>
      <c r="X14" s="534"/>
      <c r="Y14" s="431"/>
      <c r="Z14" s="431"/>
      <c r="AA14" s="431"/>
      <c r="AB14" s="431"/>
      <c r="AC14" s="511"/>
      <c r="AD14" s="511"/>
      <c r="AE14" s="511"/>
      <c r="AF14" s="532"/>
      <c r="AG14" s="431"/>
      <c r="AH14" s="533"/>
      <c r="AI14" s="465"/>
      <c r="AJ14" s="434"/>
      <c r="AK14" s="434"/>
      <c r="AL14" s="434"/>
      <c r="AM14" s="434"/>
      <c r="AN14" s="465"/>
      <c r="AO14" s="465"/>
      <c r="AP14" s="465"/>
      <c r="AQ14" s="464"/>
      <c r="AR14" s="434"/>
      <c r="AS14" s="450"/>
    </row>
    <row r="15" spans="1:46" ht="12.75" customHeight="1">
      <c r="A15" s="1067" t="s">
        <v>248</v>
      </c>
      <c r="B15" s="194"/>
      <c r="C15" s="4162">
        <v>3</v>
      </c>
      <c r="D15" s="4163"/>
      <c r="E15" s="186" t="s">
        <v>97</v>
      </c>
      <c r="F15" s="186"/>
      <c r="G15" s="186"/>
      <c r="H15" s="186"/>
      <c r="I15" s="186"/>
      <c r="J15" s="216"/>
      <c r="K15" s="219"/>
      <c r="L15" s="213"/>
      <c r="M15" s="44"/>
      <c r="N15" s="4162">
        <v>3.2</v>
      </c>
      <c r="O15" s="4163"/>
      <c r="P15" s="1064" t="s">
        <v>97</v>
      </c>
      <c r="Q15" s="3757"/>
      <c r="R15" s="44"/>
      <c r="S15" s="44"/>
      <c r="T15" s="44"/>
      <c r="U15" s="41"/>
      <c r="V15" s="219"/>
      <c r="W15" s="133"/>
      <c r="X15" s="514"/>
      <c r="Y15" s="4162">
        <v>3.3</v>
      </c>
      <c r="Z15" s="4163"/>
      <c r="AA15" s="511" t="s">
        <v>97</v>
      </c>
      <c r="AB15" s="511"/>
      <c r="AC15" s="511"/>
      <c r="AD15" s="511"/>
      <c r="AE15" s="511"/>
      <c r="AF15" s="532"/>
      <c r="AG15" s="2564"/>
      <c r="AH15" s="533"/>
      <c r="AI15" s="465"/>
      <c r="AJ15" s="4164">
        <v>3.6</v>
      </c>
      <c r="AK15" s="4165"/>
      <c r="AL15" s="2571" t="s">
        <v>97</v>
      </c>
      <c r="AM15" s="3758"/>
      <c r="AN15" s="465"/>
      <c r="AO15" s="465"/>
      <c r="AP15" s="465"/>
      <c r="AQ15" s="464"/>
      <c r="AR15" s="2564"/>
      <c r="AS15" s="450"/>
    </row>
    <row r="16" spans="1:46" ht="2.25" customHeight="1">
      <c r="A16" s="207"/>
      <c r="B16" s="195"/>
      <c r="C16" s="186"/>
      <c r="D16" s="186"/>
      <c r="E16" s="186"/>
      <c r="F16" s="186"/>
      <c r="G16" s="186"/>
      <c r="H16" s="186"/>
      <c r="I16" s="186"/>
      <c r="J16" s="216"/>
      <c r="K16" s="171"/>
      <c r="L16" s="213"/>
      <c r="M16" s="44"/>
      <c r="N16" s="44"/>
      <c r="O16" s="44"/>
      <c r="P16" s="44"/>
      <c r="Q16" s="44"/>
      <c r="R16" s="44"/>
      <c r="S16" s="44"/>
      <c r="T16" s="44"/>
      <c r="U16" s="41"/>
      <c r="V16" s="44"/>
      <c r="W16" s="133"/>
      <c r="X16" s="534"/>
      <c r="Y16" s="511"/>
      <c r="Z16" s="511"/>
      <c r="AA16" s="511"/>
      <c r="AB16" s="511"/>
      <c r="AC16" s="511"/>
      <c r="AD16" s="511"/>
      <c r="AE16" s="511"/>
      <c r="AF16" s="532"/>
      <c r="AG16" s="419"/>
      <c r="AH16" s="533"/>
      <c r="AI16" s="465"/>
      <c r="AJ16" s="465"/>
      <c r="AK16" s="465"/>
      <c r="AL16" s="465"/>
      <c r="AM16" s="465"/>
      <c r="AN16" s="465"/>
      <c r="AO16" s="465"/>
      <c r="AP16" s="465"/>
      <c r="AQ16" s="464"/>
      <c r="AR16" s="465"/>
      <c r="AS16" s="450"/>
    </row>
    <row r="17" spans="1:45">
      <c r="A17" s="208" t="s">
        <v>249</v>
      </c>
      <c r="B17" s="195"/>
      <c r="C17" s="4164">
        <v>3.5</v>
      </c>
      <c r="D17" s="4165"/>
      <c r="E17" s="186" t="s">
        <v>97</v>
      </c>
      <c r="F17" s="186"/>
      <c r="G17" s="186"/>
      <c r="H17" s="186"/>
      <c r="I17" s="186"/>
      <c r="J17" s="216"/>
      <c r="K17" s="219"/>
      <c r="L17" s="213"/>
      <c r="M17" s="44"/>
      <c r="N17" s="4162">
        <v>3.63</v>
      </c>
      <c r="O17" s="4163"/>
      <c r="P17" s="1064" t="s">
        <v>97</v>
      </c>
      <c r="Q17" s="3757"/>
      <c r="R17" s="44"/>
      <c r="S17" s="44"/>
      <c r="T17" s="44"/>
      <c r="U17" s="41"/>
      <c r="V17" s="219"/>
      <c r="W17" s="133"/>
      <c r="X17" s="534"/>
      <c r="Y17" s="4162">
        <v>3.8</v>
      </c>
      <c r="Z17" s="4163"/>
      <c r="AA17" s="511" t="s">
        <v>97</v>
      </c>
      <c r="AB17" s="511"/>
      <c r="AC17" s="511"/>
      <c r="AD17" s="511"/>
      <c r="AE17" s="511"/>
      <c r="AF17" s="532"/>
      <c r="AG17" s="2564"/>
      <c r="AH17" s="533"/>
      <c r="AI17" s="465"/>
      <c r="AJ17" s="4164">
        <v>4.9000000000000004</v>
      </c>
      <c r="AK17" s="4165"/>
      <c r="AL17" s="2571" t="s">
        <v>97</v>
      </c>
      <c r="AM17" s="3758"/>
      <c r="AN17" s="465"/>
      <c r="AO17" s="465"/>
      <c r="AP17" s="465"/>
      <c r="AQ17" s="464"/>
      <c r="AR17" s="2564"/>
      <c r="AS17" s="450"/>
    </row>
    <row r="18" spans="1:45" ht="6" customHeight="1">
      <c r="A18" s="1066"/>
      <c r="B18" s="189"/>
      <c r="C18" s="190"/>
      <c r="D18" s="190"/>
      <c r="E18" s="190"/>
      <c r="F18" s="190"/>
      <c r="G18" s="190"/>
      <c r="H18" s="190"/>
      <c r="I18" s="190"/>
      <c r="J18" s="215"/>
      <c r="K18" s="161"/>
      <c r="L18" s="231"/>
      <c r="M18" s="67"/>
      <c r="N18" s="67"/>
      <c r="O18" s="67"/>
      <c r="P18" s="67"/>
      <c r="Q18" s="67"/>
      <c r="R18" s="67"/>
      <c r="S18" s="67"/>
      <c r="T18" s="67"/>
      <c r="U18" s="66"/>
      <c r="V18" s="67"/>
      <c r="W18" s="138"/>
      <c r="X18" s="515"/>
      <c r="Y18" s="516"/>
      <c r="Z18" s="516"/>
      <c r="AA18" s="516"/>
      <c r="AB18" s="516"/>
      <c r="AC18" s="516"/>
      <c r="AD18" s="516"/>
      <c r="AE18" s="516"/>
      <c r="AF18" s="569"/>
      <c r="AG18" s="568"/>
      <c r="AH18" s="570"/>
      <c r="AI18" s="469"/>
      <c r="AJ18" s="469"/>
      <c r="AK18" s="469"/>
      <c r="AL18" s="469"/>
      <c r="AM18" s="469"/>
      <c r="AN18" s="469"/>
      <c r="AO18" s="469"/>
      <c r="AP18" s="469"/>
      <c r="AQ18" s="554"/>
      <c r="AR18" s="469"/>
      <c r="AS18" s="555"/>
    </row>
    <row r="19" spans="1:45" s="39" customFormat="1" ht="6.75" customHeight="1">
      <c r="A19" s="242"/>
      <c r="B19" s="198"/>
      <c r="C19" s="225"/>
      <c r="D19" s="225"/>
      <c r="E19" s="199"/>
      <c r="F19" s="199"/>
      <c r="G19" s="186"/>
      <c r="H19" s="200"/>
      <c r="I19" s="201"/>
      <c r="J19" s="218"/>
      <c r="K19" s="193"/>
      <c r="L19" s="214"/>
      <c r="M19" s="43"/>
      <c r="N19" s="72"/>
      <c r="O19" s="72"/>
      <c r="P19" s="72"/>
      <c r="Q19" s="72"/>
      <c r="R19" s="65"/>
      <c r="S19" s="45"/>
      <c r="T19" s="45"/>
      <c r="U19" s="73"/>
      <c r="V19" s="43"/>
      <c r="W19" s="223"/>
      <c r="X19" s="524"/>
      <c r="Y19" s="431"/>
      <c r="Z19" s="431"/>
      <c r="AA19" s="525"/>
      <c r="AB19" s="525"/>
      <c r="AC19" s="511"/>
      <c r="AD19" s="526"/>
      <c r="AE19" s="527"/>
      <c r="AF19" s="528"/>
      <c r="AG19" s="529"/>
      <c r="AH19" s="530"/>
      <c r="AI19" s="475"/>
      <c r="AJ19" s="476"/>
      <c r="AK19" s="476"/>
      <c r="AL19" s="476"/>
      <c r="AM19" s="476"/>
      <c r="AN19" s="477"/>
      <c r="AO19" s="478"/>
      <c r="AP19" s="478"/>
      <c r="AQ19" s="479"/>
      <c r="AR19" s="475"/>
      <c r="AS19" s="480"/>
    </row>
    <row r="20" spans="1:45">
      <c r="A20" s="221" t="s">
        <v>206</v>
      </c>
      <c r="B20" s="194"/>
      <c r="C20" s="186"/>
      <c r="D20" s="186"/>
      <c r="E20" s="186"/>
      <c r="F20" s="186"/>
      <c r="G20" s="375" t="s">
        <v>94</v>
      </c>
      <c r="H20" s="186"/>
      <c r="I20" s="186"/>
      <c r="J20" s="216"/>
      <c r="K20" s="171"/>
      <c r="L20" s="213"/>
      <c r="M20" s="44"/>
      <c r="N20" s="44"/>
      <c r="O20" s="44"/>
      <c r="P20" s="44"/>
      <c r="Q20" s="44"/>
      <c r="R20" s="376" t="s">
        <v>94</v>
      </c>
      <c r="S20" s="44"/>
      <c r="T20" s="44"/>
      <c r="U20" s="41"/>
      <c r="V20" s="44"/>
      <c r="W20" s="133"/>
      <c r="X20" s="514"/>
      <c r="Y20" s="511"/>
      <c r="Z20" s="511"/>
      <c r="AA20" s="511"/>
      <c r="AB20" s="511"/>
      <c r="AC20" s="599" t="s">
        <v>94</v>
      </c>
      <c r="AD20" s="511"/>
      <c r="AE20" s="511"/>
      <c r="AF20" s="532"/>
      <c r="AG20" s="419"/>
      <c r="AH20" s="533"/>
      <c r="AI20" s="465"/>
      <c r="AJ20" s="465"/>
      <c r="AK20" s="465"/>
      <c r="AL20" s="465"/>
      <c r="AM20" s="465"/>
      <c r="AN20" s="608" t="s">
        <v>94</v>
      </c>
      <c r="AO20" s="465"/>
      <c r="AP20" s="465"/>
      <c r="AQ20" s="464"/>
      <c r="AR20" s="465"/>
      <c r="AS20" s="450"/>
    </row>
    <row r="21" spans="1:45">
      <c r="A21" s="236" t="s">
        <v>158</v>
      </c>
      <c r="B21" s="194"/>
      <c r="C21" s="3752" t="s">
        <v>118</v>
      </c>
      <c r="D21" s="186"/>
      <c r="E21" s="186"/>
      <c r="F21" s="186"/>
      <c r="G21" s="375"/>
      <c r="H21" s="186"/>
      <c r="I21" s="186"/>
      <c r="J21" s="216"/>
      <c r="K21" s="3759"/>
      <c r="L21" s="213"/>
      <c r="M21" s="44"/>
      <c r="N21" s="44" t="s">
        <v>118</v>
      </c>
      <c r="O21" s="44"/>
      <c r="P21" s="44"/>
      <c r="Q21" s="44"/>
      <c r="R21" s="376"/>
      <c r="S21" s="44"/>
      <c r="T21" s="44"/>
      <c r="U21" s="41"/>
      <c r="V21" s="44"/>
      <c r="W21" s="3760"/>
      <c r="X21" s="514"/>
      <c r="Y21" s="3753" t="s">
        <v>118</v>
      </c>
      <c r="Z21" s="511"/>
      <c r="AA21" s="511"/>
      <c r="AB21" s="511"/>
      <c r="AC21" s="599"/>
      <c r="AD21" s="511"/>
      <c r="AE21" s="511"/>
      <c r="AF21" s="532"/>
      <c r="AG21" s="3761"/>
      <c r="AH21" s="533"/>
      <c r="AI21" s="465"/>
      <c r="AJ21" s="2798" t="s">
        <v>118</v>
      </c>
      <c r="AK21" s="2798"/>
      <c r="AL21" s="465"/>
      <c r="AM21" s="465"/>
      <c r="AN21" s="608"/>
      <c r="AO21" s="465"/>
      <c r="AP21" s="465"/>
      <c r="AQ21" s="464"/>
      <c r="AR21" s="465"/>
      <c r="AS21" s="450"/>
    </row>
    <row r="22" spans="1:45">
      <c r="A22" s="3769" t="s">
        <v>702</v>
      </c>
      <c r="B22" s="194"/>
      <c r="C22" s="225"/>
      <c r="D22" s="4160">
        <v>75</v>
      </c>
      <c r="E22" s="4161"/>
      <c r="F22" s="319" t="s">
        <v>259</v>
      </c>
      <c r="G22" s="890">
        <f>D22*Defaults!$D$9</f>
        <v>34.019421914767285</v>
      </c>
      <c r="H22" s="319" t="s">
        <v>37</v>
      </c>
      <c r="I22" s="186"/>
      <c r="J22" s="216"/>
      <c r="K22" s="3756"/>
      <c r="L22" s="213"/>
      <c r="M22" s="44"/>
      <c r="N22" s="226"/>
      <c r="O22" s="4162">
        <v>65</v>
      </c>
      <c r="P22" s="4163"/>
      <c r="Q22" s="44" t="s">
        <v>259</v>
      </c>
      <c r="R22" s="71">
        <f>O22*Defaults!$D$9</f>
        <v>29.483498992798314</v>
      </c>
      <c r="S22" s="2725" t="s">
        <v>37</v>
      </c>
      <c r="T22" s="44"/>
      <c r="U22" s="41"/>
      <c r="V22" s="3756"/>
      <c r="W22" s="3760"/>
      <c r="X22" s="514"/>
      <c r="Y22" s="431"/>
      <c r="Z22" s="4162">
        <v>60</v>
      </c>
      <c r="AA22" s="4163"/>
      <c r="AB22" s="511" t="s">
        <v>259</v>
      </c>
      <c r="AC22" s="535">
        <f>Z22*Defaults!$D$9</f>
        <v>27.215537531813826</v>
      </c>
      <c r="AD22" s="3753" t="s">
        <v>37</v>
      </c>
      <c r="AE22" s="511"/>
      <c r="AF22" s="532"/>
      <c r="AG22" s="3756"/>
      <c r="AH22" s="533"/>
      <c r="AI22" s="465"/>
      <c r="AJ22" s="434"/>
      <c r="AK22" s="4164">
        <v>50</v>
      </c>
      <c r="AL22" s="4165"/>
      <c r="AM22" s="465" t="s">
        <v>259</v>
      </c>
      <c r="AN22" s="483">
        <f>AK22*Defaults!$D$9</f>
        <v>22.679614609844855</v>
      </c>
      <c r="AO22" s="2798" t="s">
        <v>37</v>
      </c>
      <c r="AP22" s="465"/>
      <c r="AQ22" s="464"/>
      <c r="AR22" s="3756"/>
      <c r="AS22" s="450"/>
    </row>
    <row r="23" spans="1:45" s="39" customFormat="1" ht="2.25" customHeight="1">
      <c r="A23" s="3618"/>
      <c r="B23" s="198"/>
      <c r="C23" s="643"/>
      <c r="D23" s="643"/>
      <c r="E23" s="3752"/>
      <c r="F23" s="319"/>
      <c r="G23" s="876"/>
      <c r="H23" s="883"/>
      <c r="I23" s="201"/>
      <c r="J23" s="218"/>
      <c r="K23" s="193"/>
      <c r="L23" s="214"/>
      <c r="M23" s="43"/>
      <c r="N23" s="89"/>
      <c r="O23" s="89"/>
      <c r="P23" s="62"/>
      <c r="Q23" s="44"/>
      <c r="R23" s="44"/>
      <c r="S23" s="65"/>
      <c r="T23" s="45"/>
      <c r="U23" s="73"/>
      <c r="V23" s="43"/>
      <c r="W23" s="223"/>
      <c r="X23" s="524"/>
      <c r="Y23" s="642"/>
      <c r="Z23" s="642"/>
      <c r="AA23" s="3753"/>
      <c r="AB23" s="3753"/>
      <c r="AC23" s="511"/>
      <c r="AD23" s="526"/>
      <c r="AE23" s="527"/>
      <c r="AF23" s="528"/>
      <c r="AG23" s="529"/>
      <c r="AH23" s="530"/>
      <c r="AI23" s="475"/>
      <c r="AJ23" s="482"/>
      <c r="AK23" s="482"/>
      <c r="AL23" s="482"/>
      <c r="AM23" s="482"/>
      <c r="AN23" s="465"/>
      <c r="AO23" s="477"/>
      <c r="AP23" s="478"/>
      <c r="AQ23" s="479"/>
      <c r="AR23" s="475"/>
      <c r="AS23" s="480"/>
    </row>
    <row r="24" spans="1:45">
      <c r="A24" s="3769" t="s">
        <v>631</v>
      </c>
      <c r="B24" s="195"/>
      <c r="C24" s="320"/>
      <c r="D24" s="4178">
        <f>Defaults!$C$32</f>
        <v>60</v>
      </c>
      <c r="E24" s="4179"/>
      <c r="F24" s="319" t="s">
        <v>259</v>
      </c>
      <c r="G24" s="890">
        <f>D24*Defaults!$D$9</f>
        <v>27.215537531813826</v>
      </c>
      <c r="H24" s="319" t="s">
        <v>37</v>
      </c>
      <c r="I24" s="197"/>
      <c r="J24" s="217"/>
      <c r="K24" s="261"/>
      <c r="L24" s="214"/>
      <c r="M24" s="43"/>
      <c r="N24" s="226"/>
      <c r="O24" s="4168">
        <f>Defaults!$C$32</f>
        <v>60</v>
      </c>
      <c r="P24" s="4169"/>
      <c r="Q24" s="44" t="s">
        <v>259</v>
      </c>
      <c r="R24" s="71">
        <f>O24*Defaults!$D$9</f>
        <v>27.215537531813826</v>
      </c>
      <c r="S24" s="47" t="s">
        <v>37</v>
      </c>
      <c r="T24" s="48"/>
      <c r="U24" s="222"/>
      <c r="V24" s="243"/>
      <c r="W24" s="223"/>
      <c r="X24" s="534"/>
      <c r="Y24" s="431"/>
      <c r="Z24" s="4180">
        <f>Defaults!$C$32</f>
        <v>60</v>
      </c>
      <c r="AA24" s="4181"/>
      <c r="AB24" s="511" t="s">
        <v>259</v>
      </c>
      <c r="AC24" s="535">
        <f>Z24*Defaults!$D$9</f>
        <v>27.215537531813826</v>
      </c>
      <c r="AD24" s="2569" t="s">
        <v>37</v>
      </c>
      <c r="AE24" s="536"/>
      <c r="AF24" s="537"/>
      <c r="AG24" s="539"/>
      <c r="AH24" s="530"/>
      <c r="AI24" s="475"/>
      <c r="AJ24" s="434"/>
      <c r="AK24" s="4184">
        <f>Defaults!$C$32</f>
        <v>60</v>
      </c>
      <c r="AL24" s="4185"/>
      <c r="AM24" s="465" t="s">
        <v>259</v>
      </c>
      <c r="AN24" s="483">
        <f>AK24*Defaults!$D$9</f>
        <v>27.215537531813826</v>
      </c>
      <c r="AO24" s="2568" t="s">
        <v>37</v>
      </c>
      <c r="AP24" s="484"/>
      <c r="AQ24" s="485"/>
      <c r="AR24" s="2702"/>
      <c r="AS24" s="480"/>
    </row>
    <row r="25" spans="1:45" s="39" customFormat="1" ht="12" customHeight="1">
      <c r="A25" s="208"/>
      <c r="B25" s="198"/>
      <c r="C25" s="3446"/>
      <c r="D25" s="3446"/>
      <c r="E25" s="319"/>
      <c r="F25" s="319"/>
      <c r="G25" s="876"/>
      <c r="H25" s="883"/>
      <c r="I25" s="201"/>
      <c r="J25" s="218"/>
      <c r="K25" s="193"/>
      <c r="L25" s="214"/>
      <c r="M25" s="43"/>
      <c r="N25" s="89"/>
      <c r="O25" s="89"/>
      <c r="P25" s="62"/>
      <c r="Q25" s="62"/>
      <c r="R25" s="44"/>
      <c r="S25" s="65"/>
      <c r="T25" s="45"/>
      <c r="U25" s="73"/>
      <c r="V25" s="43"/>
      <c r="W25" s="223"/>
      <c r="X25" s="524"/>
      <c r="Y25" s="642"/>
      <c r="Z25" s="642"/>
      <c r="AA25" s="2569"/>
      <c r="AB25" s="3753"/>
      <c r="AC25" s="511"/>
      <c r="AD25" s="526"/>
      <c r="AE25" s="527"/>
      <c r="AF25" s="528"/>
      <c r="AG25" s="529"/>
      <c r="AH25" s="530"/>
      <c r="AI25" s="475"/>
      <c r="AJ25" s="482"/>
      <c r="AK25" s="482"/>
      <c r="AL25" s="482"/>
      <c r="AM25" s="482"/>
      <c r="AN25" s="465"/>
      <c r="AO25" s="477"/>
      <c r="AP25" s="478"/>
      <c r="AQ25" s="479"/>
      <c r="AR25" s="475"/>
      <c r="AS25" s="480"/>
    </row>
    <row r="26" spans="1:45">
      <c r="A26" s="236" t="s">
        <v>1412</v>
      </c>
      <c r="B26" s="195"/>
      <c r="C26" s="4178">
        <f>(F1_Unadjusted_Milk_Production_lb_day*0.323)+(7.13*F1_Protein_Content_lb)+(12.82*F1_Fat_Content_lb)</f>
        <v>73.92</v>
      </c>
      <c r="D26" s="4179"/>
      <c r="E26" s="319" t="s">
        <v>259</v>
      </c>
      <c r="F26" s="319"/>
      <c r="G26" s="890">
        <f>C26*Defaults!$D$9</f>
        <v>33.529542239194633</v>
      </c>
      <c r="H26" s="319" t="s">
        <v>37</v>
      </c>
      <c r="I26" s="201"/>
      <c r="J26" s="218"/>
      <c r="K26" s="261">
        <v>1</v>
      </c>
      <c r="L26" s="214"/>
      <c r="M26" s="43"/>
      <c r="N26" s="4168">
        <f>(F2_Unadjusted_Milk_Production_lb_day*0.323)+(7.13*F2_Protein_Content_lb)+(12.82*F2_Fat_Content_lb)</f>
        <v>66.074190000000002</v>
      </c>
      <c r="O26" s="4169"/>
      <c r="P26" s="44" t="s">
        <v>259</v>
      </c>
      <c r="Q26" s="2725"/>
      <c r="R26" s="71">
        <f>N26*Defaults!$D$9</f>
        <v>29.970743297153298</v>
      </c>
      <c r="S26" s="238" t="s">
        <v>37</v>
      </c>
      <c r="T26" s="45"/>
      <c r="U26" s="73"/>
      <c r="V26" s="243">
        <v>1</v>
      </c>
      <c r="W26" s="223"/>
      <c r="X26" s="534"/>
      <c r="Y26" s="4180">
        <f>(F3_Unadjusted_Milk_Production_lb_day*0.323)+(7.13*F3_Protein_Content_lb)+(12.82*F3_Fat_Content_lb)</f>
        <v>62.726999999999997</v>
      </c>
      <c r="Z26" s="4181"/>
      <c r="AA26" s="511" t="s">
        <v>259</v>
      </c>
      <c r="AB26" s="572"/>
      <c r="AC26" s="928">
        <f>Y26*Defaults!$D$9</f>
        <v>28.452483712634763</v>
      </c>
      <c r="AD26" s="572" t="s">
        <v>37</v>
      </c>
      <c r="AE26" s="527"/>
      <c r="AF26" s="528"/>
      <c r="AG26" s="539">
        <v>1</v>
      </c>
      <c r="AH26" s="530"/>
      <c r="AI26" s="475"/>
      <c r="AJ26" s="4184">
        <f>(F4_Unadjusted_Milk_Production_lb_day*0.323)+(7.13*F4_Protein_Content_lb)+(12.82*F4_Fat_Content_lb)</f>
        <v>60.393000000000001</v>
      </c>
      <c r="AK26" s="4185"/>
      <c r="AL26" s="465" t="s">
        <v>259</v>
      </c>
      <c r="AM26" s="2798"/>
      <c r="AN26" s="483">
        <f>AJ26*Defaults!$D$9</f>
        <v>27.393799302647206</v>
      </c>
      <c r="AO26" s="2568" t="s">
        <v>37</v>
      </c>
      <c r="AP26" s="478"/>
      <c r="AQ26" s="479"/>
      <c r="AR26" s="2702">
        <v>1</v>
      </c>
      <c r="AS26" s="480"/>
    </row>
    <row r="27" spans="1:45" ht="17.25" customHeight="1">
      <c r="A27" s="3770" t="s">
        <v>88</v>
      </c>
      <c r="B27" s="202"/>
      <c r="C27" s="1501"/>
      <c r="D27" s="1501"/>
      <c r="E27" s="876"/>
      <c r="F27" s="876"/>
      <c r="G27" s="876"/>
      <c r="H27" s="3811"/>
      <c r="I27" s="201"/>
      <c r="J27" s="218"/>
      <c r="K27" s="193"/>
      <c r="L27" s="214"/>
      <c r="M27" s="43"/>
      <c r="N27" s="89"/>
      <c r="O27" s="89"/>
      <c r="P27" s="44"/>
      <c r="Q27" s="44"/>
      <c r="R27" s="44"/>
      <c r="S27" s="45"/>
      <c r="T27" s="45"/>
      <c r="U27" s="73"/>
      <c r="V27" s="43"/>
      <c r="W27" s="223"/>
      <c r="X27" s="540"/>
      <c r="Y27" s="954"/>
      <c r="Z27" s="954"/>
      <c r="AA27" s="511"/>
      <c r="AB27" s="922"/>
      <c r="AC27" s="922"/>
      <c r="AD27" s="3814"/>
      <c r="AE27" s="527"/>
      <c r="AF27" s="528"/>
      <c r="AG27" s="529"/>
      <c r="AH27" s="530"/>
      <c r="AI27" s="475"/>
      <c r="AJ27" s="1599"/>
      <c r="AK27" s="1599"/>
      <c r="AL27" s="465"/>
      <c r="AM27" s="465"/>
      <c r="AN27" s="465"/>
      <c r="AO27" s="478"/>
      <c r="AP27" s="478"/>
      <c r="AQ27" s="479"/>
      <c r="AR27" s="475"/>
      <c r="AS27" s="480"/>
    </row>
    <row r="28" spans="1:45">
      <c r="A28" s="3769" t="s">
        <v>75</v>
      </c>
      <c r="B28" s="198"/>
      <c r="C28" s="4178">
        <f>F1_Unadjusted_Milk_Production_lb_day*F1_Percent_Milk_Protein/100</f>
        <v>2.25</v>
      </c>
      <c r="D28" s="4179"/>
      <c r="E28" s="319" t="s">
        <v>251</v>
      </c>
      <c r="F28" s="319"/>
      <c r="G28" s="890">
        <f>C28*Defaults!$D$9</f>
        <v>1.0205826574430186</v>
      </c>
      <c r="H28" s="319" t="s">
        <v>113</v>
      </c>
      <c r="I28" s="201"/>
      <c r="J28" s="218"/>
      <c r="K28" s="261">
        <v>2</v>
      </c>
      <c r="L28" s="214"/>
      <c r="M28" s="43"/>
      <c r="N28" s="4168">
        <f>F2_Unadjusted_Milk_Production_lb_day*F2_Percent_Milk_Protein/100</f>
        <v>2.08</v>
      </c>
      <c r="O28" s="4169"/>
      <c r="P28" s="2725" t="s">
        <v>251</v>
      </c>
      <c r="Q28" s="2725"/>
      <c r="R28" s="71">
        <f>N28*Defaults!$D$9</f>
        <v>0.943471967769546</v>
      </c>
      <c r="S28" s="47" t="s">
        <v>113</v>
      </c>
      <c r="T28" s="45"/>
      <c r="U28" s="73"/>
      <c r="V28" s="243">
        <v>2</v>
      </c>
      <c r="W28" s="223"/>
      <c r="X28" s="524"/>
      <c r="Y28" s="4180">
        <f>F3_Unadjusted_Milk_Production_lb_day*F3_Percent_Milk_Protein/100</f>
        <v>1.98</v>
      </c>
      <c r="Z28" s="4181"/>
      <c r="AA28" s="2756" t="s">
        <v>251</v>
      </c>
      <c r="AB28" s="572"/>
      <c r="AC28" s="928">
        <f>Y28*Defaults!$D$9</f>
        <v>0.89811273854985629</v>
      </c>
      <c r="AD28" s="572" t="s">
        <v>113</v>
      </c>
      <c r="AE28" s="527"/>
      <c r="AF28" s="528"/>
      <c r="AG28" s="539">
        <v>2</v>
      </c>
      <c r="AH28" s="530"/>
      <c r="AI28" s="475"/>
      <c r="AJ28" s="4184">
        <f>F4_Unadjusted_Milk_Production_lb_day*F4_Percent_Milk_Protein/100</f>
        <v>1.8</v>
      </c>
      <c r="AK28" s="4185"/>
      <c r="AL28" s="2724" t="s">
        <v>251</v>
      </c>
      <c r="AM28" s="2798"/>
      <c r="AN28" s="483">
        <f>AJ28*Defaults!$D$9</f>
        <v>0.81646612595441481</v>
      </c>
      <c r="AO28" s="2568" t="s">
        <v>113</v>
      </c>
      <c r="AP28" s="478"/>
      <c r="AQ28" s="479"/>
      <c r="AR28" s="2702">
        <v>2</v>
      </c>
      <c r="AS28" s="480"/>
    </row>
    <row r="29" spans="1:45" s="39" customFormat="1" ht="2.25" customHeight="1">
      <c r="A29" s="3769"/>
      <c r="B29" s="198"/>
      <c r="C29" s="882"/>
      <c r="D29" s="882"/>
      <c r="E29" s="333"/>
      <c r="F29" s="319"/>
      <c r="G29" s="876"/>
      <c r="H29" s="883"/>
      <c r="I29" s="201"/>
      <c r="J29" s="218"/>
      <c r="K29" s="193"/>
      <c r="L29" s="214"/>
      <c r="M29" s="43"/>
      <c r="N29" s="116"/>
      <c r="O29" s="116"/>
      <c r="P29" s="72"/>
      <c r="Q29" s="72"/>
      <c r="R29" s="44"/>
      <c r="S29" s="65"/>
      <c r="T29" s="45"/>
      <c r="U29" s="73"/>
      <c r="V29" s="43"/>
      <c r="W29" s="223"/>
      <c r="X29" s="524"/>
      <c r="Y29" s="525"/>
      <c r="Z29" s="525"/>
      <c r="AA29" s="2756"/>
      <c r="AB29" s="572"/>
      <c r="AC29" s="922"/>
      <c r="AD29" s="926"/>
      <c r="AE29" s="527"/>
      <c r="AF29" s="528"/>
      <c r="AG29" s="529"/>
      <c r="AH29" s="530"/>
      <c r="AI29" s="475"/>
      <c r="AJ29" s="486"/>
      <c r="AK29" s="486"/>
      <c r="AL29" s="476"/>
      <c r="AM29" s="476"/>
      <c r="AN29" s="465"/>
      <c r="AO29" s="477"/>
      <c r="AP29" s="478"/>
      <c r="AQ29" s="479"/>
      <c r="AR29" s="475"/>
      <c r="AS29" s="480"/>
    </row>
    <row r="30" spans="1:45">
      <c r="A30" s="3769" t="s">
        <v>76</v>
      </c>
      <c r="B30" s="198"/>
      <c r="C30" s="4178">
        <f>F1_Unadjusted_Milk_Production_lb_day*F1_Percent_Milk_Fat/100</f>
        <v>2.625</v>
      </c>
      <c r="D30" s="4179"/>
      <c r="E30" s="319" t="s">
        <v>252</v>
      </c>
      <c r="F30" s="319"/>
      <c r="G30" s="890">
        <f>C30*Defaults!$D$9</f>
        <v>1.190679767016855</v>
      </c>
      <c r="H30" s="319" t="s">
        <v>114</v>
      </c>
      <c r="I30" s="201"/>
      <c r="J30" s="218"/>
      <c r="K30" s="261">
        <v>2</v>
      </c>
      <c r="L30" s="214"/>
      <c r="M30" s="43"/>
      <c r="N30" s="4168">
        <f>F2_Unadjusted_Milk_Production_lb_day*F2_Percent_Milk_Fat/100</f>
        <v>2.3594999999999997</v>
      </c>
      <c r="O30" s="4169"/>
      <c r="P30" s="2725" t="s">
        <v>252</v>
      </c>
      <c r="Q30" s="2725"/>
      <c r="R30" s="71">
        <f>N30*Defaults!$D$9</f>
        <v>1.0702510134385785</v>
      </c>
      <c r="S30" s="47" t="s">
        <v>114</v>
      </c>
      <c r="T30" s="45"/>
      <c r="U30" s="73"/>
      <c r="V30" s="243">
        <v>2</v>
      </c>
      <c r="W30" s="223"/>
      <c r="X30" s="524"/>
      <c r="Y30" s="4180">
        <f>F3_Unadjusted_Milk_Production_lb_day*F3_Percent_Milk_Fat/100</f>
        <v>2.2799999999999998</v>
      </c>
      <c r="Z30" s="4181"/>
      <c r="AA30" s="2723" t="s">
        <v>252</v>
      </c>
      <c r="AB30" s="572"/>
      <c r="AC30" s="928">
        <f>Y30*Defaults!$D$9</f>
        <v>1.0341904262089254</v>
      </c>
      <c r="AD30" s="572" t="s">
        <v>114</v>
      </c>
      <c r="AE30" s="527"/>
      <c r="AF30" s="528"/>
      <c r="AG30" s="539">
        <v>2</v>
      </c>
      <c r="AH30" s="530"/>
      <c r="AI30" s="475"/>
      <c r="AJ30" s="4184">
        <f>F4_Unadjusted_Milk_Production_lb_day*F4_Percent_Milk_Fat/100</f>
        <v>2.4500000000000002</v>
      </c>
      <c r="AK30" s="4185"/>
      <c r="AL30" s="2724" t="s">
        <v>252</v>
      </c>
      <c r="AM30" s="2798"/>
      <c r="AN30" s="483">
        <f>AJ30*Defaults!$D$9</f>
        <v>1.111301115882398</v>
      </c>
      <c r="AO30" s="2568" t="s">
        <v>114</v>
      </c>
      <c r="AP30" s="478"/>
      <c r="AQ30" s="479"/>
      <c r="AR30" s="2702">
        <v>2</v>
      </c>
      <c r="AS30" s="480"/>
    </row>
    <row r="31" spans="1:45" s="39" customFormat="1" ht="6.75" customHeight="1">
      <c r="A31" s="264"/>
      <c r="B31" s="344"/>
      <c r="C31" s="3812"/>
      <c r="D31" s="3812"/>
      <c r="E31" s="3813"/>
      <c r="F31" s="3813"/>
      <c r="G31" s="190"/>
      <c r="H31" s="345"/>
      <c r="I31" s="346"/>
      <c r="J31" s="347"/>
      <c r="K31" s="348"/>
      <c r="L31" s="349"/>
      <c r="M31" s="350"/>
      <c r="N31" s="351"/>
      <c r="O31" s="351"/>
      <c r="P31" s="351"/>
      <c r="Q31" s="351"/>
      <c r="R31" s="67"/>
      <c r="S31" s="352"/>
      <c r="T31" s="353"/>
      <c r="U31" s="354"/>
      <c r="V31" s="350"/>
      <c r="W31" s="355"/>
      <c r="X31" s="541"/>
      <c r="Y31" s="542"/>
      <c r="Z31" s="542"/>
      <c r="AA31" s="543"/>
      <c r="AB31" s="3815"/>
      <c r="AC31" s="933"/>
      <c r="AD31" s="3816"/>
      <c r="AE31" s="544"/>
      <c r="AF31" s="545"/>
      <c r="AG31" s="546"/>
      <c r="AH31" s="547"/>
      <c r="AI31" s="487"/>
      <c r="AJ31" s="488"/>
      <c r="AK31" s="488"/>
      <c r="AL31" s="488"/>
      <c r="AM31" s="488"/>
      <c r="AN31" s="469"/>
      <c r="AO31" s="489"/>
      <c r="AP31" s="490"/>
      <c r="AQ31" s="491"/>
      <c r="AR31" s="487"/>
      <c r="AS31" s="492"/>
    </row>
    <row r="32" spans="1:45" s="39" customFormat="1" ht="6.75" customHeight="1">
      <c r="A32" s="239"/>
      <c r="B32" s="198"/>
      <c r="C32" s="225"/>
      <c r="D32" s="225"/>
      <c r="E32" s="199"/>
      <c r="F32" s="882"/>
      <c r="G32" s="876"/>
      <c r="H32" s="883"/>
      <c r="I32" s="3811"/>
      <c r="J32" s="218"/>
      <c r="K32" s="193"/>
      <c r="L32" s="214"/>
      <c r="M32" s="43"/>
      <c r="N32" s="72"/>
      <c r="O32" s="72"/>
      <c r="P32" s="72"/>
      <c r="Q32" s="72"/>
      <c r="R32" s="65"/>
      <c r="S32" s="45"/>
      <c r="T32" s="45"/>
      <c r="U32" s="73"/>
      <c r="V32" s="43"/>
      <c r="W32" s="223"/>
      <c r="X32" s="524"/>
      <c r="Y32" s="431"/>
      <c r="Z32" s="431"/>
      <c r="AA32" s="525"/>
      <c r="AB32" s="925"/>
      <c r="AC32" s="922"/>
      <c r="AD32" s="926"/>
      <c r="AE32" s="527"/>
      <c r="AF32" s="528"/>
      <c r="AG32" s="529"/>
      <c r="AH32" s="530"/>
      <c r="AI32" s="475"/>
      <c r="AJ32" s="476"/>
      <c r="AK32" s="476"/>
      <c r="AL32" s="476"/>
      <c r="AM32" s="476"/>
      <c r="AN32" s="477"/>
      <c r="AO32" s="478"/>
      <c r="AP32" s="478"/>
      <c r="AQ32" s="479"/>
      <c r="AR32" s="475"/>
      <c r="AS32" s="480"/>
    </row>
    <row r="33" spans="1:46">
      <c r="A33" s="220" t="s">
        <v>116</v>
      </c>
      <c r="B33" s="195"/>
      <c r="C33" s="3752" t="s">
        <v>118</v>
      </c>
      <c r="D33" s="2738"/>
      <c r="E33" s="186"/>
      <c r="F33" s="876"/>
      <c r="G33" s="320"/>
      <c r="H33" s="876"/>
      <c r="I33" s="876"/>
      <c r="J33" s="216"/>
      <c r="K33" s="171"/>
      <c r="L33" s="213"/>
      <c r="M33" s="44"/>
      <c r="N33" s="2725" t="s">
        <v>118</v>
      </c>
      <c r="O33" s="2725"/>
      <c r="P33" s="317"/>
      <c r="Q33" s="3755"/>
      <c r="R33" s="44"/>
      <c r="S33" s="44"/>
      <c r="T33" s="44"/>
      <c r="U33" s="41"/>
      <c r="V33" s="44"/>
      <c r="W33" s="133"/>
      <c r="X33" s="534"/>
      <c r="Y33" s="3753" t="s">
        <v>118</v>
      </c>
      <c r="Z33" s="3753"/>
      <c r="AA33" s="511"/>
      <c r="AB33" s="922"/>
      <c r="AC33" s="581"/>
      <c r="AD33" s="922"/>
      <c r="AE33" s="511"/>
      <c r="AF33" s="532"/>
      <c r="AG33" s="419"/>
      <c r="AH33" s="533"/>
      <c r="AI33" s="465"/>
      <c r="AJ33" s="2798" t="s">
        <v>118</v>
      </c>
      <c r="AK33" s="2798"/>
      <c r="AL33" s="558"/>
      <c r="AM33" s="558"/>
      <c r="AN33" s="465"/>
      <c r="AO33" s="465"/>
      <c r="AP33" s="465"/>
      <c r="AQ33" s="464"/>
      <c r="AR33" s="465"/>
      <c r="AS33" s="450"/>
    </row>
    <row r="34" spans="1:46">
      <c r="A34" s="3034" t="s">
        <v>702</v>
      </c>
      <c r="B34" s="203"/>
      <c r="C34" s="225"/>
      <c r="D34" s="4166"/>
      <c r="E34" s="4167"/>
      <c r="F34" s="319" t="s">
        <v>162</v>
      </c>
      <c r="G34" s="876"/>
      <c r="H34" s="876"/>
      <c r="I34" s="876"/>
      <c r="J34" s="216"/>
      <c r="K34" s="219"/>
      <c r="L34" s="213"/>
      <c r="M34" s="44"/>
      <c r="N34" s="226"/>
      <c r="O34" s="4172"/>
      <c r="P34" s="4173"/>
      <c r="Q34" s="838" t="s">
        <v>162</v>
      </c>
      <c r="R34" s="44"/>
      <c r="S34" s="44"/>
      <c r="T34" s="44"/>
      <c r="U34" s="41"/>
      <c r="V34" s="219"/>
      <c r="W34" s="133"/>
      <c r="X34" s="548"/>
      <c r="Y34" s="431"/>
      <c r="Z34" s="4172"/>
      <c r="AA34" s="4173"/>
      <c r="AB34" s="3773" t="s">
        <v>162</v>
      </c>
      <c r="AC34" s="922"/>
      <c r="AD34" s="922"/>
      <c r="AE34" s="511"/>
      <c r="AF34" s="532"/>
      <c r="AG34" s="2564"/>
      <c r="AH34" s="533"/>
      <c r="AI34" s="465"/>
      <c r="AJ34" s="434"/>
      <c r="AK34" s="4166"/>
      <c r="AL34" s="4167"/>
      <c r="AM34" s="993" t="s">
        <v>162</v>
      </c>
      <c r="AN34" s="465"/>
      <c r="AO34" s="465"/>
      <c r="AP34" s="465"/>
      <c r="AQ34" s="464"/>
      <c r="AR34" s="2564"/>
      <c r="AS34" s="450"/>
      <c r="AT34" s="2351" t="str">
        <f>IF(AT36=FALSE,"If UR and IC values differ significantly, check accuracy of input parameter values used in the IC formula."," ")</f>
        <v xml:space="preserve"> </v>
      </c>
    </row>
    <row r="35" spans="1:46" s="39" customFormat="1" ht="3" customHeight="1">
      <c r="A35" s="210"/>
      <c r="B35" s="198"/>
      <c r="C35" s="225"/>
      <c r="D35" s="199"/>
      <c r="E35" s="225"/>
      <c r="F35" s="882"/>
      <c r="G35" s="876"/>
      <c r="H35" s="883"/>
      <c r="I35" s="3811"/>
      <c r="J35" s="218"/>
      <c r="K35" s="193"/>
      <c r="L35" s="214"/>
      <c r="M35" s="43"/>
      <c r="N35" s="226"/>
      <c r="O35" s="226"/>
      <c r="P35" s="72"/>
      <c r="Q35" s="72"/>
      <c r="R35" s="65"/>
      <c r="S35" s="45"/>
      <c r="T35" s="45"/>
      <c r="U35" s="73"/>
      <c r="V35" s="43"/>
      <c r="W35" s="223"/>
      <c r="X35" s="524"/>
      <c r="Y35" s="431"/>
      <c r="Z35" s="431"/>
      <c r="AA35" s="525"/>
      <c r="AB35" s="925"/>
      <c r="AC35" s="922"/>
      <c r="AD35" s="926"/>
      <c r="AE35" s="527"/>
      <c r="AF35" s="528"/>
      <c r="AG35" s="529"/>
      <c r="AH35" s="530"/>
      <c r="AI35" s="475"/>
      <c r="AJ35" s="434"/>
      <c r="AK35" s="434"/>
      <c r="AL35" s="476"/>
      <c r="AM35" s="476"/>
      <c r="AN35" s="477"/>
      <c r="AO35" s="478"/>
      <c r="AP35" s="478"/>
      <c r="AQ35" s="479"/>
      <c r="AR35" s="475"/>
      <c r="AS35" s="480"/>
      <c r="AT35" s="21"/>
    </row>
    <row r="36" spans="1:46">
      <c r="A36" s="4174" t="s">
        <v>1337</v>
      </c>
      <c r="B36" s="204"/>
      <c r="C36" s="225"/>
      <c r="D36" s="4176">
        <f>F1_Calving_to_1st_Breeding_Attempt+((F1_Cow_Breeding_Attempts-1)*F1_Cow_Days_Between_Breeding_Attempts)+F1_Gestation_Period-F1_Dryoff_Period</f>
        <v>410.01521739130436</v>
      </c>
      <c r="E36" s="4177"/>
      <c r="F36" s="3817" t="s">
        <v>162</v>
      </c>
      <c r="G36" s="876"/>
      <c r="H36" s="876"/>
      <c r="I36" s="876"/>
      <c r="J36" s="216"/>
      <c r="K36" s="261">
        <v>3</v>
      </c>
      <c r="L36" s="213"/>
      <c r="M36" s="44"/>
      <c r="N36" s="226"/>
      <c r="O36" s="4170">
        <f>F2_Calving_to_1st_Breeding_Attempt+((F2_Cow_Breeding_Attempts-1)*F2_Cow_Days_Between_Breeding_Attempts)+F2_Gestation_Period-F2_Dryoff_Period</f>
        <v>391.44096385542167</v>
      </c>
      <c r="P36" s="4171"/>
      <c r="Q36" s="838" t="s">
        <v>162</v>
      </c>
      <c r="R36" s="44"/>
      <c r="S36" s="44"/>
      <c r="T36" s="44"/>
      <c r="U36" s="41"/>
      <c r="V36" s="243">
        <v>3</v>
      </c>
      <c r="W36" s="133"/>
      <c r="X36" s="549"/>
      <c r="Y36" s="431"/>
      <c r="Z36" s="4182">
        <f>F3_Calving_to_1st_Breeding_Attempt+((F3_Cow_Breeding_Attempts-1)*F3_Cow_Days_Between_Breeding_Attempts)+F3_Gestation_Period-F3_Dryoff_Period</f>
        <v>336.83934426229507</v>
      </c>
      <c r="AA36" s="4183"/>
      <c r="AB36" s="3773" t="s">
        <v>162</v>
      </c>
      <c r="AC36" s="922"/>
      <c r="AD36" s="922"/>
      <c r="AE36" s="511"/>
      <c r="AF36" s="532"/>
      <c r="AG36" s="539">
        <v>3</v>
      </c>
      <c r="AH36" s="533"/>
      <c r="AI36" s="465"/>
      <c r="AJ36" s="434"/>
      <c r="AK36" s="4186">
        <f>F4_Calving_to_1st_Breeding_Attempt+((F4_Cow_Breeding_Attempts-1)*F4_Cow_Days_Between_Breeding_Attempts)+F4_Gestation_Period-F4_Dryoff_Period</f>
        <v>312.52</v>
      </c>
      <c r="AL36" s="4187"/>
      <c r="AM36" s="993" t="s">
        <v>162</v>
      </c>
      <c r="AN36" s="465"/>
      <c r="AO36" s="465"/>
      <c r="AP36" s="465"/>
      <c r="AQ36" s="464"/>
      <c r="AR36" s="2702">
        <v>3</v>
      </c>
      <c r="AS36" s="450"/>
      <c r="AT36" s="3651" t="str">
        <f>IF(Options!H21=2,IF(Options!I21=2,IF(Options!J21=2,IF(Options!K21=2," ",FALSE))))</f>
        <v xml:space="preserve"> </v>
      </c>
    </row>
    <row r="37" spans="1:46" ht="36.75" customHeight="1">
      <c r="A37" s="4175"/>
      <c r="B37" s="194"/>
      <c r="C37" s="186"/>
      <c r="D37" s="186"/>
      <c r="E37" s="186"/>
      <c r="F37" s="876"/>
      <c r="G37" s="876"/>
      <c r="H37" s="876"/>
      <c r="I37" s="876"/>
      <c r="J37" s="216"/>
      <c r="K37" s="171"/>
      <c r="L37" s="213"/>
      <c r="M37" s="44"/>
      <c r="N37" s="44"/>
      <c r="O37" s="44"/>
      <c r="P37" s="44"/>
      <c r="Q37" s="44"/>
      <c r="R37" s="44"/>
      <c r="S37" s="44"/>
      <c r="T37" s="44"/>
      <c r="U37" s="41"/>
      <c r="V37" s="44"/>
      <c r="W37" s="133"/>
      <c r="X37" s="514"/>
      <c r="Y37" s="511"/>
      <c r="Z37" s="511"/>
      <c r="AA37" s="511"/>
      <c r="AB37" s="922"/>
      <c r="AC37" s="922"/>
      <c r="AD37" s="922"/>
      <c r="AE37" s="511"/>
      <c r="AF37" s="532"/>
      <c r="AG37" s="419"/>
      <c r="AH37" s="533"/>
      <c r="AI37" s="465"/>
      <c r="AJ37" s="465"/>
      <c r="AK37" s="465"/>
      <c r="AL37" s="465"/>
      <c r="AM37" s="465"/>
      <c r="AN37" s="465"/>
      <c r="AO37" s="465"/>
      <c r="AP37" s="465"/>
      <c r="AQ37" s="464"/>
      <c r="AR37" s="465"/>
      <c r="AS37" s="450"/>
    </row>
    <row r="38" spans="1:46" ht="6" customHeight="1">
      <c r="A38" s="206"/>
      <c r="B38" s="189"/>
      <c r="C38" s="190"/>
      <c r="D38" s="190"/>
      <c r="E38" s="190"/>
      <c r="F38" s="190"/>
      <c r="G38" s="190"/>
      <c r="H38" s="190"/>
      <c r="I38" s="190"/>
      <c r="J38" s="215"/>
      <c r="K38" s="161"/>
      <c r="L38" s="231"/>
      <c r="M38" s="67"/>
      <c r="N38" s="67"/>
      <c r="O38" s="67"/>
      <c r="P38" s="67"/>
      <c r="Q38" s="67"/>
      <c r="R38" s="67"/>
      <c r="S38" s="67"/>
      <c r="T38" s="67"/>
      <c r="U38" s="66"/>
      <c r="V38" s="67"/>
      <c r="W38" s="138"/>
      <c r="X38" s="515"/>
      <c r="Y38" s="516"/>
      <c r="Z38" s="516"/>
      <c r="AA38" s="516"/>
      <c r="AB38" s="516"/>
      <c r="AC38" s="516"/>
      <c r="AD38" s="516"/>
      <c r="AE38" s="516"/>
      <c r="AF38" s="569"/>
      <c r="AG38" s="568"/>
      <c r="AH38" s="570"/>
      <c r="AI38" s="469"/>
      <c r="AJ38" s="469"/>
      <c r="AK38" s="469"/>
      <c r="AL38" s="469"/>
      <c r="AM38" s="469"/>
      <c r="AN38" s="469"/>
      <c r="AO38" s="469"/>
      <c r="AP38" s="469"/>
      <c r="AQ38" s="554"/>
      <c r="AR38" s="469"/>
      <c r="AS38" s="555"/>
    </row>
    <row r="39" spans="1:46" s="39" customFormat="1" ht="6.75" customHeight="1">
      <c r="A39" s="239"/>
      <c r="B39" s="198"/>
      <c r="C39" s="225"/>
      <c r="D39" s="225"/>
      <c r="E39" s="199"/>
      <c r="F39" s="199"/>
      <c r="G39" s="186"/>
      <c r="H39" s="200"/>
      <c r="I39" s="201"/>
      <c r="J39" s="218"/>
      <c r="K39" s="193"/>
      <c r="L39" s="214"/>
      <c r="M39" s="43"/>
      <c r="N39" s="72"/>
      <c r="O39" s="72"/>
      <c r="P39" s="72"/>
      <c r="Q39" s="72"/>
      <c r="R39" s="65"/>
      <c r="S39" s="45"/>
      <c r="T39" s="45"/>
      <c r="U39" s="73"/>
      <c r="V39" s="43"/>
      <c r="W39" s="223"/>
      <c r="X39" s="524"/>
      <c r="Y39" s="431"/>
      <c r="Z39" s="431"/>
      <c r="AA39" s="525"/>
      <c r="AB39" s="925"/>
      <c r="AC39" s="922"/>
      <c r="AD39" s="926"/>
      <c r="AE39" s="527"/>
      <c r="AF39" s="528"/>
      <c r="AG39" s="529"/>
      <c r="AH39" s="530"/>
      <c r="AI39" s="475"/>
      <c r="AJ39" s="476"/>
      <c r="AK39" s="476"/>
      <c r="AL39" s="476"/>
      <c r="AM39" s="476"/>
      <c r="AN39" s="477"/>
      <c r="AO39" s="478"/>
      <c r="AP39" s="478"/>
      <c r="AQ39" s="479"/>
      <c r="AR39" s="475"/>
      <c r="AS39" s="480"/>
    </row>
    <row r="40" spans="1:46">
      <c r="A40" s="220" t="s">
        <v>867</v>
      </c>
      <c r="B40" s="195"/>
      <c r="C40" s="3752" t="s">
        <v>118</v>
      </c>
      <c r="D40" s="2738"/>
      <c r="E40" s="186"/>
      <c r="F40" s="186"/>
      <c r="G40" s="225"/>
      <c r="H40" s="186"/>
      <c r="I40" s="186"/>
      <c r="J40" s="216"/>
      <c r="K40" s="171"/>
      <c r="L40" s="213"/>
      <c r="M40" s="44"/>
      <c r="N40" s="2725" t="s">
        <v>118</v>
      </c>
      <c r="O40" s="2725"/>
      <c r="P40" s="317"/>
      <c r="Q40" s="3755"/>
      <c r="R40" s="44"/>
      <c r="S40" s="44"/>
      <c r="T40" s="44"/>
      <c r="U40" s="41"/>
      <c r="V40" s="44"/>
      <c r="W40" s="133"/>
      <c r="X40" s="534"/>
      <c r="Y40" s="3753" t="s">
        <v>118</v>
      </c>
      <c r="Z40" s="3753"/>
      <c r="AA40" s="511"/>
      <c r="AB40" s="922"/>
      <c r="AC40" s="581"/>
      <c r="AD40" s="922"/>
      <c r="AE40" s="511"/>
      <c r="AF40" s="532"/>
      <c r="AG40" s="419"/>
      <c r="AH40" s="533"/>
      <c r="AI40" s="465"/>
      <c r="AJ40" s="2798" t="s">
        <v>118</v>
      </c>
      <c r="AK40" s="2798"/>
      <c r="AL40" s="558"/>
      <c r="AM40" s="558"/>
      <c r="AN40" s="465"/>
      <c r="AO40" s="465"/>
      <c r="AP40" s="465"/>
      <c r="AQ40" s="464"/>
      <c r="AR40" s="465"/>
      <c r="AS40" s="450"/>
    </row>
    <row r="41" spans="1:46">
      <c r="A41" s="208" t="s">
        <v>702</v>
      </c>
      <c r="B41" s="203"/>
      <c r="C41" s="225"/>
      <c r="D41" s="4166"/>
      <c r="E41" s="4167"/>
      <c r="F41" s="3771" t="s">
        <v>162</v>
      </c>
      <c r="G41" s="186"/>
      <c r="H41" s="186"/>
      <c r="I41" s="186"/>
      <c r="J41" s="216"/>
      <c r="K41" s="219"/>
      <c r="L41" s="213"/>
      <c r="M41" s="44"/>
      <c r="N41" s="226"/>
      <c r="O41" s="4172"/>
      <c r="P41" s="4173"/>
      <c r="Q41" s="838" t="s">
        <v>162</v>
      </c>
      <c r="R41" s="44"/>
      <c r="S41" s="44"/>
      <c r="T41" s="44"/>
      <c r="U41" s="41"/>
      <c r="V41" s="219"/>
      <c r="W41" s="133"/>
      <c r="X41" s="548"/>
      <c r="Y41" s="431"/>
      <c r="Z41" s="4172"/>
      <c r="AA41" s="4173"/>
      <c r="AB41" s="3773" t="s">
        <v>162</v>
      </c>
      <c r="AC41" s="922"/>
      <c r="AD41" s="922"/>
      <c r="AE41" s="511"/>
      <c r="AF41" s="532"/>
      <c r="AG41" s="2564"/>
      <c r="AH41" s="533"/>
      <c r="AI41" s="465"/>
      <c r="AJ41" s="434"/>
      <c r="AK41" s="4166"/>
      <c r="AL41" s="4167"/>
      <c r="AM41" s="993" t="s">
        <v>162</v>
      </c>
      <c r="AN41" s="465"/>
      <c r="AO41" s="465"/>
      <c r="AP41" s="465"/>
      <c r="AQ41" s="464"/>
      <c r="AR41" s="2564"/>
      <c r="AS41" s="450"/>
    </row>
    <row r="42" spans="1:46" s="39" customFormat="1" ht="3" customHeight="1">
      <c r="A42" s="210"/>
      <c r="B42" s="198"/>
      <c r="C42" s="225"/>
      <c r="D42" s="199"/>
      <c r="E42" s="225"/>
      <c r="F42" s="199"/>
      <c r="G42" s="186"/>
      <c r="H42" s="200"/>
      <c r="I42" s="201"/>
      <c r="J42" s="218"/>
      <c r="K42" s="193"/>
      <c r="L42" s="214"/>
      <c r="M42" s="43"/>
      <c r="N42" s="226"/>
      <c r="O42" s="226"/>
      <c r="P42" s="72"/>
      <c r="Q42" s="72"/>
      <c r="R42" s="65"/>
      <c r="S42" s="45"/>
      <c r="T42" s="45"/>
      <c r="U42" s="73"/>
      <c r="V42" s="43"/>
      <c r="W42" s="223"/>
      <c r="X42" s="524"/>
      <c r="Y42" s="431"/>
      <c r="Z42" s="431"/>
      <c r="AA42" s="525"/>
      <c r="AB42" s="925"/>
      <c r="AC42" s="922"/>
      <c r="AD42" s="926"/>
      <c r="AE42" s="527"/>
      <c r="AF42" s="528"/>
      <c r="AG42" s="529"/>
      <c r="AH42" s="530"/>
      <c r="AI42" s="475"/>
      <c r="AJ42" s="434"/>
      <c r="AK42" s="434"/>
      <c r="AL42" s="476"/>
      <c r="AM42" s="476"/>
      <c r="AN42" s="477"/>
      <c r="AO42" s="478"/>
      <c r="AP42" s="478"/>
      <c r="AQ42" s="479"/>
      <c r="AR42" s="475"/>
      <c r="AS42" s="480"/>
    </row>
    <row r="43" spans="1:46">
      <c r="A43" s="208" t="s">
        <v>631</v>
      </c>
      <c r="B43" s="204"/>
      <c r="C43" s="225"/>
      <c r="D43" s="4176">
        <f>Defaults!$C$31</f>
        <v>57.8</v>
      </c>
      <c r="E43" s="4177"/>
      <c r="F43" s="3771" t="s">
        <v>162</v>
      </c>
      <c r="G43" s="186"/>
      <c r="H43" s="186"/>
      <c r="I43" s="186"/>
      <c r="J43" s="216"/>
      <c r="K43" s="261">
        <v>4</v>
      </c>
      <c r="L43" s="213"/>
      <c r="M43" s="44"/>
      <c r="N43" s="226"/>
      <c r="O43" s="4170">
        <f>Defaults!$C$31</f>
        <v>57.8</v>
      </c>
      <c r="P43" s="4171"/>
      <c r="Q43" s="838" t="s">
        <v>162</v>
      </c>
      <c r="R43" s="44"/>
      <c r="S43" s="44"/>
      <c r="T43" s="44"/>
      <c r="U43" s="41"/>
      <c r="V43" s="243">
        <v>4</v>
      </c>
      <c r="W43" s="133"/>
      <c r="X43" s="549"/>
      <c r="Y43" s="511"/>
      <c r="Z43" s="4182">
        <f>Defaults!$C$31</f>
        <v>57.8</v>
      </c>
      <c r="AA43" s="4183"/>
      <c r="AB43" s="3773" t="s">
        <v>162</v>
      </c>
      <c r="AC43" s="922"/>
      <c r="AD43" s="922"/>
      <c r="AE43" s="511"/>
      <c r="AF43" s="532"/>
      <c r="AG43" s="539">
        <v>4</v>
      </c>
      <c r="AH43" s="533"/>
      <c r="AI43" s="465"/>
      <c r="AJ43" s="465"/>
      <c r="AK43" s="4186">
        <f>Defaults!$C$31</f>
        <v>57.8</v>
      </c>
      <c r="AL43" s="4187"/>
      <c r="AM43" s="993" t="s">
        <v>162</v>
      </c>
      <c r="AN43" s="465"/>
      <c r="AO43" s="465"/>
      <c r="AP43" s="465"/>
      <c r="AQ43" s="464"/>
      <c r="AR43" s="2702">
        <v>4</v>
      </c>
      <c r="AS43" s="450"/>
    </row>
    <row r="44" spans="1:46" s="39" customFormat="1" ht="6.75" customHeight="1" thickBot="1">
      <c r="A44" s="210"/>
      <c r="B44" s="198"/>
      <c r="C44" s="225"/>
      <c r="D44" s="225"/>
      <c r="E44" s="199"/>
      <c r="F44" s="199"/>
      <c r="G44" s="186"/>
      <c r="H44" s="200"/>
      <c r="I44" s="201"/>
      <c r="J44" s="218"/>
      <c r="K44" s="193"/>
      <c r="L44" s="214"/>
      <c r="M44" s="43"/>
      <c r="N44" s="226"/>
      <c r="O44" s="226"/>
      <c r="P44" s="72"/>
      <c r="Q44" s="72"/>
      <c r="R44" s="65"/>
      <c r="S44" s="45"/>
      <c r="T44" s="45"/>
      <c r="U44" s="73"/>
      <c r="V44" s="43"/>
      <c r="W44" s="223"/>
      <c r="X44" s="2713"/>
      <c r="Y44" s="584"/>
      <c r="Z44" s="584"/>
      <c r="AA44" s="2714"/>
      <c r="AB44" s="2714"/>
      <c r="AC44" s="584"/>
      <c r="AD44" s="2715"/>
      <c r="AE44" s="2716"/>
      <c r="AF44" s="2717"/>
      <c r="AG44" s="2718"/>
      <c r="AH44" s="2719"/>
      <c r="AI44" s="2708"/>
      <c r="AJ44" s="2703"/>
      <c r="AK44" s="2703"/>
      <c r="AL44" s="2704"/>
      <c r="AM44" s="2704"/>
      <c r="AN44" s="2705"/>
      <c r="AO44" s="2706"/>
      <c r="AP44" s="2706"/>
      <c r="AQ44" s="2707"/>
      <c r="AR44" s="2708"/>
      <c r="AS44" s="2721"/>
    </row>
    <row r="45" spans="1:46" ht="30" customHeight="1">
      <c r="A45" s="4139" t="s">
        <v>20</v>
      </c>
      <c r="B45" s="4140"/>
      <c r="C45" s="4140"/>
      <c r="D45" s="4140"/>
      <c r="E45" s="4140"/>
      <c r="F45" s="4140"/>
      <c r="G45" s="4140"/>
      <c r="H45" s="4140"/>
      <c r="I45" s="4140"/>
      <c r="J45" s="4140"/>
      <c r="K45" s="4140"/>
      <c r="L45" s="4140"/>
      <c r="M45" s="4140"/>
      <c r="N45" s="4140"/>
      <c r="O45" s="4140"/>
      <c r="P45" s="4140"/>
      <c r="Q45" s="4140"/>
      <c r="R45" s="4140"/>
      <c r="S45" s="4140"/>
      <c r="T45" s="4140"/>
      <c r="U45" s="4140"/>
      <c r="V45" s="4140"/>
      <c r="W45" s="4140"/>
      <c r="X45" s="4140"/>
      <c r="Y45" s="4140"/>
      <c r="Z45" s="4140"/>
      <c r="AA45" s="4140"/>
      <c r="AB45" s="4140"/>
      <c r="AC45" s="4140"/>
      <c r="AD45" s="4140"/>
      <c r="AE45" s="4140"/>
      <c r="AF45" s="4140"/>
      <c r="AG45" s="4140"/>
      <c r="AH45" s="4140"/>
      <c r="AI45" s="4140"/>
      <c r="AJ45" s="4140"/>
      <c r="AK45" s="4140"/>
      <c r="AL45" s="4140"/>
      <c r="AM45" s="4140"/>
      <c r="AN45" s="4140"/>
      <c r="AO45" s="4140"/>
      <c r="AP45" s="4140"/>
      <c r="AQ45" s="4140"/>
      <c r="AR45" s="4140"/>
      <c r="AS45" s="4141"/>
    </row>
    <row r="46" spans="1:46">
      <c r="A46" s="4142" t="s">
        <v>1326</v>
      </c>
      <c r="B46" s="4143"/>
      <c r="C46" s="4143"/>
      <c r="D46" s="4143"/>
      <c r="E46" s="4143"/>
      <c r="F46" s="4143"/>
      <c r="G46" s="4143"/>
      <c r="H46" s="4143"/>
      <c r="I46" s="4143"/>
      <c r="J46" s="4143"/>
      <c r="K46" s="4143"/>
      <c r="L46" s="4143"/>
      <c r="M46" s="4143"/>
      <c r="N46" s="4143"/>
      <c r="O46" s="4143"/>
      <c r="P46" s="4143"/>
      <c r="Q46" s="4143"/>
      <c r="R46" s="4143"/>
      <c r="S46" s="4143"/>
      <c r="T46" s="4143"/>
      <c r="U46" s="4143"/>
      <c r="V46" s="4143"/>
      <c r="W46" s="4143"/>
      <c r="X46" s="4143"/>
      <c r="Y46" s="4143"/>
      <c r="Z46" s="4143"/>
      <c r="AA46" s="4143"/>
      <c r="AB46" s="4143"/>
      <c r="AC46" s="4143"/>
      <c r="AD46" s="4143"/>
      <c r="AE46" s="4143"/>
      <c r="AF46" s="4143"/>
      <c r="AG46" s="4143"/>
      <c r="AH46" s="4143"/>
      <c r="AI46" s="4143"/>
      <c r="AJ46" s="4143"/>
      <c r="AK46" s="4143"/>
      <c r="AL46" s="4143"/>
      <c r="AM46" s="4143"/>
      <c r="AN46" s="4143"/>
      <c r="AO46" s="4143"/>
      <c r="AP46" s="4143"/>
      <c r="AQ46" s="4143"/>
      <c r="AR46" s="4143"/>
      <c r="AS46" s="4144"/>
    </row>
    <row r="47" spans="1:46">
      <c r="A47" s="4127" t="s">
        <v>1414</v>
      </c>
      <c r="B47" s="4128"/>
      <c r="C47" s="4128"/>
      <c r="D47" s="4128"/>
      <c r="E47" s="4128"/>
      <c r="F47" s="4128"/>
      <c r="G47" s="4128"/>
      <c r="H47" s="4128"/>
      <c r="I47" s="4128"/>
      <c r="J47" s="4128"/>
      <c r="K47" s="4128"/>
      <c r="L47" s="4128"/>
      <c r="M47" s="4128"/>
      <c r="N47" s="4128"/>
      <c r="O47" s="4128"/>
      <c r="P47" s="4128"/>
      <c r="Q47" s="4128"/>
      <c r="R47" s="4128"/>
      <c r="S47" s="4128"/>
      <c r="T47" s="4128"/>
      <c r="U47" s="4128"/>
      <c r="V47" s="4128"/>
      <c r="W47" s="4128"/>
      <c r="X47" s="4128"/>
      <c r="Y47" s="4128"/>
      <c r="Z47" s="4128"/>
      <c r="AA47" s="4128"/>
      <c r="AB47" s="4128"/>
      <c r="AC47" s="4128"/>
      <c r="AD47" s="4128"/>
      <c r="AE47" s="4128"/>
      <c r="AF47" s="4128"/>
      <c r="AG47" s="4128"/>
      <c r="AH47" s="4128"/>
      <c r="AI47" s="4128"/>
      <c r="AJ47" s="4128"/>
      <c r="AK47" s="4128"/>
      <c r="AL47" s="4128"/>
      <c r="AM47" s="4128"/>
      <c r="AN47" s="4128"/>
      <c r="AO47" s="4128"/>
      <c r="AP47" s="4128"/>
      <c r="AQ47" s="4128"/>
      <c r="AR47" s="4128"/>
      <c r="AS47" s="4129"/>
    </row>
    <row r="48" spans="1:46">
      <c r="A48" s="4142" t="s">
        <v>1327</v>
      </c>
      <c r="B48" s="4143"/>
      <c r="C48" s="4143"/>
      <c r="D48" s="4143"/>
      <c r="E48" s="4143"/>
      <c r="F48" s="4143"/>
      <c r="G48" s="4143"/>
      <c r="H48" s="4143"/>
      <c r="I48" s="4143"/>
      <c r="J48" s="4143"/>
      <c r="K48" s="4143"/>
      <c r="L48" s="4143"/>
      <c r="M48" s="4143"/>
      <c r="N48" s="4143"/>
      <c r="O48" s="4143"/>
      <c r="P48" s="4143"/>
      <c r="Q48" s="4143"/>
      <c r="R48" s="4143"/>
      <c r="S48" s="4143"/>
      <c r="T48" s="4143"/>
      <c r="U48" s="4143"/>
      <c r="V48" s="4143"/>
      <c r="W48" s="4143"/>
      <c r="X48" s="4143"/>
      <c r="Y48" s="4143"/>
      <c r="Z48" s="4143"/>
      <c r="AA48" s="4143"/>
      <c r="AB48" s="4143"/>
      <c r="AC48" s="4143"/>
      <c r="AD48" s="4143"/>
      <c r="AE48" s="4143"/>
      <c r="AF48" s="4143"/>
      <c r="AG48" s="4143"/>
      <c r="AH48" s="4143"/>
      <c r="AI48" s="4143"/>
      <c r="AJ48" s="4143"/>
      <c r="AK48" s="4143"/>
      <c r="AL48" s="4143"/>
      <c r="AM48" s="4143"/>
      <c r="AN48" s="4143"/>
      <c r="AO48" s="4143"/>
      <c r="AP48" s="4143"/>
      <c r="AQ48" s="4143"/>
      <c r="AR48" s="4143"/>
      <c r="AS48" s="4144"/>
    </row>
    <row r="49" spans="1:46">
      <c r="A49" s="4127" t="s">
        <v>1328</v>
      </c>
      <c r="B49" s="4128"/>
      <c r="C49" s="4128"/>
      <c r="D49" s="4128"/>
      <c r="E49" s="4128"/>
      <c r="F49" s="4128"/>
      <c r="G49" s="4128"/>
      <c r="H49" s="4128"/>
      <c r="I49" s="4128"/>
      <c r="J49" s="4128"/>
      <c r="K49" s="4128"/>
      <c r="L49" s="4128"/>
      <c r="M49" s="4128"/>
      <c r="N49" s="4128"/>
      <c r="O49" s="4128"/>
      <c r="P49" s="4128"/>
      <c r="Q49" s="4128"/>
      <c r="R49" s="4128"/>
      <c r="S49" s="4128"/>
      <c r="T49" s="4128"/>
      <c r="U49" s="4128"/>
      <c r="V49" s="4128"/>
      <c r="W49" s="4128"/>
      <c r="X49" s="4128"/>
      <c r="Y49" s="4128"/>
      <c r="Z49" s="4128"/>
      <c r="AA49" s="4128"/>
      <c r="AB49" s="4128"/>
      <c r="AC49" s="4128"/>
      <c r="AD49" s="4128"/>
      <c r="AE49" s="4128"/>
      <c r="AF49" s="4128"/>
      <c r="AG49" s="4128"/>
      <c r="AH49" s="4128"/>
      <c r="AI49" s="4128"/>
      <c r="AJ49" s="4128"/>
      <c r="AK49" s="4128"/>
      <c r="AL49" s="4128"/>
      <c r="AM49" s="4128"/>
      <c r="AN49" s="4128"/>
      <c r="AO49" s="4128"/>
      <c r="AP49" s="4128"/>
      <c r="AQ49" s="4128"/>
      <c r="AR49" s="4128"/>
      <c r="AS49" s="4129"/>
    </row>
    <row r="50" spans="1:46" ht="12.75" customHeight="1">
      <c r="A50" s="4142" t="s">
        <v>1488</v>
      </c>
      <c r="B50" s="4143"/>
      <c r="C50" s="4143"/>
      <c r="D50" s="4143"/>
      <c r="E50" s="4143"/>
      <c r="F50" s="4143"/>
      <c r="G50" s="4143"/>
      <c r="H50" s="4143"/>
      <c r="I50" s="4143"/>
      <c r="J50" s="4143"/>
      <c r="K50" s="4143"/>
      <c r="L50" s="4143"/>
      <c r="M50" s="4143"/>
      <c r="N50" s="4143"/>
      <c r="O50" s="4143"/>
      <c r="P50" s="4143"/>
      <c r="Q50" s="4143"/>
      <c r="R50" s="4143"/>
      <c r="S50" s="4143"/>
      <c r="T50" s="4143"/>
      <c r="U50" s="4143"/>
      <c r="V50" s="4143"/>
      <c r="W50" s="4143"/>
      <c r="X50" s="4143"/>
      <c r="Y50" s="4143"/>
      <c r="Z50" s="4143"/>
      <c r="AA50" s="4143"/>
      <c r="AB50" s="4143"/>
      <c r="AC50" s="4143"/>
      <c r="AD50" s="4143"/>
      <c r="AE50" s="4143"/>
      <c r="AF50" s="4143"/>
      <c r="AG50" s="4143"/>
      <c r="AH50" s="4143"/>
      <c r="AI50" s="4143"/>
      <c r="AJ50" s="4143"/>
      <c r="AK50" s="4143"/>
      <c r="AL50" s="4143"/>
      <c r="AM50" s="4143"/>
      <c r="AN50" s="4143"/>
      <c r="AO50" s="4143"/>
      <c r="AP50" s="4143"/>
      <c r="AQ50" s="4143"/>
      <c r="AR50" s="4143"/>
      <c r="AS50" s="4144"/>
    </row>
    <row r="51" spans="1:46" s="60" customFormat="1" ht="12.75" customHeight="1">
      <c r="A51" s="4130" t="s">
        <v>119</v>
      </c>
      <c r="B51" s="4131"/>
      <c r="C51" s="4131"/>
      <c r="D51" s="4131"/>
      <c r="E51" s="4131"/>
      <c r="F51" s="4131"/>
      <c r="G51" s="4131"/>
      <c r="H51" s="4131"/>
      <c r="I51" s="4131"/>
      <c r="J51" s="4131"/>
      <c r="K51" s="4131"/>
      <c r="L51" s="4131"/>
      <c r="M51" s="4131"/>
      <c r="N51" s="4131"/>
      <c r="O51" s="4131"/>
      <c r="P51" s="4131"/>
      <c r="Q51" s="4131"/>
      <c r="R51" s="4131"/>
      <c r="S51" s="4131"/>
      <c r="T51" s="4131"/>
      <c r="U51" s="4131"/>
      <c r="V51" s="4131"/>
      <c r="W51" s="4131"/>
      <c r="X51" s="4131"/>
      <c r="Y51" s="4131"/>
      <c r="Z51" s="4131"/>
      <c r="AA51" s="4131"/>
      <c r="AB51" s="4131"/>
      <c r="AC51" s="4131"/>
      <c r="AD51" s="4131"/>
      <c r="AE51" s="4131"/>
      <c r="AF51" s="4131"/>
      <c r="AG51" s="4131"/>
      <c r="AH51" s="4131"/>
      <c r="AI51" s="4131"/>
      <c r="AJ51" s="4131"/>
      <c r="AK51" s="4131"/>
      <c r="AL51" s="4131"/>
      <c r="AM51" s="4131"/>
      <c r="AN51" s="4131"/>
      <c r="AO51" s="4131"/>
      <c r="AP51" s="4131"/>
      <c r="AQ51" s="4131"/>
      <c r="AR51" s="4131"/>
      <c r="AS51" s="4132"/>
      <c r="AT51" s="2002"/>
    </row>
    <row r="52" spans="1:46" ht="12.75" customHeight="1">
      <c r="A52" s="4133">
        <v>7</v>
      </c>
      <c r="B52" s="4134"/>
      <c r="C52" s="4134"/>
      <c r="D52" s="4134"/>
      <c r="E52" s="4134"/>
      <c r="F52" s="4134"/>
      <c r="G52" s="4134"/>
      <c r="H52" s="4134"/>
      <c r="I52" s="4134"/>
      <c r="J52" s="4134"/>
      <c r="K52" s="4134"/>
      <c r="L52" s="4134"/>
      <c r="M52" s="4134"/>
      <c r="N52" s="4134"/>
      <c r="O52" s="4134"/>
      <c r="P52" s="4134"/>
      <c r="Q52" s="4134"/>
      <c r="R52" s="4134"/>
      <c r="S52" s="4134"/>
      <c r="T52" s="4134"/>
      <c r="U52" s="4134"/>
      <c r="V52" s="4134"/>
      <c r="W52" s="4134"/>
      <c r="X52" s="4134"/>
      <c r="Y52" s="4134"/>
      <c r="Z52" s="4134"/>
      <c r="AA52" s="4134"/>
      <c r="AB52" s="4134"/>
      <c r="AC52" s="4134"/>
      <c r="AD52" s="4134"/>
      <c r="AE52" s="4134"/>
      <c r="AF52" s="4134"/>
      <c r="AG52" s="4134"/>
      <c r="AH52" s="4134"/>
      <c r="AI52" s="4134"/>
      <c r="AJ52" s="4134"/>
      <c r="AK52" s="4134"/>
      <c r="AL52" s="4134"/>
      <c r="AM52" s="4134"/>
      <c r="AN52" s="4134"/>
      <c r="AO52" s="4134"/>
      <c r="AP52" s="4134"/>
      <c r="AQ52" s="4134"/>
      <c r="AR52" s="4134"/>
      <c r="AS52" s="4135"/>
    </row>
    <row r="53" spans="1:46">
      <c r="A53" s="4092" t="s">
        <v>121</v>
      </c>
      <c r="B53" s="4093"/>
      <c r="C53" s="4093"/>
      <c r="D53" s="4093"/>
      <c r="E53" s="4093"/>
      <c r="F53" s="4093"/>
      <c r="G53" s="4093"/>
      <c r="H53" s="4093"/>
      <c r="I53" s="4093"/>
      <c r="J53" s="4093"/>
      <c r="K53" s="4093"/>
      <c r="L53" s="4093"/>
      <c r="M53" s="4093"/>
      <c r="N53" s="4093"/>
      <c r="O53" s="4093"/>
      <c r="P53" s="4093"/>
      <c r="Q53" s="4093"/>
      <c r="R53" s="4093"/>
      <c r="S53" s="4093"/>
      <c r="T53" s="4093"/>
      <c r="U53" s="4093"/>
      <c r="V53" s="4093"/>
      <c r="W53" s="4093"/>
      <c r="X53" s="4093"/>
      <c r="Y53" s="4093"/>
      <c r="Z53" s="4093"/>
      <c r="AA53" s="4093"/>
      <c r="AB53" s="4093"/>
      <c r="AC53" s="4093"/>
      <c r="AD53" s="4093"/>
      <c r="AE53" s="4093"/>
      <c r="AF53" s="4093"/>
      <c r="AG53" s="4093"/>
      <c r="AH53" s="4093"/>
      <c r="AI53" s="4093"/>
      <c r="AJ53" s="4093"/>
      <c r="AK53" s="4093"/>
      <c r="AL53" s="4093"/>
      <c r="AM53" s="4093"/>
      <c r="AN53" s="4093"/>
      <c r="AO53" s="4093"/>
      <c r="AP53" s="4093"/>
      <c r="AQ53" s="4093"/>
      <c r="AR53" s="4093"/>
      <c r="AS53" s="4094"/>
    </row>
    <row r="54" spans="1:46">
      <c r="A54" s="4133" t="s">
        <v>576</v>
      </c>
      <c r="B54" s="4134"/>
      <c r="C54" s="4134"/>
      <c r="D54" s="4134"/>
      <c r="E54" s="4134"/>
      <c r="F54" s="4134"/>
      <c r="G54" s="4134"/>
      <c r="H54" s="4134"/>
      <c r="I54" s="4134"/>
      <c r="J54" s="4134"/>
      <c r="K54" s="4134"/>
      <c r="L54" s="4134"/>
      <c r="M54" s="4134"/>
      <c r="N54" s="4134"/>
      <c r="O54" s="4134"/>
      <c r="P54" s="4134"/>
      <c r="Q54" s="4134"/>
      <c r="R54" s="4134"/>
      <c r="S54" s="4134"/>
      <c r="T54" s="4134"/>
      <c r="U54" s="4134"/>
      <c r="V54" s="4134"/>
      <c r="W54" s="4134"/>
      <c r="X54" s="4134"/>
      <c r="Y54" s="4134"/>
      <c r="Z54" s="4134"/>
      <c r="AA54" s="4134"/>
      <c r="AB54" s="4134"/>
      <c r="AC54" s="4134"/>
      <c r="AD54" s="4134"/>
      <c r="AE54" s="4134"/>
      <c r="AF54" s="4134"/>
      <c r="AG54" s="4134"/>
      <c r="AH54" s="4134"/>
      <c r="AI54" s="4134"/>
      <c r="AJ54" s="4134"/>
      <c r="AK54" s="4134"/>
      <c r="AL54" s="4134"/>
      <c r="AM54" s="4134"/>
      <c r="AN54" s="4134"/>
      <c r="AO54" s="4134"/>
      <c r="AP54" s="4134"/>
      <c r="AQ54" s="4134"/>
      <c r="AR54" s="4134"/>
      <c r="AS54" s="4135"/>
    </row>
    <row r="55" spans="1:46">
      <c r="A55" s="4133" t="s">
        <v>577</v>
      </c>
      <c r="B55" s="4134"/>
      <c r="C55" s="4134"/>
      <c r="D55" s="4134"/>
      <c r="E55" s="4134"/>
      <c r="F55" s="4134"/>
      <c r="G55" s="4134"/>
      <c r="H55" s="4134"/>
      <c r="I55" s="4134"/>
      <c r="J55" s="4134"/>
      <c r="K55" s="4134"/>
      <c r="L55" s="4134"/>
      <c r="M55" s="4134"/>
      <c r="N55" s="4134"/>
      <c r="O55" s="4134"/>
      <c r="P55" s="4134"/>
      <c r="Q55" s="4134"/>
      <c r="R55" s="4134"/>
      <c r="S55" s="4134"/>
      <c r="T55" s="4134"/>
      <c r="U55" s="4134"/>
      <c r="V55" s="4134"/>
      <c r="W55" s="4134"/>
      <c r="X55" s="4134"/>
      <c r="Y55" s="4134"/>
      <c r="Z55" s="4134"/>
      <c r="AA55" s="4134"/>
      <c r="AB55" s="4134"/>
      <c r="AC55" s="4134"/>
      <c r="AD55" s="4134"/>
      <c r="AE55" s="4134"/>
      <c r="AF55" s="4134"/>
      <c r="AG55" s="4134"/>
      <c r="AH55" s="4134"/>
      <c r="AI55" s="4134"/>
      <c r="AJ55" s="4134"/>
      <c r="AK55" s="4134"/>
      <c r="AL55" s="4134"/>
      <c r="AM55" s="4134"/>
      <c r="AN55" s="4134"/>
      <c r="AO55" s="4134"/>
      <c r="AP55" s="4134"/>
      <c r="AQ55" s="4134"/>
      <c r="AR55" s="4134"/>
      <c r="AS55" s="4135"/>
    </row>
    <row r="56" spans="1:46" ht="13.5" thickBot="1">
      <c r="A56" s="4095" t="s">
        <v>578</v>
      </c>
      <c r="B56" s="4096"/>
      <c r="C56" s="4096"/>
      <c r="D56" s="4096"/>
      <c r="E56" s="4096"/>
      <c r="F56" s="4096"/>
      <c r="G56" s="4096"/>
      <c r="H56" s="4096"/>
      <c r="I56" s="4096"/>
      <c r="J56" s="4096"/>
      <c r="K56" s="4096"/>
      <c r="L56" s="4096"/>
      <c r="M56" s="4096"/>
      <c r="N56" s="4096"/>
      <c r="O56" s="4096"/>
      <c r="P56" s="4096"/>
      <c r="Q56" s="4096"/>
      <c r="R56" s="4096"/>
      <c r="S56" s="4096"/>
      <c r="T56" s="4096"/>
      <c r="U56" s="4096"/>
      <c r="V56" s="4096"/>
      <c r="W56" s="4096"/>
      <c r="X56" s="4096"/>
      <c r="Y56" s="4096"/>
      <c r="Z56" s="4096"/>
      <c r="AA56" s="4096"/>
      <c r="AB56" s="4096"/>
      <c r="AC56" s="4096"/>
      <c r="AD56" s="4096"/>
      <c r="AE56" s="4096"/>
      <c r="AF56" s="4096"/>
      <c r="AG56" s="4096"/>
      <c r="AH56" s="4096"/>
      <c r="AI56" s="4096"/>
      <c r="AJ56" s="4096"/>
      <c r="AK56" s="4096"/>
      <c r="AL56" s="4096"/>
      <c r="AM56" s="4096"/>
      <c r="AN56" s="4096"/>
      <c r="AO56" s="4096"/>
      <c r="AP56" s="4096"/>
      <c r="AQ56" s="4096"/>
      <c r="AR56" s="4096"/>
      <c r="AS56" s="4097"/>
    </row>
  </sheetData>
  <sheetProtection password="E0BE" sheet="1" objects="1" scenarios="1"/>
  <mergeCells count="71">
    <mergeCell ref="AJ30:AK30"/>
    <mergeCell ref="AK34:AL34"/>
    <mergeCell ref="AK36:AL36"/>
    <mergeCell ref="AK41:AL41"/>
    <mergeCell ref="AK43:AL43"/>
    <mergeCell ref="AJ11:AK11"/>
    <mergeCell ref="AJ15:AK15"/>
    <mergeCell ref="AJ17:AK17"/>
    <mergeCell ref="AJ26:AK26"/>
    <mergeCell ref="AJ28:AK28"/>
    <mergeCell ref="AK22:AL22"/>
    <mergeCell ref="AK24:AL24"/>
    <mergeCell ref="Y30:Z30"/>
    <mergeCell ref="Z22:AA22"/>
    <mergeCell ref="Z24:AA24"/>
    <mergeCell ref="Z41:AA41"/>
    <mergeCell ref="Z43:AA43"/>
    <mergeCell ref="Z36:AA36"/>
    <mergeCell ref="Z34:AA34"/>
    <mergeCell ref="Y11:Z11"/>
    <mergeCell ref="Y15:Z15"/>
    <mergeCell ref="Y17:Z17"/>
    <mergeCell ref="Y26:Z26"/>
    <mergeCell ref="Y28:Z28"/>
    <mergeCell ref="N11:O11"/>
    <mergeCell ref="N15:O15"/>
    <mergeCell ref="N17:O17"/>
    <mergeCell ref="N26:O26"/>
    <mergeCell ref="N28:O28"/>
    <mergeCell ref="O22:P22"/>
    <mergeCell ref="O24:P24"/>
    <mergeCell ref="C26:D26"/>
    <mergeCell ref="C28:D28"/>
    <mergeCell ref="C30:D30"/>
    <mergeCell ref="D22:E22"/>
    <mergeCell ref="D24:E24"/>
    <mergeCell ref="A48:AS48"/>
    <mergeCell ref="A49:AS49"/>
    <mergeCell ref="A50:AS50"/>
    <mergeCell ref="A36:A37"/>
    <mergeCell ref="A47:AS47"/>
    <mergeCell ref="D36:E36"/>
    <mergeCell ref="D41:E41"/>
    <mergeCell ref="D43:E43"/>
    <mergeCell ref="N30:O30"/>
    <mergeCell ref="O43:P43"/>
    <mergeCell ref="O41:P41"/>
    <mergeCell ref="O36:P36"/>
    <mergeCell ref="O34:P34"/>
    <mergeCell ref="M4:W4"/>
    <mergeCell ref="A1:AS1"/>
    <mergeCell ref="A2:AS2"/>
    <mergeCell ref="A45:AS45"/>
    <mergeCell ref="A46:AS46"/>
    <mergeCell ref="X3:AH3"/>
    <mergeCell ref="AI3:AS3"/>
    <mergeCell ref="X4:AH4"/>
    <mergeCell ref="AI4:AS4"/>
    <mergeCell ref="B4:L4"/>
    <mergeCell ref="B3:L3"/>
    <mergeCell ref="M3:W3"/>
    <mergeCell ref="C11:D11"/>
    <mergeCell ref="C15:D15"/>
    <mergeCell ref="C17:D17"/>
    <mergeCell ref="D34:E34"/>
    <mergeCell ref="A56:AS56"/>
    <mergeCell ref="A51:AS51"/>
    <mergeCell ref="A52:AS52"/>
    <mergeCell ref="A53:AS53"/>
    <mergeCell ref="A54:AS54"/>
    <mergeCell ref="A55:AS55"/>
  </mergeCells>
  <printOptions horizontalCentered="1"/>
  <pageMargins left="0.7" right="0.7" top="0.75" bottom="0.75" header="0.3" footer="0.3"/>
  <pageSetup scale="51" orientation="landscape" r:id="rId1"/>
  <headerFooter>
    <oddFooter>&amp;L&amp;A&amp;C&amp;F&amp;R&amp;D</oddFooter>
  </headerFooter>
  <ignoredErrors>
    <ignoredError sqref="A56 A54 A55" numberStoredAsText="1"/>
  </ignoredErrors>
  <legacyDrawing r:id="rId2"/>
</worksheet>
</file>

<file path=xl/worksheets/sheet14.xml><?xml version="1.0" encoding="utf-8"?>
<worksheet xmlns="http://schemas.openxmlformats.org/spreadsheetml/2006/main" xmlns:r="http://schemas.openxmlformats.org/officeDocument/2006/relationships">
  <sheetPr codeName="Sheet21"/>
  <dimension ref="A1:BH316"/>
  <sheetViews>
    <sheetView topLeftCell="A154" zoomScale="85" zoomScaleNormal="85" workbookViewId="0">
      <selection activeCell="A169" sqref="A169:AC177"/>
    </sheetView>
  </sheetViews>
  <sheetFormatPr defaultRowHeight="12.75"/>
  <cols>
    <col min="1" max="1" width="47.7109375" style="21" customWidth="1"/>
    <col min="2" max="2" width="1.28515625" style="21" customWidth="1"/>
    <col min="3" max="5" width="4.7109375" style="21" customWidth="1"/>
    <col min="6" max="6" width="3.5703125" style="21" customWidth="1"/>
    <col min="7" max="7" width="1.28515625" style="21" customWidth="1"/>
    <col min="8" max="10" width="4.7109375" style="21" customWidth="1"/>
    <col min="11" max="11" width="3.7109375" style="21" customWidth="1"/>
    <col min="12" max="12" width="1.28515625" style="21" customWidth="1"/>
    <col min="13" max="13" width="9.7109375" style="21" customWidth="1"/>
    <col min="14" max="15" width="1.28515625" style="21" customWidth="1"/>
    <col min="16" max="18" width="4.7109375" style="21" customWidth="1"/>
    <col min="19" max="19" width="3.7109375" style="21" customWidth="1"/>
    <col min="20" max="20" width="1.28515625" style="21" customWidth="1"/>
    <col min="21" max="24" width="4.7109375" style="21" customWidth="1"/>
    <col min="25" max="25" width="1.28515625" style="21" customWidth="1"/>
    <col min="26" max="26" width="9.7109375" style="21" customWidth="1"/>
    <col min="27" max="28" width="1.28515625" style="21" customWidth="1"/>
    <col min="29" max="31" width="4.7109375" style="21" customWidth="1"/>
    <col min="32" max="32" width="3.5703125" style="21" customWidth="1"/>
    <col min="33" max="33" width="1.28515625" style="21" customWidth="1"/>
    <col min="34" max="36" width="4.7109375" style="21" customWidth="1"/>
    <col min="37" max="37" width="3.7109375" style="21" customWidth="1"/>
    <col min="38" max="38" width="1.28515625" style="21" customWidth="1"/>
    <col min="39" max="39" width="9.7109375" style="21" customWidth="1"/>
    <col min="40" max="41" width="1.28515625" style="21" customWidth="1"/>
    <col min="42" max="44" width="4.7109375" style="21" customWidth="1"/>
    <col min="45" max="45" width="3.7109375" style="21" customWidth="1"/>
    <col min="46" max="46" width="1.28515625" style="21" customWidth="1"/>
    <col min="47" max="49" width="4.7109375" style="21" customWidth="1"/>
    <col min="50" max="50" width="3.7109375" style="21" customWidth="1"/>
    <col min="51" max="51" width="1.28515625" style="21" customWidth="1"/>
    <col min="52" max="52" width="9.7109375" style="21" customWidth="1"/>
    <col min="53" max="53" width="1.28515625" style="21" customWidth="1"/>
    <col min="54" max="54" width="9.140625" style="21"/>
    <col min="55" max="55" width="10.7109375" style="21" bestFit="1" customWidth="1"/>
    <col min="56" max="56" width="11" style="21" customWidth="1"/>
    <col min="57" max="57" width="9.7109375" style="21" bestFit="1" customWidth="1"/>
    <col min="58" max="16384" width="9.140625" style="21"/>
  </cols>
  <sheetData>
    <row r="1" spans="1:53" ht="30" customHeight="1">
      <c r="A1" s="4014" t="str">
        <f>CONCATENATE("Application: ",Application_Name)</f>
        <v>Application: Conventional and Organic Farm Environmental Footprints (COFEF)</v>
      </c>
      <c r="B1" s="4015"/>
      <c r="C1" s="4015"/>
      <c r="D1" s="4015"/>
      <c r="E1" s="4015"/>
      <c r="F1" s="4015"/>
      <c r="G1" s="4015"/>
      <c r="H1" s="4015"/>
      <c r="I1" s="4015"/>
      <c r="J1" s="4015"/>
      <c r="K1" s="4015"/>
      <c r="L1" s="4015"/>
      <c r="M1" s="4015"/>
      <c r="N1" s="4015"/>
      <c r="O1" s="4015"/>
      <c r="P1" s="4015"/>
      <c r="Q1" s="4015"/>
      <c r="R1" s="4015"/>
      <c r="S1" s="4015"/>
      <c r="T1" s="4015"/>
      <c r="U1" s="4015"/>
      <c r="V1" s="4015"/>
      <c r="W1" s="4015"/>
      <c r="X1" s="4015"/>
      <c r="Y1" s="4015"/>
      <c r="Z1" s="4015"/>
      <c r="AA1" s="4015"/>
      <c r="AB1" s="4015"/>
      <c r="AC1" s="4015"/>
      <c r="AD1" s="4015"/>
      <c r="AE1" s="4015"/>
      <c r="AF1" s="4015"/>
      <c r="AG1" s="4015"/>
      <c r="AH1" s="4015"/>
      <c r="AI1" s="4015"/>
      <c r="AJ1" s="4015"/>
      <c r="AK1" s="4015"/>
      <c r="AL1" s="4015"/>
      <c r="AM1" s="4015"/>
      <c r="AN1" s="4015"/>
      <c r="AO1" s="4015"/>
      <c r="AP1" s="4015"/>
      <c r="AQ1" s="4015"/>
      <c r="AR1" s="4015"/>
      <c r="AS1" s="4015"/>
      <c r="AT1" s="4015"/>
      <c r="AU1" s="4015"/>
      <c r="AV1" s="4015"/>
      <c r="AW1" s="4015"/>
      <c r="AX1" s="4015"/>
      <c r="AY1" s="4015"/>
      <c r="AZ1" s="4015"/>
      <c r="BA1" s="4015"/>
    </row>
    <row r="2" spans="1:53" ht="30" customHeight="1">
      <c r="A2" s="4016" t="s">
        <v>1304</v>
      </c>
      <c r="B2" s="4017"/>
      <c r="C2" s="4017"/>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17"/>
      <c r="AL2" s="4017"/>
      <c r="AM2" s="4017"/>
      <c r="AN2" s="4017"/>
      <c r="AO2" s="4017"/>
      <c r="AP2" s="4017"/>
      <c r="AQ2" s="4017"/>
      <c r="AR2" s="4017"/>
      <c r="AS2" s="4017"/>
      <c r="AT2" s="4017"/>
      <c r="AU2" s="4017"/>
      <c r="AV2" s="4017"/>
      <c r="AW2" s="4017"/>
      <c r="AX2" s="4017"/>
      <c r="AY2" s="4017"/>
      <c r="AZ2" s="4017"/>
      <c r="BA2" s="4017"/>
    </row>
    <row r="3" spans="1:53" ht="21" customHeight="1">
      <c r="A3" s="235"/>
      <c r="B3" s="3999" t="str">
        <f>'Chosen Parameters-Part I'!B4</f>
        <v>Scenario 1</v>
      </c>
      <c r="C3" s="4000"/>
      <c r="D3" s="4000"/>
      <c r="E3" s="4000"/>
      <c r="F3" s="4000"/>
      <c r="G3" s="4000"/>
      <c r="H3" s="4000"/>
      <c r="I3" s="4000"/>
      <c r="J3" s="4000"/>
      <c r="K3" s="4000"/>
      <c r="L3" s="4000"/>
      <c r="M3" s="4000"/>
      <c r="N3" s="4001"/>
      <c r="O3" s="4003" t="str">
        <f>'Chosen Parameters-Part I'!C4</f>
        <v>Scenario 2</v>
      </c>
      <c r="P3" s="4003"/>
      <c r="Q3" s="4003"/>
      <c r="R3" s="4003"/>
      <c r="S3" s="4003"/>
      <c r="T3" s="4003"/>
      <c r="U3" s="4003"/>
      <c r="V3" s="4003"/>
      <c r="W3" s="4003"/>
      <c r="X3" s="4003"/>
      <c r="Y3" s="4003"/>
      <c r="Z3" s="4003"/>
      <c r="AA3" s="4337"/>
      <c r="AB3" s="4006" t="str">
        <f>'Chosen Parameters-Part I'!D4</f>
        <v>Scenario 3</v>
      </c>
      <c r="AC3" s="4006"/>
      <c r="AD3" s="4006"/>
      <c r="AE3" s="4006"/>
      <c r="AF3" s="4006"/>
      <c r="AG3" s="4006"/>
      <c r="AH3" s="4006"/>
      <c r="AI3" s="4006"/>
      <c r="AJ3" s="4006"/>
      <c r="AK3" s="4006"/>
      <c r="AL3" s="4006"/>
      <c r="AM3" s="4006"/>
      <c r="AN3" s="4111"/>
      <c r="AO3" s="4113" t="str">
        <f>'Chosen Parameters-Part I'!E4</f>
        <v>Scenario 4</v>
      </c>
      <c r="AP3" s="4113"/>
      <c r="AQ3" s="4113"/>
      <c r="AR3" s="4113"/>
      <c r="AS3" s="4113"/>
      <c r="AT3" s="4113"/>
      <c r="AU3" s="4113"/>
      <c r="AV3" s="4113"/>
      <c r="AW3" s="4113"/>
      <c r="AX3" s="4113"/>
      <c r="AY3" s="4113"/>
      <c r="AZ3" s="4113"/>
      <c r="BA3" s="4114"/>
    </row>
    <row r="4" spans="1:53" ht="36" customHeight="1">
      <c r="A4" s="237"/>
      <c r="B4" s="4118" t="str">
        <f>'Step 1 -- Herd Profile'!B4:L4</f>
        <v>Intensive Conventional Management with Holsteins and rbST</v>
      </c>
      <c r="C4" s="4338"/>
      <c r="D4" s="4338"/>
      <c r="E4" s="4338"/>
      <c r="F4" s="4338"/>
      <c r="G4" s="4338"/>
      <c r="H4" s="4338"/>
      <c r="I4" s="4338"/>
      <c r="J4" s="4338"/>
      <c r="K4" s="4338"/>
      <c r="L4" s="4338"/>
      <c r="M4" s="4338"/>
      <c r="N4" s="4339"/>
      <c r="O4" s="4121" t="str">
        <f>'Step 1 -- Herd Profile'!M4</f>
        <v>Conventional Management, Holsteins</v>
      </c>
      <c r="P4" s="4340"/>
      <c r="Q4" s="4340"/>
      <c r="R4" s="4340"/>
      <c r="S4" s="4340"/>
      <c r="T4" s="4340"/>
      <c r="U4" s="4340"/>
      <c r="V4" s="4340"/>
      <c r="W4" s="4340"/>
      <c r="X4" s="4340"/>
      <c r="Y4" s="4340"/>
      <c r="Z4" s="4340"/>
      <c r="AA4" s="4341"/>
      <c r="AB4" s="4041" t="str">
        <f>'Application Setup'!B6</f>
        <v>Intensive Organic Management, Holsteins</v>
      </c>
      <c r="AC4" s="4295"/>
      <c r="AD4" s="4295"/>
      <c r="AE4" s="4295"/>
      <c r="AF4" s="4295"/>
      <c r="AG4" s="4295"/>
      <c r="AH4" s="4295"/>
      <c r="AI4" s="4295"/>
      <c r="AJ4" s="4295"/>
      <c r="AK4" s="4295"/>
      <c r="AL4" s="4295"/>
      <c r="AM4" s="4295"/>
      <c r="AN4" s="4296"/>
      <c r="AO4" s="4115" t="str">
        <f>'Application Setup'!B7</f>
        <v>Pasture-Based Organic, Jersey Cows</v>
      </c>
      <c r="AP4" s="4297"/>
      <c r="AQ4" s="4297"/>
      <c r="AR4" s="4297"/>
      <c r="AS4" s="4297"/>
      <c r="AT4" s="4297"/>
      <c r="AU4" s="4297"/>
      <c r="AV4" s="4297"/>
      <c r="AW4" s="4297"/>
      <c r="AX4" s="4297"/>
      <c r="AY4" s="4297"/>
      <c r="AZ4" s="4297"/>
      <c r="BA4" s="4298"/>
    </row>
    <row r="5" spans="1:53" ht="51" customHeight="1">
      <c r="A5" s="2728" t="s">
        <v>95</v>
      </c>
      <c r="B5" s="228"/>
      <c r="C5" s="228"/>
      <c r="D5" s="228"/>
      <c r="E5" s="228"/>
      <c r="F5" s="228"/>
      <c r="G5" s="228"/>
      <c r="H5" s="228"/>
      <c r="I5" s="228"/>
      <c r="J5" s="228"/>
      <c r="K5" s="228"/>
      <c r="L5" s="2749"/>
      <c r="M5" s="2749"/>
      <c r="N5" s="2750"/>
      <c r="O5" s="44"/>
      <c r="P5" s="44"/>
      <c r="Q5" s="44"/>
      <c r="R5" s="44"/>
      <c r="S5" s="44"/>
      <c r="T5" s="44"/>
      <c r="U5" s="44"/>
      <c r="V5" s="44"/>
      <c r="W5" s="44"/>
      <c r="X5" s="44"/>
      <c r="Y5" s="4345"/>
      <c r="Z5" s="4345"/>
      <c r="AA5" s="4346"/>
      <c r="AB5" s="564"/>
      <c r="AC5" s="564"/>
      <c r="AD5" s="564"/>
      <c r="AE5" s="564"/>
      <c r="AF5" s="564"/>
      <c r="AG5" s="564"/>
      <c r="AH5" s="564"/>
      <c r="AI5" s="564"/>
      <c r="AJ5" s="564"/>
      <c r="AK5" s="564"/>
      <c r="AL5" s="2754"/>
      <c r="AM5" s="2754"/>
      <c r="AN5" s="2755"/>
      <c r="AO5" s="465"/>
      <c r="AP5" s="465"/>
      <c r="AQ5" s="465"/>
      <c r="AR5" s="465"/>
      <c r="AS5" s="465"/>
      <c r="AT5" s="465"/>
      <c r="AU5" s="465"/>
      <c r="AV5" s="465"/>
      <c r="AW5" s="465"/>
      <c r="AX5" s="465"/>
      <c r="AY5" s="4299"/>
      <c r="AZ5" s="4299"/>
      <c r="BA5" s="4300"/>
    </row>
    <row r="6" spans="1:53" ht="20.25" customHeight="1">
      <c r="A6" s="4031" t="s">
        <v>1305</v>
      </c>
      <c r="B6" s="4032"/>
      <c r="C6" s="4032"/>
      <c r="D6" s="4032"/>
      <c r="E6" s="4032"/>
      <c r="F6" s="4032"/>
      <c r="G6" s="4032"/>
      <c r="H6" s="4032"/>
      <c r="I6" s="4032"/>
      <c r="J6" s="4032"/>
      <c r="K6" s="4032"/>
      <c r="L6" s="4032"/>
      <c r="M6" s="4032"/>
      <c r="N6" s="4032"/>
      <c r="O6" s="4032"/>
      <c r="P6" s="4032"/>
      <c r="Q6" s="4032"/>
      <c r="R6" s="4032"/>
      <c r="S6" s="4032"/>
      <c r="T6" s="4032"/>
      <c r="U6" s="4032"/>
      <c r="V6" s="4032"/>
      <c r="W6" s="4032"/>
      <c r="X6" s="4032"/>
      <c r="Y6" s="4032"/>
      <c r="Z6" s="4032"/>
      <c r="AA6" s="4032"/>
      <c r="AB6" s="4032"/>
      <c r="AC6" s="4032"/>
      <c r="AD6" s="4032"/>
      <c r="AE6" s="4032"/>
      <c r="AF6" s="4032"/>
      <c r="AG6" s="4032"/>
      <c r="AH6" s="4032"/>
      <c r="AI6" s="4032"/>
      <c r="AJ6" s="4032"/>
      <c r="AK6" s="4032"/>
      <c r="AL6" s="4032"/>
      <c r="AM6" s="4032"/>
      <c r="AN6" s="4032"/>
      <c r="AO6" s="4032"/>
      <c r="AP6" s="4032"/>
      <c r="AQ6" s="4032"/>
      <c r="AR6" s="4032"/>
      <c r="AS6" s="4032"/>
      <c r="AT6" s="4032"/>
      <c r="AU6" s="4032"/>
      <c r="AV6" s="4032"/>
      <c r="AW6" s="4032"/>
      <c r="AX6" s="4032"/>
      <c r="AY6" s="4032"/>
      <c r="AZ6" s="4032"/>
      <c r="BA6" s="4033"/>
    </row>
    <row r="7" spans="1:53" s="2452" customFormat="1" ht="12.75" customHeight="1">
      <c r="A7" s="4330"/>
      <c r="B7" s="2751"/>
      <c r="C7" s="2752"/>
      <c r="D7" s="2752"/>
      <c r="E7" s="2752"/>
      <c r="F7" s="2752"/>
      <c r="G7" s="2753"/>
      <c r="H7" s="4334" t="s">
        <v>405</v>
      </c>
      <c r="I7" s="4334"/>
      <c r="J7" s="4334"/>
      <c r="K7" s="4334"/>
      <c r="L7" s="4354" t="s">
        <v>83</v>
      </c>
      <c r="M7" s="4355"/>
      <c r="N7" s="4356"/>
      <c r="O7" s="2451"/>
      <c r="P7" s="2451"/>
      <c r="Q7" s="2451"/>
      <c r="R7" s="2451"/>
      <c r="S7" s="2451"/>
      <c r="T7" s="4378" t="s">
        <v>405</v>
      </c>
      <c r="U7" s="4379"/>
      <c r="V7" s="4379"/>
      <c r="W7" s="4379"/>
      <c r="X7" s="4380"/>
      <c r="Y7" s="4372" t="s">
        <v>83</v>
      </c>
      <c r="Z7" s="4373"/>
      <c r="AA7" s="4374"/>
      <c r="AB7" s="2756"/>
      <c r="AC7" s="2756"/>
      <c r="AD7" s="2756"/>
      <c r="AE7" s="2756"/>
      <c r="AF7" s="2756"/>
      <c r="AG7" s="2757"/>
      <c r="AH7" s="3952" t="s">
        <v>405</v>
      </c>
      <c r="AI7" s="3952"/>
      <c r="AJ7" s="3952"/>
      <c r="AK7" s="3952"/>
      <c r="AL7" s="4366" t="s">
        <v>83</v>
      </c>
      <c r="AM7" s="4367"/>
      <c r="AN7" s="4368"/>
      <c r="AO7" s="2767"/>
      <c r="AP7" s="2767"/>
      <c r="AQ7" s="2767"/>
      <c r="AR7" s="2767"/>
      <c r="AS7" s="2767"/>
      <c r="AT7" s="4301" t="s">
        <v>405</v>
      </c>
      <c r="AU7" s="3953"/>
      <c r="AV7" s="3953"/>
      <c r="AW7" s="3953"/>
      <c r="AX7" s="4302"/>
      <c r="AY7" s="4360" t="s">
        <v>83</v>
      </c>
      <c r="AZ7" s="4361"/>
      <c r="BA7" s="4362"/>
    </row>
    <row r="8" spans="1:53" s="2453" customFormat="1" ht="15" customHeight="1">
      <c r="A8" s="4331"/>
      <c r="B8" s="4350" t="s">
        <v>716</v>
      </c>
      <c r="C8" s="4348"/>
      <c r="D8" s="4348"/>
      <c r="E8" s="4348"/>
      <c r="F8" s="4348"/>
      <c r="G8" s="4347" t="s">
        <v>717</v>
      </c>
      <c r="H8" s="4348"/>
      <c r="I8" s="4348"/>
      <c r="J8" s="4348"/>
      <c r="K8" s="4349"/>
      <c r="L8" s="4357"/>
      <c r="M8" s="4358"/>
      <c r="N8" s="4359"/>
      <c r="O8" s="4381" t="s">
        <v>716</v>
      </c>
      <c r="P8" s="4352"/>
      <c r="Q8" s="4352"/>
      <c r="R8" s="4352"/>
      <c r="S8" s="4353"/>
      <c r="T8" s="4351" t="s">
        <v>717</v>
      </c>
      <c r="U8" s="4352"/>
      <c r="V8" s="4352"/>
      <c r="W8" s="4352"/>
      <c r="X8" s="4353"/>
      <c r="Y8" s="4375"/>
      <c r="Z8" s="4376"/>
      <c r="AA8" s="4377"/>
      <c r="AB8" s="4303" t="s">
        <v>716</v>
      </c>
      <c r="AC8" s="4303"/>
      <c r="AD8" s="4303"/>
      <c r="AE8" s="4303"/>
      <c r="AF8" s="4303"/>
      <c r="AG8" s="4304" t="s">
        <v>717</v>
      </c>
      <c r="AH8" s="4303"/>
      <c r="AI8" s="4303"/>
      <c r="AJ8" s="4303"/>
      <c r="AK8" s="4305"/>
      <c r="AL8" s="4369"/>
      <c r="AM8" s="4370"/>
      <c r="AN8" s="4371"/>
      <c r="AO8" s="4306" t="s">
        <v>716</v>
      </c>
      <c r="AP8" s="4307"/>
      <c r="AQ8" s="4307"/>
      <c r="AR8" s="4307"/>
      <c r="AS8" s="4308"/>
      <c r="AT8" s="4309" t="s">
        <v>717</v>
      </c>
      <c r="AU8" s="4307"/>
      <c r="AV8" s="4307"/>
      <c r="AW8" s="4307"/>
      <c r="AX8" s="4308"/>
      <c r="AY8" s="4363"/>
      <c r="AZ8" s="4364"/>
      <c r="BA8" s="4365"/>
    </row>
    <row r="9" spans="1:53" ht="5.25" customHeight="1">
      <c r="A9" s="206"/>
      <c r="B9" s="227"/>
      <c r="C9" s="171"/>
      <c r="D9" s="171"/>
      <c r="E9" s="186"/>
      <c r="F9" s="186"/>
      <c r="G9" s="170"/>
      <c r="H9" s="186"/>
      <c r="I9" s="186"/>
      <c r="J9" s="186"/>
      <c r="K9" s="186"/>
      <c r="L9" s="216"/>
      <c r="M9" s="171"/>
      <c r="N9" s="213"/>
      <c r="O9" s="44"/>
      <c r="P9" s="42"/>
      <c r="Q9" s="42"/>
      <c r="R9" s="44"/>
      <c r="S9" s="880"/>
      <c r="T9" s="2133"/>
      <c r="U9" s="880"/>
      <c r="V9" s="44"/>
      <c r="W9" s="44"/>
      <c r="X9" s="44"/>
      <c r="Y9" s="41"/>
      <c r="Z9" s="42"/>
      <c r="AA9" s="2748"/>
      <c r="AB9" s="419"/>
      <c r="AC9" s="419"/>
      <c r="AD9" s="419"/>
      <c r="AE9" s="511"/>
      <c r="AF9" s="511"/>
      <c r="AG9" s="418"/>
      <c r="AH9" s="511"/>
      <c r="AI9" s="511"/>
      <c r="AJ9" s="511"/>
      <c r="AK9" s="511"/>
      <c r="AL9" s="532"/>
      <c r="AM9" s="419"/>
      <c r="AN9" s="533"/>
      <c r="AO9" s="465"/>
      <c r="AP9" s="449"/>
      <c r="AQ9" s="449"/>
      <c r="AR9" s="465"/>
      <c r="AS9" s="909"/>
      <c r="AT9" s="2138"/>
      <c r="AU9" s="909"/>
      <c r="AV9" s="465"/>
      <c r="AW9" s="465"/>
      <c r="AX9" s="465"/>
      <c r="AY9" s="464"/>
      <c r="AZ9" s="449"/>
      <c r="BA9" s="559"/>
    </row>
    <row r="10" spans="1:53">
      <c r="A10" s="221" t="s">
        <v>1411</v>
      </c>
      <c r="B10" s="227">
        <v>45</v>
      </c>
      <c r="C10" s="186"/>
      <c r="D10" s="186"/>
      <c r="E10" s="186"/>
      <c r="F10" s="186"/>
      <c r="G10" s="170">
        <v>45</v>
      </c>
      <c r="H10" s="2726" t="s">
        <v>118</v>
      </c>
      <c r="I10" s="262"/>
      <c r="J10" s="186"/>
      <c r="K10" s="186"/>
      <c r="L10" s="216"/>
      <c r="M10" s="186"/>
      <c r="N10" s="213"/>
      <c r="O10" s="44"/>
      <c r="P10" s="44"/>
      <c r="Q10" s="44"/>
      <c r="R10" s="44"/>
      <c r="S10" s="880"/>
      <c r="T10" s="2133"/>
      <c r="U10" s="3281" t="s">
        <v>118</v>
      </c>
      <c r="V10" s="263"/>
      <c r="W10" s="44"/>
      <c r="X10" s="44"/>
      <c r="Y10" s="41"/>
      <c r="Z10" s="44"/>
      <c r="AA10" s="2748"/>
      <c r="AB10" s="419">
        <v>45</v>
      </c>
      <c r="AC10" s="431"/>
      <c r="AD10" s="431"/>
      <c r="AE10" s="431"/>
      <c r="AF10" s="511"/>
      <c r="AG10" s="418">
        <v>45</v>
      </c>
      <c r="AH10" s="2723" t="s">
        <v>118</v>
      </c>
      <c r="AI10" s="566"/>
      <c r="AJ10" s="511"/>
      <c r="AK10" s="511"/>
      <c r="AL10" s="532"/>
      <c r="AM10" s="511"/>
      <c r="AN10" s="533"/>
      <c r="AO10" s="465"/>
      <c r="AP10" s="434"/>
      <c r="AQ10" s="434"/>
      <c r="AR10" s="434"/>
      <c r="AS10" s="909"/>
      <c r="AT10" s="2138"/>
      <c r="AU10" s="3283" t="s">
        <v>118</v>
      </c>
      <c r="AV10" s="552"/>
      <c r="AW10" s="465"/>
      <c r="AX10" s="465"/>
      <c r="AY10" s="464"/>
      <c r="AZ10" s="465"/>
      <c r="BA10" s="559"/>
    </row>
    <row r="11" spans="1:53">
      <c r="A11" s="208" t="s">
        <v>702</v>
      </c>
      <c r="B11" s="227"/>
      <c r="C11" s="186"/>
      <c r="D11" s="186" t="s">
        <v>154</v>
      </c>
      <c r="E11" s="186"/>
      <c r="F11" s="186"/>
      <c r="G11" s="170"/>
      <c r="H11" s="186"/>
      <c r="I11" s="4160"/>
      <c r="J11" s="4161"/>
      <c r="K11" s="186"/>
      <c r="L11" s="216"/>
      <c r="M11" s="2727"/>
      <c r="N11" s="213"/>
      <c r="O11" s="44"/>
      <c r="P11" s="44"/>
      <c r="Q11" s="44" t="s">
        <v>154</v>
      </c>
      <c r="R11" s="44"/>
      <c r="S11" s="317"/>
      <c r="T11" s="2466"/>
      <c r="U11" s="880"/>
      <c r="V11" s="4160"/>
      <c r="W11" s="4161"/>
      <c r="X11" s="44"/>
      <c r="Y11" s="41"/>
      <c r="Z11" s="2727"/>
      <c r="AA11" s="2748"/>
      <c r="AB11" s="419"/>
      <c r="AC11" s="431"/>
      <c r="AD11" s="431" t="s">
        <v>154</v>
      </c>
      <c r="AE11" s="431"/>
      <c r="AF11" s="511"/>
      <c r="AG11" s="418"/>
      <c r="AH11" s="431"/>
      <c r="AI11" s="4160"/>
      <c r="AJ11" s="4161"/>
      <c r="AK11" s="511"/>
      <c r="AL11" s="532"/>
      <c r="AM11" s="2727"/>
      <c r="AN11" s="533"/>
      <c r="AO11" s="465"/>
      <c r="AP11" s="434"/>
      <c r="AQ11" s="434" t="s">
        <v>154</v>
      </c>
      <c r="AR11" s="434"/>
      <c r="AS11" s="558"/>
      <c r="AT11" s="2768"/>
      <c r="AU11" s="563"/>
      <c r="AV11" s="4160"/>
      <c r="AW11" s="4161"/>
      <c r="AX11" s="465"/>
      <c r="AY11" s="464"/>
      <c r="AZ11" s="2727"/>
      <c r="BA11" s="559"/>
    </row>
    <row r="12" spans="1:53" ht="2.25" customHeight="1">
      <c r="A12" s="206"/>
      <c r="B12" s="227"/>
      <c r="C12" s="225"/>
      <c r="D12" s="225"/>
      <c r="E12" s="225"/>
      <c r="F12" s="186"/>
      <c r="G12" s="170"/>
      <c r="H12" s="225"/>
      <c r="I12" s="171"/>
      <c r="J12" s="225"/>
      <c r="K12" s="186"/>
      <c r="L12" s="216"/>
      <c r="M12" s="171"/>
      <c r="N12" s="213"/>
      <c r="O12" s="44"/>
      <c r="P12" s="226"/>
      <c r="Q12" s="226"/>
      <c r="R12" s="226"/>
      <c r="S12" s="317"/>
      <c r="T12" s="2466"/>
      <c r="U12" s="321"/>
      <c r="V12" s="226"/>
      <c r="W12" s="42"/>
      <c r="X12" s="44"/>
      <c r="Y12" s="41"/>
      <c r="Z12" s="42"/>
      <c r="AA12" s="133"/>
      <c r="AB12" s="565"/>
      <c r="AC12" s="431"/>
      <c r="AD12" s="431"/>
      <c r="AE12" s="431"/>
      <c r="AF12" s="511"/>
      <c r="AG12" s="418"/>
      <c r="AH12" s="431"/>
      <c r="AI12" s="419"/>
      <c r="AJ12" s="431"/>
      <c r="AK12" s="511"/>
      <c r="AL12" s="532"/>
      <c r="AM12" s="419"/>
      <c r="AN12" s="533"/>
      <c r="AO12" s="465"/>
      <c r="AP12" s="434"/>
      <c r="AQ12" s="434"/>
      <c r="AR12" s="434"/>
      <c r="AS12" s="558"/>
      <c r="AT12" s="2768"/>
      <c r="AU12" s="563"/>
      <c r="AV12" s="434"/>
      <c r="AW12" s="449"/>
      <c r="AX12" s="465"/>
      <c r="AY12" s="464"/>
      <c r="AZ12" s="449"/>
      <c r="BA12" s="559"/>
    </row>
    <row r="13" spans="1:53">
      <c r="A13" s="208" t="s">
        <v>631</v>
      </c>
      <c r="B13" s="227"/>
      <c r="C13" s="225"/>
      <c r="D13" s="225"/>
      <c r="E13" s="225"/>
      <c r="F13" s="186"/>
      <c r="G13" s="170"/>
      <c r="H13" s="225"/>
      <c r="I13" s="4324">
        <f>IF(F1_Breeding_Method="Bull",Defaults!C58,IF(F1_Breeding_Method="AI with Sync",Defaults!D58,Defaults!E58))</f>
        <v>12.65</v>
      </c>
      <c r="J13" s="4325"/>
      <c r="K13" s="186"/>
      <c r="L13" s="216"/>
      <c r="M13" s="330"/>
      <c r="N13" s="213"/>
      <c r="O13" s="44"/>
      <c r="P13" s="226"/>
      <c r="Q13" s="226"/>
      <c r="R13" s="226"/>
      <c r="S13" s="317"/>
      <c r="T13" s="2466"/>
      <c r="U13" s="321"/>
      <c r="V13" s="4318">
        <f>IF(F2_Breeding_Method="Bull",Defaults!C58,IF(F2_Breeding_Method="AI with Sync",Defaults!D58,Defaults!E58))</f>
        <v>12.65</v>
      </c>
      <c r="W13" s="4319"/>
      <c r="X13" s="44"/>
      <c r="Y13" s="41"/>
      <c r="Z13" s="331"/>
      <c r="AA13" s="133"/>
      <c r="AB13" s="565"/>
      <c r="AC13" s="431"/>
      <c r="AD13" s="431"/>
      <c r="AE13" s="431"/>
      <c r="AF13" s="511"/>
      <c r="AG13" s="418"/>
      <c r="AH13" s="431"/>
      <c r="AI13" s="4278">
        <f>IF(F3_Breeding_Method="Bull",Defaults!C58,IF(F3_Breeding_Method="AI with Sync",Defaults!D58,Defaults!E58))</f>
        <v>12.65</v>
      </c>
      <c r="AJ13" s="4279"/>
      <c r="AK13" s="511"/>
      <c r="AL13" s="532"/>
      <c r="AM13" s="2646"/>
      <c r="AN13" s="533"/>
      <c r="AO13" s="465"/>
      <c r="AP13" s="434"/>
      <c r="AQ13" s="434"/>
      <c r="AR13" s="434"/>
      <c r="AS13" s="558"/>
      <c r="AT13" s="2768"/>
      <c r="AU13" s="563"/>
      <c r="AV13" s="4280">
        <f>IF(F4_Breeding_Method="Bull",Defaults!C58,IF(F4_Breeding_Method="AI with Sync",Defaults!D58,Defaults!E58))</f>
        <v>12.65</v>
      </c>
      <c r="AW13" s="4281"/>
      <c r="AX13" s="465"/>
      <c r="AY13" s="464"/>
      <c r="AZ13" s="649"/>
      <c r="BA13" s="559"/>
    </row>
    <row r="14" spans="1:53" ht="6" customHeight="1">
      <c r="A14" s="205"/>
      <c r="B14" s="230"/>
      <c r="C14" s="190"/>
      <c r="D14" s="190"/>
      <c r="E14" s="161"/>
      <c r="F14" s="190"/>
      <c r="G14" s="2264"/>
      <c r="H14" s="190"/>
      <c r="I14" s="190"/>
      <c r="J14" s="190"/>
      <c r="K14" s="190"/>
      <c r="L14" s="215"/>
      <c r="M14" s="161"/>
      <c r="N14" s="231"/>
      <c r="O14" s="67"/>
      <c r="P14" s="67"/>
      <c r="Q14" s="67"/>
      <c r="R14" s="85"/>
      <c r="S14" s="276"/>
      <c r="T14" s="3310"/>
      <c r="U14" s="276"/>
      <c r="V14" s="85"/>
      <c r="W14" s="85"/>
      <c r="X14" s="67"/>
      <c r="Y14" s="66"/>
      <c r="Z14" s="85"/>
      <c r="AA14" s="138"/>
      <c r="AB14" s="567"/>
      <c r="AC14" s="516"/>
      <c r="AD14" s="516"/>
      <c r="AE14" s="568"/>
      <c r="AF14" s="516"/>
      <c r="AG14" s="2628"/>
      <c r="AH14" s="516"/>
      <c r="AI14" s="516"/>
      <c r="AJ14" s="516"/>
      <c r="AK14" s="516"/>
      <c r="AL14" s="569"/>
      <c r="AM14" s="568"/>
      <c r="AN14" s="570"/>
      <c r="AO14" s="469"/>
      <c r="AP14" s="469"/>
      <c r="AQ14" s="469"/>
      <c r="AR14" s="553"/>
      <c r="AS14" s="596"/>
      <c r="AT14" s="3311"/>
      <c r="AU14" s="596"/>
      <c r="AV14" s="553"/>
      <c r="AW14" s="553"/>
      <c r="AX14" s="469"/>
      <c r="AY14" s="554"/>
      <c r="AZ14" s="553"/>
      <c r="BA14" s="2775"/>
    </row>
    <row r="15" spans="1:53" ht="5.25" customHeight="1">
      <c r="A15" s="206"/>
      <c r="B15" s="227"/>
      <c r="C15" s="171"/>
      <c r="D15" s="171"/>
      <c r="E15" s="186"/>
      <c r="F15" s="186"/>
      <c r="G15" s="170"/>
      <c r="H15" s="186"/>
      <c r="I15" s="186"/>
      <c r="J15" s="186"/>
      <c r="K15" s="186"/>
      <c r="L15" s="216"/>
      <c r="M15" s="171"/>
      <c r="N15" s="213"/>
      <c r="O15" s="44"/>
      <c r="P15" s="42"/>
      <c r="Q15" s="42"/>
      <c r="R15" s="44"/>
      <c r="S15" s="880"/>
      <c r="T15" s="2133"/>
      <c r="U15" s="880"/>
      <c r="V15" s="44"/>
      <c r="W15" s="44"/>
      <c r="X15" s="44"/>
      <c r="Y15" s="41"/>
      <c r="Z15" s="42"/>
      <c r="AA15" s="133"/>
      <c r="AB15" s="565"/>
      <c r="AC15" s="419"/>
      <c r="AD15" s="419"/>
      <c r="AE15" s="511"/>
      <c r="AF15" s="511"/>
      <c r="AG15" s="418"/>
      <c r="AH15" s="511"/>
      <c r="AI15" s="511"/>
      <c r="AJ15" s="511"/>
      <c r="AK15" s="511"/>
      <c r="AL15" s="532"/>
      <c r="AM15" s="419"/>
      <c r="AN15" s="533"/>
      <c r="AO15" s="465"/>
      <c r="AP15" s="449"/>
      <c r="AQ15" s="449"/>
      <c r="AR15" s="465"/>
      <c r="AS15" s="909"/>
      <c r="AT15" s="2138"/>
      <c r="AU15" s="909"/>
      <c r="AV15" s="465"/>
      <c r="AW15" s="465"/>
      <c r="AX15" s="465"/>
      <c r="AY15" s="464"/>
      <c r="AZ15" s="449"/>
      <c r="BA15" s="559"/>
    </row>
    <row r="16" spans="1:53">
      <c r="A16" s="221" t="s">
        <v>814</v>
      </c>
      <c r="B16" s="227"/>
      <c r="C16" s="171"/>
      <c r="D16" s="171"/>
      <c r="E16" s="186"/>
      <c r="F16" s="186"/>
      <c r="G16" s="3302"/>
      <c r="H16" s="876"/>
      <c r="I16" s="876"/>
      <c r="J16" s="876"/>
      <c r="K16" s="876"/>
      <c r="L16" s="216"/>
      <c r="M16" s="171"/>
      <c r="N16" s="213"/>
      <c r="O16" s="44"/>
      <c r="P16" s="42"/>
      <c r="Q16" s="42"/>
      <c r="R16" s="44"/>
      <c r="S16" s="880"/>
      <c r="T16" s="2133"/>
      <c r="U16" s="880"/>
      <c r="V16" s="880"/>
      <c r="W16" s="880"/>
      <c r="X16" s="880"/>
      <c r="Y16" s="41"/>
      <c r="Z16" s="42"/>
      <c r="AA16" s="133"/>
      <c r="AB16" s="565"/>
      <c r="AC16" s="419"/>
      <c r="AD16" s="419"/>
      <c r="AE16" s="511"/>
      <c r="AF16" s="511"/>
      <c r="AG16" s="418"/>
      <c r="AH16" s="511"/>
      <c r="AI16" s="511"/>
      <c r="AJ16" s="511"/>
      <c r="AK16" s="511"/>
      <c r="AL16" s="532"/>
      <c r="AM16" s="419"/>
      <c r="AN16" s="533"/>
      <c r="AO16" s="465"/>
      <c r="AP16" s="449"/>
      <c r="AQ16" s="449"/>
      <c r="AR16" s="465"/>
      <c r="AS16" s="909"/>
      <c r="AT16" s="2138"/>
      <c r="AU16" s="909"/>
      <c r="AV16" s="909"/>
      <c r="AW16" s="909"/>
      <c r="AX16" s="909"/>
      <c r="AY16" s="464"/>
      <c r="AZ16" s="449"/>
      <c r="BA16" s="559"/>
    </row>
    <row r="17" spans="1:53">
      <c r="A17" s="221" t="s">
        <v>815</v>
      </c>
      <c r="B17" s="227">
        <v>45</v>
      </c>
      <c r="C17" s="196" t="s">
        <v>118</v>
      </c>
      <c r="D17" s="262"/>
      <c r="E17" s="186"/>
      <c r="F17" s="186"/>
      <c r="G17" s="3302">
        <v>45</v>
      </c>
      <c r="H17" s="320"/>
      <c r="I17" s="320"/>
      <c r="J17" s="320"/>
      <c r="K17" s="876"/>
      <c r="L17" s="216"/>
      <c r="M17" s="186"/>
      <c r="N17" s="213"/>
      <c r="O17" s="44"/>
      <c r="P17" s="47" t="s">
        <v>118</v>
      </c>
      <c r="Q17" s="263"/>
      <c r="R17" s="44"/>
      <c r="S17" s="880"/>
      <c r="T17" s="2133"/>
      <c r="U17" s="880"/>
      <c r="V17" s="880"/>
      <c r="W17" s="880"/>
      <c r="X17" s="880"/>
      <c r="Y17" s="41"/>
      <c r="Z17" s="44"/>
      <c r="AA17" s="133"/>
      <c r="AB17" s="565">
        <v>45</v>
      </c>
      <c r="AC17" s="2723" t="s">
        <v>118</v>
      </c>
      <c r="AD17" s="566"/>
      <c r="AE17" s="511"/>
      <c r="AF17" s="511"/>
      <c r="AG17" s="418">
        <v>45</v>
      </c>
      <c r="AH17" s="431"/>
      <c r="AI17" s="431"/>
      <c r="AJ17" s="431"/>
      <c r="AK17" s="511"/>
      <c r="AL17" s="532"/>
      <c r="AM17" s="511"/>
      <c r="AN17" s="533"/>
      <c r="AO17" s="465"/>
      <c r="AP17" s="2724" t="s">
        <v>118</v>
      </c>
      <c r="AQ17" s="552"/>
      <c r="AR17" s="465"/>
      <c r="AS17" s="909"/>
      <c r="AT17" s="2138"/>
      <c r="AU17" s="909"/>
      <c r="AV17" s="909"/>
      <c r="AW17" s="909"/>
      <c r="AX17" s="909"/>
      <c r="AY17" s="464"/>
      <c r="AZ17" s="465"/>
      <c r="BA17" s="559"/>
    </row>
    <row r="18" spans="1:53">
      <c r="A18" s="208" t="s">
        <v>702</v>
      </c>
      <c r="B18" s="227"/>
      <c r="C18" s="225"/>
      <c r="D18" s="4160"/>
      <c r="E18" s="4161"/>
      <c r="F18" s="186"/>
      <c r="G18" s="3302"/>
      <c r="H18" s="320"/>
      <c r="I18" s="320" t="s">
        <v>154</v>
      </c>
      <c r="J18" s="320"/>
      <c r="K18" s="876"/>
      <c r="L18" s="216"/>
      <c r="M18" s="2436"/>
      <c r="N18" s="213"/>
      <c r="O18" s="44"/>
      <c r="P18" s="226"/>
      <c r="Q18" s="4160"/>
      <c r="R18" s="4161"/>
      <c r="S18" s="317"/>
      <c r="T18" s="2466"/>
      <c r="U18" s="317"/>
      <c r="V18" s="317" t="s">
        <v>154</v>
      </c>
      <c r="W18" s="317"/>
      <c r="X18" s="880"/>
      <c r="Y18" s="41"/>
      <c r="Z18" s="74"/>
      <c r="AA18" s="133"/>
      <c r="AB18" s="565"/>
      <c r="AC18" s="431"/>
      <c r="AD18" s="4160"/>
      <c r="AE18" s="4161"/>
      <c r="AF18" s="511"/>
      <c r="AG18" s="418"/>
      <c r="AH18" s="431"/>
      <c r="AI18" s="431" t="s">
        <v>154</v>
      </c>
      <c r="AJ18" s="431"/>
      <c r="AK18" s="511"/>
      <c r="AL18" s="532"/>
      <c r="AM18" s="2727"/>
      <c r="AN18" s="533"/>
      <c r="AO18" s="465"/>
      <c r="AP18" s="434"/>
      <c r="AQ18" s="4160"/>
      <c r="AR18" s="4161"/>
      <c r="AS18" s="558"/>
      <c r="AT18" s="2768"/>
      <c r="AU18" s="558"/>
      <c r="AV18" s="558" t="s">
        <v>154</v>
      </c>
      <c r="AW18" s="558"/>
      <c r="AX18" s="909"/>
      <c r="AY18" s="464"/>
      <c r="AZ18" s="2727"/>
      <c r="BA18" s="559"/>
    </row>
    <row r="19" spans="1:53" ht="2.25" customHeight="1">
      <c r="A19" s="206"/>
      <c r="B19" s="227"/>
      <c r="C19" s="225"/>
      <c r="D19" s="171"/>
      <c r="E19" s="225"/>
      <c r="F19" s="186"/>
      <c r="G19" s="3302"/>
      <c r="H19" s="320"/>
      <c r="I19" s="320"/>
      <c r="J19" s="320"/>
      <c r="K19" s="876"/>
      <c r="L19" s="216"/>
      <c r="M19" s="171"/>
      <c r="N19" s="213"/>
      <c r="O19" s="44"/>
      <c r="P19" s="226"/>
      <c r="Q19" s="226"/>
      <c r="R19" s="42"/>
      <c r="S19" s="317"/>
      <c r="T19" s="2466"/>
      <c r="U19" s="317"/>
      <c r="V19" s="317"/>
      <c r="W19" s="317"/>
      <c r="X19" s="880"/>
      <c r="Y19" s="41"/>
      <c r="Z19" s="42"/>
      <c r="AA19" s="133"/>
      <c r="AB19" s="565"/>
      <c r="AC19" s="431"/>
      <c r="AD19" s="419"/>
      <c r="AE19" s="431"/>
      <c r="AF19" s="511"/>
      <c r="AG19" s="418"/>
      <c r="AH19" s="431"/>
      <c r="AI19" s="431"/>
      <c r="AJ19" s="431"/>
      <c r="AK19" s="511"/>
      <c r="AL19" s="532"/>
      <c r="AM19" s="419"/>
      <c r="AN19" s="533"/>
      <c r="AO19" s="465"/>
      <c r="AP19" s="434"/>
      <c r="AQ19" s="434"/>
      <c r="AR19" s="449"/>
      <c r="AS19" s="558"/>
      <c r="AT19" s="2768"/>
      <c r="AU19" s="558"/>
      <c r="AV19" s="558"/>
      <c r="AW19" s="558"/>
      <c r="AX19" s="909"/>
      <c r="AY19" s="464"/>
      <c r="AZ19" s="449"/>
      <c r="BA19" s="559"/>
    </row>
    <row r="20" spans="1:53">
      <c r="A20" s="208" t="s">
        <v>631</v>
      </c>
      <c r="B20" s="227"/>
      <c r="C20" s="225"/>
      <c r="D20" s="4324">
        <f>Defaults!$C$35</f>
        <v>60</v>
      </c>
      <c r="E20" s="4325"/>
      <c r="F20" s="186"/>
      <c r="G20" s="3302"/>
      <c r="H20" s="320"/>
      <c r="I20" s="320"/>
      <c r="J20" s="320"/>
      <c r="K20" s="876"/>
      <c r="L20" s="216"/>
      <c r="M20" s="330"/>
      <c r="N20" s="213"/>
      <c r="O20" s="44"/>
      <c r="P20" s="226"/>
      <c r="Q20" s="4318">
        <f>Defaults!$C$35</f>
        <v>60</v>
      </c>
      <c r="R20" s="4319"/>
      <c r="S20" s="317"/>
      <c r="T20" s="2466"/>
      <c r="U20" s="317"/>
      <c r="V20" s="317"/>
      <c r="W20" s="317"/>
      <c r="X20" s="880"/>
      <c r="Y20" s="41"/>
      <c r="Z20" s="331"/>
      <c r="AA20" s="133"/>
      <c r="AB20" s="565"/>
      <c r="AC20" s="431"/>
      <c r="AD20" s="4278">
        <f>Defaults!$C$35</f>
        <v>60</v>
      </c>
      <c r="AE20" s="4279"/>
      <c r="AF20" s="511"/>
      <c r="AG20" s="418"/>
      <c r="AH20" s="431"/>
      <c r="AI20" s="431"/>
      <c r="AJ20" s="431"/>
      <c r="AK20" s="511"/>
      <c r="AL20" s="532"/>
      <c r="AM20" s="2646"/>
      <c r="AN20" s="533"/>
      <c r="AO20" s="465"/>
      <c r="AP20" s="434"/>
      <c r="AQ20" s="4280">
        <f>Defaults!$C$35</f>
        <v>60</v>
      </c>
      <c r="AR20" s="4281"/>
      <c r="AS20" s="558"/>
      <c r="AT20" s="2768"/>
      <c r="AU20" s="558"/>
      <c r="AV20" s="558"/>
      <c r="AW20" s="558"/>
      <c r="AX20" s="909"/>
      <c r="AY20" s="464"/>
      <c r="AZ20" s="649"/>
      <c r="BA20" s="559"/>
    </row>
    <row r="21" spans="1:53" ht="6" customHeight="1">
      <c r="A21" s="205"/>
      <c r="B21" s="230"/>
      <c r="C21" s="190"/>
      <c r="D21" s="190"/>
      <c r="E21" s="161"/>
      <c r="F21" s="190"/>
      <c r="G21" s="3313"/>
      <c r="H21" s="900"/>
      <c r="I21" s="900"/>
      <c r="J21" s="900"/>
      <c r="K21" s="900"/>
      <c r="L21" s="215"/>
      <c r="M21" s="161"/>
      <c r="N21" s="231"/>
      <c r="O21" s="67"/>
      <c r="P21" s="67"/>
      <c r="Q21" s="67"/>
      <c r="R21" s="85"/>
      <c r="S21" s="276"/>
      <c r="T21" s="3310"/>
      <c r="U21" s="276"/>
      <c r="V21" s="276"/>
      <c r="W21" s="276"/>
      <c r="X21" s="905"/>
      <c r="Y21" s="66"/>
      <c r="Z21" s="85"/>
      <c r="AA21" s="138"/>
      <c r="AB21" s="567"/>
      <c r="AC21" s="516"/>
      <c r="AD21" s="516"/>
      <c r="AE21" s="568"/>
      <c r="AF21" s="516"/>
      <c r="AG21" s="2628"/>
      <c r="AH21" s="516"/>
      <c r="AI21" s="516"/>
      <c r="AJ21" s="516"/>
      <c r="AK21" s="516"/>
      <c r="AL21" s="569"/>
      <c r="AM21" s="568"/>
      <c r="AN21" s="570"/>
      <c r="AO21" s="469"/>
      <c r="AP21" s="469"/>
      <c r="AQ21" s="469"/>
      <c r="AR21" s="553"/>
      <c r="AS21" s="596"/>
      <c r="AT21" s="3311"/>
      <c r="AU21" s="596"/>
      <c r="AV21" s="596"/>
      <c r="AW21" s="596"/>
      <c r="AX21" s="919"/>
      <c r="AY21" s="554"/>
      <c r="AZ21" s="553"/>
      <c r="BA21" s="2775"/>
    </row>
    <row r="22" spans="1:53" ht="5.25" customHeight="1">
      <c r="A22" s="206"/>
      <c r="B22" s="227"/>
      <c r="C22" s="171"/>
      <c r="D22" s="171"/>
      <c r="E22" s="186"/>
      <c r="F22" s="186"/>
      <c r="G22" s="170"/>
      <c r="H22" s="186"/>
      <c r="I22" s="186"/>
      <c r="J22" s="186"/>
      <c r="K22" s="186"/>
      <c r="L22" s="216"/>
      <c r="M22" s="171"/>
      <c r="N22" s="213"/>
      <c r="O22" s="44"/>
      <c r="P22" s="42"/>
      <c r="Q22" s="42"/>
      <c r="R22" s="44"/>
      <c r="S22" s="880"/>
      <c r="T22" s="2466"/>
      <c r="U22" s="880"/>
      <c r="V22" s="880"/>
      <c r="W22" s="880"/>
      <c r="X22" s="880"/>
      <c r="Y22" s="41"/>
      <c r="Z22" s="42"/>
      <c r="AA22" s="133"/>
      <c r="AB22" s="565"/>
      <c r="AC22" s="419"/>
      <c r="AD22" s="419"/>
      <c r="AE22" s="511"/>
      <c r="AF22" s="511"/>
      <c r="AG22" s="418"/>
      <c r="AH22" s="511"/>
      <c r="AI22" s="511"/>
      <c r="AJ22" s="511"/>
      <c r="AK22" s="511"/>
      <c r="AL22" s="532"/>
      <c r="AM22" s="419"/>
      <c r="AN22" s="533"/>
      <c r="AO22" s="465"/>
      <c r="AP22" s="449"/>
      <c r="AQ22" s="449"/>
      <c r="AR22" s="465"/>
      <c r="AS22" s="909"/>
      <c r="AT22" s="2768"/>
      <c r="AU22" s="909"/>
      <c r="AV22" s="465"/>
      <c r="AW22" s="465"/>
      <c r="AX22" s="465"/>
      <c r="AY22" s="464"/>
      <c r="AZ22" s="449"/>
      <c r="BA22" s="559"/>
    </row>
    <row r="23" spans="1:53">
      <c r="A23" s="221" t="s">
        <v>711</v>
      </c>
      <c r="B23" s="227">
        <v>45</v>
      </c>
      <c r="C23" s="2349" t="s">
        <v>118</v>
      </c>
      <c r="D23" s="262"/>
      <c r="E23" s="186"/>
      <c r="F23" s="186"/>
      <c r="G23" s="170">
        <v>45</v>
      </c>
      <c r="H23" s="2435" t="s">
        <v>118</v>
      </c>
      <c r="I23" s="186"/>
      <c r="J23" s="186"/>
      <c r="K23" s="186"/>
      <c r="L23" s="216"/>
      <c r="M23" s="186"/>
      <c r="N23" s="213"/>
      <c r="O23" s="44"/>
      <c r="P23" s="2348" t="s">
        <v>118</v>
      </c>
      <c r="Q23" s="263"/>
      <c r="R23" s="44"/>
      <c r="S23" s="880"/>
      <c r="T23" s="2466">
        <v>45</v>
      </c>
      <c r="U23" s="3281" t="s">
        <v>118</v>
      </c>
      <c r="V23" s="44"/>
      <c r="W23" s="44"/>
      <c r="X23" s="44"/>
      <c r="Y23" s="41"/>
      <c r="Z23" s="44"/>
      <c r="AA23" s="133"/>
      <c r="AB23" s="565">
        <v>45</v>
      </c>
      <c r="AC23" s="2723" t="s">
        <v>118</v>
      </c>
      <c r="AD23" s="566"/>
      <c r="AE23" s="511"/>
      <c r="AF23" s="511"/>
      <c r="AG23" s="418">
        <v>45</v>
      </c>
      <c r="AH23" s="2723" t="s">
        <v>118</v>
      </c>
      <c r="AI23" s="511"/>
      <c r="AJ23" s="511"/>
      <c r="AK23" s="511"/>
      <c r="AL23" s="532"/>
      <c r="AM23" s="511"/>
      <c r="AN23" s="533"/>
      <c r="AO23" s="465"/>
      <c r="AP23" s="2724" t="s">
        <v>118</v>
      </c>
      <c r="AQ23" s="552"/>
      <c r="AR23" s="465"/>
      <c r="AS23" s="909"/>
      <c r="AT23" s="2768">
        <v>45</v>
      </c>
      <c r="AU23" s="3283" t="s">
        <v>118</v>
      </c>
      <c r="AV23" s="465"/>
      <c r="AW23" s="465"/>
      <c r="AX23" s="465"/>
      <c r="AY23" s="464"/>
      <c r="AZ23" s="465"/>
      <c r="BA23" s="559"/>
    </row>
    <row r="24" spans="1:53">
      <c r="A24" s="208" t="s">
        <v>702</v>
      </c>
      <c r="B24" s="227"/>
      <c r="C24" s="225"/>
      <c r="D24" s="4332">
        <v>0.38</v>
      </c>
      <c r="E24" s="4333"/>
      <c r="F24" s="186"/>
      <c r="G24" s="170"/>
      <c r="H24" s="186"/>
      <c r="I24" s="4282">
        <v>0.12</v>
      </c>
      <c r="J24" s="4283"/>
      <c r="K24" s="186"/>
      <c r="L24" s="216"/>
      <c r="M24" s="2436"/>
      <c r="N24" s="213"/>
      <c r="O24" s="44"/>
      <c r="P24" s="226"/>
      <c r="Q24" s="4332">
        <v>0.28000000000000003</v>
      </c>
      <c r="R24" s="4333"/>
      <c r="S24" s="278"/>
      <c r="T24" s="2466"/>
      <c r="U24" s="880"/>
      <c r="V24" s="4282">
        <v>0.12</v>
      </c>
      <c r="W24" s="4283"/>
      <c r="X24" s="44"/>
      <c r="Y24" s="41"/>
      <c r="Z24" s="2350"/>
      <c r="AA24" s="133"/>
      <c r="AB24" s="565"/>
      <c r="AC24" s="431"/>
      <c r="AD24" s="4282">
        <v>0.28000000000000003</v>
      </c>
      <c r="AE24" s="4283"/>
      <c r="AF24" s="511"/>
      <c r="AG24" s="418"/>
      <c r="AH24" s="511"/>
      <c r="AI24" s="4282">
        <v>0.12</v>
      </c>
      <c r="AJ24" s="4283"/>
      <c r="AK24" s="511"/>
      <c r="AL24" s="532"/>
      <c r="AM24" s="2727"/>
      <c r="AN24" s="533"/>
      <c r="AO24" s="465"/>
      <c r="AP24" s="434"/>
      <c r="AQ24" s="4282">
        <v>0.22</v>
      </c>
      <c r="AR24" s="4283"/>
      <c r="AS24" s="409"/>
      <c r="AT24" s="2768"/>
      <c r="AU24" s="909"/>
      <c r="AV24" s="4282">
        <v>0.1</v>
      </c>
      <c r="AW24" s="4283"/>
      <c r="AX24" s="465"/>
      <c r="AY24" s="464"/>
      <c r="AZ24" s="2727"/>
      <c r="BA24" s="559"/>
    </row>
    <row r="25" spans="1:53" ht="2.25" customHeight="1">
      <c r="A25" s="206"/>
      <c r="B25" s="227"/>
      <c r="C25" s="225"/>
      <c r="D25" s="2247"/>
      <c r="E25" s="2361"/>
      <c r="F25" s="186"/>
      <c r="G25" s="170"/>
      <c r="H25" s="186"/>
      <c r="I25" s="171"/>
      <c r="J25" s="225"/>
      <c r="K25" s="186"/>
      <c r="L25" s="216"/>
      <c r="M25" s="171"/>
      <c r="N25" s="213"/>
      <c r="O25" s="44"/>
      <c r="P25" s="226"/>
      <c r="Q25" s="226"/>
      <c r="R25" s="42"/>
      <c r="S25" s="317"/>
      <c r="T25" s="2466"/>
      <c r="U25" s="880"/>
      <c r="V25" s="42"/>
      <c r="W25" s="225"/>
      <c r="X25" s="44"/>
      <c r="Y25" s="41"/>
      <c r="Z25" s="42"/>
      <c r="AA25" s="133"/>
      <c r="AB25" s="565"/>
      <c r="AC25" s="431"/>
      <c r="AD25" s="2722"/>
      <c r="AE25" s="2758"/>
      <c r="AF25" s="511"/>
      <c r="AG25" s="418"/>
      <c r="AH25" s="511"/>
      <c r="AI25" s="419"/>
      <c r="AJ25" s="431"/>
      <c r="AK25" s="511"/>
      <c r="AL25" s="532"/>
      <c r="AM25" s="419"/>
      <c r="AN25" s="533"/>
      <c r="AO25" s="465"/>
      <c r="AP25" s="434"/>
      <c r="AQ25" s="434"/>
      <c r="AR25" s="449"/>
      <c r="AS25" s="558"/>
      <c r="AT25" s="2768"/>
      <c r="AU25" s="909"/>
      <c r="AV25" s="449"/>
      <c r="AW25" s="434"/>
      <c r="AX25" s="465"/>
      <c r="AY25" s="464"/>
      <c r="AZ25" s="449"/>
      <c r="BA25" s="559"/>
    </row>
    <row r="26" spans="1:53">
      <c r="A26" s="208" t="s">
        <v>631</v>
      </c>
      <c r="B26" s="227"/>
      <c r="C26" s="225"/>
      <c r="D26" s="4335">
        <f>IF(F1_Breeding_Method = "Bull",Defaults!$C$46,IF(F1_Breeding_Method="AI with Sync",Defaults!$D$46,Defaults!$E$46))</f>
        <v>0.35</v>
      </c>
      <c r="E26" s="4336"/>
      <c r="F26" s="186"/>
      <c r="G26" s="170"/>
      <c r="H26" s="186"/>
      <c r="I26" s="4314">
        <f>IF(F1_Breeding_Method = "Bull",Defaults!C59,IF(F1_Breeding_Method="AI with Sync",Defaults!D59,Defaults!E59))</f>
        <v>0.15</v>
      </c>
      <c r="J26" s="4315"/>
      <c r="K26" s="186"/>
      <c r="L26" s="216"/>
      <c r="M26" s="330"/>
      <c r="N26" s="213"/>
      <c r="O26" s="44"/>
      <c r="P26" s="226"/>
      <c r="Q26" s="4342">
        <f>IF(F2_Breeding_Method = "Bull",Defaults!$C$46,IF(F2_Breeding_Method="AI with Sync",Defaults!$D$46,Defaults!$E$46))</f>
        <v>0.35</v>
      </c>
      <c r="R26" s="4343"/>
      <c r="S26" s="278"/>
      <c r="T26" s="2466"/>
      <c r="U26" s="880"/>
      <c r="V26" s="4310">
        <f>IF(F2_Breeding_Method = "Bull",Defaults!C59,IF(F2_Breeding_Method="AI with Sync",Defaults!D59,Defaults!E59))</f>
        <v>0.15</v>
      </c>
      <c r="W26" s="4311"/>
      <c r="X26" s="44"/>
      <c r="Y26" s="41"/>
      <c r="Z26" s="331"/>
      <c r="AA26" s="133"/>
      <c r="AB26" s="565"/>
      <c r="AC26" s="431"/>
      <c r="AD26" s="4285">
        <f>IF(F3_Breeding_Method = "Bull",Defaults!$C$46,IF(F3_Breeding_Method="AI with Sync",Defaults!$D$46,Defaults!$E$46))</f>
        <v>0.45</v>
      </c>
      <c r="AE26" s="4286"/>
      <c r="AF26" s="511"/>
      <c r="AG26" s="418"/>
      <c r="AH26" s="511"/>
      <c r="AI26" s="4264">
        <f>IF(F3_Breeding_Method = "Bull",Defaults!C59,IF(F3_Breeding_Method="AI with Sync",Defaults!D59,Defaults!E59))</f>
        <v>0.15</v>
      </c>
      <c r="AJ26" s="4265"/>
      <c r="AK26" s="511"/>
      <c r="AL26" s="532"/>
      <c r="AM26" s="2646"/>
      <c r="AN26" s="533"/>
      <c r="AO26" s="465"/>
      <c r="AP26" s="434"/>
      <c r="AQ26" s="4287">
        <f>IF(F4_Breeding_Method = "Bull",Defaults!$C$46,IF(F4_Breeding_Method="AI with Sync",Defaults!$D$46,Defaults!$E$46))</f>
        <v>0.45</v>
      </c>
      <c r="AR26" s="4288"/>
      <c r="AS26" s="409"/>
      <c r="AT26" s="2768"/>
      <c r="AU26" s="909"/>
      <c r="AV26" s="4266">
        <f>IF(F4_Breeding_Method = "Bull",Defaults!C59,IF(F4_Breeding_Method="AI with Sync",Defaults!D59,Defaults!E59))</f>
        <v>0.15</v>
      </c>
      <c r="AW26" s="4267"/>
      <c r="AX26" s="465"/>
      <c r="AY26" s="464"/>
      <c r="AZ26" s="649"/>
      <c r="BA26" s="559"/>
    </row>
    <row r="27" spans="1:53" ht="6" customHeight="1">
      <c r="A27" s="205"/>
      <c r="B27" s="230"/>
      <c r="C27" s="190"/>
      <c r="D27" s="190"/>
      <c r="E27" s="161"/>
      <c r="F27" s="190"/>
      <c r="G27" s="2264"/>
      <c r="H27" s="190"/>
      <c r="I27" s="190"/>
      <c r="J27" s="190"/>
      <c r="K27" s="190"/>
      <c r="L27" s="215"/>
      <c r="M27" s="161"/>
      <c r="N27" s="231"/>
      <c r="O27" s="67"/>
      <c r="P27" s="67"/>
      <c r="Q27" s="67"/>
      <c r="R27" s="85"/>
      <c r="S27" s="276"/>
      <c r="T27" s="3310"/>
      <c r="U27" s="905"/>
      <c r="V27" s="67"/>
      <c r="W27" s="67"/>
      <c r="X27" s="67"/>
      <c r="Y27" s="66"/>
      <c r="Z27" s="85"/>
      <c r="AA27" s="138"/>
      <c r="AB27" s="567"/>
      <c r="AC27" s="516"/>
      <c r="AD27" s="516"/>
      <c r="AE27" s="568"/>
      <c r="AF27" s="516"/>
      <c r="AG27" s="2628"/>
      <c r="AH27" s="516"/>
      <c r="AI27" s="516"/>
      <c r="AJ27" s="516"/>
      <c r="AK27" s="516"/>
      <c r="AL27" s="569"/>
      <c r="AM27" s="568"/>
      <c r="AN27" s="570"/>
      <c r="AO27" s="469"/>
      <c r="AP27" s="469"/>
      <c r="AQ27" s="469"/>
      <c r="AR27" s="553"/>
      <c r="AS27" s="596"/>
      <c r="AT27" s="3311"/>
      <c r="AU27" s="919"/>
      <c r="AV27" s="469"/>
      <c r="AW27" s="469"/>
      <c r="AX27" s="469"/>
      <c r="AY27" s="554"/>
      <c r="AZ27" s="553"/>
      <c r="BA27" s="2775"/>
    </row>
    <row r="28" spans="1:53" ht="6" customHeight="1">
      <c r="A28" s="206"/>
      <c r="B28" s="227"/>
      <c r="C28" s="171"/>
      <c r="D28" s="171"/>
      <c r="E28" s="186"/>
      <c r="F28" s="186"/>
      <c r="G28" s="170"/>
      <c r="H28" s="186"/>
      <c r="I28" s="186"/>
      <c r="J28" s="186"/>
      <c r="K28" s="186"/>
      <c r="L28" s="187"/>
      <c r="M28" s="228"/>
      <c r="N28" s="229"/>
      <c r="O28" s="44"/>
      <c r="P28" s="44"/>
      <c r="Q28" s="44"/>
      <c r="R28" s="44"/>
      <c r="S28" s="880"/>
      <c r="T28" s="2466"/>
      <c r="U28" s="880"/>
      <c r="V28" s="44"/>
      <c r="W28" s="44"/>
      <c r="X28" s="44"/>
      <c r="Y28" s="136"/>
      <c r="Z28" s="53"/>
      <c r="AA28" s="54"/>
      <c r="AB28" s="565"/>
      <c r="AC28" s="419"/>
      <c r="AD28" s="419"/>
      <c r="AE28" s="511"/>
      <c r="AF28" s="511"/>
      <c r="AG28" s="418"/>
      <c r="AH28" s="511"/>
      <c r="AI28" s="511"/>
      <c r="AJ28" s="511"/>
      <c r="AK28" s="511"/>
      <c r="AL28" s="512"/>
      <c r="AM28" s="564"/>
      <c r="AN28" s="571"/>
      <c r="AO28" s="465"/>
      <c r="AP28" s="465"/>
      <c r="AQ28" s="465"/>
      <c r="AR28" s="465"/>
      <c r="AS28" s="909"/>
      <c r="AT28" s="2768"/>
      <c r="AU28" s="909"/>
      <c r="AV28" s="465"/>
      <c r="AW28" s="465"/>
      <c r="AX28" s="465"/>
      <c r="AY28" s="550"/>
      <c r="AZ28" s="556"/>
      <c r="BA28" s="3312"/>
    </row>
    <row r="29" spans="1:53">
      <c r="A29" s="221" t="s">
        <v>817</v>
      </c>
      <c r="B29" s="227"/>
      <c r="C29" s="171"/>
      <c r="D29" s="171"/>
      <c r="E29" s="186"/>
      <c r="F29" s="186"/>
      <c r="G29" s="170"/>
      <c r="H29" s="186"/>
      <c r="I29" s="186"/>
      <c r="J29" s="186"/>
      <c r="K29" s="186"/>
      <c r="L29" s="216"/>
      <c r="M29" s="186"/>
      <c r="N29" s="188"/>
      <c r="O29" s="44"/>
      <c r="P29" s="44"/>
      <c r="Q29" s="44"/>
      <c r="R29" s="44"/>
      <c r="S29" s="880"/>
      <c r="T29" s="2466"/>
      <c r="U29" s="880"/>
      <c r="V29" s="44"/>
      <c r="W29" s="44"/>
      <c r="X29" s="44"/>
      <c r="Y29" s="41"/>
      <c r="Z29" s="44"/>
      <c r="AA29" s="52"/>
      <c r="AB29" s="565"/>
      <c r="AC29" s="419"/>
      <c r="AD29" s="419"/>
      <c r="AE29" s="511"/>
      <c r="AF29" s="511"/>
      <c r="AG29" s="418"/>
      <c r="AH29" s="511"/>
      <c r="AI29" s="511"/>
      <c r="AJ29" s="511"/>
      <c r="AK29" s="511"/>
      <c r="AL29" s="532"/>
      <c r="AM29" s="511"/>
      <c r="AN29" s="513"/>
      <c r="AO29" s="465"/>
      <c r="AP29" s="465"/>
      <c r="AQ29" s="465"/>
      <c r="AR29" s="465"/>
      <c r="AS29" s="909"/>
      <c r="AT29" s="2768"/>
      <c r="AU29" s="909"/>
      <c r="AV29" s="465"/>
      <c r="AW29" s="465"/>
      <c r="AX29" s="465"/>
      <c r="AY29" s="464"/>
      <c r="AZ29" s="465"/>
      <c r="BA29" s="1354"/>
    </row>
    <row r="30" spans="1:53">
      <c r="A30" s="2352" t="s">
        <v>816</v>
      </c>
      <c r="B30" s="227">
        <v>1.7</v>
      </c>
      <c r="C30" s="319" t="s">
        <v>118</v>
      </c>
      <c r="D30" s="316"/>
      <c r="E30" s="186"/>
      <c r="F30" s="186"/>
      <c r="G30" s="170">
        <v>1.7</v>
      </c>
      <c r="H30" s="2435" t="s">
        <v>118</v>
      </c>
      <c r="I30" s="186"/>
      <c r="J30" s="186"/>
      <c r="K30" s="186"/>
      <c r="L30" s="216"/>
      <c r="M30" s="316"/>
      <c r="N30" s="213"/>
      <c r="O30" s="44"/>
      <c r="P30" s="4344" t="s">
        <v>118</v>
      </c>
      <c r="Q30" s="4344"/>
      <c r="R30" s="44"/>
      <c r="S30" s="880"/>
      <c r="T30" s="2466">
        <v>1.7</v>
      </c>
      <c r="U30" s="3281" t="s">
        <v>118</v>
      </c>
      <c r="V30" s="44"/>
      <c r="W30" s="44"/>
      <c r="X30" s="44"/>
      <c r="Y30" s="41"/>
      <c r="Z30" s="317"/>
      <c r="AA30" s="133"/>
      <c r="AB30" s="565">
        <v>1.7</v>
      </c>
      <c r="AC30" s="572" t="s">
        <v>118</v>
      </c>
      <c r="AD30" s="573"/>
      <c r="AE30" s="511"/>
      <c r="AF30" s="511"/>
      <c r="AG30" s="418">
        <v>1.7</v>
      </c>
      <c r="AH30" s="2723" t="s">
        <v>118</v>
      </c>
      <c r="AI30" s="511"/>
      <c r="AJ30" s="511"/>
      <c r="AK30" s="511"/>
      <c r="AL30" s="532"/>
      <c r="AM30" s="573"/>
      <c r="AN30" s="533"/>
      <c r="AO30" s="465"/>
      <c r="AP30" s="4284" t="s">
        <v>118</v>
      </c>
      <c r="AQ30" s="4284"/>
      <c r="AR30" s="465"/>
      <c r="AS30" s="909"/>
      <c r="AT30" s="2768">
        <v>1.7</v>
      </c>
      <c r="AU30" s="3283" t="s">
        <v>118</v>
      </c>
      <c r="AV30" s="465"/>
      <c r="AW30" s="465"/>
      <c r="AX30" s="465"/>
      <c r="AY30" s="464"/>
      <c r="AZ30" s="558"/>
      <c r="BA30" s="559"/>
    </row>
    <row r="31" spans="1:53">
      <c r="A31" s="208" t="s">
        <v>702</v>
      </c>
      <c r="B31" s="227"/>
      <c r="C31" s="225"/>
      <c r="D31" s="4160">
        <v>3.5</v>
      </c>
      <c r="E31" s="4161"/>
      <c r="F31" s="186"/>
      <c r="G31" s="170"/>
      <c r="H31" s="186"/>
      <c r="I31" s="4160">
        <v>2</v>
      </c>
      <c r="J31" s="4161"/>
      <c r="K31" s="186"/>
      <c r="L31" s="216"/>
      <c r="M31" s="2436"/>
      <c r="N31" s="280"/>
      <c r="O31" s="44"/>
      <c r="P31" s="226"/>
      <c r="Q31" s="4160">
        <v>3.3</v>
      </c>
      <c r="R31" s="4161"/>
      <c r="S31" s="317"/>
      <c r="T31" s="2466"/>
      <c r="U31" s="880"/>
      <c r="V31" s="4160">
        <v>2</v>
      </c>
      <c r="W31" s="4161"/>
      <c r="X31" s="44"/>
      <c r="Y31" s="41"/>
      <c r="Z31" s="307"/>
      <c r="AA31" s="279"/>
      <c r="AB31" s="565"/>
      <c r="AC31" s="431"/>
      <c r="AD31" s="4160">
        <v>2.2999999999999998</v>
      </c>
      <c r="AE31" s="4161"/>
      <c r="AF31" s="511"/>
      <c r="AG31" s="418"/>
      <c r="AH31" s="511"/>
      <c r="AI31" s="4160">
        <v>1.5</v>
      </c>
      <c r="AJ31" s="4161"/>
      <c r="AK31" s="511"/>
      <c r="AL31" s="532"/>
      <c r="AM31" s="2727"/>
      <c r="AN31" s="574"/>
      <c r="AO31" s="465"/>
      <c r="AP31" s="434"/>
      <c r="AQ31" s="4160">
        <v>1.8</v>
      </c>
      <c r="AR31" s="4161"/>
      <c r="AS31" s="558"/>
      <c r="AT31" s="2768"/>
      <c r="AU31" s="909"/>
      <c r="AV31" s="4160">
        <v>1.3</v>
      </c>
      <c r="AW31" s="4161"/>
      <c r="AX31" s="465"/>
      <c r="AY31" s="464"/>
      <c r="AZ31" s="2727"/>
      <c r="BA31" s="559"/>
    </row>
    <row r="32" spans="1:53" ht="2.25" customHeight="1">
      <c r="A32" s="206"/>
      <c r="B32" s="227"/>
      <c r="C32" s="225"/>
      <c r="D32" s="225"/>
      <c r="E32" s="171"/>
      <c r="F32" s="186"/>
      <c r="G32" s="170"/>
      <c r="H32" s="186"/>
      <c r="I32" s="171"/>
      <c r="J32" s="225"/>
      <c r="K32" s="186"/>
      <c r="L32" s="216"/>
      <c r="M32" s="171"/>
      <c r="N32" s="280"/>
      <c r="O32" s="44"/>
      <c r="P32" s="226"/>
      <c r="Q32" s="226"/>
      <c r="R32" s="42"/>
      <c r="S32" s="317"/>
      <c r="T32" s="2466"/>
      <c r="U32" s="880"/>
      <c r="V32" s="42"/>
      <c r="W32" s="226"/>
      <c r="X32" s="44"/>
      <c r="Y32" s="41"/>
      <c r="Z32" s="42"/>
      <c r="AA32" s="279"/>
      <c r="AB32" s="565"/>
      <c r="AC32" s="431"/>
      <c r="AD32" s="431"/>
      <c r="AE32" s="419"/>
      <c r="AF32" s="511"/>
      <c r="AG32" s="418"/>
      <c r="AH32" s="511"/>
      <c r="AI32" s="419"/>
      <c r="AJ32" s="431"/>
      <c r="AK32" s="511"/>
      <c r="AL32" s="532"/>
      <c r="AM32" s="419"/>
      <c r="AN32" s="574"/>
      <c r="AO32" s="465"/>
      <c r="AP32" s="434"/>
      <c r="AQ32" s="434"/>
      <c r="AR32" s="449"/>
      <c r="AS32" s="558"/>
      <c r="AT32" s="2768"/>
      <c r="AU32" s="909"/>
      <c r="AV32" s="449"/>
      <c r="AW32" s="434"/>
      <c r="AX32" s="465"/>
      <c r="AY32" s="464"/>
      <c r="AZ32" s="449"/>
      <c r="BA32" s="559"/>
    </row>
    <row r="33" spans="1:59">
      <c r="A33" s="208" t="s">
        <v>631</v>
      </c>
      <c r="B33" s="227"/>
      <c r="C33" s="225"/>
      <c r="D33" s="4176">
        <f>IF(F1_Breeding_Method = "Bull",Defaults!C47,IF(F1_Breeding_Method="AI with Sync",Defaults!D47,Defaults!E47))</f>
        <v>2.4750000000000001</v>
      </c>
      <c r="E33" s="4177"/>
      <c r="F33" s="186"/>
      <c r="G33" s="170"/>
      <c r="H33" s="186"/>
      <c r="I33" s="4176">
        <f>IF(F1_Breeding_Method = "Bull",Defaults!C60,IF(F1_Breeding_Method="AI with Sync",Defaults!D60,Defaults!E60))</f>
        <v>2.4750000000000001</v>
      </c>
      <c r="J33" s="4177"/>
      <c r="K33" s="186"/>
      <c r="L33" s="216"/>
      <c r="M33" s="330"/>
      <c r="N33" s="280"/>
      <c r="O33" s="44"/>
      <c r="P33" s="226"/>
      <c r="Q33" s="4289">
        <f>IF(F2_Breeding_Method = "Bull",Defaults!C47,IF(F2_Breeding_Method="AI with Sync",Defaults!D47,Defaults!E47))</f>
        <v>2.4750000000000001</v>
      </c>
      <c r="R33" s="4290"/>
      <c r="S33" s="2464"/>
      <c r="T33" s="2466"/>
      <c r="U33" s="880"/>
      <c r="V33" s="4289">
        <f>IF(F2_Breeding_Method = "Bull",Defaults!C60,IF(F2_Breeding_Method="AI with Sync",Defaults!D60,Defaults!E60))</f>
        <v>2.4750000000000001</v>
      </c>
      <c r="W33" s="4290"/>
      <c r="X33" s="44"/>
      <c r="Y33" s="41"/>
      <c r="Z33" s="331"/>
      <c r="AA33" s="279"/>
      <c r="AB33" s="565"/>
      <c r="AC33" s="431"/>
      <c r="AD33" s="4252">
        <f>IF(F3_Breeding_Method = "Bull",Defaults!C47,IF(F3_Breeding_Method="AI with Sync",Defaults!D47,Defaults!E47))</f>
        <v>2.8</v>
      </c>
      <c r="AE33" s="4253"/>
      <c r="AF33" s="511"/>
      <c r="AG33" s="418"/>
      <c r="AH33" s="511"/>
      <c r="AI33" s="4252">
        <f>IF(F4_Breeding_Method = "Bull",Defaults!C60,IF(F4_Breeding_Method="AI with Sync",Defaults!D60,Defaults!E60))</f>
        <v>2.8</v>
      </c>
      <c r="AJ33" s="4253"/>
      <c r="AK33" s="511"/>
      <c r="AL33" s="532"/>
      <c r="AM33" s="2646"/>
      <c r="AN33" s="574"/>
      <c r="AO33" s="465"/>
      <c r="AP33" s="434"/>
      <c r="AQ33" s="4254">
        <f>IF(F4_Breeding_Method = "Bull",Defaults!C47,IF(F4_Breeding_Method="AI with Sync",Defaults!D47,Defaults!E47))</f>
        <v>2.8</v>
      </c>
      <c r="AR33" s="4255"/>
      <c r="AS33" s="2769"/>
      <c r="AT33" s="2768"/>
      <c r="AU33" s="909"/>
      <c r="AV33" s="4254">
        <f>IF(F4_Breeding_Method = "Bull",Defaults!C60,IF(F4_Breeding_Method="AI with Sync",Defaults!D60,Defaults!E60))</f>
        <v>2.8</v>
      </c>
      <c r="AW33" s="4255"/>
      <c r="AX33" s="465"/>
      <c r="AY33" s="464"/>
      <c r="AZ33" s="649"/>
      <c r="BA33" s="559"/>
    </row>
    <row r="34" spans="1:59" ht="6" customHeight="1">
      <c r="A34" s="205"/>
      <c r="B34" s="230"/>
      <c r="C34" s="161"/>
      <c r="D34" s="161"/>
      <c r="E34" s="190"/>
      <c r="F34" s="190"/>
      <c r="G34" s="2264"/>
      <c r="H34" s="190"/>
      <c r="I34" s="190"/>
      <c r="J34" s="190"/>
      <c r="K34" s="190"/>
      <c r="L34" s="215"/>
      <c r="M34" s="161"/>
      <c r="N34" s="231"/>
      <c r="O34" s="67"/>
      <c r="P34" s="67"/>
      <c r="Q34" s="67"/>
      <c r="R34" s="67"/>
      <c r="S34" s="905"/>
      <c r="T34" s="3310"/>
      <c r="U34" s="905"/>
      <c r="V34" s="67"/>
      <c r="W34" s="67"/>
      <c r="X34" s="67"/>
      <c r="Y34" s="66"/>
      <c r="Z34" s="85"/>
      <c r="AA34" s="138"/>
      <c r="AB34" s="567"/>
      <c r="AC34" s="568"/>
      <c r="AD34" s="568"/>
      <c r="AE34" s="516"/>
      <c r="AF34" s="516"/>
      <c r="AG34" s="2628"/>
      <c r="AH34" s="516"/>
      <c r="AI34" s="516"/>
      <c r="AJ34" s="516"/>
      <c r="AK34" s="516"/>
      <c r="AL34" s="569"/>
      <c r="AM34" s="568"/>
      <c r="AN34" s="570"/>
      <c r="AO34" s="469"/>
      <c r="AP34" s="469"/>
      <c r="AQ34" s="469"/>
      <c r="AR34" s="469"/>
      <c r="AS34" s="919"/>
      <c r="AT34" s="3311"/>
      <c r="AU34" s="919"/>
      <c r="AV34" s="469"/>
      <c r="AW34" s="469"/>
      <c r="AX34" s="469"/>
      <c r="AY34" s="554"/>
      <c r="AZ34" s="553"/>
      <c r="BA34" s="2775"/>
      <c r="BG34" s="137"/>
    </row>
    <row r="35" spans="1:59" ht="6" customHeight="1">
      <c r="A35" s="206"/>
      <c r="B35" s="227"/>
      <c r="C35" s="171"/>
      <c r="D35" s="171"/>
      <c r="E35" s="186"/>
      <c r="F35" s="186"/>
      <c r="G35" s="170"/>
      <c r="H35" s="186"/>
      <c r="I35" s="186"/>
      <c r="J35" s="186"/>
      <c r="K35" s="186"/>
      <c r="L35" s="216"/>
      <c r="M35" s="171"/>
      <c r="N35" s="213"/>
      <c r="O35" s="44"/>
      <c r="P35" s="42"/>
      <c r="Q35" s="42"/>
      <c r="R35" s="44"/>
      <c r="S35" s="880"/>
      <c r="T35" s="2466"/>
      <c r="U35" s="880"/>
      <c r="V35" s="44"/>
      <c r="W35" s="44"/>
      <c r="X35" s="44"/>
      <c r="Y35" s="41"/>
      <c r="Z35" s="42"/>
      <c r="AA35" s="133"/>
      <c r="AB35" s="565"/>
      <c r="AC35" s="419"/>
      <c r="AD35" s="419"/>
      <c r="AE35" s="511"/>
      <c r="AF35" s="511"/>
      <c r="AG35" s="418"/>
      <c r="AH35" s="511"/>
      <c r="AI35" s="511"/>
      <c r="AJ35" s="511"/>
      <c r="AK35" s="511"/>
      <c r="AL35" s="532"/>
      <c r="AM35" s="419"/>
      <c r="AN35" s="533"/>
      <c r="AO35" s="465"/>
      <c r="AP35" s="449"/>
      <c r="AQ35" s="449"/>
      <c r="AR35" s="465"/>
      <c r="AS35" s="909"/>
      <c r="AT35" s="2768"/>
      <c r="AU35" s="909"/>
      <c r="AV35" s="465"/>
      <c r="AW35" s="465"/>
      <c r="AX35" s="465"/>
      <c r="AY35" s="464"/>
      <c r="AZ35" s="449"/>
      <c r="BA35" s="559"/>
    </row>
    <row r="36" spans="1:59">
      <c r="A36" s="221" t="s">
        <v>137</v>
      </c>
      <c r="B36" s="227">
        <v>45</v>
      </c>
      <c r="C36" s="312" t="s">
        <v>118</v>
      </c>
      <c r="D36" s="262"/>
      <c r="E36" s="186"/>
      <c r="F36" s="186"/>
      <c r="G36" s="170">
        <v>45</v>
      </c>
      <c r="H36" s="2435" t="s">
        <v>118</v>
      </c>
      <c r="I36" s="186"/>
      <c r="J36" s="186"/>
      <c r="K36" s="186"/>
      <c r="L36" s="216"/>
      <c r="M36" s="186"/>
      <c r="N36" s="213"/>
      <c r="O36" s="44"/>
      <c r="P36" s="311" t="s">
        <v>118</v>
      </c>
      <c r="Q36" s="263"/>
      <c r="R36" s="44"/>
      <c r="S36" s="880"/>
      <c r="T36" s="2466">
        <v>45</v>
      </c>
      <c r="U36" s="3281" t="s">
        <v>118</v>
      </c>
      <c r="V36" s="44"/>
      <c r="W36" s="44"/>
      <c r="X36" s="44"/>
      <c r="Y36" s="41"/>
      <c r="Z36" s="44"/>
      <c r="AA36" s="133"/>
      <c r="AB36" s="565">
        <v>45</v>
      </c>
      <c r="AC36" s="2723" t="s">
        <v>118</v>
      </c>
      <c r="AD36" s="566"/>
      <c r="AE36" s="511"/>
      <c r="AF36" s="511"/>
      <c r="AG36" s="418">
        <v>45</v>
      </c>
      <c r="AH36" s="2723" t="s">
        <v>118</v>
      </c>
      <c r="AI36" s="511"/>
      <c r="AJ36" s="511"/>
      <c r="AK36" s="511"/>
      <c r="AL36" s="532"/>
      <c r="AM36" s="511"/>
      <c r="AN36" s="533"/>
      <c r="AO36" s="465"/>
      <c r="AP36" s="2724" t="s">
        <v>118</v>
      </c>
      <c r="AQ36" s="552"/>
      <c r="AR36" s="465"/>
      <c r="AS36" s="909"/>
      <c r="AT36" s="2768">
        <v>45</v>
      </c>
      <c r="AU36" s="3283" t="s">
        <v>118</v>
      </c>
      <c r="AV36" s="465"/>
      <c r="AW36" s="465"/>
      <c r="AX36" s="465"/>
      <c r="AY36" s="464"/>
      <c r="AZ36" s="465"/>
      <c r="BA36" s="559"/>
    </row>
    <row r="37" spans="1:59">
      <c r="A37" s="208" t="s">
        <v>702</v>
      </c>
      <c r="B37" s="227"/>
      <c r="C37" s="225"/>
      <c r="D37" s="4160"/>
      <c r="E37" s="4161"/>
      <c r="F37" s="186"/>
      <c r="G37" s="170"/>
      <c r="H37" s="186"/>
      <c r="I37" s="4160"/>
      <c r="J37" s="4161"/>
      <c r="K37" s="186"/>
      <c r="L37" s="216"/>
      <c r="M37" s="2436"/>
      <c r="N37" s="213"/>
      <c r="O37" s="44"/>
      <c r="P37" s="226"/>
      <c r="Q37" s="4160"/>
      <c r="R37" s="4161"/>
      <c r="S37" s="317"/>
      <c r="T37" s="2466"/>
      <c r="U37" s="880"/>
      <c r="V37" s="4160"/>
      <c r="W37" s="4161"/>
      <c r="X37" s="44"/>
      <c r="Y37" s="41"/>
      <c r="Z37" s="313"/>
      <c r="AA37" s="133"/>
      <c r="AB37" s="565"/>
      <c r="AC37" s="431"/>
      <c r="AD37" s="4160"/>
      <c r="AE37" s="4161"/>
      <c r="AF37" s="511"/>
      <c r="AG37" s="418"/>
      <c r="AH37" s="511"/>
      <c r="AI37" s="4160"/>
      <c r="AJ37" s="4161"/>
      <c r="AK37" s="511"/>
      <c r="AL37" s="532"/>
      <c r="AM37" s="2727"/>
      <c r="AN37" s="533"/>
      <c r="AO37" s="465"/>
      <c r="AP37" s="434"/>
      <c r="AQ37" s="4160"/>
      <c r="AR37" s="4161"/>
      <c r="AS37" s="558"/>
      <c r="AT37" s="2768"/>
      <c r="AU37" s="909"/>
      <c r="AV37" s="4160"/>
      <c r="AW37" s="4161"/>
      <c r="AX37" s="465"/>
      <c r="AY37" s="464"/>
      <c r="AZ37" s="2727"/>
      <c r="BA37" s="559"/>
      <c r="BB37" s="2351" t="str">
        <f>IF(BB39=FALSE,"Possible data inconsistencies may exist by over riding the calculated value."," ")</f>
        <v xml:space="preserve"> </v>
      </c>
    </row>
    <row r="38" spans="1:59" ht="2.25" customHeight="1">
      <c r="A38" s="206"/>
      <c r="B38" s="227"/>
      <c r="C38" s="225"/>
      <c r="D38" s="171"/>
      <c r="E38" s="225"/>
      <c r="F38" s="186"/>
      <c r="G38" s="170"/>
      <c r="H38" s="186"/>
      <c r="I38" s="171"/>
      <c r="J38" s="225"/>
      <c r="K38" s="186"/>
      <c r="L38" s="216"/>
      <c r="M38" s="171"/>
      <c r="N38" s="213"/>
      <c r="O38" s="44"/>
      <c r="P38" s="226"/>
      <c r="Q38" s="226"/>
      <c r="R38" s="42"/>
      <c r="S38" s="317"/>
      <c r="T38" s="2466"/>
      <c r="U38" s="880"/>
      <c r="V38" s="42"/>
      <c r="W38" s="226"/>
      <c r="X38" s="44"/>
      <c r="Y38" s="41"/>
      <c r="Z38" s="42"/>
      <c r="AA38" s="133"/>
      <c r="AB38" s="565"/>
      <c r="AC38" s="431"/>
      <c r="AD38" s="419"/>
      <c r="AE38" s="431"/>
      <c r="AF38" s="511"/>
      <c r="AG38" s="418"/>
      <c r="AH38" s="511"/>
      <c r="AI38" s="419"/>
      <c r="AJ38" s="431"/>
      <c r="AK38" s="511"/>
      <c r="AL38" s="532"/>
      <c r="AM38" s="419"/>
      <c r="AN38" s="533"/>
      <c r="AO38" s="465"/>
      <c r="AP38" s="434"/>
      <c r="AQ38" s="434"/>
      <c r="AR38" s="449"/>
      <c r="AS38" s="558"/>
      <c r="AT38" s="2768"/>
      <c r="AU38" s="909"/>
      <c r="AV38" s="449"/>
      <c r="AW38" s="434"/>
      <c r="AX38" s="465"/>
      <c r="AY38" s="464"/>
      <c r="AZ38" s="449"/>
      <c r="BA38" s="559"/>
    </row>
    <row r="39" spans="1:59">
      <c r="A39" s="208" t="s">
        <v>631</v>
      </c>
      <c r="B39" s="227"/>
      <c r="C39" s="225"/>
      <c r="D39" s="4176">
        <f>IF(F1_Breeding_Method="Bulls",Defaults!C48,IF(F1_Breeding_Method="AI with Sync",Defaults!D48,Defaults!E48))</f>
        <v>40</v>
      </c>
      <c r="E39" s="4177"/>
      <c r="F39" s="186"/>
      <c r="G39" s="170"/>
      <c r="H39" s="186"/>
      <c r="I39" s="4176">
        <f>IF(F1_Breeding_Method="Bulls",Defaults!$C$61,IF(F1_Breeding_Method="AI with Sync",Defaults!$D$61,Defaults!$E$61))</f>
        <v>40</v>
      </c>
      <c r="J39" s="4177"/>
      <c r="K39" s="186"/>
      <c r="L39" s="216"/>
      <c r="M39" s="330"/>
      <c r="N39" s="213"/>
      <c r="O39" s="44"/>
      <c r="P39" s="226"/>
      <c r="Q39" s="4289">
        <f>IF(F2_Breeding_Method="Bulls",Defaults!C48,IF(F2_Breeding_Method="AI with Sync",Defaults!D48,Defaults!E48))</f>
        <v>40</v>
      </c>
      <c r="R39" s="4290"/>
      <c r="S39" s="2464"/>
      <c r="T39" s="2466"/>
      <c r="U39" s="880"/>
      <c r="V39" s="4289">
        <f>IF(F2_Breeding_Method="Bulls",Defaults!$C$61,IF(F2_Breeding_Method="AI with Sync",Defaults!$D$61,Defaults!$E$61))</f>
        <v>40</v>
      </c>
      <c r="W39" s="4290"/>
      <c r="X39" s="44"/>
      <c r="Y39" s="41"/>
      <c r="Z39" s="331"/>
      <c r="AA39" s="133"/>
      <c r="AB39" s="565"/>
      <c r="AC39" s="431"/>
      <c r="AD39" s="4252">
        <f>IF(F3_Breeding_Method="Bulls",Defaults!C48,IF(F3_Breeding_Method="AI with Sync",Defaults!D48,Defaults!E48))</f>
        <v>36</v>
      </c>
      <c r="AE39" s="4253"/>
      <c r="AF39" s="511"/>
      <c r="AG39" s="418"/>
      <c r="AH39" s="511"/>
      <c r="AI39" s="4252">
        <f>IF(F3_Breeding_Method="Bulls",Defaults!$C$61,IF(F3_Breeding_Method="AI with Sync",Defaults!$D$61,Defaults!$E$61))</f>
        <v>36</v>
      </c>
      <c r="AJ39" s="4253"/>
      <c r="AK39" s="511"/>
      <c r="AL39" s="532"/>
      <c r="AM39" s="2646"/>
      <c r="AN39" s="533"/>
      <c r="AO39" s="465"/>
      <c r="AP39" s="434"/>
      <c r="AQ39" s="4254">
        <f>IF(F4_Breeding_Method="Bulls",Defaults!C48,IF(F4_Breeding_Method="AI with Sync",Defaults!D48,Defaults!E48))</f>
        <v>36</v>
      </c>
      <c r="AR39" s="4255"/>
      <c r="AS39" s="2769"/>
      <c r="AT39" s="2768"/>
      <c r="AU39" s="909"/>
      <c r="AV39" s="4254">
        <f>IF(F4_Breeding_Method="Bulls",Defaults!$C$61,IF(F4_Breeding_Method="AI with Sync",Defaults!$D$61,Defaults!$E$61))</f>
        <v>36</v>
      </c>
      <c r="AW39" s="4255"/>
      <c r="AX39" s="465"/>
      <c r="AY39" s="464"/>
      <c r="AZ39" s="649"/>
      <c r="BA39" s="559"/>
      <c r="BB39" s="3651" t="str">
        <f>IF(Options!N35&lt;&gt;1,IF(Options!O35&lt;&gt;1,IF(Options!P35&lt;&gt;1,IF(Options!Q35&lt;&gt;1," ",FALSE))))</f>
        <v xml:space="preserve"> </v>
      </c>
    </row>
    <row r="40" spans="1:59" ht="2.25" customHeight="1">
      <c r="A40" s="206"/>
      <c r="B40" s="227"/>
      <c r="C40" s="225"/>
      <c r="D40" s="171"/>
      <c r="E40" s="225"/>
      <c r="F40" s="186"/>
      <c r="G40" s="170"/>
      <c r="H40" s="186"/>
      <c r="I40" s="186"/>
      <c r="J40" s="186"/>
      <c r="K40" s="186"/>
      <c r="L40" s="216"/>
      <c r="M40" s="171"/>
      <c r="N40" s="213"/>
      <c r="O40" s="44"/>
      <c r="P40" s="226"/>
      <c r="Q40" s="226"/>
      <c r="R40" s="42"/>
      <c r="S40" s="317"/>
      <c r="T40" s="2466"/>
      <c r="U40" s="880"/>
      <c r="V40" s="44"/>
      <c r="W40" s="44"/>
      <c r="X40" s="44"/>
      <c r="Y40" s="41"/>
      <c r="Z40" s="42"/>
      <c r="AA40" s="133"/>
      <c r="AB40" s="565"/>
      <c r="AC40" s="431"/>
      <c r="AD40" s="419"/>
      <c r="AE40" s="431"/>
      <c r="AF40" s="511"/>
      <c r="AG40" s="418"/>
      <c r="AH40" s="511"/>
      <c r="AI40" s="511"/>
      <c r="AJ40" s="511"/>
      <c r="AK40" s="511"/>
      <c r="AL40" s="532"/>
      <c r="AM40" s="419"/>
      <c r="AN40" s="533"/>
      <c r="AO40" s="465"/>
      <c r="AP40" s="434"/>
      <c r="AQ40" s="434"/>
      <c r="AR40" s="449"/>
      <c r="AS40" s="558"/>
      <c r="AT40" s="2768"/>
      <c r="AU40" s="909"/>
      <c r="AV40" s="465"/>
      <c r="AW40" s="465"/>
      <c r="AX40" s="465"/>
      <c r="AY40" s="464"/>
      <c r="AZ40" s="449"/>
      <c r="BA40" s="559"/>
    </row>
    <row r="41" spans="1:59">
      <c r="A41" s="208" t="s">
        <v>819</v>
      </c>
      <c r="B41" s="227"/>
      <c r="C41" s="225"/>
      <c r="D41" s="4176">
        <f>(1/(F1_Unsuccessful_Breeding_Cows_Percent+D93))*((F1_Unsuccessful_Breeding_Cows_Percent*F1_Unsuccessful_Breeding_Cows_Days)+(D93*D95))</f>
        <v>50.326086956521735</v>
      </c>
      <c r="E41" s="4177"/>
      <c r="F41" s="186"/>
      <c r="G41" s="170"/>
      <c r="H41" s="186"/>
      <c r="I41" s="4176">
        <f>(1/(F1_Unsuccessful_Breeding_Heifers_Percent+I93))*((F1_Unsuccessful_Breeding_Heifers_Percent*F1_Unsuccessful_Breeding_Heifers_Days)+(I93*I95))</f>
        <v>50.967741935483879</v>
      </c>
      <c r="J41" s="4177"/>
      <c r="K41" s="186"/>
      <c r="L41" s="216"/>
      <c r="M41" s="330">
        <v>1</v>
      </c>
      <c r="N41" s="213"/>
      <c r="O41" s="44"/>
      <c r="P41" s="226"/>
      <c r="Q41" s="4289">
        <f>(1/(F2_Unsuccessful_Breeding_Cows_Percent+Q93))*((F2_Unsuccessful_Breeding_Cows_Percent*F2_Unsuccessful_Breeding_Cows_Days)+(Q93*Q95))</f>
        <v>46.626506024096393</v>
      </c>
      <c r="R41" s="4290"/>
      <c r="S41" s="2464"/>
      <c r="T41" s="2466"/>
      <c r="U41" s="880"/>
      <c r="V41" s="4289">
        <f>(1/(F2_Unsuccessful_Breeding_Heifers_Percent+V93))*((F2_Unsuccessful_Breeding_Heifers_Percent*F2_Unsuccessful_Breeding_Heifers_Days)+(V93*V95))</f>
        <v>47.452830188679236</v>
      </c>
      <c r="W41" s="4290"/>
      <c r="X41" s="44"/>
      <c r="Y41" s="41"/>
      <c r="Z41" s="331">
        <v>1</v>
      </c>
      <c r="AA41" s="133"/>
      <c r="AB41" s="565"/>
      <c r="AC41" s="431"/>
      <c r="AD41" s="4252">
        <f>(1/(F3_Unsuccessful_Breeding_Cows_Percent+AD93))*((F3_Unsuccessful_Breeding_Cows_Percent*F3_Unsuccessful_Breeding_Cows_Days)+(AD93*AD95))</f>
        <v>40.491803278688529</v>
      </c>
      <c r="AE41" s="4253"/>
      <c r="AF41" s="511"/>
      <c r="AG41" s="418"/>
      <c r="AH41" s="511"/>
      <c r="AI41" s="4252">
        <f>(1/(F3_Unsuccessful_Breeding_Heifers_Percent+AI93))*((F3_Unsuccessful_Breeding_Heifers_Percent*F3_Unsuccessful_Breeding_Heifers_Days)+(AI93*AI95))</f>
        <v>40.833333333333329</v>
      </c>
      <c r="AJ41" s="4253"/>
      <c r="AK41" s="511"/>
      <c r="AL41" s="532"/>
      <c r="AM41" s="2646">
        <v>1</v>
      </c>
      <c r="AN41" s="533"/>
      <c r="AO41" s="465"/>
      <c r="AP41" s="434"/>
      <c r="AQ41" s="4254">
        <f>(1/(F4_Unsuccessful_Breeding_Cows_Percent+AQ93))*((F4_Unsuccessful_Breeding_Cows_Percent*F4_Unsuccessful_Breeding_Cows_Days)+(AQ93*AQ95))</f>
        <v>35.400000000000006</v>
      </c>
      <c r="AR41" s="4255"/>
      <c r="AS41" s="2769"/>
      <c r="AT41" s="2768"/>
      <c r="AU41" s="909"/>
      <c r="AV41" s="4254">
        <f>(1/(F4_Unsuccessful_Breeding_Heifers_Percent+AV93))*((F4_Unsuccessful_Breeding_Heifers_Percent*F4_Unsuccessful_Breeding_Heifers_Days)+(AV93*AV95))</f>
        <v>38.090909090909093</v>
      </c>
      <c r="AW41" s="4255"/>
      <c r="AX41" s="465"/>
      <c r="AY41" s="464"/>
      <c r="AZ41" s="649">
        <v>1</v>
      </c>
      <c r="BA41" s="559"/>
    </row>
    <row r="42" spans="1:59">
      <c r="A42" s="209" t="s">
        <v>820</v>
      </c>
      <c r="B42" s="227"/>
      <c r="C42" s="225"/>
      <c r="D42" s="2807"/>
      <c r="E42" s="2807"/>
      <c r="F42" s="186"/>
      <c r="G42" s="170"/>
      <c r="H42" s="186"/>
      <c r="I42" s="2807"/>
      <c r="J42" s="2807"/>
      <c r="K42" s="186"/>
      <c r="L42" s="216"/>
      <c r="M42" s="316"/>
      <c r="N42" s="213"/>
      <c r="O42" s="44"/>
      <c r="P42" s="226"/>
      <c r="Q42" s="2464"/>
      <c r="R42" s="2464"/>
      <c r="S42" s="2464"/>
      <c r="T42" s="2466"/>
      <c r="U42" s="880"/>
      <c r="V42" s="2464"/>
      <c r="W42" s="2464"/>
      <c r="X42" s="44"/>
      <c r="Y42" s="41"/>
      <c r="Z42" s="334"/>
      <c r="AA42" s="133"/>
      <c r="AB42" s="565"/>
      <c r="AC42" s="431"/>
      <c r="AD42" s="2808"/>
      <c r="AE42" s="2808"/>
      <c r="AF42" s="511"/>
      <c r="AG42" s="418"/>
      <c r="AH42" s="511"/>
      <c r="AI42" s="2808"/>
      <c r="AJ42" s="2808"/>
      <c r="AK42" s="511"/>
      <c r="AL42" s="532"/>
      <c r="AM42" s="573"/>
      <c r="AN42" s="533"/>
      <c r="AO42" s="465"/>
      <c r="AP42" s="434"/>
      <c r="AQ42" s="2769"/>
      <c r="AR42" s="2769"/>
      <c r="AS42" s="2769"/>
      <c r="AT42" s="2768"/>
      <c r="AU42" s="909"/>
      <c r="AV42" s="2769"/>
      <c r="AW42" s="2769"/>
      <c r="AX42" s="465"/>
      <c r="AY42" s="464"/>
      <c r="AZ42" s="558"/>
      <c r="BA42" s="559"/>
    </row>
    <row r="43" spans="1:59" ht="6" customHeight="1">
      <c r="A43" s="205"/>
      <c r="B43" s="230"/>
      <c r="C43" s="190"/>
      <c r="D43" s="190"/>
      <c r="E43" s="161"/>
      <c r="F43" s="190"/>
      <c r="G43" s="2264"/>
      <c r="H43" s="190"/>
      <c r="I43" s="190"/>
      <c r="J43" s="190"/>
      <c r="K43" s="190"/>
      <c r="L43" s="215"/>
      <c r="M43" s="161"/>
      <c r="N43" s="231"/>
      <c r="O43" s="67"/>
      <c r="P43" s="67"/>
      <c r="Q43" s="67"/>
      <c r="R43" s="85"/>
      <c r="S43" s="276"/>
      <c r="T43" s="3310"/>
      <c r="U43" s="905"/>
      <c r="V43" s="67"/>
      <c r="W43" s="67"/>
      <c r="X43" s="67"/>
      <c r="Y43" s="66"/>
      <c r="Z43" s="85"/>
      <c r="AA43" s="138"/>
      <c r="AB43" s="567"/>
      <c r="AC43" s="516"/>
      <c r="AD43" s="516"/>
      <c r="AE43" s="568"/>
      <c r="AF43" s="516"/>
      <c r="AG43" s="2628"/>
      <c r="AH43" s="516"/>
      <c r="AI43" s="516"/>
      <c r="AJ43" s="516"/>
      <c r="AK43" s="516"/>
      <c r="AL43" s="569"/>
      <c r="AM43" s="568"/>
      <c r="AN43" s="570"/>
      <c r="AO43" s="469"/>
      <c r="AP43" s="469"/>
      <c r="AQ43" s="469"/>
      <c r="AR43" s="553"/>
      <c r="AS43" s="596"/>
      <c r="AT43" s="3311"/>
      <c r="AU43" s="919"/>
      <c r="AV43" s="469"/>
      <c r="AW43" s="469"/>
      <c r="AX43" s="469"/>
      <c r="AY43" s="554"/>
      <c r="AZ43" s="553"/>
      <c r="BA43" s="2775"/>
    </row>
    <row r="44" spans="1:59" ht="20.25" customHeight="1">
      <c r="A44" s="4028" t="s">
        <v>1306</v>
      </c>
      <c r="B44" s="4029"/>
      <c r="C44" s="4029"/>
      <c r="D44" s="4029"/>
      <c r="E44" s="4029"/>
      <c r="F44" s="4029"/>
      <c r="G44" s="4029"/>
      <c r="H44" s="4029"/>
      <c r="I44" s="4029"/>
      <c r="J44" s="4029"/>
      <c r="K44" s="4029"/>
      <c r="L44" s="4029"/>
      <c r="M44" s="4029"/>
      <c r="N44" s="4029"/>
      <c r="O44" s="4029"/>
      <c r="P44" s="4029"/>
      <c r="Q44" s="4029"/>
      <c r="R44" s="4029"/>
      <c r="S44" s="4029"/>
      <c r="T44" s="4029"/>
      <c r="U44" s="4029"/>
      <c r="V44" s="4029"/>
      <c r="W44" s="4029"/>
      <c r="X44" s="4029"/>
      <c r="Y44" s="4029"/>
      <c r="Z44" s="4029"/>
      <c r="AA44" s="4029"/>
      <c r="AB44" s="4029"/>
      <c r="AC44" s="4029"/>
      <c r="AD44" s="4029"/>
      <c r="AE44" s="4029"/>
      <c r="AF44" s="4029"/>
      <c r="AG44" s="4029"/>
      <c r="AH44" s="4029"/>
      <c r="AI44" s="4029"/>
      <c r="AJ44" s="4029"/>
      <c r="AK44" s="4029"/>
      <c r="AL44" s="4029"/>
      <c r="AM44" s="4029"/>
      <c r="AN44" s="4029"/>
      <c r="AO44" s="4029"/>
      <c r="AP44" s="4029"/>
      <c r="AQ44" s="4029"/>
      <c r="AR44" s="4029"/>
      <c r="AS44" s="4029"/>
      <c r="AT44" s="4029"/>
      <c r="AU44" s="4029"/>
      <c r="AV44" s="4029"/>
      <c r="AW44" s="4029"/>
      <c r="AX44" s="4029"/>
      <c r="AY44" s="4029"/>
      <c r="AZ44" s="4029"/>
      <c r="BA44" s="4030"/>
      <c r="BB44" s="2127"/>
      <c r="BC44" s="2128"/>
      <c r="BD44" s="39"/>
    </row>
    <row r="45" spans="1:59" s="2452" customFormat="1" ht="12.75" customHeight="1">
      <c r="A45" s="4330"/>
      <c r="B45" s="2751"/>
      <c r="C45" s="2752"/>
      <c r="D45" s="2752"/>
      <c r="E45" s="2752"/>
      <c r="F45" s="2752"/>
      <c r="G45" s="2753"/>
      <c r="H45" s="4334" t="s">
        <v>405</v>
      </c>
      <c r="I45" s="4334"/>
      <c r="J45" s="4334"/>
      <c r="K45" s="4334"/>
      <c r="L45" s="4354" t="s">
        <v>83</v>
      </c>
      <c r="M45" s="4355"/>
      <c r="N45" s="4356"/>
      <c r="O45" s="2451"/>
      <c r="P45" s="2451"/>
      <c r="Q45" s="2451"/>
      <c r="R45" s="2451"/>
      <c r="S45" s="2451"/>
      <c r="T45" s="4378" t="s">
        <v>405</v>
      </c>
      <c r="U45" s="4379"/>
      <c r="V45" s="4379"/>
      <c r="W45" s="4379"/>
      <c r="X45" s="4380"/>
      <c r="Y45" s="4372" t="s">
        <v>83</v>
      </c>
      <c r="Z45" s="4373"/>
      <c r="AA45" s="4374"/>
      <c r="AB45" s="2756"/>
      <c r="AC45" s="2756"/>
      <c r="AD45" s="2756"/>
      <c r="AE45" s="2756"/>
      <c r="AF45" s="2756"/>
      <c r="AG45" s="2757"/>
      <c r="AH45" s="3952" t="s">
        <v>405</v>
      </c>
      <c r="AI45" s="3952"/>
      <c r="AJ45" s="3952"/>
      <c r="AK45" s="3952"/>
      <c r="AL45" s="4366" t="s">
        <v>83</v>
      </c>
      <c r="AM45" s="4367"/>
      <c r="AN45" s="4368"/>
      <c r="AO45" s="2767"/>
      <c r="AP45" s="2767"/>
      <c r="AQ45" s="2767"/>
      <c r="AR45" s="2767"/>
      <c r="AS45" s="2767"/>
      <c r="AT45" s="4301" t="s">
        <v>405</v>
      </c>
      <c r="AU45" s="3953"/>
      <c r="AV45" s="3953"/>
      <c r="AW45" s="3953"/>
      <c r="AX45" s="4302"/>
      <c r="AY45" s="4360" t="s">
        <v>83</v>
      </c>
      <c r="AZ45" s="4361"/>
      <c r="BA45" s="4362"/>
    </row>
    <row r="46" spans="1:59" s="2453" customFormat="1" ht="15" customHeight="1">
      <c r="A46" s="4331"/>
      <c r="B46" s="4350" t="s">
        <v>716</v>
      </c>
      <c r="C46" s="4348"/>
      <c r="D46" s="4348"/>
      <c r="E46" s="4348"/>
      <c r="F46" s="4348"/>
      <c r="G46" s="4347" t="s">
        <v>717</v>
      </c>
      <c r="H46" s="4348"/>
      <c r="I46" s="4348"/>
      <c r="J46" s="4348"/>
      <c r="K46" s="4349"/>
      <c r="L46" s="4357"/>
      <c r="M46" s="4358"/>
      <c r="N46" s="4359"/>
      <c r="O46" s="4381" t="s">
        <v>716</v>
      </c>
      <c r="P46" s="4352"/>
      <c r="Q46" s="4352"/>
      <c r="R46" s="4352"/>
      <c r="S46" s="4353"/>
      <c r="T46" s="4351" t="s">
        <v>717</v>
      </c>
      <c r="U46" s="4352"/>
      <c r="V46" s="4352"/>
      <c r="W46" s="4352"/>
      <c r="X46" s="4353"/>
      <c r="Y46" s="4375"/>
      <c r="Z46" s="4376"/>
      <c r="AA46" s="4377"/>
      <c r="AB46" s="4303" t="s">
        <v>716</v>
      </c>
      <c r="AC46" s="4303"/>
      <c r="AD46" s="4303"/>
      <c r="AE46" s="4303"/>
      <c r="AF46" s="4303"/>
      <c r="AG46" s="4304" t="s">
        <v>717</v>
      </c>
      <c r="AH46" s="4303"/>
      <c r="AI46" s="4303"/>
      <c r="AJ46" s="4303"/>
      <c r="AK46" s="4305"/>
      <c r="AL46" s="4369"/>
      <c r="AM46" s="4370"/>
      <c r="AN46" s="4371"/>
      <c r="AO46" s="4306" t="s">
        <v>716</v>
      </c>
      <c r="AP46" s="4307"/>
      <c r="AQ46" s="4307"/>
      <c r="AR46" s="4307"/>
      <c r="AS46" s="4308"/>
      <c r="AT46" s="4309" t="s">
        <v>717</v>
      </c>
      <c r="AU46" s="4307"/>
      <c r="AV46" s="4307"/>
      <c r="AW46" s="4307"/>
      <c r="AX46" s="4308"/>
      <c r="AY46" s="4363"/>
      <c r="AZ46" s="4364"/>
      <c r="BA46" s="4365"/>
    </row>
    <row r="47" spans="1:59" ht="18" customHeight="1">
      <c r="A47" s="2362" t="s">
        <v>369</v>
      </c>
      <c r="B47" s="194"/>
      <c r="C47" s="186"/>
      <c r="D47" s="186"/>
      <c r="E47" s="186"/>
      <c r="F47" s="2469"/>
      <c r="G47" s="186"/>
      <c r="H47" s="186"/>
      <c r="I47" s="186"/>
      <c r="J47" s="186"/>
      <c r="K47" s="186"/>
      <c r="L47" s="216"/>
      <c r="M47" s="186"/>
      <c r="N47" s="188"/>
      <c r="O47" s="44"/>
      <c r="P47" s="44"/>
      <c r="Q47" s="44"/>
      <c r="R47" s="44"/>
      <c r="S47" s="3314"/>
      <c r="T47" s="880"/>
      <c r="U47" s="880"/>
      <c r="V47" s="44"/>
      <c r="W47" s="44"/>
      <c r="X47" s="44"/>
      <c r="Y47" s="44"/>
      <c r="Z47" s="44"/>
      <c r="AA47" s="52"/>
      <c r="AB47" s="514"/>
      <c r="AC47" s="511"/>
      <c r="AD47" s="511"/>
      <c r="AE47" s="511"/>
      <c r="AF47" s="1574"/>
      <c r="AG47" s="511"/>
      <c r="AH47" s="511"/>
      <c r="AI47" s="511"/>
      <c r="AJ47" s="511"/>
      <c r="AK47" s="511"/>
      <c r="AL47" s="532"/>
      <c r="AM47" s="511"/>
      <c r="AN47" s="1329"/>
      <c r="AO47" s="909"/>
      <c r="AP47" s="909"/>
      <c r="AQ47" s="465"/>
      <c r="AR47" s="465"/>
      <c r="AS47" s="3321"/>
      <c r="AT47" s="909"/>
      <c r="AU47" s="909"/>
      <c r="AV47" s="465"/>
      <c r="AW47" s="465"/>
      <c r="AX47" s="465"/>
      <c r="AY47" s="465"/>
      <c r="AZ47" s="465"/>
      <c r="BA47" s="1354"/>
      <c r="BB47" s="2127"/>
      <c r="BC47" s="2128"/>
      <c r="BD47" s="39"/>
    </row>
    <row r="48" spans="1:59" ht="2.25" customHeight="1">
      <c r="A48" s="206"/>
      <c r="B48" s="227"/>
      <c r="C48" s="171"/>
      <c r="D48" s="186"/>
      <c r="E48" s="186"/>
      <c r="F48" s="2469"/>
      <c r="G48" s="171"/>
      <c r="H48" s="171"/>
      <c r="I48" s="186"/>
      <c r="J48" s="186"/>
      <c r="K48" s="186"/>
      <c r="L48" s="216"/>
      <c r="M48" s="171"/>
      <c r="N48" s="213"/>
      <c r="O48" s="44"/>
      <c r="P48" s="42"/>
      <c r="Q48" s="44"/>
      <c r="R48" s="44"/>
      <c r="S48" s="3314"/>
      <c r="T48" s="317"/>
      <c r="U48" s="317"/>
      <c r="V48" s="44"/>
      <c r="W48" s="44"/>
      <c r="X48" s="44"/>
      <c r="Y48" s="41"/>
      <c r="Z48" s="42"/>
      <c r="AA48" s="133"/>
      <c r="AB48" s="565"/>
      <c r="AC48" s="419"/>
      <c r="AD48" s="511"/>
      <c r="AE48" s="511"/>
      <c r="AF48" s="1574"/>
      <c r="AG48" s="419"/>
      <c r="AH48" s="419"/>
      <c r="AI48" s="511"/>
      <c r="AJ48" s="511"/>
      <c r="AK48" s="511"/>
      <c r="AL48" s="532"/>
      <c r="AM48" s="419"/>
      <c r="AN48" s="574"/>
      <c r="AO48" s="909"/>
      <c r="AP48" s="558"/>
      <c r="AQ48" s="465"/>
      <c r="AR48" s="465"/>
      <c r="AS48" s="3321"/>
      <c r="AT48" s="558"/>
      <c r="AU48" s="558"/>
      <c r="AV48" s="465"/>
      <c r="AW48" s="465"/>
      <c r="AX48" s="465"/>
      <c r="AY48" s="464"/>
      <c r="AZ48" s="449"/>
      <c r="BA48" s="559"/>
      <c r="BB48" s="2127"/>
      <c r="BC48" s="2127"/>
    </row>
    <row r="49" spans="1:56">
      <c r="A49" s="209" t="s">
        <v>1654</v>
      </c>
      <c r="B49" s="227">
        <v>45</v>
      </c>
      <c r="C49" s="225" t="s">
        <v>118</v>
      </c>
      <c r="D49" s="225"/>
      <c r="E49" s="225"/>
      <c r="F49" s="2469"/>
      <c r="G49" s="171">
        <v>45</v>
      </c>
      <c r="H49" s="225" t="s">
        <v>118</v>
      </c>
      <c r="I49" s="225"/>
      <c r="J49" s="225"/>
      <c r="K49" s="186"/>
      <c r="L49" s="216"/>
      <c r="M49" s="186"/>
      <c r="N49" s="213"/>
      <c r="O49" s="44"/>
      <c r="P49" s="2459" t="s">
        <v>118</v>
      </c>
      <c r="Q49" s="226"/>
      <c r="R49" s="226"/>
      <c r="S49" s="3314"/>
      <c r="T49" s="317">
        <v>45</v>
      </c>
      <c r="U49" s="3281" t="s">
        <v>118</v>
      </c>
      <c r="V49" s="226"/>
      <c r="W49" s="226"/>
      <c r="X49" s="44"/>
      <c r="Y49" s="41"/>
      <c r="Z49" s="44"/>
      <c r="AA49" s="133"/>
      <c r="AB49" s="565">
        <v>45</v>
      </c>
      <c r="AC49" s="431" t="s">
        <v>118</v>
      </c>
      <c r="AD49" s="431"/>
      <c r="AE49" s="431"/>
      <c r="AF49" s="1574"/>
      <c r="AG49" s="419">
        <v>45</v>
      </c>
      <c r="AH49" s="431" t="s">
        <v>118</v>
      </c>
      <c r="AI49" s="431"/>
      <c r="AJ49" s="431"/>
      <c r="AK49" s="511"/>
      <c r="AL49" s="532"/>
      <c r="AM49" s="511"/>
      <c r="AN49" s="574"/>
      <c r="AO49" s="909"/>
      <c r="AP49" s="3283" t="s">
        <v>118</v>
      </c>
      <c r="AQ49" s="434"/>
      <c r="AR49" s="434"/>
      <c r="AS49" s="3321"/>
      <c r="AT49" s="558">
        <v>45</v>
      </c>
      <c r="AU49" s="3283" t="s">
        <v>118</v>
      </c>
      <c r="AV49" s="434"/>
      <c r="AW49" s="434"/>
      <c r="AX49" s="465"/>
      <c r="AY49" s="464"/>
      <c r="AZ49" s="465"/>
      <c r="BA49" s="559"/>
      <c r="BB49" s="2127"/>
      <c r="BC49" s="2129"/>
    </row>
    <row r="50" spans="1:56">
      <c r="A50" s="2456" t="s">
        <v>702</v>
      </c>
      <c r="B50" s="227"/>
      <c r="C50" s="225"/>
      <c r="D50" s="4276">
        <v>0.65</v>
      </c>
      <c r="E50" s="4277"/>
      <c r="F50" s="2469"/>
      <c r="G50" s="171"/>
      <c r="H50" s="225"/>
      <c r="I50" s="4276">
        <v>0.4</v>
      </c>
      <c r="J50" s="4277"/>
      <c r="K50" s="186"/>
      <c r="L50" s="216"/>
      <c r="M50" s="2436"/>
      <c r="N50" s="280"/>
      <c r="O50" s="44"/>
      <c r="P50" s="226"/>
      <c r="Q50" s="4276">
        <v>0.6</v>
      </c>
      <c r="R50" s="4277"/>
      <c r="S50" s="2471"/>
      <c r="T50" s="317"/>
      <c r="U50" s="321"/>
      <c r="V50" s="4276">
        <v>0.35</v>
      </c>
      <c r="W50" s="4277"/>
      <c r="X50" s="44"/>
      <c r="Y50" s="41"/>
      <c r="Z50" s="2436"/>
      <c r="AA50" s="279"/>
      <c r="AB50" s="565"/>
      <c r="AC50" s="431"/>
      <c r="AD50" s="4282">
        <v>0.45</v>
      </c>
      <c r="AE50" s="4283"/>
      <c r="AF50" s="1574"/>
      <c r="AG50" s="419"/>
      <c r="AH50" s="431"/>
      <c r="AI50" s="4282">
        <v>0.25</v>
      </c>
      <c r="AJ50" s="4283"/>
      <c r="AK50" s="511"/>
      <c r="AL50" s="532"/>
      <c r="AM50" s="2727"/>
      <c r="AN50" s="574"/>
      <c r="AO50" s="909"/>
      <c r="AP50" s="563"/>
      <c r="AQ50" s="4282">
        <v>0.4</v>
      </c>
      <c r="AR50" s="4283"/>
      <c r="AS50" s="2771"/>
      <c r="AT50" s="558"/>
      <c r="AU50" s="563"/>
      <c r="AV50" s="4282">
        <v>0.2</v>
      </c>
      <c r="AW50" s="4283"/>
      <c r="AX50" s="465"/>
      <c r="AY50" s="464"/>
      <c r="AZ50" s="2727"/>
      <c r="BA50" s="559"/>
      <c r="BB50" s="2127"/>
      <c r="BC50" s="2127"/>
    </row>
    <row r="51" spans="1:56" ht="2.25" customHeight="1">
      <c r="A51" s="209"/>
      <c r="B51" s="227"/>
      <c r="C51" s="225"/>
      <c r="D51" s="225"/>
      <c r="E51" s="171"/>
      <c r="F51" s="2469"/>
      <c r="G51" s="171"/>
      <c r="H51" s="225"/>
      <c r="I51" s="225"/>
      <c r="J51" s="171"/>
      <c r="K51" s="186"/>
      <c r="L51" s="216"/>
      <c r="M51" s="171"/>
      <c r="N51" s="280"/>
      <c r="O51" s="44"/>
      <c r="P51" s="226"/>
      <c r="Q51" s="226"/>
      <c r="R51" s="42"/>
      <c r="S51" s="2471"/>
      <c r="T51" s="317"/>
      <c r="U51" s="321"/>
      <c r="V51" s="226"/>
      <c r="W51" s="42"/>
      <c r="X51" s="44"/>
      <c r="Y51" s="41"/>
      <c r="Z51" s="42"/>
      <c r="AA51" s="279"/>
      <c r="AB51" s="565"/>
      <c r="AC51" s="431"/>
      <c r="AD51" s="431"/>
      <c r="AE51" s="419"/>
      <c r="AF51" s="1574"/>
      <c r="AG51" s="419"/>
      <c r="AH51" s="431"/>
      <c r="AI51" s="431"/>
      <c r="AJ51" s="419"/>
      <c r="AK51" s="511"/>
      <c r="AL51" s="532"/>
      <c r="AM51" s="419"/>
      <c r="AN51" s="574"/>
      <c r="AO51" s="909"/>
      <c r="AP51" s="563"/>
      <c r="AQ51" s="434"/>
      <c r="AR51" s="449"/>
      <c r="AS51" s="2771"/>
      <c r="AT51" s="558"/>
      <c r="AU51" s="563"/>
      <c r="AV51" s="434"/>
      <c r="AW51" s="449"/>
      <c r="AX51" s="465"/>
      <c r="AY51" s="464"/>
      <c r="AZ51" s="449"/>
      <c r="BA51" s="559"/>
      <c r="BB51" s="2127"/>
      <c r="BC51" s="2127"/>
    </row>
    <row r="52" spans="1:56">
      <c r="A52" s="2456" t="s">
        <v>631</v>
      </c>
      <c r="B52" s="227"/>
      <c r="C52" s="225"/>
      <c r="D52" s="4314">
        <f>IF(F1_Breeding_Method="Bull",Defaults!$C$49,IF(F1_Breeding_Method="AI with Sync",Defaults!$D$49,Defaults!$E$49))</f>
        <v>0.5</v>
      </c>
      <c r="E52" s="4315"/>
      <c r="F52" s="2469"/>
      <c r="G52" s="171"/>
      <c r="H52" s="225"/>
      <c r="I52" s="4314">
        <f>IF(F1_Breeding_Method="Bull",Defaults!C62,IF(F1_Breeding_Method="AI with Sync",Defaults!D62,Defaults!$E$62))</f>
        <v>0.5</v>
      </c>
      <c r="J52" s="4315"/>
      <c r="K52" s="186"/>
      <c r="L52" s="216"/>
      <c r="M52" s="330">
        <v>2</v>
      </c>
      <c r="N52" s="280"/>
      <c r="O52" s="44"/>
      <c r="P52" s="226"/>
      <c r="Q52" s="4310">
        <f>IF(F2_Breeding_Method="Bull",Defaults!$C$49,IF(F2_Breeding_Method="AI with Sync",Defaults!$D$49,Defaults!$E$49))</f>
        <v>0.5</v>
      </c>
      <c r="R52" s="4311"/>
      <c r="S52" s="299"/>
      <c r="T52" s="317"/>
      <c r="U52" s="321"/>
      <c r="V52" s="4310">
        <f>IF(F2_Breeding_Method="Bull",Defaults!C62,IF(F2_Breeding_Method="AI with Sync",Defaults!D62,Defaults!$E$62))</f>
        <v>0.5</v>
      </c>
      <c r="W52" s="4311"/>
      <c r="X52" s="44"/>
      <c r="Y52" s="41"/>
      <c r="Z52" s="331">
        <v>2</v>
      </c>
      <c r="AA52" s="279"/>
      <c r="AB52" s="565"/>
      <c r="AC52" s="431"/>
      <c r="AD52" s="4264">
        <f>IF(F3_Breeding_Method="Bull",Defaults!$C$49,IF(F3_Breeding_Method="AI with Sync",Defaults!$D$49,Defaults!$E$49))</f>
        <v>0.5</v>
      </c>
      <c r="AE52" s="4265"/>
      <c r="AF52" s="1574"/>
      <c r="AG52" s="419"/>
      <c r="AH52" s="431"/>
      <c r="AI52" s="4264">
        <f>IF(F3_Breeding_Method="Bull",Defaults!C62,IF(F3_Breeding_Method="AI with Sync",Defaults!D62,Defaults!E$62))</f>
        <v>0.5</v>
      </c>
      <c r="AJ52" s="4265"/>
      <c r="AK52" s="511"/>
      <c r="AL52" s="532"/>
      <c r="AM52" s="2646">
        <v>2</v>
      </c>
      <c r="AN52" s="574"/>
      <c r="AO52" s="909"/>
      <c r="AP52" s="563"/>
      <c r="AQ52" s="4266">
        <f>IF(F4_Breeding_Method="Bull",Defaults!$C$49,IF(F4_Breeding_Method="AI with Sync",Defaults!$D$49,Defaults!$E$49))</f>
        <v>0.5</v>
      </c>
      <c r="AR52" s="4267"/>
      <c r="AS52" s="436"/>
      <c r="AT52" s="558"/>
      <c r="AU52" s="563"/>
      <c r="AV52" s="4266">
        <f>IF(F4_Breeding_Method="Bull",Defaults!C62,IF(F4_Breeding_Method="AI with Sync",Defaults!D62,Defaults!$E$62))</f>
        <v>0.5</v>
      </c>
      <c r="AW52" s="4267"/>
      <c r="AX52" s="465"/>
      <c r="AY52" s="464"/>
      <c r="AZ52" s="649">
        <v>2</v>
      </c>
      <c r="BA52" s="559"/>
      <c r="BB52" s="2127"/>
      <c r="BC52" s="2127"/>
    </row>
    <row r="53" spans="1:56" ht="6" customHeight="1">
      <c r="A53" s="2457"/>
      <c r="B53" s="230"/>
      <c r="C53" s="190"/>
      <c r="D53" s="190"/>
      <c r="E53" s="161"/>
      <c r="F53" s="2470"/>
      <c r="G53" s="161"/>
      <c r="H53" s="190"/>
      <c r="I53" s="190"/>
      <c r="J53" s="161"/>
      <c r="K53" s="190"/>
      <c r="L53" s="215"/>
      <c r="M53" s="161"/>
      <c r="N53" s="231"/>
      <c r="O53" s="67"/>
      <c r="P53" s="67"/>
      <c r="Q53" s="67"/>
      <c r="R53" s="85"/>
      <c r="S53" s="3315"/>
      <c r="T53" s="276"/>
      <c r="U53" s="905"/>
      <c r="V53" s="67"/>
      <c r="W53" s="85"/>
      <c r="X53" s="67"/>
      <c r="Y53" s="66"/>
      <c r="Z53" s="85"/>
      <c r="AA53" s="138"/>
      <c r="AB53" s="567"/>
      <c r="AC53" s="516"/>
      <c r="AD53" s="516"/>
      <c r="AE53" s="568"/>
      <c r="AF53" s="580"/>
      <c r="AG53" s="568"/>
      <c r="AH53" s="516"/>
      <c r="AI53" s="516"/>
      <c r="AJ53" s="568"/>
      <c r="AK53" s="516"/>
      <c r="AL53" s="569"/>
      <c r="AM53" s="568"/>
      <c r="AN53" s="2765"/>
      <c r="AO53" s="919"/>
      <c r="AP53" s="919"/>
      <c r="AQ53" s="469"/>
      <c r="AR53" s="553"/>
      <c r="AS53" s="3322"/>
      <c r="AT53" s="596"/>
      <c r="AU53" s="919"/>
      <c r="AV53" s="469"/>
      <c r="AW53" s="553"/>
      <c r="AX53" s="469"/>
      <c r="AY53" s="554"/>
      <c r="AZ53" s="553"/>
      <c r="BA53" s="2775"/>
      <c r="BB53" s="2127"/>
      <c r="BC53" s="2127"/>
    </row>
    <row r="54" spans="1:56" ht="6" customHeight="1">
      <c r="A54" s="236"/>
      <c r="B54" s="2472"/>
      <c r="C54" s="228"/>
      <c r="D54" s="228"/>
      <c r="E54" s="233"/>
      <c r="F54" s="2468"/>
      <c r="G54" s="233"/>
      <c r="H54" s="228"/>
      <c r="I54" s="228"/>
      <c r="J54" s="233"/>
      <c r="K54" s="228"/>
      <c r="L54" s="187"/>
      <c r="M54" s="233"/>
      <c r="N54" s="234"/>
      <c r="O54" s="53"/>
      <c r="P54" s="53"/>
      <c r="Q54" s="53"/>
      <c r="R54" s="100"/>
      <c r="S54" s="3316"/>
      <c r="T54" s="3317"/>
      <c r="U54" s="3318"/>
      <c r="V54" s="53"/>
      <c r="W54" s="100"/>
      <c r="X54" s="53"/>
      <c r="Y54" s="136"/>
      <c r="Z54" s="100"/>
      <c r="AA54" s="139"/>
      <c r="AB54" s="2759"/>
      <c r="AC54" s="564"/>
      <c r="AD54" s="564"/>
      <c r="AE54" s="575"/>
      <c r="AF54" s="1573"/>
      <c r="AG54" s="575"/>
      <c r="AH54" s="564"/>
      <c r="AI54" s="564"/>
      <c r="AJ54" s="575"/>
      <c r="AK54" s="564"/>
      <c r="AL54" s="512"/>
      <c r="AM54" s="575"/>
      <c r="AN54" s="3356"/>
      <c r="AO54" s="3325"/>
      <c r="AP54" s="3325"/>
      <c r="AQ54" s="556"/>
      <c r="AR54" s="560"/>
      <c r="AS54" s="3323"/>
      <c r="AT54" s="3324"/>
      <c r="AU54" s="3325"/>
      <c r="AV54" s="556"/>
      <c r="AW54" s="560"/>
      <c r="AX54" s="556"/>
      <c r="AY54" s="550"/>
      <c r="AZ54" s="560"/>
      <c r="BA54" s="3328"/>
      <c r="BB54" s="2127"/>
      <c r="BC54" s="2127"/>
    </row>
    <row r="55" spans="1:56">
      <c r="A55" s="209" t="s">
        <v>1387</v>
      </c>
      <c r="B55" s="227">
        <v>45</v>
      </c>
      <c r="C55" s="225" t="s">
        <v>118</v>
      </c>
      <c r="D55" s="225"/>
      <c r="E55" s="225"/>
      <c r="F55" s="2469"/>
      <c r="G55" s="171">
        <v>45</v>
      </c>
      <c r="H55" s="225" t="s">
        <v>118</v>
      </c>
      <c r="I55" s="225"/>
      <c r="J55" s="225"/>
      <c r="K55" s="186"/>
      <c r="L55" s="216"/>
      <c r="M55" s="186"/>
      <c r="N55" s="213"/>
      <c r="O55" s="44"/>
      <c r="P55" s="2459" t="s">
        <v>118</v>
      </c>
      <c r="Q55" s="226"/>
      <c r="R55" s="226"/>
      <c r="S55" s="3314"/>
      <c r="T55" s="317">
        <v>45</v>
      </c>
      <c r="U55" s="3281" t="s">
        <v>118</v>
      </c>
      <c r="V55" s="226"/>
      <c r="W55" s="226"/>
      <c r="X55" s="44"/>
      <c r="Y55" s="41"/>
      <c r="Z55" s="44"/>
      <c r="AA55" s="133"/>
      <c r="AB55" s="565">
        <v>45</v>
      </c>
      <c r="AC55" s="431" t="s">
        <v>118</v>
      </c>
      <c r="AD55" s="431"/>
      <c r="AE55" s="431"/>
      <c r="AF55" s="1574"/>
      <c r="AG55" s="419">
        <v>45</v>
      </c>
      <c r="AH55" s="431" t="s">
        <v>118</v>
      </c>
      <c r="AI55" s="431"/>
      <c r="AJ55" s="431"/>
      <c r="AK55" s="511"/>
      <c r="AL55" s="532"/>
      <c r="AM55" s="511"/>
      <c r="AN55" s="574"/>
      <c r="AO55" s="909"/>
      <c r="AP55" s="3283" t="s">
        <v>118</v>
      </c>
      <c r="AQ55" s="434"/>
      <c r="AR55" s="434"/>
      <c r="AS55" s="3321"/>
      <c r="AT55" s="558">
        <v>45</v>
      </c>
      <c r="AU55" s="3283" t="s">
        <v>118</v>
      </c>
      <c r="AV55" s="434"/>
      <c r="AW55" s="434"/>
      <c r="AX55" s="465"/>
      <c r="AY55" s="464"/>
      <c r="AZ55" s="465"/>
      <c r="BA55" s="559"/>
      <c r="BB55" s="2127"/>
      <c r="BC55" s="2127"/>
    </row>
    <row r="56" spans="1:56">
      <c r="A56" s="2456" t="s">
        <v>702</v>
      </c>
      <c r="B56" s="227"/>
      <c r="C56" s="225"/>
      <c r="D56" s="4160">
        <v>42</v>
      </c>
      <c r="E56" s="4161"/>
      <c r="F56" s="2469"/>
      <c r="G56" s="171"/>
      <c r="H56" s="225"/>
      <c r="I56" s="4160">
        <v>42</v>
      </c>
      <c r="J56" s="4161"/>
      <c r="K56" s="186"/>
      <c r="L56" s="216"/>
      <c r="M56" s="2436"/>
      <c r="N56" s="280"/>
      <c r="O56" s="44"/>
      <c r="P56" s="226"/>
      <c r="Q56" s="4160">
        <v>38</v>
      </c>
      <c r="R56" s="4161"/>
      <c r="S56" s="2471"/>
      <c r="T56" s="317"/>
      <c r="U56" s="321"/>
      <c r="V56" s="4160">
        <v>38</v>
      </c>
      <c r="W56" s="4161"/>
      <c r="X56" s="44"/>
      <c r="Y56" s="41"/>
      <c r="Z56" s="2436"/>
      <c r="AA56" s="279"/>
      <c r="AB56" s="565"/>
      <c r="AC56" s="431"/>
      <c r="AD56" s="4160">
        <v>30</v>
      </c>
      <c r="AE56" s="4161"/>
      <c r="AF56" s="1574"/>
      <c r="AG56" s="419"/>
      <c r="AH56" s="431"/>
      <c r="AI56" s="4160">
        <v>30</v>
      </c>
      <c r="AJ56" s="4161"/>
      <c r="AK56" s="511"/>
      <c r="AL56" s="532"/>
      <c r="AM56" s="2727"/>
      <c r="AN56" s="574"/>
      <c r="AO56" s="909"/>
      <c r="AP56" s="563"/>
      <c r="AQ56" s="4160">
        <v>28</v>
      </c>
      <c r="AR56" s="4161"/>
      <c r="AS56" s="2771"/>
      <c r="AT56" s="558"/>
      <c r="AU56" s="563"/>
      <c r="AV56" s="4160">
        <v>28</v>
      </c>
      <c r="AW56" s="4161"/>
      <c r="AX56" s="465"/>
      <c r="AY56" s="464"/>
      <c r="AZ56" s="2727"/>
      <c r="BA56" s="559"/>
      <c r="BB56" s="2127"/>
      <c r="BC56" s="2127"/>
    </row>
    <row r="57" spans="1:56" ht="2.25" customHeight="1">
      <c r="A57" s="209"/>
      <c r="B57" s="227"/>
      <c r="C57" s="225"/>
      <c r="D57" s="225"/>
      <c r="E57" s="171"/>
      <c r="F57" s="2469"/>
      <c r="G57" s="171"/>
      <c r="H57" s="225"/>
      <c r="I57" s="225"/>
      <c r="J57" s="171"/>
      <c r="K57" s="186"/>
      <c r="L57" s="216"/>
      <c r="M57" s="171"/>
      <c r="N57" s="280"/>
      <c r="O57" s="44"/>
      <c r="P57" s="226"/>
      <c r="Q57" s="226"/>
      <c r="R57" s="42"/>
      <c r="S57" s="2471"/>
      <c r="T57" s="317"/>
      <c r="U57" s="321"/>
      <c r="V57" s="226"/>
      <c r="W57" s="42"/>
      <c r="X57" s="44"/>
      <c r="Y57" s="41"/>
      <c r="Z57" s="42"/>
      <c r="AA57" s="279"/>
      <c r="AB57" s="565"/>
      <c r="AC57" s="431"/>
      <c r="AD57" s="431"/>
      <c r="AE57" s="419"/>
      <c r="AF57" s="1574"/>
      <c r="AG57" s="419"/>
      <c r="AH57" s="431"/>
      <c r="AI57" s="431"/>
      <c r="AJ57" s="419"/>
      <c r="AK57" s="511"/>
      <c r="AL57" s="532"/>
      <c r="AM57" s="419"/>
      <c r="AN57" s="574"/>
      <c r="AO57" s="909"/>
      <c r="AP57" s="563"/>
      <c r="AQ57" s="434"/>
      <c r="AR57" s="449"/>
      <c r="AS57" s="2771"/>
      <c r="AT57" s="558"/>
      <c r="AU57" s="563"/>
      <c r="AV57" s="434"/>
      <c r="AW57" s="449"/>
      <c r="AX57" s="465"/>
      <c r="AY57" s="464"/>
      <c r="AZ57" s="449"/>
      <c r="BA57" s="559"/>
      <c r="BB57" s="2127"/>
      <c r="BC57" s="2127"/>
    </row>
    <row r="58" spans="1:56">
      <c r="A58" s="2456" t="s">
        <v>631</v>
      </c>
      <c r="B58" s="227"/>
      <c r="C58" s="225"/>
      <c r="D58" s="4324">
        <f>IF(F1_Breeding_Method="Bull",Defaults!C50,IF(F1_Breeding_Method="AI with Sync",Defaults!D50,Defaults!E50))</f>
        <v>30</v>
      </c>
      <c r="E58" s="4325"/>
      <c r="F58" s="2469"/>
      <c r="G58" s="171"/>
      <c r="H58" s="225"/>
      <c r="I58" s="4324">
        <f>IF(F1_Breeding_Method="Bull",Defaults!C63,IF(F1_Breeding_Method="AI with Sync",Defaults!D63,Defaults!E63))</f>
        <v>30</v>
      </c>
      <c r="J58" s="4325"/>
      <c r="K58" s="186"/>
      <c r="L58" s="216"/>
      <c r="M58" s="330"/>
      <c r="N58" s="280"/>
      <c r="O58" s="44"/>
      <c r="P58" s="226"/>
      <c r="Q58" s="4318">
        <f>IF(F2_Breeding_Method="Bull",Defaults!C50,IF(F2_Breeding_Method=2,Defaults!D50,Defaults!E50))</f>
        <v>30</v>
      </c>
      <c r="R58" s="4319"/>
      <c r="S58" s="2471"/>
      <c r="T58" s="317"/>
      <c r="U58" s="321"/>
      <c r="V58" s="4318">
        <f>IF(F2_Breeding_Method="Bull",Defaults!C63,IF(F2_Breeding_Method="AI with Sync",Defaults!D63,Defaults!E63))</f>
        <v>30</v>
      </c>
      <c r="W58" s="4319"/>
      <c r="X58" s="44"/>
      <c r="Y58" s="41"/>
      <c r="Z58" s="331"/>
      <c r="AA58" s="279"/>
      <c r="AB58" s="565"/>
      <c r="AC58" s="431"/>
      <c r="AD58" s="4278">
        <f>IF(F3_Breeding_Method="Bull",Defaults!C50,IF(F3_Breeding_Method="AI with Sync",Defaults!D50,Defaults!E50))</f>
        <v>30</v>
      </c>
      <c r="AE58" s="4279"/>
      <c r="AF58" s="1574"/>
      <c r="AG58" s="419"/>
      <c r="AH58" s="431"/>
      <c r="AI58" s="4278">
        <f>IF(F3_Breeding_Method="Bull",Defaults!C63,IF(F3_Breeding_Method="AI with Sync",Defaults!D63,Defaults!E63))</f>
        <v>30</v>
      </c>
      <c r="AJ58" s="4279"/>
      <c r="AK58" s="511"/>
      <c r="AL58" s="532"/>
      <c r="AM58" s="2646"/>
      <c r="AN58" s="574"/>
      <c r="AO58" s="909"/>
      <c r="AP58" s="563"/>
      <c r="AQ58" s="4280">
        <f>IF(F4_Breeding_Method="Bull",Defaults!C50,IF(F4_Breeding_Method=2,Defaults!D50,Defaults!E50))</f>
        <v>30</v>
      </c>
      <c r="AR58" s="4281"/>
      <c r="AS58" s="2771"/>
      <c r="AT58" s="558"/>
      <c r="AU58" s="563"/>
      <c r="AV58" s="4280">
        <f>IF(F4_Breeding_Method="Bull",Defaults!C63,IF(F4_Breeding_Method="AI with Sync",Defaults!D63,Defaults!E63))</f>
        <v>30</v>
      </c>
      <c r="AW58" s="4281"/>
      <c r="AX58" s="465"/>
      <c r="AY58" s="464"/>
      <c r="AZ58" s="649"/>
      <c r="BA58" s="559"/>
      <c r="BB58" s="2127"/>
      <c r="BC58" s="2127"/>
    </row>
    <row r="59" spans="1:56" ht="5.25" customHeight="1">
      <c r="A59" s="205"/>
      <c r="B59" s="230"/>
      <c r="C59" s="190"/>
      <c r="D59" s="190"/>
      <c r="E59" s="161"/>
      <c r="F59" s="2470"/>
      <c r="G59" s="161"/>
      <c r="H59" s="190"/>
      <c r="I59" s="190"/>
      <c r="J59" s="161"/>
      <c r="K59" s="190"/>
      <c r="L59" s="215"/>
      <c r="M59" s="161"/>
      <c r="N59" s="231"/>
      <c r="O59" s="67"/>
      <c r="P59" s="67"/>
      <c r="Q59" s="67"/>
      <c r="R59" s="85"/>
      <c r="S59" s="3315"/>
      <c r="T59" s="276"/>
      <c r="U59" s="905"/>
      <c r="V59" s="67"/>
      <c r="W59" s="85"/>
      <c r="X59" s="67"/>
      <c r="Y59" s="66"/>
      <c r="Z59" s="85"/>
      <c r="AA59" s="138"/>
      <c r="AB59" s="567"/>
      <c r="AC59" s="516"/>
      <c r="AD59" s="516"/>
      <c r="AE59" s="568"/>
      <c r="AF59" s="580"/>
      <c r="AG59" s="568"/>
      <c r="AH59" s="516"/>
      <c r="AI59" s="516"/>
      <c r="AJ59" s="568"/>
      <c r="AK59" s="516"/>
      <c r="AL59" s="569"/>
      <c r="AM59" s="568"/>
      <c r="AN59" s="2765"/>
      <c r="AO59" s="919"/>
      <c r="AP59" s="919"/>
      <c r="AQ59" s="469"/>
      <c r="AR59" s="553"/>
      <c r="AS59" s="3322"/>
      <c r="AT59" s="596"/>
      <c r="AU59" s="919"/>
      <c r="AV59" s="469"/>
      <c r="AW59" s="553"/>
      <c r="AX59" s="469"/>
      <c r="AY59" s="554"/>
      <c r="AZ59" s="553"/>
      <c r="BA59" s="2775"/>
      <c r="BB59" s="2127"/>
      <c r="BC59" s="2127"/>
    </row>
    <row r="60" spans="1:56" ht="6" customHeight="1">
      <c r="A60" s="2431"/>
      <c r="B60" s="2472"/>
      <c r="C60" s="233"/>
      <c r="D60" s="233"/>
      <c r="E60" s="228"/>
      <c r="F60" s="228"/>
      <c r="G60" s="2252"/>
      <c r="H60" s="228"/>
      <c r="I60" s="228"/>
      <c r="J60" s="228"/>
      <c r="K60" s="228"/>
      <c r="L60" s="187"/>
      <c r="M60" s="233"/>
      <c r="N60" s="234"/>
      <c r="O60" s="53"/>
      <c r="P60" s="100"/>
      <c r="Q60" s="100"/>
      <c r="R60" s="53"/>
      <c r="S60" s="3318"/>
      <c r="T60" s="3319"/>
      <c r="U60" s="3318"/>
      <c r="V60" s="53"/>
      <c r="W60" s="53"/>
      <c r="X60" s="53"/>
      <c r="Y60" s="136"/>
      <c r="Z60" s="100"/>
      <c r="AA60" s="139"/>
      <c r="AB60" s="2759"/>
      <c r="AC60" s="575"/>
      <c r="AD60" s="575"/>
      <c r="AE60" s="564"/>
      <c r="AF60" s="564"/>
      <c r="AG60" s="2760"/>
      <c r="AH60" s="564"/>
      <c r="AI60" s="564"/>
      <c r="AJ60" s="564"/>
      <c r="AK60" s="564"/>
      <c r="AL60" s="512"/>
      <c r="AM60" s="575"/>
      <c r="AN60" s="3356"/>
      <c r="AO60" s="3325"/>
      <c r="AP60" s="3324"/>
      <c r="AQ60" s="560"/>
      <c r="AR60" s="556"/>
      <c r="AS60" s="3325"/>
      <c r="AT60" s="3326"/>
      <c r="AU60" s="3325"/>
      <c r="AV60" s="556"/>
      <c r="AW60" s="556"/>
      <c r="AX60" s="556"/>
      <c r="AY60" s="550"/>
      <c r="AZ60" s="560"/>
      <c r="BA60" s="3328"/>
    </row>
    <row r="61" spans="1:56" ht="26.25" customHeight="1">
      <c r="A61" s="2473" t="s">
        <v>370</v>
      </c>
      <c r="B61" s="194"/>
      <c r="C61" s="186"/>
      <c r="D61" s="186"/>
      <c r="E61" s="186"/>
      <c r="F61" s="186"/>
      <c r="G61" s="216"/>
      <c r="H61" s="186"/>
      <c r="I61" s="186"/>
      <c r="J61" s="186"/>
      <c r="K61" s="186"/>
      <c r="L61" s="216"/>
      <c r="M61" s="186"/>
      <c r="N61" s="188"/>
      <c r="O61" s="44"/>
      <c r="P61" s="44"/>
      <c r="Q61" s="44"/>
      <c r="R61" s="44"/>
      <c r="S61" s="880"/>
      <c r="T61" s="2133"/>
      <c r="U61" s="880"/>
      <c r="V61" s="44"/>
      <c r="W61" s="44"/>
      <c r="X61" s="1001"/>
      <c r="Y61" s="44"/>
      <c r="Z61" s="44"/>
      <c r="AA61" s="52"/>
      <c r="AB61" s="514"/>
      <c r="AC61" s="511"/>
      <c r="AD61" s="511"/>
      <c r="AE61" s="511"/>
      <c r="AF61" s="511"/>
      <c r="AG61" s="532"/>
      <c r="AH61" s="511"/>
      <c r="AI61" s="511"/>
      <c r="AJ61" s="511"/>
      <c r="AK61" s="511"/>
      <c r="AL61" s="532"/>
      <c r="AM61" s="511"/>
      <c r="AN61" s="1329"/>
      <c r="AO61" s="909"/>
      <c r="AP61" s="909"/>
      <c r="AQ61" s="465"/>
      <c r="AR61" s="465"/>
      <c r="AS61" s="909"/>
      <c r="AT61" s="2138"/>
      <c r="AU61" s="909"/>
      <c r="AV61" s="465"/>
      <c r="AW61" s="465"/>
      <c r="AX61" s="1022"/>
      <c r="AY61" s="465"/>
      <c r="AZ61" s="465"/>
      <c r="BA61" s="1354"/>
      <c r="BB61" s="2127"/>
      <c r="BC61" s="2128"/>
      <c r="BD61" s="39"/>
    </row>
    <row r="62" spans="1:56" ht="5.25" customHeight="1">
      <c r="A62" s="206"/>
      <c r="B62" s="230"/>
      <c r="C62" s="161"/>
      <c r="D62" s="161"/>
      <c r="E62" s="190"/>
      <c r="F62" s="190"/>
      <c r="G62" s="2264"/>
      <c r="H62" s="190"/>
      <c r="I62" s="190"/>
      <c r="J62" s="190"/>
      <c r="K62" s="190"/>
      <c r="L62" s="215"/>
      <c r="M62" s="161"/>
      <c r="N62" s="231"/>
      <c r="O62" s="67"/>
      <c r="P62" s="85"/>
      <c r="Q62" s="85"/>
      <c r="R62" s="67"/>
      <c r="S62" s="905"/>
      <c r="T62" s="907"/>
      <c r="U62" s="905"/>
      <c r="V62" s="67"/>
      <c r="W62" s="67"/>
      <c r="X62" s="67"/>
      <c r="Y62" s="66"/>
      <c r="Z62" s="85"/>
      <c r="AA62" s="138"/>
      <c r="AB62" s="567"/>
      <c r="AC62" s="568"/>
      <c r="AD62" s="568"/>
      <c r="AE62" s="516"/>
      <c r="AF62" s="516"/>
      <c r="AG62" s="2628"/>
      <c r="AH62" s="516"/>
      <c r="AI62" s="516"/>
      <c r="AJ62" s="516"/>
      <c r="AK62" s="516"/>
      <c r="AL62" s="569"/>
      <c r="AM62" s="568"/>
      <c r="AN62" s="2765"/>
      <c r="AO62" s="919"/>
      <c r="AP62" s="596"/>
      <c r="AQ62" s="553"/>
      <c r="AR62" s="469"/>
      <c r="AS62" s="919"/>
      <c r="AT62" s="920"/>
      <c r="AU62" s="919"/>
      <c r="AV62" s="469"/>
      <c r="AW62" s="469"/>
      <c r="AX62" s="469"/>
      <c r="AY62" s="554"/>
      <c r="AZ62" s="553"/>
      <c r="BA62" s="2775"/>
      <c r="BB62" s="2127"/>
      <c r="BC62" s="2127"/>
    </row>
    <row r="63" spans="1:56">
      <c r="A63" s="2362" t="s">
        <v>741</v>
      </c>
      <c r="B63" s="227">
        <v>45</v>
      </c>
      <c r="C63" s="225"/>
      <c r="D63" s="186"/>
      <c r="E63" s="186"/>
      <c r="F63" s="186"/>
      <c r="G63" s="170">
        <v>45</v>
      </c>
      <c r="H63" s="186"/>
      <c r="I63" s="186"/>
      <c r="J63" s="186"/>
      <c r="K63" s="186"/>
      <c r="L63" s="216"/>
      <c r="M63" s="186"/>
      <c r="N63" s="213"/>
      <c r="O63" s="44"/>
      <c r="P63" s="1504"/>
      <c r="Q63" s="44"/>
      <c r="R63" s="44"/>
      <c r="S63" s="880"/>
      <c r="T63" s="2133"/>
      <c r="U63" s="880"/>
      <c r="V63" s="44"/>
      <c r="W63" s="44"/>
      <c r="X63" s="44"/>
      <c r="Y63" s="41"/>
      <c r="Z63" s="44"/>
      <c r="AA63" s="133"/>
      <c r="AB63" s="565">
        <v>45</v>
      </c>
      <c r="AC63" s="431"/>
      <c r="AD63" s="511"/>
      <c r="AE63" s="511"/>
      <c r="AF63" s="511"/>
      <c r="AG63" s="418">
        <v>45</v>
      </c>
      <c r="AH63" s="511"/>
      <c r="AI63" s="511"/>
      <c r="AJ63" s="511"/>
      <c r="AK63" s="511"/>
      <c r="AL63" s="532"/>
      <c r="AM63" s="511"/>
      <c r="AN63" s="574"/>
      <c r="AO63" s="909"/>
      <c r="AP63" s="3283"/>
      <c r="AQ63" s="465"/>
      <c r="AR63" s="465"/>
      <c r="AS63" s="909"/>
      <c r="AT63" s="2138"/>
      <c r="AU63" s="909"/>
      <c r="AV63" s="465"/>
      <c r="AW63" s="465"/>
      <c r="AX63" s="465"/>
      <c r="AY63" s="464"/>
      <c r="AZ63" s="465"/>
      <c r="BA63" s="559"/>
      <c r="BB63" s="2127"/>
      <c r="BC63" s="2127"/>
    </row>
    <row r="64" spans="1:56" ht="2.25" customHeight="1">
      <c r="A64" s="2363"/>
      <c r="B64" s="227"/>
      <c r="C64" s="171"/>
      <c r="D64" s="186"/>
      <c r="E64" s="186"/>
      <c r="F64" s="186"/>
      <c r="G64" s="170"/>
      <c r="H64" s="186"/>
      <c r="I64" s="186"/>
      <c r="J64" s="186"/>
      <c r="K64" s="186"/>
      <c r="L64" s="216"/>
      <c r="M64" s="171"/>
      <c r="N64" s="213"/>
      <c r="O64" s="44"/>
      <c r="P64" s="42"/>
      <c r="Q64" s="44"/>
      <c r="R64" s="44"/>
      <c r="S64" s="880"/>
      <c r="T64" s="2133"/>
      <c r="U64" s="880"/>
      <c r="V64" s="44"/>
      <c r="W64" s="44"/>
      <c r="X64" s="44"/>
      <c r="Y64" s="41"/>
      <c r="Z64" s="42"/>
      <c r="AA64" s="133"/>
      <c r="AB64" s="565"/>
      <c r="AC64" s="419"/>
      <c r="AD64" s="511"/>
      <c r="AE64" s="511"/>
      <c r="AF64" s="511"/>
      <c r="AG64" s="418"/>
      <c r="AH64" s="511"/>
      <c r="AI64" s="511"/>
      <c r="AJ64" s="511"/>
      <c r="AK64" s="511"/>
      <c r="AL64" s="532"/>
      <c r="AM64" s="419"/>
      <c r="AN64" s="574"/>
      <c r="AO64" s="909"/>
      <c r="AP64" s="558"/>
      <c r="AQ64" s="465"/>
      <c r="AR64" s="465"/>
      <c r="AS64" s="909"/>
      <c r="AT64" s="2138"/>
      <c r="AU64" s="909"/>
      <c r="AV64" s="465"/>
      <c r="AW64" s="465"/>
      <c r="AX64" s="465"/>
      <c r="AY64" s="464"/>
      <c r="AZ64" s="449"/>
      <c r="BA64" s="559"/>
      <c r="BB64" s="2127"/>
      <c r="BC64" s="2127"/>
    </row>
    <row r="65" spans="1:55">
      <c r="A65" s="2364" t="s">
        <v>1410</v>
      </c>
      <c r="B65" s="227">
        <v>45</v>
      </c>
      <c r="C65" s="225" t="s">
        <v>118</v>
      </c>
      <c r="D65" s="225"/>
      <c r="E65" s="225"/>
      <c r="F65" s="186"/>
      <c r="G65" s="170">
        <v>45</v>
      </c>
      <c r="H65" s="225" t="s">
        <v>118</v>
      </c>
      <c r="I65" s="186"/>
      <c r="J65" s="186"/>
      <c r="K65" s="186"/>
      <c r="L65" s="216"/>
      <c r="M65" s="186"/>
      <c r="N65" s="213"/>
      <c r="O65" s="44"/>
      <c r="P65" s="2459" t="s">
        <v>118</v>
      </c>
      <c r="Q65" s="226"/>
      <c r="R65" s="226"/>
      <c r="S65" s="2261"/>
      <c r="T65" s="2467"/>
      <c r="U65" s="3281" t="s">
        <v>118</v>
      </c>
      <c r="V65" s="2261"/>
      <c r="W65" s="2261"/>
      <c r="X65" s="44"/>
      <c r="Y65" s="41"/>
      <c r="Z65" s="44"/>
      <c r="AA65" s="133"/>
      <c r="AB65" s="565">
        <v>45</v>
      </c>
      <c r="AC65" s="431" t="s">
        <v>118</v>
      </c>
      <c r="AD65" s="431"/>
      <c r="AE65" s="431"/>
      <c r="AF65" s="511"/>
      <c r="AG65" s="418">
        <v>45</v>
      </c>
      <c r="AH65" s="431" t="s">
        <v>118</v>
      </c>
      <c r="AI65" s="511"/>
      <c r="AJ65" s="511"/>
      <c r="AK65" s="511"/>
      <c r="AL65" s="532"/>
      <c r="AM65" s="511"/>
      <c r="AN65" s="574"/>
      <c r="AO65" s="909"/>
      <c r="AP65" s="3283" t="s">
        <v>118</v>
      </c>
      <c r="AQ65" s="434"/>
      <c r="AR65" s="434"/>
      <c r="AS65" s="2663"/>
      <c r="AT65" s="2772"/>
      <c r="AU65" s="3283" t="s">
        <v>118</v>
      </c>
      <c r="AV65" s="2663"/>
      <c r="AW65" s="2663"/>
      <c r="AX65" s="465"/>
      <c r="AY65" s="464"/>
      <c r="AZ65" s="465"/>
      <c r="BA65" s="559"/>
      <c r="BB65" s="2127"/>
      <c r="BC65" s="2127"/>
    </row>
    <row r="66" spans="1:55">
      <c r="A66" s="2456" t="s">
        <v>702</v>
      </c>
      <c r="B66" s="227"/>
      <c r="C66" s="225"/>
      <c r="D66" s="4276">
        <v>0.2</v>
      </c>
      <c r="E66" s="4277"/>
      <c r="F66" s="2537"/>
      <c r="G66" s="2538"/>
      <c r="H66" s="2539"/>
      <c r="I66" s="4276">
        <v>0.18</v>
      </c>
      <c r="J66" s="4277"/>
      <c r="K66" s="186"/>
      <c r="L66" s="216"/>
      <c r="M66" s="2460"/>
      <c r="N66" s="280"/>
      <c r="O66" s="44"/>
      <c r="P66" s="226"/>
      <c r="Q66" s="4276">
        <v>0.17</v>
      </c>
      <c r="R66" s="4277"/>
      <c r="S66" s="2471"/>
      <c r="T66" s="317"/>
      <c r="U66" s="321"/>
      <c r="V66" s="4276">
        <v>0.15</v>
      </c>
      <c r="W66" s="4277"/>
      <c r="X66" s="44"/>
      <c r="Y66" s="41"/>
      <c r="Z66" s="2460"/>
      <c r="AA66" s="279"/>
      <c r="AB66" s="565"/>
      <c r="AC66" s="431"/>
      <c r="AD66" s="4276">
        <v>0.12</v>
      </c>
      <c r="AE66" s="4277"/>
      <c r="AF66" s="2761"/>
      <c r="AG66" s="2762"/>
      <c r="AH66" s="2763"/>
      <c r="AI66" s="4276">
        <v>0.09</v>
      </c>
      <c r="AJ66" s="4277"/>
      <c r="AK66" s="511"/>
      <c r="AL66" s="532"/>
      <c r="AM66" s="2727"/>
      <c r="AN66" s="574"/>
      <c r="AO66" s="909"/>
      <c r="AP66" s="563"/>
      <c r="AQ66" s="4276">
        <v>0.08</v>
      </c>
      <c r="AR66" s="4277"/>
      <c r="AS66" s="2771"/>
      <c r="AT66" s="558"/>
      <c r="AU66" s="563"/>
      <c r="AV66" s="4276">
        <v>0.06</v>
      </c>
      <c r="AW66" s="4277"/>
      <c r="AX66" s="465"/>
      <c r="AY66" s="464"/>
      <c r="AZ66" s="2727"/>
      <c r="BA66" s="559"/>
      <c r="BB66" s="2127"/>
      <c r="BC66" s="2127"/>
    </row>
    <row r="67" spans="1:55" ht="2.25" customHeight="1">
      <c r="A67" s="209"/>
      <c r="B67" s="227"/>
      <c r="C67" s="225"/>
      <c r="D67" s="225"/>
      <c r="E67" s="171"/>
      <c r="F67" s="2469"/>
      <c r="G67" s="171"/>
      <c r="H67" s="225"/>
      <c r="I67" s="225"/>
      <c r="J67" s="171"/>
      <c r="K67" s="186"/>
      <c r="L67" s="216"/>
      <c r="M67" s="171"/>
      <c r="N67" s="280"/>
      <c r="O67" s="44"/>
      <c r="P67" s="226"/>
      <c r="Q67" s="226"/>
      <c r="R67" s="42"/>
      <c r="S67" s="2471"/>
      <c r="T67" s="317"/>
      <c r="U67" s="321"/>
      <c r="V67" s="226"/>
      <c r="W67" s="42"/>
      <c r="X67" s="44"/>
      <c r="Y67" s="41"/>
      <c r="Z67" s="42"/>
      <c r="AA67" s="279"/>
      <c r="AB67" s="565"/>
      <c r="AC67" s="431"/>
      <c r="AD67" s="431"/>
      <c r="AE67" s="419"/>
      <c r="AF67" s="1574"/>
      <c r="AG67" s="419"/>
      <c r="AH67" s="431"/>
      <c r="AI67" s="431"/>
      <c r="AJ67" s="419"/>
      <c r="AK67" s="511"/>
      <c r="AL67" s="532"/>
      <c r="AM67" s="419"/>
      <c r="AN67" s="574"/>
      <c r="AO67" s="909"/>
      <c r="AP67" s="563"/>
      <c r="AQ67" s="434"/>
      <c r="AR67" s="449"/>
      <c r="AS67" s="2771"/>
      <c r="AT67" s="558"/>
      <c r="AU67" s="563"/>
      <c r="AV67" s="434"/>
      <c r="AW67" s="449"/>
      <c r="AX67" s="465"/>
      <c r="AY67" s="464"/>
      <c r="AZ67" s="449"/>
      <c r="BA67" s="559"/>
      <c r="BB67" s="2127"/>
      <c r="BC67" s="2127"/>
    </row>
    <row r="68" spans="1:55">
      <c r="A68" s="2456" t="s">
        <v>631</v>
      </c>
      <c r="B68" s="227"/>
      <c r="C68" s="225"/>
      <c r="D68" s="4314">
        <f>IF(F1_Breeding_Method="Bull",Defaults!$C$51,IF(F1_Breeding_Method="AI with Sync", Defaults!$D$51,Defaults!$E$51))</f>
        <v>0.16</v>
      </c>
      <c r="E68" s="4315"/>
      <c r="F68" s="2469"/>
      <c r="G68" s="171"/>
      <c r="H68" s="225"/>
      <c r="I68" s="4314">
        <f>IF(F1_Breeding_Method="Bull",Defaults!C64,IF(F1_Breeding_Method="AI with Sync", Defaults!D64,Defaults!$E$64))</f>
        <v>0.16</v>
      </c>
      <c r="J68" s="4315"/>
      <c r="K68" s="186"/>
      <c r="L68" s="216"/>
      <c r="M68" s="330">
        <v>2</v>
      </c>
      <c r="N68" s="280"/>
      <c r="O68" s="44"/>
      <c r="P68" s="226"/>
      <c r="Q68" s="4310">
        <f>IF(F2_Breeding_Method="Bull",Defaults!$C$51,IF(F2_Breeding_Method="AI with Sync", Defaults!$D$51,Defaults!$E$51))</f>
        <v>0.16</v>
      </c>
      <c r="R68" s="4311"/>
      <c r="S68" s="299"/>
      <c r="T68" s="317"/>
      <c r="U68" s="321"/>
      <c r="V68" s="4310">
        <f>IF(F2_Breeding_Method="Bull",Defaults!C64,IF(F2_Breeding_Method="AI with Sync", Defaults!D64,Defaults!$E$64))</f>
        <v>0.16</v>
      </c>
      <c r="W68" s="4311"/>
      <c r="X68" s="44"/>
      <c r="Y68" s="41"/>
      <c r="Z68" s="331">
        <v>2</v>
      </c>
      <c r="AA68" s="279"/>
      <c r="AB68" s="565"/>
      <c r="AC68" s="431"/>
      <c r="AD68" s="4264">
        <f>IF(F3_Breeding_Method="Bull",Defaults!$C$51,IF(F3_Breeding_Method="AI with Sync", Defaults!$D$51,Defaults!$E$51))</f>
        <v>0.13</v>
      </c>
      <c r="AE68" s="4265"/>
      <c r="AF68" s="1574"/>
      <c r="AG68" s="419"/>
      <c r="AH68" s="431"/>
      <c r="AI68" s="4264">
        <f>IF(F3_Breeding_Method="Bull",Defaults!C64,IF(F3_Breeding_Method="AI with Sync", Defaults!D64,Defaults!$E$64))</f>
        <v>0.13</v>
      </c>
      <c r="AJ68" s="4265"/>
      <c r="AK68" s="511"/>
      <c r="AL68" s="532"/>
      <c r="AM68" s="2646">
        <v>2</v>
      </c>
      <c r="AN68" s="574"/>
      <c r="AO68" s="909"/>
      <c r="AP68" s="563"/>
      <c r="AQ68" s="4266">
        <f>IF(F4_Breeding_Method="Bull",Defaults!$C$51,IF(F4_Breeding_Method="AI with Sync", Defaults!$D$51,Defaults!$E$51))</f>
        <v>0.13</v>
      </c>
      <c r="AR68" s="4267"/>
      <c r="AS68" s="436"/>
      <c r="AT68" s="558"/>
      <c r="AU68" s="563"/>
      <c r="AV68" s="4266">
        <f>IF(F4_Breeding_Method="Bull",Defaults!C64,IF(F4_Breeding_Method="AI with Sync", Defaults!D64,Defaults!$E$64))</f>
        <v>0.13</v>
      </c>
      <c r="AW68" s="4267"/>
      <c r="AX68" s="465"/>
      <c r="AY68" s="464"/>
      <c r="AZ68" s="649">
        <v>2</v>
      </c>
      <c r="BA68" s="559"/>
      <c r="BB68" s="2127"/>
      <c r="BC68" s="2127"/>
    </row>
    <row r="69" spans="1:55" ht="6" customHeight="1">
      <c r="A69" s="2456"/>
      <c r="B69" s="230"/>
      <c r="C69" s="190"/>
      <c r="D69" s="2474"/>
      <c r="E69" s="2474"/>
      <c r="F69" s="2470"/>
      <c r="G69" s="161"/>
      <c r="H69" s="190"/>
      <c r="I69" s="2474"/>
      <c r="J69" s="2474"/>
      <c r="K69" s="190"/>
      <c r="L69" s="215"/>
      <c r="M69" s="275"/>
      <c r="N69" s="2475"/>
      <c r="O69" s="67"/>
      <c r="P69" s="67"/>
      <c r="Q69" s="2476"/>
      <c r="R69" s="2476"/>
      <c r="S69" s="2477"/>
      <c r="T69" s="276"/>
      <c r="U69" s="905"/>
      <c r="V69" s="2476"/>
      <c r="W69" s="2476"/>
      <c r="X69" s="67"/>
      <c r="Y69" s="66"/>
      <c r="Z69" s="2478"/>
      <c r="AA69" s="2479"/>
      <c r="AB69" s="567"/>
      <c r="AC69" s="516"/>
      <c r="AD69" s="2764"/>
      <c r="AE69" s="2764"/>
      <c r="AF69" s="580"/>
      <c r="AG69" s="568"/>
      <c r="AH69" s="516"/>
      <c r="AI69" s="2764"/>
      <c r="AJ69" s="2764"/>
      <c r="AK69" s="516"/>
      <c r="AL69" s="569"/>
      <c r="AM69" s="592"/>
      <c r="AN69" s="2765"/>
      <c r="AO69" s="919"/>
      <c r="AP69" s="919"/>
      <c r="AQ69" s="2773"/>
      <c r="AR69" s="2773"/>
      <c r="AS69" s="2774"/>
      <c r="AT69" s="596"/>
      <c r="AU69" s="919"/>
      <c r="AV69" s="2773"/>
      <c r="AW69" s="2773"/>
      <c r="AX69" s="469"/>
      <c r="AY69" s="554"/>
      <c r="AZ69" s="596"/>
      <c r="BA69" s="2775"/>
      <c r="BB69" s="2127"/>
      <c r="BC69" s="2127"/>
    </row>
    <row r="70" spans="1:55" ht="6.75" customHeight="1">
      <c r="A70" s="2363"/>
      <c r="B70" s="227"/>
      <c r="C70" s="186"/>
      <c r="D70" s="186"/>
      <c r="E70" s="171"/>
      <c r="F70" s="186"/>
      <c r="G70" s="170"/>
      <c r="H70" s="186"/>
      <c r="I70" s="186"/>
      <c r="J70" s="186"/>
      <c r="K70" s="186"/>
      <c r="L70" s="216"/>
      <c r="M70" s="171"/>
      <c r="N70" s="213"/>
      <c r="O70" s="44"/>
      <c r="P70" s="44"/>
      <c r="Q70" s="44"/>
      <c r="R70" s="42"/>
      <c r="S70" s="317"/>
      <c r="T70" s="2466"/>
      <c r="U70" s="317"/>
      <c r="V70" s="42"/>
      <c r="W70" s="42"/>
      <c r="X70" s="44"/>
      <c r="Y70" s="41"/>
      <c r="Z70" s="42"/>
      <c r="AA70" s="133"/>
      <c r="AB70" s="565"/>
      <c r="AC70" s="511"/>
      <c r="AD70" s="511"/>
      <c r="AE70" s="419"/>
      <c r="AF70" s="511"/>
      <c r="AG70" s="418"/>
      <c r="AH70" s="511"/>
      <c r="AI70" s="511"/>
      <c r="AJ70" s="511"/>
      <c r="AK70" s="511"/>
      <c r="AL70" s="532"/>
      <c r="AM70" s="419"/>
      <c r="AN70" s="574"/>
      <c r="AO70" s="909"/>
      <c r="AP70" s="909"/>
      <c r="AQ70" s="465"/>
      <c r="AR70" s="449"/>
      <c r="AS70" s="558"/>
      <c r="AT70" s="2768"/>
      <c r="AU70" s="558"/>
      <c r="AV70" s="449"/>
      <c r="AW70" s="449"/>
      <c r="AX70" s="465"/>
      <c r="AY70" s="464"/>
      <c r="AZ70" s="449"/>
      <c r="BA70" s="559"/>
      <c r="BB70" s="2127"/>
      <c r="BC70" s="2127"/>
    </row>
    <row r="71" spans="1:55">
      <c r="A71" s="2364" t="s">
        <v>1409</v>
      </c>
      <c r="B71" s="227">
        <v>45</v>
      </c>
      <c r="C71" s="225" t="s">
        <v>118</v>
      </c>
      <c r="D71" s="225"/>
      <c r="E71" s="225"/>
      <c r="F71" s="186"/>
      <c r="G71" s="170">
        <v>45</v>
      </c>
      <c r="H71" s="225" t="s">
        <v>118</v>
      </c>
      <c r="I71" s="186"/>
      <c r="J71" s="186"/>
      <c r="K71" s="186"/>
      <c r="L71" s="216"/>
      <c r="M71" s="186"/>
      <c r="N71" s="213"/>
      <c r="O71" s="44"/>
      <c r="P71" s="2459" t="s">
        <v>118</v>
      </c>
      <c r="Q71" s="226"/>
      <c r="R71" s="226"/>
      <c r="S71" s="317"/>
      <c r="T71" s="2466"/>
      <c r="U71" s="3281" t="s">
        <v>118</v>
      </c>
      <c r="V71" s="317"/>
      <c r="W71" s="317"/>
      <c r="X71" s="44"/>
      <c r="Y71" s="41"/>
      <c r="Z71" s="44"/>
      <c r="AA71" s="133"/>
      <c r="AB71" s="565">
        <v>45</v>
      </c>
      <c r="AC71" s="431" t="s">
        <v>118</v>
      </c>
      <c r="AD71" s="431"/>
      <c r="AE71" s="431"/>
      <c r="AF71" s="511"/>
      <c r="AG71" s="418">
        <v>45</v>
      </c>
      <c r="AH71" s="431" t="s">
        <v>118</v>
      </c>
      <c r="AI71" s="511"/>
      <c r="AJ71" s="511"/>
      <c r="AK71" s="511"/>
      <c r="AL71" s="532"/>
      <c r="AM71" s="511"/>
      <c r="AN71" s="574"/>
      <c r="AO71" s="909"/>
      <c r="AP71" s="3283" t="s">
        <v>118</v>
      </c>
      <c r="AQ71" s="434"/>
      <c r="AR71" s="434"/>
      <c r="AS71" s="558"/>
      <c r="AT71" s="2768"/>
      <c r="AU71" s="3283" t="s">
        <v>118</v>
      </c>
      <c r="AV71" s="558"/>
      <c r="AW71" s="558"/>
      <c r="AX71" s="465"/>
      <c r="AY71" s="464"/>
      <c r="AZ71" s="465"/>
      <c r="BA71" s="559"/>
      <c r="BB71" s="2127"/>
      <c r="BC71" s="2127"/>
    </row>
    <row r="72" spans="1:55">
      <c r="A72" s="2456" t="s">
        <v>702</v>
      </c>
      <c r="B72" s="227"/>
      <c r="C72" s="225"/>
      <c r="D72" s="4160"/>
      <c r="E72" s="4161"/>
      <c r="F72" s="2469"/>
      <c r="G72" s="171"/>
      <c r="H72" s="225"/>
      <c r="I72" s="4160"/>
      <c r="J72" s="4161"/>
      <c r="K72" s="186"/>
      <c r="L72" s="216"/>
      <c r="M72" s="2460"/>
      <c r="N72" s="280"/>
      <c r="O72" s="44"/>
      <c r="P72" s="226"/>
      <c r="Q72" s="4160"/>
      <c r="R72" s="4161"/>
      <c r="S72" s="2471"/>
      <c r="T72" s="317"/>
      <c r="U72" s="321"/>
      <c r="V72" s="4160"/>
      <c r="W72" s="4161"/>
      <c r="X72" s="44"/>
      <c r="Y72" s="41"/>
      <c r="Z72" s="2460"/>
      <c r="AA72" s="279"/>
      <c r="AB72" s="565"/>
      <c r="AC72" s="431"/>
      <c r="AD72" s="4160"/>
      <c r="AE72" s="4161"/>
      <c r="AF72" s="1574"/>
      <c r="AG72" s="419"/>
      <c r="AH72" s="431"/>
      <c r="AI72" s="4160"/>
      <c r="AJ72" s="4161"/>
      <c r="AK72" s="511"/>
      <c r="AL72" s="532"/>
      <c r="AM72" s="2727"/>
      <c r="AN72" s="574"/>
      <c r="AO72" s="909"/>
      <c r="AP72" s="563"/>
      <c r="AQ72" s="4160"/>
      <c r="AR72" s="4161"/>
      <c r="AS72" s="2771"/>
      <c r="AT72" s="558"/>
      <c r="AU72" s="563"/>
      <c r="AV72" s="4160"/>
      <c r="AW72" s="4161"/>
      <c r="AX72" s="465"/>
      <c r="AY72" s="464"/>
      <c r="AZ72" s="2727"/>
      <c r="BA72" s="559"/>
      <c r="BB72" s="2127"/>
      <c r="BC72" s="2127"/>
    </row>
    <row r="73" spans="1:55" ht="2.25" customHeight="1">
      <c r="A73" s="209"/>
      <c r="B73" s="227"/>
      <c r="C73" s="225"/>
      <c r="D73" s="225"/>
      <c r="E73" s="171"/>
      <c r="F73" s="2469"/>
      <c r="G73" s="171"/>
      <c r="H73" s="225"/>
      <c r="I73" s="225"/>
      <c r="J73" s="171"/>
      <c r="K73" s="186"/>
      <c r="L73" s="216"/>
      <c r="M73" s="171"/>
      <c r="N73" s="280"/>
      <c r="O73" s="44"/>
      <c r="P73" s="226"/>
      <c r="Q73" s="226"/>
      <c r="R73" s="42"/>
      <c r="S73" s="2471"/>
      <c r="T73" s="317"/>
      <c r="U73" s="321"/>
      <c r="V73" s="226"/>
      <c r="W73" s="42"/>
      <c r="X73" s="44"/>
      <c r="Y73" s="41"/>
      <c r="Z73" s="42"/>
      <c r="AA73" s="279"/>
      <c r="AB73" s="565"/>
      <c r="AC73" s="431"/>
      <c r="AD73" s="431"/>
      <c r="AE73" s="419"/>
      <c r="AF73" s="1574"/>
      <c r="AG73" s="419"/>
      <c r="AH73" s="431"/>
      <c r="AI73" s="431"/>
      <c r="AJ73" s="419"/>
      <c r="AK73" s="511"/>
      <c r="AL73" s="532"/>
      <c r="AM73" s="419"/>
      <c r="AN73" s="574"/>
      <c r="AO73" s="909"/>
      <c r="AP73" s="563"/>
      <c r="AQ73" s="434"/>
      <c r="AR73" s="449"/>
      <c r="AS73" s="2771"/>
      <c r="AT73" s="558"/>
      <c r="AU73" s="563"/>
      <c r="AV73" s="434"/>
      <c r="AW73" s="449"/>
      <c r="AX73" s="465"/>
      <c r="AY73" s="464"/>
      <c r="AZ73" s="449"/>
      <c r="BA73" s="559"/>
      <c r="BB73" s="2127"/>
      <c r="BC73" s="2127"/>
    </row>
    <row r="74" spans="1:55">
      <c r="A74" s="2456" t="s">
        <v>631</v>
      </c>
      <c r="B74" s="227"/>
      <c r="C74" s="225"/>
      <c r="D74" s="4320">
        <f>IF(F1_Breeding_Method="Bull",Defaults!$C$52,IF(F1_Breeding_Method="AI with Sync", Defaults!$D$52,Defaults!$E$52))</f>
        <v>60</v>
      </c>
      <c r="E74" s="4321"/>
      <c r="F74" s="2469"/>
      <c r="G74" s="171"/>
      <c r="H74" s="225"/>
      <c r="I74" s="4320">
        <f>IF(F1_Breeding_Method="Bull",Defaults!C65,IF(F1_Breeding_Method="AI with Sync", Defaults!$D$65,Defaults!$E$65))</f>
        <v>60</v>
      </c>
      <c r="J74" s="4321"/>
      <c r="K74" s="186"/>
      <c r="L74" s="216"/>
      <c r="M74" s="330"/>
      <c r="N74" s="280"/>
      <c r="O74" s="44"/>
      <c r="P74" s="226"/>
      <c r="Q74" s="4322">
        <f>IF(F2_Breeding_Method="Bull",Defaults!C52,IF(F2_Breeding_Method="AI with Sync", Defaults!$D$52,Defaults!$E$52))</f>
        <v>60</v>
      </c>
      <c r="R74" s="4323"/>
      <c r="S74" s="299"/>
      <c r="T74" s="317"/>
      <c r="U74" s="321"/>
      <c r="V74" s="4322">
        <f>IF(F2_Breeding_Method="Bull",Defaults!C65,IF(F2_Breeding_Method="AI with Sync", Defaults!$D$65,Defaults!$E$65))</f>
        <v>60</v>
      </c>
      <c r="W74" s="4323"/>
      <c r="X74" s="44"/>
      <c r="Y74" s="41"/>
      <c r="Z74" s="331"/>
      <c r="AA74" s="279"/>
      <c r="AB74" s="565"/>
      <c r="AC74" s="431"/>
      <c r="AD74" s="4272">
        <f>IF(F3_Breeding_Method="Bull",Defaults!$C$52,IF(F3_Breeding_Method="AI with Sync", Defaults!$D$52,Defaults!$E$52))</f>
        <v>60</v>
      </c>
      <c r="AE74" s="4273"/>
      <c r="AF74" s="1574"/>
      <c r="AG74" s="419"/>
      <c r="AH74" s="431"/>
      <c r="AI74" s="4272">
        <f>IF(F3_Breeding_Method="Bull",Defaults!C65,IF(F3_Breeding_Method="AI with Sync", Defaults!$D$65,Defaults!$E$65))</f>
        <v>60</v>
      </c>
      <c r="AJ74" s="4273"/>
      <c r="AK74" s="511"/>
      <c r="AL74" s="532"/>
      <c r="AM74" s="2646"/>
      <c r="AN74" s="574"/>
      <c r="AO74" s="909"/>
      <c r="AP74" s="563"/>
      <c r="AQ74" s="4274">
        <f>IF(F4_Breeding_Method="Bull",Defaults!C52,IF(F4_Breeding_Method="AI with Sync", Defaults!$D$52,Defaults!$E$52))</f>
        <v>60</v>
      </c>
      <c r="AR74" s="4275"/>
      <c r="AS74" s="436"/>
      <c r="AT74" s="558"/>
      <c r="AU74" s="563"/>
      <c r="AV74" s="4274">
        <f>IF(F4_Breeding_Method="Bull",Defaults!C65,IF(F4_Breeding_Method="AI with Sync", Defaults!$D$65,Defaults!$E$65))</f>
        <v>60</v>
      </c>
      <c r="AW74" s="4275"/>
      <c r="AX74" s="465"/>
      <c r="AY74" s="464"/>
      <c r="AZ74" s="649"/>
      <c r="BA74" s="559"/>
      <c r="BB74" s="2127"/>
      <c r="BC74" s="2127"/>
    </row>
    <row r="75" spans="1:55" ht="5.25" customHeight="1">
      <c r="A75" s="2363"/>
      <c r="B75" s="230"/>
      <c r="C75" s="190"/>
      <c r="D75" s="190"/>
      <c r="E75" s="161"/>
      <c r="F75" s="190"/>
      <c r="G75" s="2264"/>
      <c r="H75" s="190"/>
      <c r="I75" s="190"/>
      <c r="J75" s="190"/>
      <c r="K75" s="190"/>
      <c r="L75" s="215"/>
      <c r="M75" s="161"/>
      <c r="N75" s="231"/>
      <c r="O75" s="67"/>
      <c r="P75" s="67"/>
      <c r="Q75" s="67"/>
      <c r="R75" s="85"/>
      <c r="S75" s="276"/>
      <c r="T75" s="3310"/>
      <c r="U75" s="276"/>
      <c r="V75" s="85"/>
      <c r="W75" s="85"/>
      <c r="X75" s="67"/>
      <c r="Y75" s="66"/>
      <c r="Z75" s="85"/>
      <c r="AA75" s="138"/>
      <c r="AB75" s="567"/>
      <c r="AC75" s="516"/>
      <c r="AD75" s="516"/>
      <c r="AE75" s="568"/>
      <c r="AF75" s="516"/>
      <c r="AG75" s="2628"/>
      <c r="AH75" s="516"/>
      <c r="AI75" s="516"/>
      <c r="AJ75" s="516"/>
      <c r="AK75" s="516"/>
      <c r="AL75" s="569"/>
      <c r="AM75" s="568"/>
      <c r="AN75" s="2765"/>
      <c r="AO75" s="919"/>
      <c r="AP75" s="919"/>
      <c r="AQ75" s="469"/>
      <c r="AR75" s="553"/>
      <c r="AS75" s="596"/>
      <c r="AT75" s="3311"/>
      <c r="AU75" s="596"/>
      <c r="AV75" s="553"/>
      <c r="AW75" s="553"/>
      <c r="AX75" s="469"/>
      <c r="AY75" s="554"/>
      <c r="AZ75" s="553"/>
      <c r="BA75" s="2775"/>
      <c r="BB75" s="2127"/>
      <c r="BC75" s="2127"/>
    </row>
    <row r="76" spans="1:55" ht="5.25" customHeight="1">
      <c r="A76" s="2365"/>
      <c r="B76" s="227"/>
      <c r="C76" s="171"/>
      <c r="D76" s="171"/>
      <c r="E76" s="186"/>
      <c r="F76" s="186"/>
      <c r="G76" s="170"/>
      <c r="H76" s="186"/>
      <c r="I76" s="186"/>
      <c r="J76" s="186"/>
      <c r="K76" s="186"/>
      <c r="L76" s="216"/>
      <c r="M76" s="171"/>
      <c r="N76" s="213"/>
      <c r="O76" s="44"/>
      <c r="P76" s="42"/>
      <c r="Q76" s="42"/>
      <c r="R76" s="44"/>
      <c r="S76" s="880"/>
      <c r="T76" s="2133"/>
      <c r="U76" s="880"/>
      <c r="V76" s="44"/>
      <c r="W76" s="44"/>
      <c r="X76" s="44"/>
      <c r="Y76" s="41"/>
      <c r="Z76" s="42"/>
      <c r="AA76" s="133"/>
      <c r="AB76" s="565"/>
      <c r="AC76" s="419"/>
      <c r="AD76" s="419"/>
      <c r="AE76" s="511"/>
      <c r="AF76" s="511"/>
      <c r="AG76" s="418"/>
      <c r="AH76" s="511"/>
      <c r="AI76" s="511"/>
      <c r="AJ76" s="511"/>
      <c r="AK76" s="511"/>
      <c r="AL76" s="532"/>
      <c r="AM76" s="419"/>
      <c r="AN76" s="574"/>
      <c r="AO76" s="909"/>
      <c r="AP76" s="558"/>
      <c r="AQ76" s="449"/>
      <c r="AR76" s="465"/>
      <c r="AS76" s="909"/>
      <c r="AT76" s="2138"/>
      <c r="AU76" s="909"/>
      <c r="AV76" s="465"/>
      <c r="AW76" s="465"/>
      <c r="AX76" s="465"/>
      <c r="AY76" s="464"/>
      <c r="AZ76" s="449"/>
      <c r="BA76" s="559"/>
      <c r="BB76" s="2127"/>
      <c r="BC76" s="2127"/>
    </row>
    <row r="77" spans="1:55">
      <c r="A77" s="2362" t="s">
        <v>742</v>
      </c>
      <c r="B77" s="227">
        <v>45</v>
      </c>
      <c r="C77" s="225"/>
      <c r="D77" s="186"/>
      <c r="E77" s="186"/>
      <c r="F77" s="186"/>
      <c r="G77" s="170">
        <v>45</v>
      </c>
      <c r="H77" s="186"/>
      <c r="I77" s="186"/>
      <c r="J77" s="186"/>
      <c r="K77" s="186"/>
      <c r="L77" s="216"/>
      <c r="M77" s="186"/>
      <c r="N77" s="213"/>
      <c r="O77" s="44"/>
      <c r="P77" s="1504"/>
      <c r="Q77" s="44"/>
      <c r="R77" s="44"/>
      <c r="S77" s="880"/>
      <c r="T77" s="2133"/>
      <c r="U77" s="880"/>
      <c r="V77" s="44"/>
      <c r="W77" s="44"/>
      <c r="X77" s="44"/>
      <c r="Y77" s="41"/>
      <c r="Z77" s="44"/>
      <c r="AA77" s="133"/>
      <c r="AB77" s="565">
        <v>45</v>
      </c>
      <c r="AC77" s="431"/>
      <c r="AD77" s="511"/>
      <c r="AE77" s="511"/>
      <c r="AF77" s="511"/>
      <c r="AG77" s="418">
        <v>45</v>
      </c>
      <c r="AH77" s="511"/>
      <c r="AI77" s="511"/>
      <c r="AJ77" s="511"/>
      <c r="AK77" s="511"/>
      <c r="AL77" s="532"/>
      <c r="AM77" s="511"/>
      <c r="AN77" s="574"/>
      <c r="AO77" s="909"/>
      <c r="AP77" s="3283"/>
      <c r="AQ77" s="465"/>
      <c r="AR77" s="465"/>
      <c r="AS77" s="909"/>
      <c r="AT77" s="2138"/>
      <c r="AU77" s="909"/>
      <c r="AV77" s="465"/>
      <c r="AW77" s="465"/>
      <c r="AX77" s="465"/>
      <c r="AY77" s="464"/>
      <c r="AZ77" s="465"/>
      <c r="BA77" s="559"/>
      <c r="BB77" s="2127"/>
      <c r="BC77" s="2127"/>
    </row>
    <row r="78" spans="1:55" ht="2.25" customHeight="1">
      <c r="A78" s="2363"/>
      <c r="B78" s="227"/>
      <c r="C78" s="171"/>
      <c r="D78" s="171"/>
      <c r="E78" s="186"/>
      <c r="F78" s="186"/>
      <c r="G78" s="170"/>
      <c r="H78" s="186"/>
      <c r="I78" s="186"/>
      <c r="J78" s="186"/>
      <c r="K78" s="186"/>
      <c r="L78" s="216"/>
      <c r="M78" s="171"/>
      <c r="N78" s="213"/>
      <c r="O78" s="44"/>
      <c r="P78" s="42"/>
      <c r="Q78" s="42"/>
      <c r="R78" s="44"/>
      <c r="S78" s="880"/>
      <c r="T78" s="2133"/>
      <c r="U78" s="880"/>
      <c r="V78" s="44"/>
      <c r="W78" s="44"/>
      <c r="X78" s="44"/>
      <c r="Y78" s="41"/>
      <c r="Z78" s="42"/>
      <c r="AA78" s="133"/>
      <c r="AB78" s="565"/>
      <c r="AC78" s="419"/>
      <c r="AD78" s="419"/>
      <c r="AE78" s="511"/>
      <c r="AF78" s="511"/>
      <c r="AG78" s="418"/>
      <c r="AH78" s="511"/>
      <c r="AI78" s="511"/>
      <c r="AJ78" s="511"/>
      <c r="AK78" s="511"/>
      <c r="AL78" s="532"/>
      <c r="AM78" s="419"/>
      <c r="AN78" s="574"/>
      <c r="AO78" s="909"/>
      <c r="AP78" s="558"/>
      <c r="AQ78" s="449"/>
      <c r="AR78" s="465"/>
      <c r="AS78" s="909"/>
      <c r="AT78" s="2138"/>
      <c r="AU78" s="909"/>
      <c r="AV78" s="465"/>
      <c r="AW78" s="465"/>
      <c r="AX78" s="465"/>
      <c r="AY78" s="464"/>
      <c r="AZ78" s="449"/>
      <c r="BA78" s="559"/>
      <c r="BB78" s="2127"/>
      <c r="BC78" s="2127"/>
    </row>
    <row r="79" spans="1:55">
      <c r="A79" s="2364" t="s">
        <v>1410</v>
      </c>
      <c r="B79" s="227">
        <v>45</v>
      </c>
      <c r="C79" s="225" t="s">
        <v>118</v>
      </c>
      <c r="D79" s="225"/>
      <c r="E79" s="225"/>
      <c r="F79" s="186"/>
      <c r="G79" s="170">
        <v>45</v>
      </c>
      <c r="H79" s="225" t="s">
        <v>118</v>
      </c>
      <c r="I79" s="186"/>
      <c r="J79" s="186"/>
      <c r="K79" s="186"/>
      <c r="L79" s="216"/>
      <c r="M79" s="186"/>
      <c r="N79" s="213"/>
      <c r="O79" s="44"/>
      <c r="P79" s="2459" t="s">
        <v>118</v>
      </c>
      <c r="Q79" s="226"/>
      <c r="R79" s="226"/>
      <c r="S79" s="299"/>
      <c r="T79" s="2261"/>
      <c r="U79" s="3281" t="s">
        <v>118</v>
      </c>
      <c r="V79" s="2261"/>
      <c r="W79" s="2261"/>
      <c r="X79" s="44"/>
      <c r="Y79" s="41"/>
      <c r="Z79" s="44"/>
      <c r="AA79" s="133"/>
      <c r="AB79" s="565">
        <v>45</v>
      </c>
      <c r="AC79" s="431" t="s">
        <v>118</v>
      </c>
      <c r="AD79" s="431"/>
      <c r="AE79" s="431"/>
      <c r="AF79" s="511"/>
      <c r="AG79" s="418">
        <v>45</v>
      </c>
      <c r="AH79" s="431" t="s">
        <v>118</v>
      </c>
      <c r="AI79" s="511"/>
      <c r="AJ79" s="511"/>
      <c r="AK79" s="511"/>
      <c r="AL79" s="532"/>
      <c r="AM79" s="511"/>
      <c r="AN79" s="574"/>
      <c r="AO79" s="909"/>
      <c r="AP79" s="3283" t="s">
        <v>118</v>
      </c>
      <c r="AQ79" s="434"/>
      <c r="AR79" s="434"/>
      <c r="AS79" s="436"/>
      <c r="AT79" s="2663"/>
      <c r="AU79" s="3283" t="s">
        <v>118</v>
      </c>
      <c r="AV79" s="2663"/>
      <c r="AW79" s="2663"/>
      <c r="AX79" s="465"/>
      <c r="AY79" s="464"/>
      <c r="AZ79" s="465"/>
      <c r="BA79" s="559"/>
      <c r="BB79" s="2127"/>
      <c r="BC79" s="2127"/>
    </row>
    <row r="80" spans="1:55">
      <c r="A80" s="2456" t="s">
        <v>702</v>
      </c>
      <c r="B80" s="227"/>
      <c r="C80" s="225"/>
      <c r="D80" s="4276">
        <v>7.0000000000000007E-2</v>
      </c>
      <c r="E80" s="4277"/>
      <c r="F80" s="2469"/>
      <c r="G80" s="171"/>
      <c r="H80" s="225"/>
      <c r="I80" s="4276">
        <v>0.04</v>
      </c>
      <c r="J80" s="4277"/>
      <c r="K80" s="186"/>
      <c r="L80" s="216"/>
      <c r="M80" s="2460"/>
      <c r="N80" s="280"/>
      <c r="O80" s="44"/>
      <c r="P80" s="226"/>
      <c r="Q80" s="4276">
        <v>0.06</v>
      </c>
      <c r="R80" s="4277"/>
      <c r="S80" s="2471"/>
      <c r="T80" s="317"/>
      <c r="U80" s="321"/>
      <c r="V80" s="4276">
        <v>0.03</v>
      </c>
      <c r="W80" s="4277"/>
      <c r="X80" s="44"/>
      <c r="Y80" s="41"/>
      <c r="Z80" s="2460"/>
      <c r="AA80" s="279"/>
      <c r="AB80" s="565"/>
      <c r="AC80" s="431"/>
      <c r="AD80" s="4276">
        <v>0.04</v>
      </c>
      <c r="AE80" s="4277"/>
      <c r="AF80" s="1574"/>
      <c r="AG80" s="419"/>
      <c r="AH80" s="431"/>
      <c r="AI80" s="4276">
        <v>0.02</v>
      </c>
      <c r="AJ80" s="4277"/>
      <c r="AK80" s="511"/>
      <c r="AL80" s="532"/>
      <c r="AM80" s="2727"/>
      <c r="AN80" s="574"/>
      <c r="AO80" s="909"/>
      <c r="AP80" s="563"/>
      <c r="AQ80" s="4276">
        <v>0.02</v>
      </c>
      <c r="AR80" s="4277"/>
      <c r="AS80" s="2771"/>
      <c r="AT80" s="558"/>
      <c r="AU80" s="563"/>
      <c r="AV80" s="4276">
        <v>1.4999999999999999E-2</v>
      </c>
      <c r="AW80" s="4277"/>
      <c r="AX80" s="465"/>
      <c r="AY80" s="464"/>
      <c r="AZ80" s="2727"/>
      <c r="BA80" s="559"/>
      <c r="BB80" s="2127"/>
      <c r="BC80" s="2127"/>
    </row>
    <row r="81" spans="1:55" ht="2.25" customHeight="1">
      <c r="A81" s="209"/>
      <c r="B81" s="227"/>
      <c r="C81" s="225"/>
      <c r="D81" s="225"/>
      <c r="E81" s="171"/>
      <c r="F81" s="2469"/>
      <c r="G81" s="171"/>
      <c r="H81" s="225"/>
      <c r="I81" s="225"/>
      <c r="J81" s="171"/>
      <c r="K81" s="186"/>
      <c r="L81" s="216"/>
      <c r="M81" s="171"/>
      <c r="N81" s="280"/>
      <c r="O81" s="44"/>
      <c r="P81" s="226"/>
      <c r="Q81" s="226"/>
      <c r="R81" s="42"/>
      <c r="S81" s="2471"/>
      <c r="T81" s="317"/>
      <c r="U81" s="321"/>
      <c r="V81" s="226"/>
      <c r="W81" s="42"/>
      <c r="X81" s="44"/>
      <c r="Y81" s="41"/>
      <c r="Z81" s="42"/>
      <c r="AA81" s="279"/>
      <c r="AB81" s="565"/>
      <c r="AC81" s="431"/>
      <c r="AD81" s="431"/>
      <c r="AE81" s="419"/>
      <c r="AF81" s="1574"/>
      <c r="AG81" s="419"/>
      <c r="AH81" s="431"/>
      <c r="AI81" s="431"/>
      <c r="AJ81" s="419"/>
      <c r="AK81" s="511"/>
      <c r="AL81" s="532"/>
      <c r="AM81" s="419"/>
      <c r="AN81" s="574"/>
      <c r="AO81" s="909"/>
      <c r="AP81" s="563"/>
      <c r="AQ81" s="434"/>
      <c r="AR81" s="449"/>
      <c r="AS81" s="2771"/>
      <c r="AT81" s="558"/>
      <c r="AU81" s="563"/>
      <c r="AV81" s="434"/>
      <c r="AW81" s="449"/>
      <c r="AX81" s="465"/>
      <c r="AY81" s="464"/>
      <c r="AZ81" s="449"/>
      <c r="BA81" s="559"/>
      <c r="BB81" s="2127"/>
      <c r="BC81" s="2127"/>
    </row>
    <row r="82" spans="1:55">
      <c r="A82" s="2456" t="s">
        <v>631</v>
      </c>
      <c r="B82" s="227"/>
      <c r="C82" s="225"/>
      <c r="D82" s="4314">
        <f>IF(F1_Breeding_Method="Bull",Defaults!$C$53,IF(F1_Breeding_Method="AI with Sync",Defaults!$D$53,Defaults!$E$53))</f>
        <v>4.4999999999999998E-2</v>
      </c>
      <c r="E82" s="4315"/>
      <c r="F82" s="2469"/>
      <c r="G82" s="171"/>
      <c r="H82" s="225"/>
      <c r="I82" s="4314">
        <f>IF(F1_Breeding_Method="Bull",Defaults!C66,IF(F1_Breeding_Method="AI with Sync",Defaults!$D$66,Defaults!$E$66))</f>
        <v>3.3000000000000002E-2</v>
      </c>
      <c r="J82" s="4315"/>
      <c r="K82" s="186"/>
      <c r="L82" s="216"/>
      <c r="M82" s="330">
        <v>2</v>
      </c>
      <c r="N82" s="280"/>
      <c r="O82" s="44"/>
      <c r="P82" s="226"/>
      <c r="Q82" s="4310">
        <f>IF(F2_Breeding_Method="Bull",Defaults!$C$53,IF(F2_Breeding_Method="AI with Sync",Defaults!$D$53,Defaults!$E$53))</f>
        <v>4.4999999999999998E-2</v>
      </c>
      <c r="R82" s="4311"/>
      <c r="S82" s="299"/>
      <c r="T82" s="317"/>
      <c r="U82" s="321"/>
      <c r="V82" s="4310">
        <f>IF(F2_Breeding_Method="Bull",Defaults!C66,IF(F2_Breeding_Method="AI with Sync",Defaults!$D$66,Defaults!$E$66))</f>
        <v>3.3000000000000002E-2</v>
      </c>
      <c r="W82" s="4311"/>
      <c r="X82" s="44"/>
      <c r="Y82" s="41"/>
      <c r="Z82" s="331">
        <v>2</v>
      </c>
      <c r="AA82" s="279"/>
      <c r="AB82" s="565"/>
      <c r="AC82" s="431"/>
      <c r="AD82" s="4264">
        <f>IF(F3_Breeding_Method="Bull",Defaults!$C$53,IF(F3_Breeding_Method="AI with Sync",Defaults!$D$53,Defaults!$E$53))</f>
        <v>4.2000000000000003E-2</v>
      </c>
      <c r="AE82" s="4265"/>
      <c r="AF82" s="1574"/>
      <c r="AG82" s="419"/>
      <c r="AH82" s="431"/>
      <c r="AI82" s="4264">
        <f>IF(F3_Breeding_Method="Bull",Defaults!C66,IF(F3_Breeding_Method="AI with Sync",Defaults!$D$66,Defaults!$E$66))</f>
        <v>3.3000000000000002E-2</v>
      </c>
      <c r="AJ82" s="4265"/>
      <c r="AK82" s="511"/>
      <c r="AL82" s="532"/>
      <c r="AM82" s="2646">
        <v>2</v>
      </c>
      <c r="AN82" s="574"/>
      <c r="AO82" s="909"/>
      <c r="AP82" s="563"/>
      <c r="AQ82" s="4266">
        <f>IF(F4_Breeding_Method="Bull",Defaults!$C$53,IF(F4_Breeding_Method="AI with Sync",Defaults!$D$53,Defaults!$E$53))</f>
        <v>4.2000000000000003E-2</v>
      </c>
      <c r="AR82" s="4267"/>
      <c r="AS82" s="436"/>
      <c r="AT82" s="558"/>
      <c r="AU82" s="563"/>
      <c r="AV82" s="4266">
        <f>IF(F4_Breeding_Method="Bull",Defaults!C66,IF(F4_Breeding_Method="AI with Sync",Defaults!$D$66,Defaults!$E$66))</f>
        <v>3.3000000000000002E-2</v>
      </c>
      <c r="AW82" s="4267"/>
      <c r="AX82" s="465"/>
      <c r="AY82" s="464"/>
      <c r="AZ82" s="649">
        <v>2</v>
      </c>
      <c r="BA82" s="559"/>
      <c r="BB82" s="2127"/>
      <c r="BC82" s="2127"/>
    </row>
    <row r="83" spans="1:55" ht="6" customHeight="1">
      <c r="A83" s="2363"/>
      <c r="B83" s="230"/>
      <c r="C83" s="161"/>
      <c r="D83" s="161"/>
      <c r="E83" s="190"/>
      <c r="F83" s="190"/>
      <c r="G83" s="2264"/>
      <c r="H83" s="190"/>
      <c r="I83" s="190"/>
      <c r="J83" s="190"/>
      <c r="K83" s="190"/>
      <c r="L83" s="215"/>
      <c r="M83" s="161"/>
      <c r="N83" s="231"/>
      <c r="O83" s="67"/>
      <c r="P83" s="85"/>
      <c r="Q83" s="85"/>
      <c r="R83" s="67"/>
      <c r="S83" s="3320"/>
      <c r="T83" s="905"/>
      <c r="U83" s="905"/>
      <c r="V83" s="67"/>
      <c r="W83" s="67"/>
      <c r="X83" s="67"/>
      <c r="Y83" s="66"/>
      <c r="Z83" s="85"/>
      <c r="AA83" s="138"/>
      <c r="AB83" s="567"/>
      <c r="AC83" s="568"/>
      <c r="AD83" s="568"/>
      <c r="AE83" s="516"/>
      <c r="AF83" s="516"/>
      <c r="AG83" s="2628"/>
      <c r="AH83" s="516"/>
      <c r="AI83" s="516"/>
      <c r="AJ83" s="516"/>
      <c r="AK83" s="516"/>
      <c r="AL83" s="569"/>
      <c r="AM83" s="568"/>
      <c r="AN83" s="2765"/>
      <c r="AO83" s="919"/>
      <c r="AP83" s="596"/>
      <c r="AQ83" s="553"/>
      <c r="AR83" s="469"/>
      <c r="AS83" s="3327"/>
      <c r="AT83" s="919"/>
      <c r="AU83" s="919"/>
      <c r="AV83" s="469"/>
      <c r="AW83" s="469"/>
      <c r="AX83" s="469"/>
      <c r="AY83" s="554"/>
      <c r="AZ83" s="553"/>
      <c r="BA83" s="2775"/>
      <c r="BB83" s="2127"/>
      <c r="BC83" s="2127"/>
    </row>
    <row r="84" spans="1:55" ht="6" customHeight="1">
      <c r="A84" s="2363"/>
      <c r="B84" s="227"/>
      <c r="C84" s="171"/>
      <c r="D84" s="171"/>
      <c r="E84" s="186"/>
      <c r="F84" s="186"/>
      <c r="G84" s="170"/>
      <c r="H84" s="186"/>
      <c r="I84" s="186"/>
      <c r="J84" s="186"/>
      <c r="K84" s="186"/>
      <c r="L84" s="216"/>
      <c r="M84" s="171"/>
      <c r="N84" s="213"/>
      <c r="O84" s="44"/>
      <c r="P84" s="42"/>
      <c r="Q84" s="42"/>
      <c r="R84" s="44"/>
      <c r="S84" s="3314"/>
      <c r="T84" s="880"/>
      <c r="U84" s="880"/>
      <c r="V84" s="44"/>
      <c r="W84" s="44"/>
      <c r="X84" s="44"/>
      <c r="Y84" s="41"/>
      <c r="Z84" s="42"/>
      <c r="AA84" s="133"/>
      <c r="AB84" s="565"/>
      <c r="AC84" s="419"/>
      <c r="AD84" s="419"/>
      <c r="AE84" s="511"/>
      <c r="AF84" s="511"/>
      <c r="AG84" s="418"/>
      <c r="AH84" s="511"/>
      <c r="AI84" s="511"/>
      <c r="AJ84" s="511"/>
      <c r="AK84" s="511"/>
      <c r="AL84" s="532"/>
      <c r="AM84" s="419"/>
      <c r="AN84" s="574"/>
      <c r="AO84" s="909"/>
      <c r="AP84" s="558"/>
      <c r="AQ84" s="449"/>
      <c r="AR84" s="465"/>
      <c r="AS84" s="3321"/>
      <c r="AT84" s="909"/>
      <c r="AU84" s="909"/>
      <c r="AV84" s="465"/>
      <c r="AW84" s="465"/>
      <c r="AX84" s="465"/>
      <c r="AY84" s="464"/>
      <c r="AZ84" s="449"/>
      <c r="BA84" s="559"/>
      <c r="BB84" s="2127"/>
      <c r="BC84" s="2127"/>
    </row>
    <row r="85" spans="1:55">
      <c r="A85" s="209" t="s">
        <v>1409</v>
      </c>
      <c r="B85" s="227">
        <v>45</v>
      </c>
      <c r="C85" s="225" t="s">
        <v>118</v>
      </c>
      <c r="D85" s="225"/>
      <c r="E85" s="225"/>
      <c r="F85" s="186"/>
      <c r="G85" s="170">
        <v>45</v>
      </c>
      <c r="H85" s="225" t="s">
        <v>118</v>
      </c>
      <c r="I85" s="186"/>
      <c r="J85" s="186"/>
      <c r="K85" s="186"/>
      <c r="L85" s="216"/>
      <c r="M85" s="186"/>
      <c r="N85" s="213"/>
      <c r="O85" s="44"/>
      <c r="P85" s="2459" t="s">
        <v>118</v>
      </c>
      <c r="Q85" s="226"/>
      <c r="R85" s="226"/>
      <c r="S85" s="2471"/>
      <c r="T85" s="317"/>
      <c r="U85" s="3281" t="s">
        <v>118</v>
      </c>
      <c r="V85" s="317"/>
      <c r="W85" s="317"/>
      <c r="X85" s="44"/>
      <c r="Y85" s="41"/>
      <c r="Z85" s="44"/>
      <c r="AA85" s="133"/>
      <c r="AB85" s="565">
        <v>45</v>
      </c>
      <c r="AC85" s="431" t="s">
        <v>118</v>
      </c>
      <c r="AD85" s="431"/>
      <c r="AE85" s="431"/>
      <c r="AF85" s="511"/>
      <c r="AG85" s="418">
        <v>45</v>
      </c>
      <c r="AH85" s="431" t="s">
        <v>118</v>
      </c>
      <c r="AI85" s="511"/>
      <c r="AJ85" s="511"/>
      <c r="AK85" s="511"/>
      <c r="AL85" s="532"/>
      <c r="AM85" s="511"/>
      <c r="AN85" s="574"/>
      <c r="AO85" s="909"/>
      <c r="AP85" s="3283" t="s">
        <v>118</v>
      </c>
      <c r="AQ85" s="434"/>
      <c r="AR85" s="434"/>
      <c r="AS85" s="2771"/>
      <c r="AT85" s="558"/>
      <c r="AU85" s="3283" t="s">
        <v>118</v>
      </c>
      <c r="AV85" s="558"/>
      <c r="AW85" s="558"/>
      <c r="AX85" s="465"/>
      <c r="AY85" s="464"/>
      <c r="AZ85" s="465"/>
      <c r="BA85" s="559"/>
      <c r="BB85" s="2127"/>
      <c r="BC85" s="2127"/>
    </row>
    <row r="86" spans="1:55">
      <c r="A86" s="2456" t="s">
        <v>702</v>
      </c>
      <c r="B86" s="227"/>
      <c r="C86" s="225"/>
      <c r="D86" s="4160">
        <v>100</v>
      </c>
      <c r="E86" s="4161"/>
      <c r="F86" s="2469"/>
      <c r="G86" s="171"/>
      <c r="H86" s="225"/>
      <c r="I86" s="4160">
        <v>100</v>
      </c>
      <c r="J86" s="4161"/>
      <c r="K86" s="186"/>
      <c r="L86" s="216"/>
      <c r="M86" s="2460"/>
      <c r="N86" s="280"/>
      <c r="O86" s="44"/>
      <c r="P86" s="226"/>
      <c r="Q86" s="4160">
        <v>95</v>
      </c>
      <c r="R86" s="4161"/>
      <c r="S86" s="2471"/>
      <c r="T86" s="317"/>
      <c r="U86" s="321"/>
      <c r="V86" s="4160">
        <v>95</v>
      </c>
      <c r="W86" s="4161"/>
      <c r="X86" s="44"/>
      <c r="Y86" s="41"/>
      <c r="Z86" s="2460"/>
      <c r="AA86" s="279"/>
      <c r="AB86" s="565"/>
      <c r="AC86" s="431"/>
      <c r="AD86" s="4160">
        <v>90</v>
      </c>
      <c r="AE86" s="4161"/>
      <c r="AF86" s="1574"/>
      <c r="AG86" s="419"/>
      <c r="AH86" s="431"/>
      <c r="AI86" s="4160">
        <v>90</v>
      </c>
      <c r="AJ86" s="4161"/>
      <c r="AK86" s="511"/>
      <c r="AL86" s="532"/>
      <c r="AM86" s="2727"/>
      <c r="AN86" s="574"/>
      <c r="AO86" s="909"/>
      <c r="AP86" s="563"/>
      <c r="AQ86" s="4160">
        <v>85</v>
      </c>
      <c r="AR86" s="4161"/>
      <c r="AS86" s="2771"/>
      <c r="AT86" s="558"/>
      <c r="AU86" s="563"/>
      <c r="AV86" s="4160">
        <v>85</v>
      </c>
      <c r="AW86" s="4161"/>
      <c r="AX86" s="465"/>
      <c r="AY86" s="464"/>
      <c r="AZ86" s="2727"/>
      <c r="BA86" s="559"/>
      <c r="BB86" s="2127"/>
      <c r="BC86" s="2127"/>
    </row>
    <row r="87" spans="1:55" ht="2.25" customHeight="1">
      <c r="A87" s="209"/>
      <c r="B87" s="227"/>
      <c r="C87" s="225"/>
      <c r="D87" s="225"/>
      <c r="E87" s="171"/>
      <c r="F87" s="2469"/>
      <c r="G87" s="171"/>
      <c r="H87" s="225"/>
      <c r="I87" s="225"/>
      <c r="J87" s="171"/>
      <c r="K87" s="186"/>
      <c r="L87" s="216"/>
      <c r="M87" s="171"/>
      <c r="N87" s="280"/>
      <c r="O87" s="44"/>
      <c r="P87" s="226"/>
      <c r="Q87" s="226"/>
      <c r="R87" s="42"/>
      <c r="S87" s="2471"/>
      <c r="T87" s="317"/>
      <c r="U87" s="321"/>
      <c r="V87" s="226"/>
      <c r="W87" s="42"/>
      <c r="X87" s="44"/>
      <c r="Y87" s="41"/>
      <c r="Z87" s="42"/>
      <c r="AA87" s="279"/>
      <c r="AB87" s="565"/>
      <c r="AC87" s="431"/>
      <c r="AD87" s="431"/>
      <c r="AE87" s="419"/>
      <c r="AF87" s="1574"/>
      <c r="AG87" s="419"/>
      <c r="AH87" s="431"/>
      <c r="AI87" s="431"/>
      <c r="AJ87" s="419"/>
      <c r="AK87" s="511"/>
      <c r="AL87" s="532"/>
      <c r="AM87" s="419"/>
      <c r="AN87" s="574"/>
      <c r="AO87" s="909"/>
      <c r="AP87" s="563"/>
      <c r="AQ87" s="434"/>
      <c r="AR87" s="449"/>
      <c r="AS87" s="2771"/>
      <c r="AT87" s="558"/>
      <c r="AU87" s="563"/>
      <c r="AV87" s="434"/>
      <c r="AW87" s="449"/>
      <c r="AX87" s="465"/>
      <c r="AY87" s="464"/>
      <c r="AZ87" s="449"/>
      <c r="BA87" s="559"/>
      <c r="BB87" s="2127"/>
      <c r="BC87" s="2127"/>
    </row>
    <row r="88" spans="1:55">
      <c r="A88" s="2456" t="s">
        <v>631</v>
      </c>
      <c r="B88" s="227"/>
      <c r="C88" s="225"/>
      <c r="D88" s="4320">
        <f>IF(F1_Breeding_Method="Bull",Defaults!$C$54,IF(F1_Breeding_Method="AI with Sync", Defaults!$D$54,Defaults!$E$54))</f>
        <v>100</v>
      </c>
      <c r="E88" s="4321"/>
      <c r="F88" s="2469"/>
      <c r="G88" s="171"/>
      <c r="H88" s="225"/>
      <c r="I88" s="4320">
        <f>IF(F1_Breeding_Method="Bull",Defaults!C67,IF(F1_Breeding_Method="AI with Sync", Defaults!$D$67,Defaults!$E$67))</f>
        <v>100</v>
      </c>
      <c r="J88" s="4321"/>
      <c r="K88" s="186"/>
      <c r="L88" s="216"/>
      <c r="M88" s="330"/>
      <c r="N88" s="280"/>
      <c r="O88" s="44"/>
      <c r="P88" s="226"/>
      <c r="Q88" s="4322">
        <f>IF(F2_Breeding_Method="Bull",Defaults!$C$54,IF(F2_Breeding_Method="AI with Sync", Defaults!$D$54,Defaults!$E$54))</f>
        <v>100</v>
      </c>
      <c r="R88" s="4323"/>
      <c r="S88" s="299"/>
      <c r="T88" s="317"/>
      <c r="U88" s="321"/>
      <c r="V88" s="4322">
        <f>IF(F2_Breeding_Method="Bull",Defaults!C67,IF(F2_Breeding_Method="AI with Sync", Defaults!$D$67,Defaults!$E$67))</f>
        <v>100</v>
      </c>
      <c r="W88" s="4323"/>
      <c r="X88" s="44"/>
      <c r="Y88" s="41"/>
      <c r="Z88" s="331"/>
      <c r="AA88" s="279"/>
      <c r="AB88" s="565"/>
      <c r="AC88" s="431"/>
      <c r="AD88" s="4272">
        <f>IF(F3_Breeding_Method="Bull",Defaults!$C$54,IF(F3_Breeding_Method="AI with Sync", Defaults!$D$54,Defaults!$E$54))</f>
        <v>100</v>
      </c>
      <c r="AE88" s="4273"/>
      <c r="AF88" s="1574"/>
      <c r="AG88" s="419"/>
      <c r="AH88" s="431"/>
      <c r="AI88" s="4272">
        <f>IF(F3_Breeding_Method="Bull",Defaults!C67,IF(F3_Breeding_Method="AI with Sync", Defaults!$D$67,Defaults!$E$67))</f>
        <v>100</v>
      </c>
      <c r="AJ88" s="4273"/>
      <c r="AK88" s="511"/>
      <c r="AL88" s="532"/>
      <c r="AM88" s="2646"/>
      <c r="AN88" s="574"/>
      <c r="AO88" s="909"/>
      <c r="AP88" s="563"/>
      <c r="AQ88" s="4274">
        <f>IF(F4_Breeding_Method="Bull",Defaults!$C$54,IF(F4_Breeding_Method="AI with Sync", Defaults!$D$54,Defaults!$E$54))</f>
        <v>100</v>
      </c>
      <c r="AR88" s="4275"/>
      <c r="AS88" s="436"/>
      <c r="AT88" s="558"/>
      <c r="AU88" s="563"/>
      <c r="AV88" s="4274">
        <f>IF(F4_Breeding_Method="Bull",Defaults!C67,IF(F4_Breeding_Method="AI with Sync", Defaults!$D$67,Defaults!$E$67))</f>
        <v>100</v>
      </c>
      <c r="AW88" s="4275"/>
      <c r="AX88" s="465"/>
      <c r="AY88" s="464"/>
      <c r="AZ88" s="649"/>
      <c r="BA88" s="559"/>
      <c r="BB88" s="2127"/>
      <c r="BC88" s="2127"/>
    </row>
    <row r="89" spans="1:55" ht="5.25" customHeight="1">
      <c r="A89" s="236"/>
      <c r="B89" s="227"/>
      <c r="C89" s="186"/>
      <c r="D89" s="186"/>
      <c r="E89" s="171"/>
      <c r="F89" s="186"/>
      <c r="G89" s="170"/>
      <c r="H89" s="186"/>
      <c r="I89" s="186"/>
      <c r="J89" s="186"/>
      <c r="K89" s="186"/>
      <c r="L89" s="216"/>
      <c r="M89" s="171"/>
      <c r="N89" s="213"/>
      <c r="O89" s="44"/>
      <c r="P89" s="44"/>
      <c r="Q89" s="44"/>
      <c r="R89" s="42"/>
      <c r="S89" s="2471"/>
      <c r="T89" s="317"/>
      <c r="U89" s="317"/>
      <c r="V89" s="42"/>
      <c r="W89" s="42"/>
      <c r="X89" s="44"/>
      <c r="Y89" s="41"/>
      <c r="Z89" s="42"/>
      <c r="AA89" s="133"/>
      <c r="AB89" s="565"/>
      <c r="AC89" s="511"/>
      <c r="AD89" s="511"/>
      <c r="AE89" s="419"/>
      <c r="AF89" s="511"/>
      <c r="AG89" s="418"/>
      <c r="AH89" s="511"/>
      <c r="AI89" s="511"/>
      <c r="AJ89" s="511"/>
      <c r="AK89" s="511"/>
      <c r="AL89" s="532"/>
      <c r="AM89" s="419"/>
      <c r="AN89" s="574"/>
      <c r="AO89" s="909"/>
      <c r="AP89" s="909"/>
      <c r="AQ89" s="465"/>
      <c r="AR89" s="449"/>
      <c r="AS89" s="2771"/>
      <c r="AT89" s="558"/>
      <c r="AU89" s="558"/>
      <c r="AV89" s="449"/>
      <c r="AW89" s="449"/>
      <c r="AX89" s="465"/>
      <c r="AY89" s="464"/>
      <c r="AZ89" s="449"/>
      <c r="BA89" s="559"/>
      <c r="BB89" s="2127"/>
      <c r="BC89" s="2127"/>
    </row>
    <row r="90" spans="1:55" ht="5.25" customHeight="1">
      <c r="A90" s="236"/>
      <c r="B90" s="230"/>
      <c r="C90" s="161"/>
      <c r="D90" s="161"/>
      <c r="E90" s="190"/>
      <c r="F90" s="190"/>
      <c r="G90" s="2264"/>
      <c r="H90" s="190"/>
      <c r="I90" s="190"/>
      <c r="J90" s="190"/>
      <c r="K90" s="190"/>
      <c r="L90" s="215"/>
      <c r="M90" s="161"/>
      <c r="N90" s="231"/>
      <c r="O90" s="67"/>
      <c r="P90" s="85"/>
      <c r="Q90" s="85"/>
      <c r="R90" s="67"/>
      <c r="S90" s="3320"/>
      <c r="T90" s="905"/>
      <c r="U90" s="905"/>
      <c r="V90" s="67"/>
      <c r="W90" s="67"/>
      <c r="X90" s="67"/>
      <c r="Y90" s="66"/>
      <c r="Z90" s="85"/>
      <c r="AA90" s="138"/>
      <c r="AB90" s="567"/>
      <c r="AC90" s="568"/>
      <c r="AD90" s="568"/>
      <c r="AE90" s="516"/>
      <c r="AF90" s="516"/>
      <c r="AG90" s="2628"/>
      <c r="AH90" s="516"/>
      <c r="AI90" s="516"/>
      <c r="AJ90" s="516"/>
      <c r="AK90" s="516"/>
      <c r="AL90" s="569"/>
      <c r="AM90" s="568"/>
      <c r="AN90" s="2765"/>
      <c r="AO90" s="919"/>
      <c r="AP90" s="596"/>
      <c r="AQ90" s="553"/>
      <c r="AR90" s="469"/>
      <c r="AS90" s="3327"/>
      <c r="AT90" s="919"/>
      <c r="AU90" s="919"/>
      <c r="AV90" s="469"/>
      <c r="AW90" s="469"/>
      <c r="AX90" s="469"/>
      <c r="AY90" s="554"/>
      <c r="AZ90" s="553"/>
      <c r="BA90" s="2775"/>
      <c r="BB90" s="2127"/>
      <c r="BC90" s="2127"/>
    </row>
    <row r="91" spans="1:55">
      <c r="A91" s="220" t="s">
        <v>367</v>
      </c>
      <c r="B91" s="227">
        <v>45</v>
      </c>
      <c r="C91" s="225"/>
      <c r="D91" s="186"/>
      <c r="E91" s="186"/>
      <c r="F91" s="186"/>
      <c r="G91" s="170">
        <v>45</v>
      </c>
      <c r="H91" s="186"/>
      <c r="I91" s="186"/>
      <c r="J91" s="186"/>
      <c r="K91" s="186"/>
      <c r="L91" s="216"/>
      <c r="M91" s="186"/>
      <c r="N91" s="213"/>
      <c r="O91" s="44"/>
      <c r="P91" s="2725"/>
      <c r="Q91" s="44"/>
      <c r="R91" s="44"/>
      <c r="S91" s="3314"/>
      <c r="T91" s="880"/>
      <c r="U91" s="880"/>
      <c r="V91" s="44"/>
      <c r="W91" s="44"/>
      <c r="X91" s="44"/>
      <c r="Y91" s="41"/>
      <c r="Z91" s="44"/>
      <c r="AA91" s="133"/>
      <c r="AB91" s="565">
        <v>45</v>
      </c>
      <c r="AC91" s="431"/>
      <c r="AD91" s="511"/>
      <c r="AE91" s="511"/>
      <c r="AF91" s="511"/>
      <c r="AG91" s="418">
        <v>45</v>
      </c>
      <c r="AH91" s="511"/>
      <c r="AI91" s="511"/>
      <c r="AJ91" s="511"/>
      <c r="AK91" s="511"/>
      <c r="AL91" s="532"/>
      <c r="AM91" s="511"/>
      <c r="AN91" s="574"/>
      <c r="AO91" s="909"/>
      <c r="AP91" s="3283"/>
      <c r="AQ91" s="465"/>
      <c r="AR91" s="465"/>
      <c r="AS91" s="3321"/>
      <c r="AT91" s="909"/>
      <c r="AU91" s="909"/>
      <c r="AV91" s="465"/>
      <c r="AW91" s="465"/>
      <c r="AX91" s="465"/>
      <c r="AY91" s="464"/>
      <c r="AZ91" s="465"/>
      <c r="BA91" s="559"/>
      <c r="BB91" s="2127"/>
      <c r="BC91" s="2127"/>
    </row>
    <row r="92" spans="1:55" ht="2.25" customHeight="1">
      <c r="A92" s="236"/>
      <c r="B92" s="227"/>
      <c r="C92" s="171"/>
      <c r="D92" s="171"/>
      <c r="E92" s="186"/>
      <c r="F92" s="186"/>
      <c r="G92" s="170"/>
      <c r="H92" s="186"/>
      <c r="I92" s="186"/>
      <c r="J92" s="186"/>
      <c r="K92" s="186"/>
      <c r="L92" s="216"/>
      <c r="M92" s="171"/>
      <c r="N92" s="213"/>
      <c r="O92" s="44"/>
      <c r="P92" s="42"/>
      <c r="Q92" s="42"/>
      <c r="R92" s="44"/>
      <c r="S92" s="3314"/>
      <c r="T92" s="880"/>
      <c r="U92" s="880"/>
      <c r="V92" s="44"/>
      <c r="W92" s="44"/>
      <c r="X92" s="44"/>
      <c r="Y92" s="41"/>
      <c r="Z92" s="42"/>
      <c r="AA92" s="133"/>
      <c r="AB92" s="565"/>
      <c r="AC92" s="419"/>
      <c r="AD92" s="419"/>
      <c r="AE92" s="511"/>
      <c r="AF92" s="511"/>
      <c r="AG92" s="418"/>
      <c r="AH92" s="511"/>
      <c r="AI92" s="511"/>
      <c r="AJ92" s="511"/>
      <c r="AK92" s="511"/>
      <c r="AL92" s="532"/>
      <c r="AM92" s="419"/>
      <c r="AN92" s="574"/>
      <c r="AO92" s="909"/>
      <c r="AP92" s="558"/>
      <c r="AQ92" s="449"/>
      <c r="AR92" s="465"/>
      <c r="AS92" s="3321"/>
      <c r="AT92" s="909"/>
      <c r="AU92" s="909"/>
      <c r="AV92" s="465"/>
      <c r="AW92" s="465"/>
      <c r="AX92" s="465"/>
      <c r="AY92" s="464"/>
      <c r="AZ92" s="449"/>
      <c r="BA92" s="559"/>
      <c r="BB92" s="2127"/>
      <c r="BC92" s="2127"/>
    </row>
    <row r="93" spans="1:55">
      <c r="A93" s="209" t="s">
        <v>366</v>
      </c>
      <c r="B93" s="227">
        <v>45</v>
      </c>
      <c r="C93" s="225"/>
      <c r="D93" s="4314">
        <f>F1_Embryonic_Loss_Rate_Cows+F1_Abortion_Rate_Cows</f>
        <v>0.27</v>
      </c>
      <c r="E93" s="4315"/>
      <c r="F93" s="186"/>
      <c r="G93" s="170">
        <v>45</v>
      </c>
      <c r="H93" s="186"/>
      <c r="I93" s="4314">
        <f>F1_Embryonic_Loss_Rate_Heifers+F1_Abortion_Rate_Heifers</f>
        <v>0.22</v>
      </c>
      <c r="J93" s="4315"/>
      <c r="K93" s="186"/>
      <c r="L93" s="216"/>
      <c r="M93" s="186"/>
      <c r="N93" s="213"/>
      <c r="O93" s="44"/>
      <c r="P93" s="2725"/>
      <c r="Q93" s="4310">
        <f>F2_Embryonic_Loss_Rate_Cows+F2_Abortion_Rate_Cows</f>
        <v>0.23</v>
      </c>
      <c r="R93" s="4311"/>
      <c r="S93" s="299"/>
      <c r="T93" s="2261"/>
      <c r="U93" s="2261"/>
      <c r="V93" s="4310">
        <f>F2_Embryonic_Loss_Rate_Heifers+F2_Abortion_Rate_Heifers</f>
        <v>0.18</v>
      </c>
      <c r="W93" s="4311"/>
      <c r="X93" s="44"/>
      <c r="Y93" s="41"/>
      <c r="Z93" s="44"/>
      <c r="AA93" s="133"/>
      <c r="AB93" s="565">
        <v>45</v>
      </c>
      <c r="AC93" s="431"/>
      <c r="AD93" s="4264">
        <f>F3_Embryonic_Loss_Rate_Cows+F3_Abortion_Rate_Cows</f>
        <v>0.16</v>
      </c>
      <c r="AE93" s="4265"/>
      <c r="AF93" s="511"/>
      <c r="AG93" s="418">
        <v>45</v>
      </c>
      <c r="AH93" s="511"/>
      <c r="AI93" s="4264">
        <f>F3_Embryonic_Loss_Rate_Heifers+F3_Abortion_Rate_Heifers</f>
        <v>0.11</v>
      </c>
      <c r="AJ93" s="4265"/>
      <c r="AK93" s="511"/>
      <c r="AL93" s="532"/>
      <c r="AM93" s="511"/>
      <c r="AN93" s="574"/>
      <c r="AO93" s="909"/>
      <c r="AP93" s="3283"/>
      <c r="AQ93" s="4266">
        <f>F4_Embryonic_Loss_Rate_Cows+F4_Abortion_Rate_Cows</f>
        <v>0.1</v>
      </c>
      <c r="AR93" s="4267"/>
      <c r="AS93" s="436"/>
      <c r="AT93" s="2663"/>
      <c r="AU93" s="2663"/>
      <c r="AV93" s="4266">
        <f>F4_Embryonic_Loss_Rate_Heifers+F4_Abortion_Rate_Heifers</f>
        <v>7.4999999999999997E-2</v>
      </c>
      <c r="AW93" s="4267"/>
      <c r="AX93" s="465"/>
      <c r="AY93" s="464"/>
      <c r="AZ93" s="465"/>
      <c r="BA93" s="559"/>
      <c r="BB93" s="2130"/>
      <c r="BC93" s="2131"/>
    </row>
    <row r="94" spans="1:55" ht="2.25" customHeight="1">
      <c r="A94" s="236"/>
      <c r="B94" s="227"/>
      <c r="C94" s="171"/>
      <c r="D94" s="171"/>
      <c r="E94" s="186"/>
      <c r="F94" s="186"/>
      <c r="G94" s="170"/>
      <c r="H94" s="186"/>
      <c r="I94" s="186"/>
      <c r="J94" s="186"/>
      <c r="K94" s="186"/>
      <c r="L94" s="216"/>
      <c r="M94" s="171"/>
      <c r="N94" s="213"/>
      <c r="O94" s="44"/>
      <c r="P94" s="42"/>
      <c r="Q94" s="42"/>
      <c r="R94" s="44"/>
      <c r="S94" s="3314"/>
      <c r="T94" s="880"/>
      <c r="U94" s="880"/>
      <c r="V94" s="42"/>
      <c r="W94" s="44"/>
      <c r="X94" s="44"/>
      <c r="Y94" s="41"/>
      <c r="Z94" s="42"/>
      <c r="AA94" s="133"/>
      <c r="AB94" s="565"/>
      <c r="AC94" s="419"/>
      <c r="AD94" s="419"/>
      <c r="AE94" s="511"/>
      <c r="AF94" s="511"/>
      <c r="AG94" s="418"/>
      <c r="AH94" s="511"/>
      <c r="AI94" s="511"/>
      <c r="AJ94" s="511"/>
      <c r="AK94" s="511"/>
      <c r="AL94" s="532"/>
      <c r="AM94" s="419"/>
      <c r="AN94" s="574"/>
      <c r="AO94" s="909"/>
      <c r="AP94" s="558"/>
      <c r="AQ94" s="449"/>
      <c r="AR94" s="465"/>
      <c r="AS94" s="3321"/>
      <c r="AT94" s="909"/>
      <c r="AU94" s="909"/>
      <c r="AV94" s="449"/>
      <c r="AW94" s="465"/>
      <c r="AX94" s="465"/>
      <c r="AY94" s="464"/>
      <c r="AZ94" s="449"/>
      <c r="BA94" s="559"/>
      <c r="BB94" s="2130"/>
      <c r="BC94" s="2131"/>
    </row>
    <row r="95" spans="1:55">
      <c r="A95" s="209" t="s">
        <v>368</v>
      </c>
      <c r="B95" s="227">
        <v>45</v>
      </c>
      <c r="C95" s="225"/>
      <c r="D95" s="4176">
        <f>(1/D93)*((F1_Embryonic_Loss_Rate_Cows*F1_Embryonic_Loss_Days_Cows)+(F1_Abortion_Rate_Cows*F1_Abortion_Days_Cows))</f>
        <v>70.370370370370367</v>
      </c>
      <c r="E95" s="4177"/>
      <c r="F95" s="186"/>
      <c r="G95" s="170">
        <v>45</v>
      </c>
      <c r="H95" s="186"/>
      <c r="I95" s="4176">
        <f>(1/I93)*((F1_Embryonic_Loss_Rate_Heifers*F1_Embryonic_Loss_Days_Heifers)+(F1_Abortion_Rate_Heifers*F1_Abortion_Days_Heifers))</f>
        <v>67.27272727272728</v>
      </c>
      <c r="J95" s="4177"/>
      <c r="K95" s="186"/>
      <c r="L95" s="216"/>
      <c r="M95" s="186"/>
      <c r="N95" s="213"/>
      <c r="O95" s="44"/>
      <c r="P95" s="2725"/>
      <c r="Q95" s="4289">
        <f>(1/Q93)*((F2_Embryonic_Loss_Rate_Cows*F2_Embryonic_Loss_Days_Cows)+(F2_Abortion_Rate_Cows*F2_Abortion_Days_Cows))</f>
        <v>69.130434782608702</v>
      </c>
      <c r="R95" s="4290"/>
      <c r="S95" s="2471"/>
      <c r="T95" s="317"/>
      <c r="U95" s="317"/>
      <c r="V95" s="4289">
        <f>(1/V93)*((F2_Embryonic_Loss_Rate_Heifers*F2_Embryonic_Loss_Days_Heifers)+(F2_Abortion_Rate_Heifers*F2_Abortion_Days_Heifers))</f>
        <v>65.833333333333329</v>
      </c>
      <c r="W95" s="4290"/>
      <c r="X95" s="44"/>
      <c r="Y95" s="41"/>
      <c r="Z95" s="44"/>
      <c r="AA95" s="133"/>
      <c r="AB95" s="565">
        <v>45</v>
      </c>
      <c r="AC95" s="431"/>
      <c r="AD95" s="4252">
        <f>(1/AD93)*((F3_Embryonic_Loss_Rate_Cows*F3_Embryonic_Loss_Days_Cows)+(F3_Abortion_Rate_Cows*F3_Abortion_Days_Cows))</f>
        <v>70</v>
      </c>
      <c r="AE95" s="4253"/>
      <c r="AF95" s="511"/>
      <c r="AG95" s="418">
        <v>45</v>
      </c>
      <c r="AH95" s="511"/>
      <c r="AI95" s="4252">
        <f>(1/AI93)*((F3_Embryonic_Loss_Rate_Heifers*F3_Embryonic_Loss_Days_Heifers)+(F3_Abortion_Rate_Heifers*F3_Abortion_Days_Heifers))</f>
        <v>65.454545454545453</v>
      </c>
      <c r="AJ95" s="4253"/>
      <c r="AK95" s="511"/>
      <c r="AL95" s="532"/>
      <c r="AM95" s="511"/>
      <c r="AN95" s="574"/>
      <c r="AO95" s="909"/>
      <c r="AP95" s="3283"/>
      <c r="AQ95" s="4254">
        <f>(1/AQ93)*((F4_Embryonic_Loss_Rate_Cows*F4_Embryonic_Loss_Days_Cows)+(F4_Abortion_Rate_Cows*F4_Abortion_Days_Cows))</f>
        <v>65</v>
      </c>
      <c r="AR95" s="4255"/>
      <c r="AS95" s="2771"/>
      <c r="AT95" s="558"/>
      <c r="AU95" s="558"/>
      <c r="AV95" s="4254">
        <f>(1/AV93)*((F4_Embryonic_Loss_Rate_Heifers*F4_Embryonic_Loss_Days_Heifers)+(F4_Abortion_Rate_Heifers*F4_Abortion_Days_Heifers))</f>
        <v>65</v>
      </c>
      <c r="AW95" s="4255"/>
      <c r="AX95" s="465"/>
      <c r="AY95" s="464"/>
      <c r="AZ95" s="465"/>
      <c r="BA95" s="559"/>
      <c r="BB95" s="4326"/>
      <c r="BC95" s="4327"/>
    </row>
    <row r="96" spans="1:55" ht="5.25" customHeight="1">
      <c r="A96" s="1572"/>
      <c r="B96" s="230"/>
      <c r="C96" s="190"/>
      <c r="D96" s="190"/>
      <c r="E96" s="161"/>
      <c r="F96" s="190"/>
      <c r="G96" s="2264"/>
      <c r="H96" s="190"/>
      <c r="I96" s="190"/>
      <c r="J96" s="190"/>
      <c r="K96" s="190"/>
      <c r="L96" s="215"/>
      <c r="M96" s="161"/>
      <c r="N96" s="231"/>
      <c r="O96" s="67"/>
      <c r="P96" s="67"/>
      <c r="Q96" s="67"/>
      <c r="R96" s="85"/>
      <c r="S96" s="3315"/>
      <c r="T96" s="276"/>
      <c r="U96" s="276"/>
      <c r="V96" s="85"/>
      <c r="W96" s="85"/>
      <c r="X96" s="67"/>
      <c r="Y96" s="66"/>
      <c r="Z96" s="85"/>
      <c r="AA96" s="138"/>
      <c r="AB96" s="567"/>
      <c r="AC96" s="516"/>
      <c r="AD96" s="516"/>
      <c r="AE96" s="568"/>
      <c r="AF96" s="516"/>
      <c r="AG96" s="2628"/>
      <c r="AH96" s="516"/>
      <c r="AI96" s="516"/>
      <c r="AJ96" s="516"/>
      <c r="AK96" s="516"/>
      <c r="AL96" s="569"/>
      <c r="AM96" s="568"/>
      <c r="AN96" s="2765"/>
      <c r="AO96" s="919"/>
      <c r="AP96" s="919"/>
      <c r="AQ96" s="469"/>
      <c r="AR96" s="553"/>
      <c r="AS96" s="2770"/>
      <c r="AT96" s="553"/>
      <c r="AU96" s="553"/>
      <c r="AV96" s="553"/>
      <c r="AW96" s="553"/>
      <c r="AX96" s="469"/>
      <c r="AY96" s="554"/>
      <c r="AZ96" s="553"/>
      <c r="BA96" s="2775"/>
      <c r="BB96" s="2130"/>
      <c r="BC96" s="2131"/>
    </row>
    <row r="97" spans="1:59" s="2373" customFormat="1" ht="20.25" customHeight="1">
      <c r="A97" s="4031" t="s">
        <v>1307</v>
      </c>
      <c r="B97" s="4032"/>
      <c r="C97" s="4032"/>
      <c r="D97" s="4032"/>
      <c r="E97" s="4032"/>
      <c r="F97" s="4032"/>
      <c r="G97" s="4032"/>
      <c r="H97" s="4032"/>
      <c r="I97" s="4032"/>
      <c r="J97" s="4032"/>
      <c r="K97" s="4032"/>
      <c r="L97" s="4032"/>
      <c r="M97" s="4032"/>
      <c r="N97" s="4032"/>
      <c r="O97" s="4032"/>
      <c r="P97" s="4032"/>
      <c r="Q97" s="4032"/>
      <c r="R97" s="4032"/>
      <c r="S97" s="4032"/>
      <c r="T97" s="4032"/>
      <c r="U97" s="4032"/>
      <c r="V97" s="4032"/>
      <c r="W97" s="4032"/>
      <c r="X97" s="4032"/>
      <c r="Y97" s="4032"/>
      <c r="Z97" s="4032"/>
      <c r="AA97" s="4032"/>
      <c r="AB97" s="4032"/>
      <c r="AC97" s="4032"/>
      <c r="AD97" s="4032"/>
      <c r="AE97" s="4032"/>
      <c r="AF97" s="4032"/>
      <c r="AG97" s="4032"/>
      <c r="AH97" s="4032"/>
      <c r="AI97" s="4032"/>
      <c r="AJ97" s="4032"/>
      <c r="AK97" s="4032"/>
      <c r="AL97" s="4032"/>
      <c r="AM97" s="4032"/>
      <c r="AN97" s="4032"/>
      <c r="AO97" s="4032"/>
      <c r="AP97" s="4032"/>
      <c r="AQ97" s="4032"/>
      <c r="AR97" s="4032"/>
      <c r="AS97" s="4032"/>
      <c r="AT97" s="4032"/>
      <c r="AU97" s="4032"/>
      <c r="AV97" s="4032"/>
      <c r="AW97" s="4032"/>
      <c r="AX97" s="4032"/>
      <c r="AY97" s="4032"/>
      <c r="AZ97" s="4032"/>
      <c r="BA97" s="4033"/>
      <c r="BB97" s="2370"/>
      <c r="BC97" s="2371"/>
      <c r="BD97" s="2372"/>
    </row>
    <row r="98" spans="1:59" ht="6" customHeight="1">
      <c r="A98" s="206"/>
      <c r="B98" s="227"/>
      <c r="C98" s="171"/>
      <c r="D98" s="171"/>
      <c r="E98" s="186"/>
      <c r="F98" s="186"/>
      <c r="G98" s="171"/>
      <c r="H98" s="186"/>
      <c r="I98" s="186"/>
      <c r="J98" s="186"/>
      <c r="K98" s="186"/>
      <c r="L98" s="216"/>
      <c r="M98" s="171"/>
      <c r="N98" s="213"/>
      <c r="O98" s="44"/>
      <c r="P98" s="42"/>
      <c r="Q98" s="42"/>
      <c r="R98" s="44"/>
      <c r="S98" s="880"/>
      <c r="T98" s="880"/>
      <c r="U98" s="880"/>
      <c r="V98" s="880"/>
      <c r="W98" s="880"/>
      <c r="X98" s="880"/>
      <c r="Y98" s="2133"/>
      <c r="Z98" s="42"/>
      <c r="AA98" s="133"/>
      <c r="AB98" s="565"/>
      <c r="AC98" s="419"/>
      <c r="AD98" s="419"/>
      <c r="AE98" s="511"/>
      <c r="AF98" s="511"/>
      <c r="AG98" s="419"/>
      <c r="AH98" s="511"/>
      <c r="AI98" s="511"/>
      <c r="AJ98" s="511"/>
      <c r="AK98" s="511"/>
      <c r="AL98" s="532"/>
      <c r="AM98" s="419"/>
      <c r="AN98" s="533"/>
      <c r="AO98" s="465"/>
      <c r="AP98" s="449"/>
      <c r="AQ98" s="449"/>
      <c r="AR98" s="465"/>
      <c r="AS98" s="909"/>
      <c r="AT98" s="909"/>
      <c r="AU98" s="909"/>
      <c r="AV98" s="909"/>
      <c r="AW98" s="909"/>
      <c r="AX98" s="909"/>
      <c r="AY98" s="2138"/>
      <c r="AZ98" s="449"/>
      <c r="BA98" s="559"/>
      <c r="BB98" s="2127"/>
      <c r="BC98" s="2127"/>
    </row>
    <row r="99" spans="1:59">
      <c r="A99" s="220" t="s">
        <v>123</v>
      </c>
      <c r="B99" s="227"/>
      <c r="C99" s="305" t="s">
        <v>118</v>
      </c>
      <c r="D99" s="225"/>
      <c r="E99" s="186"/>
      <c r="F99" s="186"/>
      <c r="G99" s="171"/>
      <c r="H99" s="186"/>
      <c r="I99" s="186"/>
      <c r="J99" s="186"/>
      <c r="K99" s="186"/>
      <c r="L99" s="216"/>
      <c r="M99" s="316"/>
      <c r="N99" s="213"/>
      <c r="O99" s="44"/>
      <c r="P99" s="306" t="s">
        <v>118</v>
      </c>
      <c r="Q99" s="226"/>
      <c r="R99" s="44"/>
      <c r="S99" s="880"/>
      <c r="T99" s="880"/>
      <c r="U99" s="880"/>
      <c r="V99" s="880"/>
      <c r="W99" s="880"/>
      <c r="X99" s="880"/>
      <c r="Y99" s="2133"/>
      <c r="Z99" s="317"/>
      <c r="AA99" s="133"/>
      <c r="AB99" s="565"/>
      <c r="AC99" s="2723" t="s">
        <v>118</v>
      </c>
      <c r="AD99" s="431"/>
      <c r="AE99" s="511"/>
      <c r="AF99" s="922"/>
      <c r="AG99" s="573"/>
      <c r="AH99" s="922"/>
      <c r="AI99" s="922"/>
      <c r="AJ99" s="922"/>
      <c r="AK99" s="922"/>
      <c r="AL99" s="532"/>
      <c r="AM99" s="573"/>
      <c r="AN99" s="574"/>
      <c r="AO99" s="909"/>
      <c r="AP99" s="2724" t="s">
        <v>118</v>
      </c>
      <c r="AQ99" s="434"/>
      <c r="AR99" s="465"/>
      <c r="AS99" s="909"/>
      <c r="AT99" s="909"/>
      <c r="AU99" s="909"/>
      <c r="AV99" s="909"/>
      <c r="AW99" s="909"/>
      <c r="AX99" s="909"/>
      <c r="AY99" s="2138"/>
      <c r="AZ99" s="558"/>
      <c r="BA99" s="559"/>
      <c r="BB99" s="2127"/>
      <c r="BC99" s="2127"/>
    </row>
    <row r="100" spans="1:59">
      <c r="A100" s="3034" t="s">
        <v>702</v>
      </c>
      <c r="B100" s="227"/>
      <c r="C100" s="225"/>
      <c r="D100" s="4160"/>
      <c r="E100" s="4161"/>
      <c r="F100" s="186" t="s">
        <v>162</v>
      </c>
      <c r="G100" s="171"/>
      <c r="H100" s="186"/>
      <c r="I100" s="186"/>
      <c r="J100" s="186"/>
      <c r="K100" s="186"/>
      <c r="L100" s="216"/>
      <c r="M100" s="307"/>
      <c r="N100" s="280"/>
      <c r="O100" s="44"/>
      <c r="P100" s="226"/>
      <c r="Q100" s="4160"/>
      <c r="R100" s="4161"/>
      <c r="S100" s="317" t="s">
        <v>162</v>
      </c>
      <c r="T100" s="317"/>
      <c r="U100" s="317"/>
      <c r="V100" s="317"/>
      <c r="W100" s="317"/>
      <c r="X100" s="880"/>
      <c r="Y100" s="2133"/>
      <c r="Z100" s="307"/>
      <c r="AA100" s="279"/>
      <c r="AB100" s="565"/>
      <c r="AC100" s="431"/>
      <c r="AD100" s="4160"/>
      <c r="AE100" s="4161"/>
      <c r="AF100" s="922" t="s">
        <v>162</v>
      </c>
      <c r="AG100" s="573"/>
      <c r="AH100" s="922"/>
      <c r="AI100" s="922"/>
      <c r="AJ100" s="922"/>
      <c r="AK100" s="922"/>
      <c r="AL100" s="532"/>
      <c r="AM100" s="2727"/>
      <c r="AN100" s="574"/>
      <c r="AO100" s="909"/>
      <c r="AP100" s="434"/>
      <c r="AQ100" s="4160"/>
      <c r="AR100" s="4161"/>
      <c r="AS100" s="558" t="s">
        <v>162</v>
      </c>
      <c r="AT100" s="558"/>
      <c r="AU100" s="558"/>
      <c r="AV100" s="558"/>
      <c r="AW100" s="558"/>
      <c r="AX100" s="909"/>
      <c r="AY100" s="2138"/>
      <c r="AZ100" s="2727"/>
      <c r="BA100" s="559"/>
      <c r="BB100" s="2351" t="str">
        <f>IF(BB102=FALSE,"If UR and IC values differ significantly, check accuracy of input parameter values used in the IC formula."," ")</f>
        <v xml:space="preserve"> </v>
      </c>
      <c r="BC100" s="2127"/>
    </row>
    <row r="101" spans="1:59" ht="2.25" customHeight="1">
      <c r="A101" s="206"/>
      <c r="B101" s="227"/>
      <c r="C101" s="225"/>
      <c r="D101" s="225"/>
      <c r="E101" s="171"/>
      <c r="F101" s="186"/>
      <c r="G101" s="171"/>
      <c r="H101" s="186"/>
      <c r="I101" s="186"/>
      <c r="J101" s="186"/>
      <c r="K101" s="186"/>
      <c r="L101" s="216"/>
      <c r="M101" s="171"/>
      <c r="N101" s="280"/>
      <c r="O101" s="44"/>
      <c r="P101" s="226"/>
      <c r="Q101" s="226"/>
      <c r="R101" s="42"/>
      <c r="S101" s="317"/>
      <c r="T101" s="317"/>
      <c r="U101" s="317"/>
      <c r="V101" s="317"/>
      <c r="W101" s="317"/>
      <c r="X101" s="880"/>
      <c r="Y101" s="2133"/>
      <c r="Z101" s="42"/>
      <c r="AA101" s="279"/>
      <c r="AB101" s="565"/>
      <c r="AC101" s="431"/>
      <c r="AD101" s="431"/>
      <c r="AE101" s="419"/>
      <c r="AF101" s="922"/>
      <c r="AG101" s="573"/>
      <c r="AH101" s="922"/>
      <c r="AI101" s="922"/>
      <c r="AJ101" s="922"/>
      <c r="AK101" s="922"/>
      <c r="AL101" s="532"/>
      <c r="AM101" s="419"/>
      <c r="AN101" s="574"/>
      <c r="AO101" s="909"/>
      <c r="AP101" s="434"/>
      <c r="AQ101" s="434"/>
      <c r="AR101" s="449"/>
      <c r="AS101" s="558"/>
      <c r="AT101" s="558"/>
      <c r="AU101" s="558"/>
      <c r="AV101" s="558"/>
      <c r="AW101" s="558"/>
      <c r="AX101" s="909"/>
      <c r="AY101" s="2138"/>
      <c r="AZ101" s="449"/>
      <c r="BA101" s="559"/>
      <c r="BC101" s="2127"/>
    </row>
    <row r="102" spans="1:59">
      <c r="A102" s="208" t="s">
        <v>712</v>
      </c>
      <c r="B102" s="227"/>
      <c r="C102" s="225"/>
      <c r="D102" s="4328">
        <f>F1_Length_of_Lactation+F1_Dryoff_Period</f>
        <v>467.81521739130437</v>
      </c>
      <c r="E102" s="4329"/>
      <c r="F102" s="186" t="s">
        <v>162</v>
      </c>
      <c r="G102" s="171"/>
      <c r="H102" s="186"/>
      <c r="I102" s="186"/>
      <c r="J102" s="186"/>
      <c r="K102" s="186"/>
      <c r="L102" s="216"/>
      <c r="M102" s="330">
        <v>3</v>
      </c>
      <c r="N102" s="280"/>
      <c r="O102" s="44"/>
      <c r="P102" s="226"/>
      <c r="Q102" s="4312">
        <f>F2_Length_of_Lactation+F2_Dryoff_Period</f>
        <v>449.24096385542168</v>
      </c>
      <c r="R102" s="4313"/>
      <c r="S102" s="875" t="s">
        <v>162</v>
      </c>
      <c r="T102" s="875"/>
      <c r="U102" s="875"/>
      <c r="V102" s="875"/>
      <c r="W102" s="875"/>
      <c r="X102" s="880"/>
      <c r="Y102" s="2133"/>
      <c r="Z102" s="331">
        <v>3</v>
      </c>
      <c r="AA102" s="279"/>
      <c r="AB102" s="565"/>
      <c r="AC102" s="431"/>
      <c r="AD102" s="4268">
        <f>F3_Length_of_Lactation+F3_Dryoff_Period</f>
        <v>394.63934426229508</v>
      </c>
      <c r="AE102" s="4269"/>
      <c r="AF102" s="922" t="s">
        <v>162</v>
      </c>
      <c r="AG102" s="573"/>
      <c r="AH102" s="922"/>
      <c r="AI102" s="922"/>
      <c r="AJ102" s="922"/>
      <c r="AK102" s="922"/>
      <c r="AL102" s="532"/>
      <c r="AM102" s="2646">
        <v>3</v>
      </c>
      <c r="AN102" s="574"/>
      <c r="AO102" s="909"/>
      <c r="AP102" s="434"/>
      <c r="AQ102" s="4270">
        <f>F4_Length_of_Lactation+F4_Dryoff_Period</f>
        <v>370.32</v>
      </c>
      <c r="AR102" s="4271"/>
      <c r="AS102" s="941" t="s">
        <v>162</v>
      </c>
      <c r="AT102" s="941"/>
      <c r="AU102" s="941"/>
      <c r="AV102" s="941"/>
      <c r="AW102" s="941"/>
      <c r="AX102" s="909"/>
      <c r="AY102" s="2138"/>
      <c r="AZ102" s="649">
        <v>3</v>
      </c>
      <c r="BA102" s="559"/>
      <c r="BB102" s="3651" t="str">
        <f>IF(Options!N76=2,IF(Options!P76=2,IF(Options!R76=2,IF(Options!T76=2," ",FALSE))))</f>
        <v xml:space="preserve"> </v>
      </c>
      <c r="BC102" s="2127"/>
    </row>
    <row r="103" spans="1:59" ht="6" customHeight="1">
      <c r="A103" s="205"/>
      <c r="B103" s="230"/>
      <c r="C103" s="161"/>
      <c r="D103" s="161"/>
      <c r="E103" s="190"/>
      <c r="F103" s="190"/>
      <c r="G103" s="161"/>
      <c r="H103" s="190"/>
      <c r="I103" s="190"/>
      <c r="J103" s="190"/>
      <c r="K103" s="190"/>
      <c r="L103" s="215"/>
      <c r="M103" s="161"/>
      <c r="N103" s="231"/>
      <c r="O103" s="67"/>
      <c r="P103" s="67"/>
      <c r="Q103" s="67"/>
      <c r="R103" s="67"/>
      <c r="S103" s="905"/>
      <c r="T103" s="905"/>
      <c r="U103" s="905"/>
      <c r="V103" s="905"/>
      <c r="W103" s="905"/>
      <c r="X103" s="905"/>
      <c r="Y103" s="907"/>
      <c r="Z103" s="85"/>
      <c r="AA103" s="138"/>
      <c r="AB103" s="567"/>
      <c r="AC103" s="568"/>
      <c r="AD103" s="568"/>
      <c r="AE103" s="516"/>
      <c r="AF103" s="933"/>
      <c r="AG103" s="592"/>
      <c r="AH103" s="933"/>
      <c r="AI103" s="933"/>
      <c r="AJ103" s="933"/>
      <c r="AK103" s="933"/>
      <c r="AL103" s="569"/>
      <c r="AM103" s="568"/>
      <c r="AN103" s="2765"/>
      <c r="AO103" s="919"/>
      <c r="AP103" s="469"/>
      <c r="AQ103" s="469"/>
      <c r="AR103" s="469"/>
      <c r="AS103" s="919"/>
      <c r="AT103" s="919"/>
      <c r="AU103" s="919"/>
      <c r="AV103" s="919"/>
      <c r="AW103" s="919"/>
      <c r="AX103" s="919"/>
      <c r="AY103" s="920"/>
      <c r="AZ103" s="553"/>
      <c r="BA103" s="2775"/>
      <c r="BB103" s="2127"/>
      <c r="BC103" s="2127"/>
      <c r="BG103" s="137"/>
    </row>
    <row r="104" spans="1:59" ht="5.25" customHeight="1">
      <c r="A104" s="206"/>
      <c r="B104" s="227"/>
      <c r="C104" s="171"/>
      <c r="D104" s="171"/>
      <c r="E104" s="186"/>
      <c r="F104" s="186"/>
      <c r="G104" s="171"/>
      <c r="H104" s="186"/>
      <c r="I104" s="186"/>
      <c r="J104" s="186"/>
      <c r="K104" s="186"/>
      <c r="L104" s="216"/>
      <c r="M104" s="171"/>
      <c r="N104" s="213"/>
      <c r="O104" s="44"/>
      <c r="P104" s="42"/>
      <c r="Q104" s="42"/>
      <c r="R104" s="44"/>
      <c r="S104" s="880"/>
      <c r="T104" s="880"/>
      <c r="U104" s="880"/>
      <c r="V104" s="880"/>
      <c r="W104" s="880"/>
      <c r="X104" s="880"/>
      <c r="Y104" s="2133"/>
      <c r="Z104" s="42"/>
      <c r="AA104" s="133"/>
      <c r="AB104" s="565"/>
      <c r="AC104" s="419"/>
      <c r="AD104" s="419"/>
      <c r="AE104" s="511"/>
      <c r="AF104" s="922"/>
      <c r="AG104" s="573"/>
      <c r="AH104" s="922"/>
      <c r="AI104" s="922"/>
      <c r="AJ104" s="922"/>
      <c r="AK104" s="922"/>
      <c r="AL104" s="532"/>
      <c r="AM104" s="419"/>
      <c r="AN104" s="574"/>
      <c r="AO104" s="909"/>
      <c r="AP104" s="449"/>
      <c r="AQ104" s="449"/>
      <c r="AR104" s="465"/>
      <c r="AS104" s="909"/>
      <c r="AT104" s="909"/>
      <c r="AU104" s="909"/>
      <c r="AV104" s="909"/>
      <c r="AW104" s="909"/>
      <c r="AX104" s="909"/>
      <c r="AY104" s="2138"/>
      <c r="AZ104" s="449"/>
      <c r="BA104" s="559"/>
      <c r="BB104" s="2127"/>
      <c r="BC104" s="2127"/>
    </row>
    <row r="105" spans="1:59">
      <c r="A105" s="221" t="s">
        <v>1104</v>
      </c>
      <c r="B105" s="227">
        <v>45</v>
      </c>
      <c r="C105" s="225"/>
      <c r="D105" s="4328">
        <f>Defaults!$C$30</f>
        <v>282</v>
      </c>
      <c r="E105" s="4329"/>
      <c r="F105" s="186" t="s">
        <v>162</v>
      </c>
      <c r="G105" s="171">
        <v>45</v>
      </c>
      <c r="H105" s="186"/>
      <c r="I105" s="186"/>
      <c r="J105" s="186"/>
      <c r="K105" s="186"/>
      <c r="L105" s="216"/>
      <c r="M105" s="330"/>
      <c r="N105" s="213"/>
      <c r="O105" s="44"/>
      <c r="P105" s="1063"/>
      <c r="Q105" s="4312">
        <f>Defaults!$C$30</f>
        <v>282</v>
      </c>
      <c r="R105" s="4313"/>
      <c r="S105" s="875" t="s">
        <v>162</v>
      </c>
      <c r="T105" s="875"/>
      <c r="U105" s="875"/>
      <c r="V105" s="875"/>
      <c r="W105" s="875"/>
      <c r="X105" s="880"/>
      <c r="Y105" s="2133"/>
      <c r="Z105" s="331"/>
      <c r="AA105" s="133"/>
      <c r="AB105" s="565">
        <v>45</v>
      </c>
      <c r="AC105" s="431"/>
      <c r="AD105" s="4268">
        <f>Defaults!$C$30</f>
        <v>282</v>
      </c>
      <c r="AE105" s="4269"/>
      <c r="AF105" s="922" t="s">
        <v>162</v>
      </c>
      <c r="AG105" s="573">
        <v>45</v>
      </c>
      <c r="AH105" s="922"/>
      <c r="AI105" s="922"/>
      <c r="AJ105" s="922"/>
      <c r="AK105" s="922"/>
      <c r="AL105" s="532"/>
      <c r="AM105" s="2646"/>
      <c r="AN105" s="574"/>
      <c r="AO105" s="909"/>
      <c r="AP105" s="2724"/>
      <c r="AQ105" s="4270">
        <f>Defaults!$C$30</f>
        <v>282</v>
      </c>
      <c r="AR105" s="4271"/>
      <c r="AS105" s="941" t="s">
        <v>162</v>
      </c>
      <c r="AT105" s="941"/>
      <c r="AU105" s="941"/>
      <c r="AV105" s="941"/>
      <c r="AW105" s="941"/>
      <c r="AX105" s="909"/>
      <c r="AY105" s="2138"/>
      <c r="AZ105" s="649"/>
      <c r="BA105" s="559"/>
      <c r="BB105" s="2127"/>
      <c r="BC105" s="2127"/>
    </row>
    <row r="106" spans="1:59" ht="5.25" customHeight="1">
      <c r="A106" s="205"/>
      <c r="B106" s="230"/>
      <c r="C106" s="190"/>
      <c r="D106" s="190"/>
      <c r="E106" s="161"/>
      <c r="F106" s="190"/>
      <c r="G106" s="161"/>
      <c r="H106" s="190"/>
      <c r="I106" s="190"/>
      <c r="J106" s="190"/>
      <c r="K106" s="190"/>
      <c r="L106" s="215"/>
      <c r="M106" s="161"/>
      <c r="N106" s="231"/>
      <c r="O106" s="67"/>
      <c r="P106" s="67"/>
      <c r="Q106" s="67"/>
      <c r="R106" s="85"/>
      <c r="S106" s="276"/>
      <c r="T106" s="276"/>
      <c r="U106" s="276"/>
      <c r="V106" s="276"/>
      <c r="W106" s="276"/>
      <c r="X106" s="905"/>
      <c r="Y106" s="907"/>
      <c r="Z106" s="85"/>
      <c r="AA106" s="138"/>
      <c r="AB106" s="567"/>
      <c r="AC106" s="516"/>
      <c r="AD106" s="516"/>
      <c r="AE106" s="568"/>
      <c r="AF106" s="933"/>
      <c r="AG106" s="592"/>
      <c r="AH106" s="933"/>
      <c r="AI106" s="933"/>
      <c r="AJ106" s="933"/>
      <c r="AK106" s="933"/>
      <c r="AL106" s="569"/>
      <c r="AM106" s="568"/>
      <c r="AN106" s="2765"/>
      <c r="AO106" s="919"/>
      <c r="AP106" s="469"/>
      <c r="AQ106" s="469"/>
      <c r="AR106" s="553"/>
      <c r="AS106" s="596"/>
      <c r="AT106" s="596"/>
      <c r="AU106" s="596"/>
      <c r="AV106" s="596"/>
      <c r="AW106" s="596"/>
      <c r="AX106" s="919"/>
      <c r="AY106" s="920"/>
      <c r="AZ106" s="553"/>
      <c r="BA106" s="2775"/>
      <c r="BB106" s="2127"/>
      <c r="BC106" s="2127"/>
    </row>
    <row r="107" spans="1:59" ht="3.75" customHeight="1">
      <c r="A107" s="206"/>
      <c r="B107" s="227"/>
      <c r="C107" s="233"/>
      <c r="D107" s="233"/>
      <c r="E107" s="228"/>
      <c r="F107" s="228"/>
      <c r="G107" s="171"/>
      <c r="H107" s="186"/>
      <c r="I107" s="186"/>
      <c r="J107" s="186"/>
      <c r="K107" s="186"/>
      <c r="L107" s="187"/>
      <c r="M107" s="233"/>
      <c r="N107" s="234"/>
      <c r="O107" s="44"/>
      <c r="P107" s="42"/>
      <c r="Q107" s="42"/>
      <c r="R107" s="44"/>
      <c r="S107" s="880"/>
      <c r="T107" s="880"/>
      <c r="U107" s="880"/>
      <c r="V107" s="880"/>
      <c r="W107" s="880"/>
      <c r="X107" s="880"/>
      <c r="Y107" s="3330"/>
      <c r="Z107" s="100"/>
      <c r="AA107" s="139"/>
      <c r="AB107" s="565"/>
      <c r="AC107" s="575"/>
      <c r="AD107" s="575"/>
      <c r="AE107" s="564"/>
      <c r="AF107" s="3350"/>
      <c r="AG107" s="573"/>
      <c r="AH107" s="922"/>
      <c r="AI107" s="922"/>
      <c r="AJ107" s="922"/>
      <c r="AK107" s="922"/>
      <c r="AL107" s="512"/>
      <c r="AM107" s="575"/>
      <c r="AN107" s="3356"/>
      <c r="AO107" s="909"/>
      <c r="AP107" s="449"/>
      <c r="AQ107" s="449"/>
      <c r="AR107" s="465"/>
      <c r="AS107" s="909"/>
      <c r="AT107" s="909"/>
      <c r="AU107" s="909"/>
      <c r="AV107" s="909"/>
      <c r="AW107" s="909"/>
      <c r="AX107" s="909"/>
      <c r="AY107" s="3338"/>
      <c r="AZ107" s="560"/>
      <c r="BA107" s="3328"/>
      <c r="BB107" s="2127"/>
      <c r="BC107" s="2127"/>
    </row>
    <row r="108" spans="1:59">
      <c r="A108" s="221" t="s">
        <v>958</v>
      </c>
      <c r="B108" s="227"/>
      <c r="C108" s="2458" t="s">
        <v>118</v>
      </c>
      <c r="D108" s="2458"/>
      <c r="E108" s="186"/>
      <c r="F108" s="186"/>
      <c r="G108" s="171"/>
      <c r="H108" s="186"/>
      <c r="I108" s="186"/>
      <c r="J108" s="186"/>
      <c r="K108" s="186"/>
      <c r="L108" s="216"/>
      <c r="M108" s="171"/>
      <c r="N108" s="213"/>
      <c r="O108" s="44"/>
      <c r="P108" s="306" t="s">
        <v>118</v>
      </c>
      <c r="Q108" s="263"/>
      <c r="R108" s="44"/>
      <c r="S108" s="880"/>
      <c r="T108" s="880"/>
      <c r="U108" s="880"/>
      <c r="V108" s="880"/>
      <c r="W108" s="880"/>
      <c r="X108" s="880"/>
      <c r="Y108" s="2133"/>
      <c r="Z108" s="42"/>
      <c r="AA108" s="133"/>
      <c r="AB108" s="565"/>
      <c r="AC108" s="2723" t="s">
        <v>118</v>
      </c>
      <c r="AD108" s="2723"/>
      <c r="AE108" s="511"/>
      <c r="AF108" s="922"/>
      <c r="AG108" s="573"/>
      <c r="AH108" s="922"/>
      <c r="AI108" s="922"/>
      <c r="AJ108" s="922"/>
      <c r="AK108" s="922"/>
      <c r="AL108" s="532"/>
      <c r="AM108" s="419"/>
      <c r="AN108" s="574"/>
      <c r="AO108" s="909"/>
      <c r="AP108" s="2724" t="s">
        <v>118</v>
      </c>
      <c r="AQ108" s="552"/>
      <c r="AR108" s="465"/>
      <c r="AS108" s="909"/>
      <c r="AT108" s="909"/>
      <c r="AU108" s="909"/>
      <c r="AV108" s="909"/>
      <c r="AW108" s="909"/>
      <c r="AX108" s="909"/>
      <c r="AY108" s="2138"/>
      <c r="AZ108" s="449"/>
      <c r="BA108" s="559"/>
      <c r="BB108" s="2127"/>
      <c r="BC108" s="2127"/>
    </row>
    <row r="109" spans="1:59">
      <c r="A109" s="208" t="s">
        <v>702</v>
      </c>
      <c r="B109" s="227"/>
      <c r="C109" s="186"/>
      <c r="D109" s="4160"/>
      <c r="E109" s="4161"/>
      <c r="F109" s="186" t="s">
        <v>682</v>
      </c>
      <c r="G109" s="171"/>
      <c r="H109" s="186"/>
      <c r="I109" s="186"/>
      <c r="J109" s="186"/>
      <c r="K109" s="186"/>
      <c r="L109" s="216"/>
      <c r="M109" s="307"/>
      <c r="N109" s="280"/>
      <c r="O109" s="44"/>
      <c r="P109" s="226"/>
      <c r="Q109" s="4160"/>
      <c r="R109" s="4161"/>
      <c r="S109" s="3795" t="s">
        <v>682</v>
      </c>
      <c r="T109" s="317"/>
      <c r="U109" s="317"/>
      <c r="V109" s="317"/>
      <c r="W109" s="317"/>
      <c r="X109" s="880"/>
      <c r="Y109" s="2133"/>
      <c r="Z109" s="307"/>
      <c r="AA109" s="279"/>
      <c r="AB109" s="565"/>
      <c r="AC109" s="511"/>
      <c r="AD109" s="4160"/>
      <c r="AE109" s="4161"/>
      <c r="AF109" s="922" t="s">
        <v>682</v>
      </c>
      <c r="AG109" s="573"/>
      <c r="AH109" s="922"/>
      <c r="AI109" s="922"/>
      <c r="AJ109" s="922"/>
      <c r="AK109" s="922"/>
      <c r="AL109" s="532"/>
      <c r="AM109" s="2727"/>
      <c r="AN109" s="574"/>
      <c r="AO109" s="909"/>
      <c r="AP109" s="434"/>
      <c r="AQ109" s="4160"/>
      <c r="AR109" s="4161"/>
      <c r="AS109" s="3794" t="s">
        <v>682</v>
      </c>
      <c r="AT109" s="558"/>
      <c r="AU109" s="558"/>
      <c r="AV109" s="558"/>
      <c r="AW109" s="558"/>
      <c r="AX109" s="909"/>
      <c r="AY109" s="2138"/>
      <c r="AZ109" s="2727"/>
      <c r="BA109" s="559"/>
      <c r="BB109" s="2351"/>
      <c r="BC109" s="2127"/>
    </row>
    <row r="110" spans="1:59" ht="2.25" customHeight="1">
      <c r="A110" s="206"/>
      <c r="B110" s="227"/>
      <c r="C110" s="186"/>
      <c r="D110" s="186"/>
      <c r="E110" s="171"/>
      <c r="F110" s="186"/>
      <c r="G110" s="171"/>
      <c r="H110" s="186"/>
      <c r="I110" s="186"/>
      <c r="J110" s="186"/>
      <c r="K110" s="186"/>
      <c r="L110" s="216"/>
      <c r="M110" s="171"/>
      <c r="N110" s="280"/>
      <c r="O110" s="44"/>
      <c r="P110" s="226"/>
      <c r="Q110" s="226"/>
      <c r="R110" s="42"/>
      <c r="S110" s="317"/>
      <c r="T110" s="317"/>
      <c r="U110" s="317"/>
      <c r="V110" s="317"/>
      <c r="W110" s="317"/>
      <c r="X110" s="880"/>
      <c r="Y110" s="2133"/>
      <c r="Z110" s="42"/>
      <c r="AA110" s="279"/>
      <c r="AB110" s="565"/>
      <c r="AC110" s="511"/>
      <c r="AD110" s="511"/>
      <c r="AE110" s="419"/>
      <c r="AF110" s="922"/>
      <c r="AG110" s="573"/>
      <c r="AH110" s="922"/>
      <c r="AI110" s="922"/>
      <c r="AJ110" s="922"/>
      <c r="AK110" s="922"/>
      <c r="AL110" s="532"/>
      <c r="AM110" s="419"/>
      <c r="AN110" s="574"/>
      <c r="AO110" s="909"/>
      <c r="AP110" s="434"/>
      <c r="AQ110" s="434"/>
      <c r="AR110" s="449"/>
      <c r="AS110" s="558"/>
      <c r="AT110" s="558"/>
      <c r="AU110" s="558"/>
      <c r="AV110" s="558"/>
      <c r="AW110" s="558"/>
      <c r="AX110" s="909"/>
      <c r="AY110" s="2138"/>
      <c r="AZ110" s="449"/>
      <c r="BA110" s="559"/>
      <c r="BC110" s="2127"/>
    </row>
    <row r="111" spans="1:59">
      <c r="A111" s="208" t="s">
        <v>631</v>
      </c>
      <c r="B111" s="227"/>
      <c r="C111" s="186"/>
      <c r="D111" s="4324">
        <f>Defaults!$C$36</f>
        <v>25.2</v>
      </c>
      <c r="E111" s="4325"/>
      <c r="F111" s="186" t="s">
        <v>682</v>
      </c>
      <c r="G111" s="171"/>
      <c r="H111" s="186"/>
      <c r="I111" s="186"/>
      <c r="J111" s="186"/>
      <c r="K111" s="186"/>
      <c r="L111" s="216"/>
      <c r="M111" s="330">
        <v>4</v>
      </c>
      <c r="N111" s="280"/>
      <c r="O111" s="44"/>
      <c r="P111" s="226"/>
      <c r="Q111" s="4289">
        <f>Defaults!$C$36</f>
        <v>25.2</v>
      </c>
      <c r="R111" s="4290"/>
      <c r="S111" s="3822" t="s">
        <v>682</v>
      </c>
      <c r="T111" s="2464"/>
      <c r="U111" s="2464"/>
      <c r="V111" s="2464"/>
      <c r="W111" s="2464"/>
      <c r="X111" s="880"/>
      <c r="Y111" s="2133"/>
      <c r="Z111" s="331">
        <v>4</v>
      </c>
      <c r="AA111" s="279"/>
      <c r="AB111" s="565"/>
      <c r="AC111" s="511"/>
      <c r="AD111" s="4252">
        <f>Defaults!$C$36</f>
        <v>25.2</v>
      </c>
      <c r="AE111" s="4253"/>
      <c r="AF111" s="922" t="s">
        <v>682</v>
      </c>
      <c r="AG111" s="573"/>
      <c r="AH111" s="922"/>
      <c r="AI111" s="922"/>
      <c r="AJ111" s="922"/>
      <c r="AK111" s="922"/>
      <c r="AL111" s="532"/>
      <c r="AM111" s="2646">
        <v>4</v>
      </c>
      <c r="AN111" s="574"/>
      <c r="AO111" s="909"/>
      <c r="AP111" s="434"/>
      <c r="AQ111" s="4254">
        <f>Defaults!$C$36</f>
        <v>25.2</v>
      </c>
      <c r="AR111" s="4255"/>
      <c r="AS111" s="3823" t="s">
        <v>682</v>
      </c>
      <c r="AT111" s="2769"/>
      <c r="AU111" s="2769"/>
      <c r="AV111" s="2769"/>
      <c r="AW111" s="2769"/>
      <c r="AX111" s="909"/>
      <c r="AY111" s="2138"/>
      <c r="AZ111" s="649">
        <v>4</v>
      </c>
      <c r="BA111" s="559"/>
      <c r="BB111" s="3651" t="b">
        <f>IF(Options!N81=2,IF(Options!P81=2,IF(Options!R81=2,IF(Options!T81=2," ",FALSE))))</f>
        <v>0</v>
      </c>
      <c r="BC111" s="2127"/>
    </row>
    <row r="112" spans="1:59" ht="2.25" customHeight="1">
      <c r="A112" s="206"/>
      <c r="B112" s="227"/>
      <c r="C112" s="186"/>
      <c r="D112" s="186"/>
      <c r="E112" s="171"/>
      <c r="F112" s="186"/>
      <c r="G112" s="171"/>
      <c r="H112" s="186"/>
      <c r="I112" s="186"/>
      <c r="J112" s="186"/>
      <c r="K112" s="186"/>
      <c r="L112" s="216"/>
      <c r="M112" s="171"/>
      <c r="N112" s="280"/>
      <c r="O112" s="44"/>
      <c r="P112" s="226"/>
      <c r="Q112" s="226"/>
      <c r="R112" s="42"/>
      <c r="S112" s="317"/>
      <c r="T112" s="317"/>
      <c r="U112" s="317"/>
      <c r="V112" s="317"/>
      <c r="W112" s="317"/>
      <c r="X112" s="880"/>
      <c r="Y112" s="2133"/>
      <c r="Z112" s="42"/>
      <c r="AA112" s="279"/>
      <c r="AB112" s="565"/>
      <c r="AC112" s="511"/>
      <c r="AD112" s="511"/>
      <c r="AE112" s="419"/>
      <c r="AF112" s="922"/>
      <c r="AG112" s="573"/>
      <c r="AH112" s="922"/>
      <c r="AI112" s="922"/>
      <c r="AJ112" s="922"/>
      <c r="AK112" s="922"/>
      <c r="AL112" s="532"/>
      <c r="AM112" s="419"/>
      <c r="AN112" s="574"/>
      <c r="AO112" s="909"/>
      <c r="AP112" s="434"/>
      <c r="AQ112" s="434"/>
      <c r="AR112" s="449"/>
      <c r="AS112" s="558"/>
      <c r="AT112" s="558"/>
      <c r="AU112" s="558"/>
      <c r="AV112" s="558"/>
      <c r="AW112" s="558"/>
      <c r="AX112" s="909"/>
      <c r="AY112" s="2138"/>
      <c r="AZ112" s="449"/>
      <c r="BA112" s="559"/>
      <c r="BB112" s="2127"/>
      <c r="BC112" s="2127"/>
    </row>
    <row r="113" spans="1:56">
      <c r="A113" s="208" t="s">
        <v>712</v>
      </c>
      <c r="B113" s="227"/>
      <c r="C113" s="186"/>
      <c r="D113" s="4176">
        <f>F1_Age_at_1st_Breeding+((F1_Heifer_Breeding_Attempts-1)*F1_Heifer_Days_Between_Breeding_Attempts/30.4)+(F1_Gestation_Period/30.4)</f>
        <v>26.117741935483874</v>
      </c>
      <c r="E113" s="4177"/>
      <c r="F113" s="186" t="s">
        <v>682</v>
      </c>
      <c r="G113" s="171"/>
      <c r="H113" s="186"/>
      <c r="I113" s="186"/>
      <c r="J113" s="186"/>
      <c r="K113" s="186"/>
      <c r="L113" s="216"/>
      <c r="M113" s="330">
        <v>4</v>
      </c>
      <c r="N113" s="280"/>
      <c r="O113" s="44"/>
      <c r="P113" s="226"/>
      <c r="Q113" s="4289">
        <f>F2_Age_at_1st_Breeding+((F2_Heifer_Breeding_Attempts-1)*F2_Heifer_Days_Between_Breeding_Attempts/30.4)+(F2_Gestation_Period/30.4)</f>
        <v>25.516497020854022</v>
      </c>
      <c r="R113" s="4290"/>
      <c r="S113" s="3822" t="s">
        <v>682</v>
      </c>
      <c r="T113" s="2464"/>
      <c r="U113" s="2464"/>
      <c r="V113" s="2464"/>
      <c r="W113" s="2464"/>
      <c r="X113" s="880"/>
      <c r="Y113" s="2133"/>
      <c r="Z113" s="331">
        <v>4</v>
      </c>
      <c r="AA113" s="279"/>
      <c r="AB113" s="565"/>
      <c r="AC113" s="511"/>
      <c r="AD113" s="4252">
        <f>F3_Age_at_1st_Breeding+((F3_Heifer_Breeding_Attempts-1)*F3_Heifer_Days_Between_Breeding_Attempts/30.4)+(F3_Gestation_Period/30.4)</f>
        <v>23.672478070175437</v>
      </c>
      <c r="AE113" s="4253"/>
      <c r="AF113" s="922" t="s">
        <v>682</v>
      </c>
      <c r="AG113" s="573"/>
      <c r="AH113" s="922"/>
      <c r="AI113" s="922"/>
      <c r="AJ113" s="922"/>
      <c r="AK113" s="922"/>
      <c r="AL113" s="532"/>
      <c r="AM113" s="2646">
        <v>4</v>
      </c>
      <c r="AN113" s="574"/>
      <c r="AO113" s="909"/>
      <c r="AP113" s="434"/>
      <c r="AQ113" s="4254">
        <f>F4_Age_at_1st_Breeding+((F4_Heifer_Breeding_Attempts-1)*F4_Heifer_Days_Between_Breeding_Attempts/30.4)+(F4_Gestation_Period/30.4)</f>
        <v>22.928708133971291</v>
      </c>
      <c r="AR113" s="4255"/>
      <c r="AS113" s="3823" t="s">
        <v>682</v>
      </c>
      <c r="AT113" s="2769"/>
      <c r="AU113" s="2769"/>
      <c r="AV113" s="2769"/>
      <c r="AW113" s="2769"/>
      <c r="AX113" s="909"/>
      <c r="AY113" s="2138"/>
      <c r="AZ113" s="649">
        <v>4</v>
      </c>
      <c r="BA113" s="559"/>
      <c r="BC113" s="2127"/>
    </row>
    <row r="114" spans="1:56" ht="6" customHeight="1">
      <c r="A114" s="205"/>
      <c r="B114" s="230"/>
      <c r="C114" s="190"/>
      <c r="D114" s="190"/>
      <c r="E114" s="161"/>
      <c r="F114" s="190"/>
      <c r="G114" s="161"/>
      <c r="H114" s="190"/>
      <c r="I114" s="190"/>
      <c r="J114" s="190"/>
      <c r="K114" s="190"/>
      <c r="L114" s="215"/>
      <c r="M114" s="161"/>
      <c r="N114" s="231"/>
      <c r="O114" s="67"/>
      <c r="P114" s="67"/>
      <c r="Q114" s="67"/>
      <c r="R114" s="85"/>
      <c r="S114" s="276"/>
      <c r="T114" s="276"/>
      <c r="U114" s="276"/>
      <c r="V114" s="276"/>
      <c r="W114" s="276"/>
      <c r="X114" s="905"/>
      <c r="Y114" s="907"/>
      <c r="Z114" s="85"/>
      <c r="AA114" s="138"/>
      <c r="AB114" s="567"/>
      <c r="AC114" s="516"/>
      <c r="AD114" s="516"/>
      <c r="AE114" s="568"/>
      <c r="AF114" s="933"/>
      <c r="AG114" s="592"/>
      <c r="AH114" s="933"/>
      <c r="AI114" s="933"/>
      <c r="AJ114" s="933"/>
      <c r="AK114" s="933"/>
      <c r="AL114" s="569"/>
      <c r="AM114" s="568"/>
      <c r="AN114" s="2765"/>
      <c r="AO114" s="919"/>
      <c r="AP114" s="469"/>
      <c r="AQ114" s="469"/>
      <c r="AR114" s="553"/>
      <c r="AS114" s="596"/>
      <c r="AT114" s="596"/>
      <c r="AU114" s="596"/>
      <c r="AV114" s="596"/>
      <c r="AW114" s="596"/>
      <c r="AX114" s="919"/>
      <c r="AY114" s="920"/>
      <c r="AZ114" s="553"/>
      <c r="BA114" s="2775"/>
      <c r="BB114" s="2127"/>
      <c r="BC114" s="2127"/>
    </row>
    <row r="115" spans="1:56" ht="18" customHeight="1">
      <c r="A115" s="268" t="s">
        <v>1272</v>
      </c>
      <c r="B115" s="269"/>
      <c r="C115" s="270"/>
      <c r="D115" s="270"/>
      <c r="E115" s="270"/>
      <c r="F115" s="2450"/>
      <c r="G115" s="270"/>
      <c r="H115" s="2450"/>
      <c r="I115" s="2450"/>
      <c r="J115" s="2450"/>
      <c r="K115" s="2450"/>
      <c r="L115" s="2455"/>
      <c r="M115" s="270"/>
      <c r="N115" s="271"/>
      <c r="O115" s="272"/>
      <c r="P115" s="272"/>
      <c r="Q115" s="272"/>
      <c r="R115" s="272"/>
      <c r="S115" s="3331"/>
      <c r="T115" s="3331"/>
      <c r="U115" s="3331"/>
      <c r="V115" s="3331"/>
      <c r="W115" s="3331"/>
      <c r="X115" s="3332"/>
      <c r="Y115" s="3331"/>
      <c r="Z115" s="272"/>
      <c r="AA115" s="273"/>
      <c r="AB115" s="576"/>
      <c r="AC115" s="577"/>
      <c r="AD115" s="577"/>
      <c r="AE115" s="577"/>
      <c r="AF115" s="3351"/>
      <c r="AG115" s="3352"/>
      <c r="AH115" s="3351"/>
      <c r="AI115" s="3351"/>
      <c r="AJ115" s="3351"/>
      <c r="AK115" s="3351"/>
      <c r="AL115" s="2766"/>
      <c r="AM115" s="577"/>
      <c r="AN115" s="3357"/>
      <c r="AO115" s="3339"/>
      <c r="AP115" s="561"/>
      <c r="AQ115" s="561"/>
      <c r="AR115" s="561"/>
      <c r="AS115" s="3339"/>
      <c r="AT115" s="3339"/>
      <c r="AU115" s="3339"/>
      <c r="AV115" s="3339"/>
      <c r="AW115" s="3339"/>
      <c r="AX115" s="3340"/>
      <c r="AY115" s="3339"/>
      <c r="AZ115" s="561"/>
      <c r="BA115" s="3344"/>
      <c r="BB115" s="2127"/>
      <c r="BC115" s="2127"/>
    </row>
    <row r="116" spans="1:56">
      <c r="A116" s="2363" t="s">
        <v>795</v>
      </c>
      <c r="B116" s="232">
        <v>0.99</v>
      </c>
      <c r="C116" s="4314">
        <f>IF(F1_Breeding_Method="Bull",Defaults!$C$55,IF(F1_Breeding_Method="AI with Sync",Defaults!$D$55,Defaults!$E$55))</f>
        <v>0.86</v>
      </c>
      <c r="D116" s="4315"/>
      <c r="E116" s="3346"/>
      <c r="F116" s="3347"/>
      <c r="G116" s="2247">
        <v>0.99</v>
      </c>
      <c r="H116" s="3282"/>
      <c r="I116" s="3282"/>
      <c r="J116" s="3282"/>
      <c r="K116" s="3282"/>
      <c r="L116" s="216"/>
      <c r="M116" s="330"/>
      <c r="N116" s="213"/>
      <c r="O116" s="44"/>
      <c r="P116" s="4310">
        <f>IF(F2_Breeding_Method="Bull",Defaults!$C$55,IF(F2_Breeding_Method="AI with Sync",Defaults!$D$55,Defaults!$E$55))</f>
        <v>0.86</v>
      </c>
      <c r="Q116" s="4311"/>
      <c r="R116" s="3329"/>
      <c r="S116" s="3333"/>
      <c r="T116" s="3333"/>
      <c r="U116" s="3333"/>
      <c r="V116" s="3333"/>
      <c r="W116" s="3333"/>
      <c r="X116" s="3334"/>
      <c r="Y116" s="2133"/>
      <c r="Z116" s="331"/>
      <c r="AA116" s="133"/>
      <c r="AB116" s="578">
        <v>0.99</v>
      </c>
      <c r="AC116" s="4264">
        <f>IF(F3_Breeding_Method="Bull",Defaults!$C$55,IF(F3_Breeding_Method="AI with Sync",Defaults!$D$55,Defaults!$E$55))</f>
        <v>0.88</v>
      </c>
      <c r="AD116" s="4265"/>
      <c r="AE116" s="3348"/>
      <c r="AF116" s="3353"/>
      <c r="AG116" s="394">
        <v>0.99</v>
      </c>
      <c r="AH116" s="3354"/>
      <c r="AI116" s="3354"/>
      <c r="AJ116" s="3354"/>
      <c r="AK116" s="3354"/>
      <c r="AL116" s="532"/>
      <c r="AM116" s="2646"/>
      <c r="AN116" s="574"/>
      <c r="AO116" s="909"/>
      <c r="AP116" s="4266">
        <f>IF(F4_Breeding_Method="Bull",Defaults!$C$55,IF(F4_Breeding_Method="AI with Sync",Defaults!$D$55,Defaults!$E$55))</f>
        <v>0.88</v>
      </c>
      <c r="AQ116" s="4267"/>
      <c r="AR116" s="3336"/>
      <c r="AS116" s="3341"/>
      <c r="AT116" s="3341"/>
      <c r="AU116" s="3341"/>
      <c r="AV116" s="3341"/>
      <c r="AW116" s="3341"/>
      <c r="AX116" s="3342"/>
      <c r="AY116" s="2138"/>
      <c r="AZ116" s="649"/>
      <c r="BA116" s="559"/>
      <c r="BB116" s="2127"/>
      <c r="BC116" s="2127"/>
    </row>
    <row r="117" spans="1:56" ht="2.25" customHeight="1">
      <c r="A117" s="2363"/>
      <c r="B117" s="227"/>
      <c r="C117" s="2247"/>
      <c r="D117" s="2247"/>
      <c r="E117" s="186"/>
      <c r="F117" s="186"/>
      <c r="G117" s="171"/>
      <c r="H117" s="186"/>
      <c r="I117" s="186"/>
      <c r="J117" s="186"/>
      <c r="K117" s="186"/>
      <c r="L117" s="216"/>
      <c r="M117" s="171"/>
      <c r="N117" s="213"/>
      <c r="O117" s="44"/>
      <c r="P117" s="76"/>
      <c r="Q117" s="76"/>
      <c r="R117" s="44"/>
      <c r="S117" s="880"/>
      <c r="T117" s="880"/>
      <c r="U117" s="880"/>
      <c r="V117" s="880"/>
      <c r="W117" s="880"/>
      <c r="X117" s="880"/>
      <c r="Y117" s="2133"/>
      <c r="Z117" s="42"/>
      <c r="AA117" s="133"/>
      <c r="AB117" s="565"/>
      <c r="AC117" s="2779"/>
      <c r="AD117" s="2779"/>
      <c r="AE117" s="511"/>
      <c r="AF117" s="922"/>
      <c r="AG117" s="573"/>
      <c r="AH117" s="922"/>
      <c r="AI117" s="922"/>
      <c r="AJ117" s="922"/>
      <c r="AK117" s="922"/>
      <c r="AL117" s="532"/>
      <c r="AM117" s="419"/>
      <c r="AN117" s="574"/>
      <c r="AO117" s="909"/>
      <c r="AP117" s="408"/>
      <c r="AQ117" s="408"/>
      <c r="AR117" s="465"/>
      <c r="AS117" s="909"/>
      <c r="AT117" s="909"/>
      <c r="AU117" s="909"/>
      <c r="AV117" s="909"/>
      <c r="AW117" s="909"/>
      <c r="AX117" s="909"/>
      <c r="AY117" s="2138"/>
      <c r="AZ117" s="449"/>
      <c r="BA117" s="559"/>
      <c r="BB117" s="2127"/>
      <c r="BC117" s="2127"/>
    </row>
    <row r="118" spans="1:56" ht="12.75" customHeight="1">
      <c r="A118" s="2363" t="s">
        <v>796</v>
      </c>
      <c r="B118" s="232">
        <v>0.49</v>
      </c>
      <c r="C118" s="4314">
        <f>Defaults!$C$37</f>
        <v>0.50800000000000001</v>
      </c>
      <c r="D118" s="4315"/>
      <c r="E118" s="3347" t="str">
        <f>IF(C118+C120=100%,"","&lt;--The total of Heifer and Bull Calves must equal 100%.")</f>
        <v/>
      </c>
      <c r="F118" s="3347"/>
      <c r="G118" s="2247">
        <v>0.49</v>
      </c>
      <c r="H118" s="3282"/>
      <c r="I118" s="3282"/>
      <c r="J118" s="3282"/>
      <c r="K118" s="3282"/>
      <c r="L118" s="216"/>
      <c r="M118" s="330">
        <v>5</v>
      </c>
      <c r="N118" s="213"/>
      <c r="O118" s="44"/>
      <c r="P118" s="4310">
        <f>Defaults!$C$37</f>
        <v>0.50800000000000001</v>
      </c>
      <c r="Q118" s="4311"/>
      <c r="R118" s="2046" t="str">
        <f>IF(P118+P120=100%,"","&lt;--The total of Heifer and Bull Calves must equal 100%.")</f>
        <v/>
      </c>
      <c r="S118" s="3333"/>
      <c r="T118" s="3333"/>
      <c r="U118" s="3333"/>
      <c r="V118" s="3333"/>
      <c r="W118" s="3333"/>
      <c r="X118" s="3334"/>
      <c r="Y118" s="2133"/>
      <c r="Z118" s="331">
        <v>5</v>
      </c>
      <c r="AA118" s="133"/>
      <c r="AB118" s="578">
        <v>0.49</v>
      </c>
      <c r="AC118" s="4264">
        <f>Defaults!$C$37</f>
        <v>0.50800000000000001</v>
      </c>
      <c r="AD118" s="4265"/>
      <c r="AE118" s="3349" t="str">
        <f>IF(AC118+AC120=100%,"","&lt;--The total of Heifer and Bull Calves must equal 100%.")</f>
        <v/>
      </c>
      <c r="AF118" s="3353"/>
      <c r="AG118" s="394">
        <v>0.49</v>
      </c>
      <c r="AH118" s="3354"/>
      <c r="AI118" s="3354"/>
      <c r="AJ118" s="3354"/>
      <c r="AK118" s="3354"/>
      <c r="AL118" s="532"/>
      <c r="AM118" s="2646">
        <v>5</v>
      </c>
      <c r="AN118" s="574"/>
      <c r="AO118" s="909"/>
      <c r="AP118" s="4266">
        <f>Defaults!$C$37</f>
        <v>0.50800000000000001</v>
      </c>
      <c r="AQ118" s="4267"/>
      <c r="AR118" s="3337" t="str">
        <f>IF(AP118+AP120=100%,"","&lt;--The total of Heifer and Bull Calves must equal 100%.")</f>
        <v/>
      </c>
      <c r="AS118" s="3341"/>
      <c r="AT118" s="3341"/>
      <c r="AU118" s="3341"/>
      <c r="AV118" s="3341"/>
      <c r="AW118" s="3341"/>
      <c r="AX118" s="3342"/>
      <c r="AY118" s="2138"/>
      <c r="AZ118" s="649">
        <v>5</v>
      </c>
      <c r="BA118" s="559"/>
      <c r="BB118" s="2127"/>
      <c r="BC118" s="2127"/>
    </row>
    <row r="119" spans="1:56" ht="2.25" customHeight="1">
      <c r="A119" s="2363"/>
      <c r="B119" s="227"/>
      <c r="C119" s="2247"/>
      <c r="D119" s="2247"/>
      <c r="E119" s="3347"/>
      <c r="F119" s="3347"/>
      <c r="G119" s="171"/>
      <c r="H119" s="3282"/>
      <c r="I119" s="3282"/>
      <c r="J119" s="3282"/>
      <c r="K119" s="3282"/>
      <c r="L119" s="216"/>
      <c r="M119" s="171"/>
      <c r="N119" s="213"/>
      <c r="O119" s="44"/>
      <c r="P119" s="76"/>
      <c r="Q119" s="76"/>
      <c r="R119" s="2046"/>
      <c r="S119" s="3333"/>
      <c r="T119" s="3333"/>
      <c r="U119" s="3333"/>
      <c r="V119" s="3333"/>
      <c r="W119" s="3333"/>
      <c r="X119" s="3334"/>
      <c r="Y119" s="2133"/>
      <c r="Z119" s="42"/>
      <c r="AA119" s="133"/>
      <c r="AB119" s="565"/>
      <c r="AC119" s="2779"/>
      <c r="AD119" s="2779"/>
      <c r="AE119" s="3349"/>
      <c r="AF119" s="3353"/>
      <c r="AG119" s="573"/>
      <c r="AH119" s="3354"/>
      <c r="AI119" s="3354"/>
      <c r="AJ119" s="3354"/>
      <c r="AK119" s="3354"/>
      <c r="AL119" s="532"/>
      <c r="AM119" s="419"/>
      <c r="AN119" s="574"/>
      <c r="AO119" s="909"/>
      <c r="AP119" s="408"/>
      <c r="AQ119" s="408"/>
      <c r="AR119" s="3337"/>
      <c r="AS119" s="3341"/>
      <c r="AT119" s="3341"/>
      <c r="AU119" s="3341"/>
      <c r="AV119" s="3341"/>
      <c r="AW119" s="3341"/>
      <c r="AX119" s="3342"/>
      <c r="AY119" s="2138"/>
      <c r="AZ119" s="449"/>
      <c r="BA119" s="559"/>
      <c r="BB119" s="2127"/>
      <c r="BC119" s="2127"/>
    </row>
    <row r="120" spans="1:56">
      <c r="A120" s="2363" t="s">
        <v>797</v>
      </c>
      <c r="B120" s="232"/>
      <c r="C120" s="4314">
        <f>Defaults!$C$38</f>
        <v>0.49199999999999999</v>
      </c>
      <c r="D120" s="4315"/>
      <c r="E120" s="3347"/>
      <c r="F120" s="3347"/>
      <c r="G120" s="2247"/>
      <c r="H120" s="3282"/>
      <c r="I120" s="3282"/>
      <c r="J120" s="3282"/>
      <c r="K120" s="3282"/>
      <c r="L120" s="216"/>
      <c r="M120" s="330">
        <v>5</v>
      </c>
      <c r="N120" s="213"/>
      <c r="O120" s="44"/>
      <c r="P120" s="4310">
        <f>Defaults!$C$38</f>
        <v>0.49199999999999999</v>
      </c>
      <c r="Q120" s="4311"/>
      <c r="R120" s="2046"/>
      <c r="S120" s="3333"/>
      <c r="T120" s="3333"/>
      <c r="U120" s="3333"/>
      <c r="V120" s="3333"/>
      <c r="W120" s="3333"/>
      <c r="X120" s="3334"/>
      <c r="Y120" s="2133"/>
      <c r="Z120" s="331">
        <v>5</v>
      </c>
      <c r="AA120" s="133"/>
      <c r="AB120" s="578"/>
      <c r="AC120" s="4264">
        <f>Defaults!$C$38</f>
        <v>0.49199999999999999</v>
      </c>
      <c r="AD120" s="4265"/>
      <c r="AE120" s="3349"/>
      <c r="AF120" s="3353"/>
      <c r="AG120" s="394"/>
      <c r="AH120" s="3354"/>
      <c r="AI120" s="3354"/>
      <c r="AJ120" s="3354"/>
      <c r="AK120" s="3354"/>
      <c r="AL120" s="532"/>
      <c r="AM120" s="2646">
        <v>5</v>
      </c>
      <c r="AN120" s="574"/>
      <c r="AO120" s="909"/>
      <c r="AP120" s="4266">
        <f>Defaults!$C$38</f>
        <v>0.49199999999999999</v>
      </c>
      <c r="AQ120" s="4267"/>
      <c r="AR120" s="3337"/>
      <c r="AS120" s="3341"/>
      <c r="AT120" s="3341"/>
      <c r="AU120" s="3341"/>
      <c r="AV120" s="3341"/>
      <c r="AW120" s="3341"/>
      <c r="AX120" s="3342"/>
      <c r="AY120" s="2138"/>
      <c r="AZ120" s="649">
        <v>5</v>
      </c>
      <c r="BA120" s="559"/>
      <c r="BB120" s="2127"/>
      <c r="BC120" s="2127"/>
    </row>
    <row r="121" spans="1:56" ht="6" customHeight="1">
      <c r="A121" s="2363"/>
      <c r="B121" s="227"/>
      <c r="C121" s="171"/>
      <c r="D121" s="171"/>
      <c r="E121" s="186"/>
      <c r="F121" s="309"/>
      <c r="G121" s="171"/>
      <c r="H121" s="309"/>
      <c r="I121" s="309"/>
      <c r="J121" s="309"/>
      <c r="K121" s="309"/>
      <c r="L121" s="216"/>
      <c r="M121" s="171"/>
      <c r="N121" s="213"/>
      <c r="O121" s="44"/>
      <c r="P121" s="42"/>
      <c r="Q121" s="42"/>
      <c r="R121" s="44"/>
      <c r="S121" s="880"/>
      <c r="T121" s="880"/>
      <c r="U121" s="880"/>
      <c r="V121" s="880"/>
      <c r="W121" s="880"/>
      <c r="X121" s="3335"/>
      <c r="Y121" s="2133"/>
      <c r="Z121" s="42"/>
      <c r="AA121" s="133"/>
      <c r="AB121" s="565"/>
      <c r="AC121" s="419"/>
      <c r="AD121" s="419"/>
      <c r="AE121" s="511"/>
      <c r="AF121" s="3355"/>
      <c r="AG121" s="573"/>
      <c r="AH121" s="3355"/>
      <c r="AI121" s="3355"/>
      <c r="AJ121" s="3355"/>
      <c r="AK121" s="3355"/>
      <c r="AL121" s="532"/>
      <c r="AM121" s="419"/>
      <c r="AN121" s="574"/>
      <c r="AO121" s="909"/>
      <c r="AP121" s="449"/>
      <c r="AQ121" s="449"/>
      <c r="AR121" s="465"/>
      <c r="AS121" s="909"/>
      <c r="AT121" s="909"/>
      <c r="AU121" s="909"/>
      <c r="AV121" s="909"/>
      <c r="AW121" s="909"/>
      <c r="AX121" s="3343"/>
      <c r="AY121" s="2138"/>
      <c r="AZ121" s="449"/>
      <c r="BA121" s="559"/>
      <c r="BB121" s="2127"/>
      <c r="BC121" s="2127"/>
    </row>
    <row r="122" spans="1:56">
      <c r="A122" s="236" t="s">
        <v>1273</v>
      </c>
      <c r="B122" s="232"/>
      <c r="C122" s="4178">
        <f>F1_Percent_Live_Births*F1_Percent_Heifer_Calves</f>
        <v>0.43687999999999999</v>
      </c>
      <c r="D122" s="4179"/>
      <c r="E122" s="186" t="s">
        <v>134</v>
      </c>
      <c r="F122" s="309"/>
      <c r="G122" s="2247"/>
      <c r="H122" s="309"/>
      <c r="I122" s="309"/>
      <c r="J122" s="309"/>
      <c r="K122" s="309"/>
      <c r="L122" s="216"/>
      <c r="M122" s="333"/>
      <c r="N122" s="213"/>
      <c r="O122" s="44"/>
      <c r="P122" s="4293">
        <f>F2_Percent_Live_Births*F2_Percent_Heifer_Calves</f>
        <v>0.43687999999999999</v>
      </c>
      <c r="Q122" s="4294"/>
      <c r="R122" s="44" t="s">
        <v>134</v>
      </c>
      <c r="S122" s="880"/>
      <c r="T122" s="880"/>
      <c r="U122" s="880"/>
      <c r="V122" s="880"/>
      <c r="W122" s="880"/>
      <c r="X122" s="3335"/>
      <c r="Y122" s="2133"/>
      <c r="Z122" s="334"/>
      <c r="AA122" s="133"/>
      <c r="AB122" s="578"/>
      <c r="AC122" s="4256">
        <f>F3_Percent_Live_Births*F3_Percent_Heifer_Calves</f>
        <v>0.44703999999999999</v>
      </c>
      <c r="AD122" s="4257"/>
      <c r="AE122" s="511" t="s">
        <v>134</v>
      </c>
      <c r="AF122" s="3355"/>
      <c r="AG122" s="394"/>
      <c r="AH122" s="3355"/>
      <c r="AI122" s="3355"/>
      <c r="AJ122" s="3355"/>
      <c r="AK122" s="3355"/>
      <c r="AL122" s="532"/>
      <c r="AM122" s="582"/>
      <c r="AN122" s="574"/>
      <c r="AO122" s="909"/>
      <c r="AP122" s="4258">
        <f>F4_Percent_Live_Births*F4_Percent_Heifer_Calves</f>
        <v>0.44703999999999999</v>
      </c>
      <c r="AQ122" s="4259"/>
      <c r="AR122" s="465" t="s">
        <v>134</v>
      </c>
      <c r="AS122" s="909"/>
      <c r="AT122" s="909"/>
      <c r="AU122" s="909"/>
      <c r="AV122" s="909"/>
      <c r="AW122" s="909"/>
      <c r="AX122" s="3343"/>
      <c r="AY122" s="2138"/>
      <c r="AZ122" s="558"/>
      <c r="BA122" s="559"/>
      <c r="BB122" s="2127"/>
      <c r="BC122" s="2127"/>
    </row>
    <row r="123" spans="1:56" ht="2.25" customHeight="1">
      <c r="A123" s="236"/>
      <c r="B123" s="227"/>
      <c r="C123" s="171"/>
      <c r="D123" s="171"/>
      <c r="E123" s="186"/>
      <c r="F123" s="309"/>
      <c r="G123" s="171"/>
      <c r="H123" s="309"/>
      <c r="I123" s="309"/>
      <c r="J123" s="309"/>
      <c r="K123" s="309"/>
      <c r="L123" s="216"/>
      <c r="M123" s="171"/>
      <c r="N123" s="213"/>
      <c r="O123" s="44"/>
      <c r="P123" s="42"/>
      <c r="Q123" s="42"/>
      <c r="R123" s="44"/>
      <c r="S123" s="880"/>
      <c r="T123" s="880"/>
      <c r="U123" s="880"/>
      <c r="V123" s="880"/>
      <c r="W123" s="880"/>
      <c r="X123" s="3335"/>
      <c r="Y123" s="2133"/>
      <c r="Z123" s="42"/>
      <c r="AA123" s="133"/>
      <c r="AB123" s="565"/>
      <c r="AC123" s="419"/>
      <c r="AD123" s="419"/>
      <c r="AE123" s="511"/>
      <c r="AF123" s="3355"/>
      <c r="AG123" s="573"/>
      <c r="AH123" s="3355"/>
      <c r="AI123" s="3355"/>
      <c r="AJ123" s="3355"/>
      <c r="AK123" s="3355"/>
      <c r="AL123" s="532"/>
      <c r="AM123" s="419"/>
      <c r="AN123" s="574"/>
      <c r="AO123" s="909"/>
      <c r="AP123" s="449"/>
      <c r="AQ123" s="449"/>
      <c r="AR123" s="465"/>
      <c r="AS123" s="909"/>
      <c r="AT123" s="909"/>
      <c r="AU123" s="909"/>
      <c r="AV123" s="909"/>
      <c r="AW123" s="909"/>
      <c r="AX123" s="3343"/>
      <c r="AY123" s="2138"/>
      <c r="AZ123" s="449"/>
      <c r="BA123" s="559"/>
      <c r="BB123" s="2127"/>
      <c r="BC123" s="2127"/>
    </row>
    <row r="124" spans="1:56">
      <c r="A124" s="236" t="s">
        <v>1274</v>
      </c>
      <c r="B124" s="232"/>
      <c r="C124" s="4178">
        <f>F1_Percent_Live_Births*F1_Percent_Bull_Calves</f>
        <v>0.42312</v>
      </c>
      <c r="D124" s="4179"/>
      <c r="E124" s="186" t="s">
        <v>135</v>
      </c>
      <c r="F124" s="309"/>
      <c r="G124" s="2247"/>
      <c r="H124" s="309"/>
      <c r="I124" s="309"/>
      <c r="J124" s="309"/>
      <c r="K124" s="309"/>
      <c r="L124" s="216"/>
      <c r="M124" s="333"/>
      <c r="N124" s="213"/>
      <c r="O124" s="44"/>
      <c r="P124" s="4293">
        <f>F2_Percent_Live_Births*F2_Percent_Bull_Calves</f>
        <v>0.42312</v>
      </c>
      <c r="Q124" s="4294"/>
      <c r="R124" s="44" t="s">
        <v>135</v>
      </c>
      <c r="S124" s="880"/>
      <c r="T124" s="880"/>
      <c r="U124" s="880"/>
      <c r="V124" s="880"/>
      <c r="W124" s="880"/>
      <c r="X124" s="3335"/>
      <c r="Y124" s="2133"/>
      <c r="Z124" s="334"/>
      <c r="AA124" s="133"/>
      <c r="AB124" s="578"/>
      <c r="AC124" s="4256">
        <f>F3_Percent_Live_Births*F3_Percent_Bull_Calves</f>
        <v>0.43296000000000001</v>
      </c>
      <c r="AD124" s="4257"/>
      <c r="AE124" s="511" t="s">
        <v>135</v>
      </c>
      <c r="AF124" s="3355"/>
      <c r="AG124" s="394"/>
      <c r="AH124" s="3355"/>
      <c r="AI124" s="3355"/>
      <c r="AJ124" s="3355"/>
      <c r="AK124" s="3355"/>
      <c r="AL124" s="532"/>
      <c r="AM124" s="582"/>
      <c r="AN124" s="574"/>
      <c r="AO124" s="909"/>
      <c r="AP124" s="4258">
        <f>F4_Percent_Live_Births*F4_Percent_Bull_Calves</f>
        <v>0.43296000000000001</v>
      </c>
      <c r="AQ124" s="4259"/>
      <c r="AR124" s="465" t="s">
        <v>135</v>
      </c>
      <c r="AS124" s="909"/>
      <c r="AT124" s="909"/>
      <c r="AU124" s="909"/>
      <c r="AV124" s="909"/>
      <c r="AW124" s="909"/>
      <c r="AX124" s="3343"/>
      <c r="AY124" s="2138"/>
      <c r="AZ124" s="558"/>
      <c r="BA124" s="559"/>
      <c r="BB124" s="2127"/>
      <c r="BC124" s="2127"/>
    </row>
    <row r="125" spans="1:56" ht="3.75" customHeight="1">
      <c r="A125" s="206"/>
      <c r="B125" s="230"/>
      <c r="C125" s="161"/>
      <c r="D125" s="161"/>
      <c r="E125" s="190"/>
      <c r="F125" s="190"/>
      <c r="G125" s="161"/>
      <c r="H125" s="190"/>
      <c r="I125" s="190"/>
      <c r="J125" s="190"/>
      <c r="K125" s="190"/>
      <c r="L125" s="215"/>
      <c r="M125" s="190"/>
      <c r="N125" s="191"/>
      <c r="O125" s="184"/>
      <c r="P125" s="67"/>
      <c r="Q125" s="67"/>
      <c r="R125" s="67"/>
      <c r="S125" s="905"/>
      <c r="T125" s="905"/>
      <c r="U125" s="905"/>
      <c r="V125" s="905"/>
      <c r="W125" s="905"/>
      <c r="X125" s="3320"/>
      <c r="Y125" s="907"/>
      <c r="Z125" s="67"/>
      <c r="AA125" s="88"/>
      <c r="AB125" s="567"/>
      <c r="AC125" s="568"/>
      <c r="AD125" s="568"/>
      <c r="AE125" s="516"/>
      <c r="AF125" s="933"/>
      <c r="AG125" s="592"/>
      <c r="AH125" s="933"/>
      <c r="AI125" s="933"/>
      <c r="AJ125" s="933"/>
      <c r="AK125" s="933"/>
      <c r="AL125" s="569"/>
      <c r="AM125" s="516"/>
      <c r="AN125" s="3358"/>
      <c r="AO125" s="3359"/>
      <c r="AP125" s="469"/>
      <c r="AQ125" s="469"/>
      <c r="AR125" s="469"/>
      <c r="AS125" s="919"/>
      <c r="AT125" s="919"/>
      <c r="AU125" s="919"/>
      <c r="AV125" s="919"/>
      <c r="AW125" s="919"/>
      <c r="AX125" s="3327"/>
      <c r="AY125" s="920"/>
      <c r="AZ125" s="469"/>
      <c r="BA125" s="3345"/>
      <c r="BB125" s="2127"/>
      <c r="BC125" s="2127"/>
    </row>
    <row r="126" spans="1:56" ht="5.25" customHeight="1">
      <c r="A126" s="318"/>
      <c r="B126" s="227"/>
      <c r="C126" s="171"/>
      <c r="D126" s="171"/>
      <c r="E126" s="186"/>
      <c r="F126" s="186"/>
      <c r="G126" s="171"/>
      <c r="H126" s="186"/>
      <c r="I126" s="186"/>
      <c r="J126" s="186"/>
      <c r="K126" s="186"/>
      <c r="L126" s="187"/>
      <c r="M126" s="233"/>
      <c r="N126" s="234"/>
      <c r="O126" s="44"/>
      <c r="P126" s="42"/>
      <c r="Q126" s="42"/>
      <c r="R126" s="44"/>
      <c r="S126" s="880"/>
      <c r="T126" s="880"/>
      <c r="U126" s="880"/>
      <c r="V126" s="880"/>
      <c r="W126" s="880"/>
      <c r="X126" s="880"/>
      <c r="Y126" s="3330"/>
      <c r="Z126" s="100"/>
      <c r="AA126" s="139"/>
      <c r="AB126" s="565"/>
      <c r="AC126" s="419"/>
      <c r="AD126" s="419"/>
      <c r="AE126" s="511"/>
      <c r="AF126" s="922"/>
      <c r="AG126" s="573"/>
      <c r="AH126" s="922"/>
      <c r="AI126" s="922"/>
      <c r="AJ126" s="922"/>
      <c r="AK126" s="922"/>
      <c r="AL126" s="512"/>
      <c r="AM126" s="575"/>
      <c r="AN126" s="3356"/>
      <c r="AO126" s="909"/>
      <c r="AP126" s="449"/>
      <c r="AQ126" s="449"/>
      <c r="AR126" s="465"/>
      <c r="AS126" s="909"/>
      <c r="AT126" s="909"/>
      <c r="AU126" s="909"/>
      <c r="AV126" s="909"/>
      <c r="AW126" s="909"/>
      <c r="AX126" s="909"/>
      <c r="AY126" s="3338"/>
      <c r="AZ126" s="560"/>
      <c r="BA126" s="3328"/>
      <c r="BB126" s="2127"/>
      <c r="BC126" s="2127"/>
    </row>
    <row r="127" spans="1:56">
      <c r="A127" s="221" t="s">
        <v>172</v>
      </c>
      <c r="B127" s="227"/>
      <c r="C127" s="2458"/>
      <c r="D127" s="2458"/>
      <c r="E127" s="186"/>
      <c r="F127" s="186"/>
      <c r="G127" s="171"/>
      <c r="H127" s="186"/>
      <c r="I127" s="186"/>
      <c r="J127" s="186"/>
      <c r="K127" s="186"/>
      <c r="L127" s="216"/>
      <c r="M127" s="171"/>
      <c r="N127" s="213"/>
      <c r="O127" s="44"/>
      <c r="P127" s="306"/>
      <c r="Q127" s="263"/>
      <c r="R127" s="44"/>
      <c r="S127" s="880"/>
      <c r="T127" s="880"/>
      <c r="U127" s="880"/>
      <c r="V127" s="880"/>
      <c r="W127" s="880"/>
      <c r="X127" s="880"/>
      <c r="Y127" s="2133"/>
      <c r="Z127" s="42"/>
      <c r="AA127" s="133"/>
      <c r="AB127" s="565"/>
      <c r="AC127" s="2723"/>
      <c r="AD127" s="2723"/>
      <c r="AE127" s="511"/>
      <c r="AF127" s="922"/>
      <c r="AG127" s="573"/>
      <c r="AH127" s="922"/>
      <c r="AI127" s="922"/>
      <c r="AJ127" s="922"/>
      <c r="AK127" s="922"/>
      <c r="AL127" s="532"/>
      <c r="AM127" s="419"/>
      <c r="AN127" s="574"/>
      <c r="AO127" s="909"/>
      <c r="AP127" s="2724"/>
      <c r="AQ127" s="552"/>
      <c r="AR127" s="465"/>
      <c r="AS127" s="909"/>
      <c r="AT127" s="909"/>
      <c r="AU127" s="909"/>
      <c r="AV127" s="909"/>
      <c r="AW127" s="909"/>
      <c r="AX127" s="909"/>
      <c r="AY127" s="2138"/>
      <c r="AZ127" s="449"/>
      <c r="BA127" s="559"/>
      <c r="BB127" s="2127"/>
      <c r="BC127" s="2127"/>
    </row>
    <row r="128" spans="1:56">
      <c r="A128" s="209" t="s">
        <v>131</v>
      </c>
      <c r="B128" s="227"/>
      <c r="C128" s="4178">
        <f>F1_Number_of_Heifer_Calves_Born*F1_Number_of_Lactations</f>
        <v>0.78638399999999997</v>
      </c>
      <c r="D128" s="4179"/>
      <c r="E128" s="186" t="s">
        <v>134</v>
      </c>
      <c r="F128" s="186"/>
      <c r="G128" s="171"/>
      <c r="H128" s="225"/>
      <c r="I128" s="225"/>
      <c r="J128" s="225"/>
      <c r="K128" s="225"/>
      <c r="L128" s="216"/>
      <c r="M128" s="330">
        <v>6</v>
      </c>
      <c r="N128" s="280"/>
      <c r="O128" s="44"/>
      <c r="P128" s="4293">
        <f>F2_Number_of_Heifer_Calves_Born*F2_Number_of_Lactations</f>
        <v>0.92181679999999988</v>
      </c>
      <c r="Q128" s="4294"/>
      <c r="R128" s="44" t="s">
        <v>134</v>
      </c>
      <c r="S128" s="880"/>
      <c r="T128" s="880"/>
      <c r="U128" s="880"/>
      <c r="V128" s="880"/>
      <c r="W128" s="880"/>
      <c r="X128" s="321"/>
      <c r="Y128" s="2133"/>
      <c r="Z128" s="331">
        <v>6</v>
      </c>
      <c r="AA128" s="279"/>
      <c r="AB128" s="565"/>
      <c r="AC128" s="4256">
        <f>F3_Number_of_Heifer_Calves_Born*F3_Number_of_Lactations</f>
        <v>1.7702784</v>
      </c>
      <c r="AD128" s="4257"/>
      <c r="AE128" s="511" t="s">
        <v>134</v>
      </c>
      <c r="AF128" s="922"/>
      <c r="AG128" s="573"/>
      <c r="AH128" s="581"/>
      <c r="AI128" s="581"/>
      <c r="AJ128" s="581"/>
      <c r="AK128" s="581"/>
      <c r="AL128" s="532"/>
      <c r="AM128" s="2646">
        <v>6</v>
      </c>
      <c r="AN128" s="574"/>
      <c r="AO128" s="909"/>
      <c r="AP128" s="4258">
        <f>F4_Number_of_Heifer_Calves_Born*F4_Number_of_Lactations</f>
        <v>2.0027392000000002</v>
      </c>
      <c r="AQ128" s="4259"/>
      <c r="AR128" s="465" t="s">
        <v>134</v>
      </c>
      <c r="AS128" s="909"/>
      <c r="AT128" s="909"/>
      <c r="AU128" s="909"/>
      <c r="AV128" s="909"/>
      <c r="AW128" s="909"/>
      <c r="AX128" s="563"/>
      <c r="AY128" s="2138"/>
      <c r="AZ128" s="649">
        <v>6</v>
      </c>
      <c r="BA128" s="559"/>
      <c r="BB128" s="2127"/>
      <c r="BC128" s="2132"/>
      <c r="BD128" s="39"/>
    </row>
    <row r="129" spans="1:60" ht="2.25" customHeight="1">
      <c r="A129" s="206"/>
      <c r="B129" s="227"/>
      <c r="C129" s="876"/>
      <c r="D129" s="316"/>
      <c r="E129" s="186"/>
      <c r="F129" s="186"/>
      <c r="G129" s="171"/>
      <c r="H129" s="225"/>
      <c r="I129" s="225"/>
      <c r="J129" s="225"/>
      <c r="K129" s="225"/>
      <c r="L129" s="216"/>
      <c r="M129" s="171"/>
      <c r="N129" s="280"/>
      <c r="O129" s="44"/>
      <c r="P129" s="321"/>
      <c r="Q129" s="317"/>
      <c r="R129" s="44"/>
      <c r="S129" s="880"/>
      <c r="T129" s="880"/>
      <c r="U129" s="880"/>
      <c r="V129" s="880"/>
      <c r="W129" s="880"/>
      <c r="X129" s="321"/>
      <c r="Y129" s="2133"/>
      <c r="Z129" s="42"/>
      <c r="AA129" s="279"/>
      <c r="AB129" s="565"/>
      <c r="AC129" s="922"/>
      <c r="AD129" s="573"/>
      <c r="AE129" s="511"/>
      <c r="AF129" s="922"/>
      <c r="AG129" s="573"/>
      <c r="AH129" s="581"/>
      <c r="AI129" s="581"/>
      <c r="AJ129" s="581"/>
      <c r="AK129" s="581"/>
      <c r="AL129" s="532"/>
      <c r="AM129" s="419"/>
      <c r="AN129" s="574"/>
      <c r="AO129" s="909"/>
      <c r="AP129" s="563"/>
      <c r="AQ129" s="558"/>
      <c r="AR129" s="465"/>
      <c r="AS129" s="909"/>
      <c r="AT129" s="909"/>
      <c r="AU129" s="909"/>
      <c r="AV129" s="909"/>
      <c r="AW129" s="909"/>
      <c r="AX129" s="563"/>
      <c r="AY129" s="2138"/>
      <c r="AZ129" s="449"/>
      <c r="BA129" s="559"/>
      <c r="BB129" s="2127"/>
      <c r="BC129" s="2132"/>
      <c r="BD129" s="39"/>
    </row>
    <row r="130" spans="1:60">
      <c r="A130" s="209" t="s">
        <v>130</v>
      </c>
      <c r="B130" s="227"/>
      <c r="C130" s="4178">
        <f>F1_Number_of_Bull_Calves_Born*F1_Number_of_Lactations</f>
        <v>0.76161599999999996</v>
      </c>
      <c r="D130" s="4179"/>
      <c r="E130" s="186" t="s">
        <v>135</v>
      </c>
      <c r="F130" s="186"/>
      <c r="G130" s="171"/>
      <c r="H130" s="225"/>
      <c r="I130" s="225"/>
      <c r="J130" s="225"/>
      <c r="K130" s="225"/>
      <c r="L130" s="216"/>
      <c r="M130" s="330">
        <v>6</v>
      </c>
      <c r="N130" s="280"/>
      <c r="O130" s="44"/>
      <c r="P130" s="4293">
        <f>F2_Number_of_Bull_Calves_Born*F2_Number_of_Lactations</f>
        <v>0.89278319999999989</v>
      </c>
      <c r="Q130" s="4294"/>
      <c r="R130" s="44" t="s">
        <v>135</v>
      </c>
      <c r="S130" s="880"/>
      <c r="T130" s="880"/>
      <c r="U130" s="880"/>
      <c r="V130" s="880"/>
      <c r="W130" s="880"/>
      <c r="X130" s="321"/>
      <c r="Y130" s="2133"/>
      <c r="Z130" s="331">
        <v>6</v>
      </c>
      <c r="AA130" s="279"/>
      <c r="AB130" s="565"/>
      <c r="AC130" s="4256">
        <f>F3_Number_of_Bull_Calves_Born*F3_Number_of_Lactations</f>
        <v>1.7145216000000001</v>
      </c>
      <c r="AD130" s="4257"/>
      <c r="AE130" s="511" t="s">
        <v>135</v>
      </c>
      <c r="AF130" s="922"/>
      <c r="AG130" s="573"/>
      <c r="AH130" s="581"/>
      <c r="AI130" s="581"/>
      <c r="AJ130" s="581"/>
      <c r="AK130" s="581"/>
      <c r="AL130" s="532"/>
      <c r="AM130" s="2646">
        <v>6</v>
      </c>
      <c r="AN130" s="574"/>
      <c r="AO130" s="909"/>
      <c r="AP130" s="4258">
        <f>F4_Number_of_Bull_Calves_Born*F4_Number_of_Lactations</f>
        <v>1.9396608000000002</v>
      </c>
      <c r="AQ130" s="4259"/>
      <c r="AR130" s="465" t="s">
        <v>135</v>
      </c>
      <c r="AS130" s="909"/>
      <c r="AT130" s="909"/>
      <c r="AU130" s="909"/>
      <c r="AV130" s="909"/>
      <c r="AW130" s="909"/>
      <c r="AX130" s="563"/>
      <c r="AY130" s="2138"/>
      <c r="AZ130" s="649">
        <v>6</v>
      </c>
      <c r="BA130" s="559"/>
      <c r="BB130" s="2127"/>
      <c r="BC130" s="2132"/>
      <c r="BD130" s="39"/>
    </row>
    <row r="131" spans="1:60" ht="2.25" customHeight="1">
      <c r="A131" s="206"/>
      <c r="B131" s="227"/>
      <c r="C131" s="876"/>
      <c r="D131" s="316"/>
      <c r="E131" s="186"/>
      <c r="F131" s="186"/>
      <c r="G131" s="171"/>
      <c r="H131" s="225"/>
      <c r="I131" s="225"/>
      <c r="J131" s="225"/>
      <c r="K131" s="225"/>
      <c r="L131" s="216"/>
      <c r="M131" s="171"/>
      <c r="N131" s="280"/>
      <c r="O131" s="44"/>
      <c r="P131" s="321"/>
      <c r="Q131" s="317"/>
      <c r="R131" s="44"/>
      <c r="S131" s="880"/>
      <c r="T131" s="880"/>
      <c r="U131" s="880"/>
      <c r="V131" s="880"/>
      <c r="W131" s="880"/>
      <c r="X131" s="321"/>
      <c r="Y131" s="2133"/>
      <c r="Z131" s="42"/>
      <c r="AA131" s="279"/>
      <c r="AB131" s="565"/>
      <c r="AC131" s="922"/>
      <c r="AD131" s="573"/>
      <c r="AE131" s="511"/>
      <c r="AF131" s="922"/>
      <c r="AG131" s="573"/>
      <c r="AH131" s="581"/>
      <c r="AI131" s="581"/>
      <c r="AJ131" s="581"/>
      <c r="AK131" s="581"/>
      <c r="AL131" s="532"/>
      <c r="AM131" s="419"/>
      <c r="AN131" s="574"/>
      <c r="AO131" s="909"/>
      <c r="AP131" s="563"/>
      <c r="AQ131" s="558"/>
      <c r="AR131" s="465"/>
      <c r="AS131" s="909"/>
      <c r="AT131" s="909"/>
      <c r="AU131" s="909"/>
      <c r="AV131" s="909"/>
      <c r="AW131" s="909"/>
      <c r="AX131" s="563"/>
      <c r="AY131" s="2138"/>
      <c r="AZ131" s="449"/>
      <c r="BA131" s="559"/>
      <c r="BB131" s="2127"/>
      <c r="BC131" s="2132"/>
      <c r="BD131" s="39"/>
    </row>
    <row r="132" spans="1:60" ht="13.5" thickBot="1">
      <c r="A132" s="209" t="s">
        <v>132</v>
      </c>
      <c r="B132" s="227"/>
      <c r="C132" s="4316">
        <f>F1_Heifer_Calves_in_Life+F1_Bull_Calves_in_Life</f>
        <v>1.548</v>
      </c>
      <c r="D132" s="4317"/>
      <c r="E132" s="186" t="s">
        <v>139</v>
      </c>
      <c r="F132" s="186"/>
      <c r="G132" s="171"/>
      <c r="H132" s="225"/>
      <c r="I132" s="225"/>
      <c r="J132" s="225"/>
      <c r="K132" s="225"/>
      <c r="L132" s="216"/>
      <c r="M132" s="333"/>
      <c r="N132" s="332"/>
      <c r="O132" s="44"/>
      <c r="P132" s="4291">
        <f>F2_Heifer_Calves_in_Life+F2_Bull_Calves_in_Life</f>
        <v>1.8145999999999998</v>
      </c>
      <c r="Q132" s="4292"/>
      <c r="R132" s="44" t="s">
        <v>139</v>
      </c>
      <c r="S132" s="880"/>
      <c r="T132" s="880"/>
      <c r="U132" s="880"/>
      <c r="V132" s="880"/>
      <c r="W132" s="880"/>
      <c r="X132" s="321"/>
      <c r="Y132" s="2133"/>
      <c r="Z132" s="334"/>
      <c r="AA132" s="279"/>
      <c r="AB132" s="565"/>
      <c r="AC132" s="4260">
        <f>F3_Heifer_Calves_in_Life+F3_Bull_Calves_in_Life</f>
        <v>3.4847999999999999</v>
      </c>
      <c r="AD132" s="4261"/>
      <c r="AE132" s="511" t="s">
        <v>139</v>
      </c>
      <c r="AF132" s="922"/>
      <c r="AG132" s="573"/>
      <c r="AH132" s="581"/>
      <c r="AI132" s="581"/>
      <c r="AJ132" s="581"/>
      <c r="AK132" s="581"/>
      <c r="AL132" s="532"/>
      <c r="AM132" s="582"/>
      <c r="AN132" s="583"/>
      <c r="AO132" s="909"/>
      <c r="AP132" s="4262">
        <f>F4_Heifer_Calves_in_Life+F4_Bull_Calves_in_Life</f>
        <v>3.9424000000000001</v>
      </c>
      <c r="AQ132" s="4263"/>
      <c r="AR132" s="465" t="s">
        <v>139</v>
      </c>
      <c r="AS132" s="909"/>
      <c r="AT132" s="909"/>
      <c r="AU132" s="909"/>
      <c r="AV132" s="909"/>
      <c r="AW132" s="909"/>
      <c r="AX132" s="563"/>
      <c r="AY132" s="2138"/>
      <c r="AZ132" s="558"/>
      <c r="BA132" s="559"/>
      <c r="BB132" s="2127"/>
      <c r="BC132" s="2132"/>
      <c r="BD132" s="39"/>
    </row>
    <row r="133" spans="1:60" ht="6" customHeight="1" thickTop="1">
      <c r="A133" s="205"/>
      <c r="B133" s="230"/>
      <c r="C133" s="190"/>
      <c r="D133" s="190"/>
      <c r="E133" s="161"/>
      <c r="F133" s="190"/>
      <c r="G133" s="161"/>
      <c r="H133" s="190"/>
      <c r="I133" s="190"/>
      <c r="J133" s="190"/>
      <c r="K133" s="190"/>
      <c r="L133" s="215"/>
      <c r="M133" s="161"/>
      <c r="N133" s="231"/>
      <c r="O133" s="67"/>
      <c r="P133" s="67"/>
      <c r="Q133" s="67"/>
      <c r="R133" s="85"/>
      <c r="S133" s="276"/>
      <c r="T133" s="276"/>
      <c r="U133" s="276"/>
      <c r="V133" s="276"/>
      <c r="W133" s="276"/>
      <c r="X133" s="905"/>
      <c r="Y133" s="907"/>
      <c r="Z133" s="85"/>
      <c r="AA133" s="138"/>
      <c r="AB133" s="567"/>
      <c r="AC133" s="516"/>
      <c r="AD133" s="516"/>
      <c r="AE133" s="568"/>
      <c r="AF133" s="933"/>
      <c r="AG133" s="592"/>
      <c r="AH133" s="933"/>
      <c r="AI133" s="933"/>
      <c r="AJ133" s="933"/>
      <c r="AK133" s="933"/>
      <c r="AL133" s="569"/>
      <c r="AM133" s="568"/>
      <c r="AN133" s="570"/>
      <c r="AO133" s="469"/>
      <c r="AP133" s="469"/>
      <c r="AQ133" s="469"/>
      <c r="AR133" s="553"/>
      <c r="AS133" s="596"/>
      <c r="AT133" s="596"/>
      <c r="AU133" s="596"/>
      <c r="AV133" s="596"/>
      <c r="AW133" s="596"/>
      <c r="AX133" s="919"/>
      <c r="AY133" s="920"/>
      <c r="AZ133" s="553"/>
      <c r="BA133" s="2775"/>
      <c r="BB133" s="2127"/>
      <c r="BC133" s="2132"/>
      <c r="BD133" s="39"/>
    </row>
    <row r="134" spans="1:60" s="2373" customFormat="1" ht="20.25" customHeight="1">
      <c r="A134" s="4031" t="s">
        <v>1308</v>
      </c>
      <c r="B134" s="4032"/>
      <c r="C134" s="4032"/>
      <c r="D134" s="4032"/>
      <c r="E134" s="4032"/>
      <c r="F134" s="4032"/>
      <c r="G134" s="4032"/>
      <c r="H134" s="4032"/>
      <c r="I134" s="4032"/>
      <c r="J134" s="4032"/>
      <c r="K134" s="4032"/>
      <c r="L134" s="4032"/>
      <c r="M134" s="4032"/>
      <c r="N134" s="4032"/>
      <c r="O134" s="4032"/>
      <c r="P134" s="4032"/>
      <c r="Q134" s="4032"/>
      <c r="R134" s="4032"/>
      <c r="S134" s="4032"/>
      <c r="T134" s="4032"/>
      <c r="U134" s="4032"/>
      <c r="V134" s="4032"/>
      <c r="W134" s="4032"/>
      <c r="X134" s="4032"/>
      <c r="Y134" s="4032"/>
      <c r="Z134" s="4032"/>
      <c r="AA134" s="4032"/>
      <c r="AB134" s="4032"/>
      <c r="AC134" s="4032"/>
      <c r="AD134" s="4032"/>
      <c r="AE134" s="4032"/>
      <c r="AF134" s="4032"/>
      <c r="AG134" s="4032"/>
      <c r="AH134" s="4032"/>
      <c r="AI134" s="4032"/>
      <c r="AJ134" s="4032"/>
      <c r="AK134" s="4032"/>
      <c r="AL134" s="4032"/>
      <c r="AM134" s="4032"/>
      <c r="AN134" s="4032"/>
      <c r="AO134" s="4032"/>
      <c r="AP134" s="4032"/>
      <c r="AQ134" s="4032"/>
      <c r="AR134" s="4032"/>
      <c r="AS134" s="4032"/>
      <c r="AT134" s="4032"/>
      <c r="AU134" s="4032"/>
      <c r="AV134" s="4032"/>
      <c r="AW134" s="4032"/>
      <c r="AX134" s="4032"/>
      <c r="AY134" s="4032"/>
      <c r="AZ134" s="4032"/>
      <c r="BA134" s="4033"/>
      <c r="BB134" s="2374"/>
      <c r="BC134" s="2375"/>
      <c r="BD134" s="2372"/>
    </row>
    <row r="135" spans="1:60" ht="5.25" customHeight="1">
      <c r="A135" s="206"/>
      <c r="B135" s="227"/>
      <c r="C135" s="171"/>
      <c r="D135" s="171"/>
      <c r="E135" s="186"/>
      <c r="F135" s="186"/>
      <c r="G135" s="171"/>
      <c r="H135" s="186"/>
      <c r="I135" s="186"/>
      <c r="J135" s="186"/>
      <c r="K135" s="186"/>
      <c r="L135" s="216"/>
      <c r="M135" s="171"/>
      <c r="N135" s="213"/>
      <c r="O135" s="44"/>
      <c r="P135" s="42"/>
      <c r="Q135" s="42"/>
      <c r="R135" s="44"/>
      <c r="S135" s="44"/>
      <c r="T135" s="44"/>
      <c r="U135" s="44"/>
      <c r="V135" s="44"/>
      <c r="W135" s="44"/>
      <c r="X135" s="44"/>
      <c r="Y135" s="41"/>
      <c r="Z135" s="42"/>
      <c r="AA135" s="133"/>
      <c r="AB135" s="565"/>
      <c r="AC135" s="419"/>
      <c r="AD135" s="419"/>
      <c r="AE135" s="511"/>
      <c r="AF135" s="511"/>
      <c r="AG135" s="419"/>
      <c r="AH135" s="511"/>
      <c r="AI135" s="511"/>
      <c r="AJ135" s="511"/>
      <c r="AK135" s="511"/>
      <c r="AL135" s="532"/>
      <c r="AM135" s="419"/>
      <c r="AN135" s="533"/>
      <c r="AO135" s="465"/>
      <c r="AP135" s="449"/>
      <c r="AQ135" s="449"/>
      <c r="AR135" s="465"/>
      <c r="AS135" s="465"/>
      <c r="AT135" s="465"/>
      <c r="AU135" s="465"/>
      <c r="AV135" s="465"/>
      <c r="AW135" s="465"/>
      <c r="AX135" s="465"/>
      <c r="AY135" s="464"/>
      <c r="AZ135" s="449"/>
      <c r="BA135" s="450"/>
      <c r="BB135" s="2127"/>
      <c r="BC135" s="2128"/>
      <c r="BD135" s="39"/>
    </row>
    <row r="136" spans="1:60">
      <c r="A136" s="221" t="s">
        <v>126</v>
      </c>
      <c r="B136" s="227"/>
      <c r="C136" s="2458" t="s">
        <v>118</v>
      </c>
      <c r="D136" s="2458"/>
      <c r="E136" s="186"/>
      <c r="F136" s="876"/>
      <c r="G136" s="316"/>
      <c r="H136" s="876"/>
      <c r="I136" s="876"/>
      <c r="J136" s="876"/>
      <c r="K136" s="876"/>
      <c r="L136" s="216"/>
      <c r="M136" s="171"/>
      <c r="N136" s="213"/>
      <c r="O136" s="44"/>
      <c r="P136" s="47" t="s">
        <v>118</v>
      </c>
      <c r="Q136" s="263"/>
      <c r="R136" s="44"/>
      <c r="S136" s="880"/>
      <c r="T136" s="880"/>
      <c r="U136" s="880"/>
      <c r="V136" s="880"/>
      <c r="W136" s="880"/>
      <c r="X136" s="880"/>
      <c r="Y136" s="2133"/>
      <c r="Z136" s="42"/>
      <c r="AA136" s="133"/>
      <c r="AB136" s="565"/>
      <c r="AC136" s="2723" t="s">
        <v>118</v>
      </c>
      <c r="AD136" s="2723"/>
      <c r="AE136" s="511"/>
      <c r="AF136" s="922"/>
      <c r="AG136" s="573"/>
      <c r="AH136" s="922"/>
      <c r="AI136" s="922"/>
      <c r="AJ136" s="922"/>
      <c r="AK136" s="922"/>
      <c r="AL136" s="532"/>
      <c r="AM136" s="419"/>
      <c r="AN136" s="574"/>
      <c r="AO136" s="909"/>
      <c r="AP136" s="2724" t="s">
        <v>118</v>
      </c>
      <c r="AQ136" s="552"/>
      <c r="AR136" s="465"/>
      <c r="AS136" s="909"/>
      <c r="AT136" s="909"/>
      <c r="AU136" s="909"/>
      <c r="AV136" s="909"/>
      <c r="AW136" s="909"/>
      <c r="AX136" s="909"/>
      <c r="AY136" s="464"/>
      <c r="AZ136" s="449"/>
      <c r="BA136" s="559"/>
      <c r="BB136" s="2127"/>
      <c r="BC136" s="2128"/>
      <c r="BD136" s="39"/>
    </row>
    <row r="137" spans="1:60">
      <c r="A137" s="208" t="s">
        <v>1349</v>
      </c>
      <c r="B137" s="227"/>
      <c r="C137" s="186"/>
      <c r="D137" s="4176">
        <f>Z172</f>
        <v>14.5</v>
      </c>
      <c r="E137" s="4177"/>
      <c r="F137" s="876" t="s">
        <v>162</v>
      </c>
      <c r="G137" s="316"/>
      <c r="H137" s="876"/>
      <c r="I137" s="876"/>
      <c r="J137" s="876"/>
      <c r="K137" s="876"/>
      <c r="L137" s="216"/>
      <c r="M137" s="330" t="s">
        <v>1316</v>
      </c>
      <c r="N137" s="280"/>
      <c r="O137" s="44"/>
      <c r="P137" s="226"/>
      <c r="Q137" s="4289">
        <f>Z173</f>
        <v>10.5</v>
      </c>
      <c r="R137" s="4290"/>
      <c r="S137" s="880" t="s">
        <v>162</v>
      </c>
      <c r="T137" s="317"/>
      <c r="U137" s="317"/>
      <c r="V137" s="317"/>
      <c r="W137" s="317"/>
      <c r="X137" s="321"/>
      <c r="Y137" s="2133"/>
      <c r="Z137" s="331" t="s">
        <v>1316</v>
      </c>
      <c r="AA137" s="279"/>
      <c r="AB137" s="565"/>
      <c r="AC137" s="511"/>
      <c r="AD137" s="4252">
        <f>Z174</f>
        <v>9</v>
      </c>
      <c r="AE137" s="4253"/>
      <c r="AF137" s="922" t="s">
        <v>162</v>
      </c>
      <c r="AG137" s="573"/>
      <c r="AH137" s="922"/>
      <c r="AI137" s="922"/>
      <c r="AJ137" s="922"/>
      <c r="AK137" s="922"/>
      <c r="AL137" s="532"/>
      <c r="AM137" s="2646" t="s">
        <v>1316</v>
      </c>
      <c r="AN137" s="574"/>
      <c r="AO137" s="909"/>
      <c r="AP137" s="434"/>
      <c r="AQ137" s="4254">
        <f>Z175</f>
        <v>7.4</v>
      </c>
      <c r="AR137" s="4255"/>
      <c r="AS137" s="909" t="s">
        <v>162</v>
      </c>
      <c r="AT137" s="558"/>
      <c r="AU137" s="558"/>
      <c r="AV137" s="558"/>
      <c r="AW137" s="558"/>
      <c r="AX137" s="563"/>
      <c r="AY137" s="464"/>
      <c r="AZ137" s="649" t="s">
        <v>1316</v>
      </c>
      <c r="BA137" s="559"/>
      <c r="BB137" s="2601"/>
      <c r="BC137" s="2128"/>
      <c r="BD137" s="39"/>
    </row>
    <row r="138" spans="1:60" ht="2.25" customHeight="1">
      <c r="A138" s="206"/>
      <c r="B138" s="227"/>
      <c r="C138" s="186"/>
      <c r="D138" s="186"/>
      <c r="E138" s="171"/>
      <c r="F138" s="876"/>
      <c r="G138" s="316"/>
      <c r="H138" s="876"/>
      <c r="I138" s="876"/>
      <c r="J138" s="876"/>
      <c r="K138" s="876"/>
      <c r="L138" s="216"/>
      <c r="M138" s="171"/>
      <c r="N138" s="280"/>
      <c r="O138" s="44"/>
      <c r="P138" s="226"/>
      <c r="Q138" s="226"/>
      <c r="R138" s="42"/>
      <c r="S138" s="880"/>
      <c r="T138" s="317"/>
      <c r="U138" s="317"/>
      <c r="V138" s="317"/>
      <c r="W138" s="317"/>
      <c r="X138" s="321"/>
      <c r="Y138" s="2133"/>
      <c r="Z138" s="42"/>
      <c r="AA138" s="279"/>
      <c r="AB138" s="565"/>
      <c r="AC138" s="511"/>
      <c r="AD138" s="511"/>
      <c r="AE138" s="419"/>
      <c r="AF138" s="922"/>
      <c r="AG138" s="573"/>
      <c r="AH138" s="922"/>
      <c r="AI138" s="922"/>
      <c r="AJ138" s="922"/>
      <c r="AK138" s="922"/>
      <c r="AL138" s="532"/>
      <c r="AM138" s="419"/>
      <c r="AN138" s="574"/>
      <c r="AO138" s="909"/>
      <c r="AP138" s="434"/>
      <c r="AQ138" s="434"/>
      <c r="AR138" s="449"/>
      <c r="AS138" s="909"/>
      <c r="AT138" s="558"/>
      <c r="AU138" s="558"/>
      <c r="AV138" s="558"/>
      <c r="AW138" s="558"/>
      <c r="AX138" s="563"/>
      <c r="AY138" s="464"/>
      <c r="AZ138" s="449"/>
      <c r="BA138" s="559"/>
      <c r="BB138" s="2127"/>
      <c r="BC138" s="2128"/>
      <c r="BD138" s="39"/>
    </row>
    <row r="139" spans="1:60">
      <c r="A139" s="208" t="s">
        <v>631</v>
      </c>
      <c r="B139" s="227"/>
      <c r="C139" s="186"/>
      <c r="D139" s="4176">
        <f>Defaults!$C$39</f>
        <v>5</v>
      </c>
      <c r="E139" s="4177"/>
      <c r="F139" s="876" t="s">
        <v>162</v>
      </c>
      <c r="G139" s="316"/>
      <c r="H139" s="876"/>
      <c r="I139" s="876"/>
      <c r="J139" s="876"/>
      <c r="K139" s="876"/>
      <c r="L139" s="216"/>
      <c r="M139" s="330"/>
      <c r="N139" s="280"/>
      <c r="O139" s="44"/>
      <c r="P139" s="226"/>
      <c r="Q139" s="4289">
        <f>Defaults!$C$39</f>
        <v>5</v>
      </c>
      <c r="R139" s="4290"/>
      <c r="S139" s="880" t="s">
        <v>162</v>
      </c>
      <c r="T139" s="2465"/>
      <c r="U139" s="2465"/>
      <c r="V139" s="2465"/>
      <c r="W139" s="2465"/>
      <c r="X139" s="321"/>
      <c r="Y139" s="2133"/>
      <c r="Z139" s="331"/>
      <c r="AA139" s="279"/>
      <c r="AB139" s="565"/>
      <c r="AC139" s="511"/>
      <c r="AD139" s="4252">
        <f>Defaults!$C$39</f>
        <v>5</v>
      </c>
      <c r="AE139" s="4253"/>
      <c r="AF139" s="922" t="s">
        <v>162</v>
      </c>
      <c r="AG139" s="573"/>
      <c r="AH139" s="922"/>
      <c r="AI139" s="922"/>
      <c r="AJ139" s="922"/>
      <c r="AK139" s="922"/>
      <c r="AL139" s="532"/>
      <c r="AM139" s="2646"/>
      <c r="AN139" s="574"/>
      <c r="AO139" s="909"/>
      <c r="AP139" s="434"/>
      <c r="AQ139" s="4254">
        <f>Defaults!$C$39</f>
        <v>5</v>
      </c>
      <c r="AR139" s="4255"/>
      <c r="AS139" s="909" t="s">
        <v>162</v>
      </c>
      <c r="AT139" s="2776"/>
      <c r="AU139" s="2776"/>
      <c r="AV139" s="2776"/>
      <c r="AW139" s="2776"/>
      <c r="AX139" s="563"/>
      <c r="AY139" s="464"/>
      <c r="AZ139" s="649"/>
      <c r="BA139" s="559"/>
      <c r="BB139" s="2127"/>
      <c r="BC139" s="2128"/>
      <c r="BD139" s="39"/>
    </row>
    <row r="140" spans="1:60" ht="6" customHeight="1">
      <c r="A140" s="205"/>
      <c r="B140" s="230"/>
      <c r="C140" s="190"/>
      <c r="D140" s="190"/>
      <c r="E140" s="161"/>
      <c r="F140" s="900"/>
      <c r="G140" s="275"/>
      <c r="H140" s="900"/>
      <c r="I140" s="900"/>
      <c r="J140" s="900"/>
      <c r="K140" s="900"/>
      <c r="L140" s="215"/>
      <c r="M140" s="161"/>
      <c r="N140" s="231"/>
      <c r="O140" s="67"/>
      <c r="P140" s="67"/>
      <c r="Q140" s="67"/>
      <c r="R140" s="85"/>
      <c r="S140" s="905"/>
      <c r="T140" s="276"/>
      <c r="U140" s="276"/>
      <c r="V140" s="276"/>
      <c r="W140" s="276"/>
      <c r="X140" s="321"/>
      <c r="Y140" s="907"/>
      <c r="Z140" s="85"/>
      <c r="AA140" s="138"/>
      <c r="AB140" s="567"/>
      <c r="AC140" s="516"/>
      <c r="AD140" s="516"/>
      <c r="AE140" s="568"/>
      <c r="AF140" s="933"/>
      <c r="AG140" s="592"/>
      <c r="AH140" s="933"/>
      <c r="AI140" s="933"/>
      <c r="AJ140" s="933"/>
      <c r="AK140" s="933"/>
      <c r="AL140" s="569"/>
      <c r="AM140" s="568"/>
      <c r="AN140" s="2765"/>
      <c r="AO140" s="919"/>
      <c r="AP140" s="469"/>
      <c r="AQ140" s="469"/>
      <c r="AR140" s="553"/>
      <c r="AS140" s="919"/>
      <c r="AT140" s="596"/>
      <c r="AU140" s="596"/>
      <c r="AV140" s="596"/>
      <c r="AW140" s="596"/>
      <c r="AX140" s="563"/>
      <c r="AY140" s="554"/>
      <c r="AZ140" s="553"/>
      <c r="BA140" s="2775"/>
      <c r="BB140" s="2127"/>
      <c r="BC140" s="2128"/>
      <c r="BD140" s="39"/>
    </row>
    <row r="141" spans="1:60" ht="5.25" customHeight="1">
      <c r="A141" s="206"/>
      <c r="B141" s="227"/>
      <c r="C141" s="171"/>
      <c r="D141" s="171"/>
      <c r="E141" s="186"/>
      <c r="F141" s="876"/>
      <c r="G141" s="316"/>
      <c r="H141" s="876"/>
      <c r="I141" s="876"/>
      <c r="J141" s="876"/>
      <c r="K141" s="876"/>
      <c r="L141" s="187"/>
      <c r="M141" s="233"/>
      <c r="N141" s="234"/>
      <c r="O141" s="44"/>
      <c r="P141" s="42"/>
      <c r="Q141" s="42"/>
      <c r="R141" s="44"/>
      <c r="S141" s="880"/>
      <c r="T141" s="880"/>
      <c r="U141" s="880"/>
      <c r="V141" s="880"/>
      <c r="W141" s="880"/>
      <c r="X141" s="321"/>
      <c r="Y141" s="3330"/>
      <c r="Z141" s="100"/>
      <c r="AA141" s="139"/>
      <c r="AB141" s="565"/>
      <c r="AC141" s="419"/>
      <c r="AD141" s="419"/>
      <c r="AE141" s="511"/>
      <c r="AF141" s="922"/>
      <c r="AG141" s="573"/>
      <c r="AH141" s="922"/>
      <c r="AI141" s="922"/>
      <c r="AJ141" s="922"/>
      <c r="AK141" s="922"/>
      <c r="AL141" s="512"/>
      <c r="AM141" s="575"/>
      <c r="AN141" s="3356"/>
      <c r="AO141" s="909"/>
      <c r="AP141" s="449"/>
      <c r="AQ141" s="449"/>
      <c r="AR141" s="465"/>
      <c r="AS141" s="909"/>
      <c r="AT141" s="909"/>
      <c r="AU141" s="909"/>
      <c r="AV141" s="909"/>
      <c r="AW141" s="909"/>
      <c r="AX141" s="563"/>
      <c r="AY141" s="550"/>
      <c r="AZ141" s="560"/>
      <c r="BA141" s="3328"/>
      <c r="BB141" s="2127"/>
      <c r="BC141" s="2128"/>
      <c r="BD141" s="39"/>
    </row>
    <row r="142" spans="1:60">
      <c r="A142" s="221" t="s">
        <v>479</v>
      </c>
      <c r="B142" s="227"/>
      <c r="C142" s="2458" t="s">
        <v>118</v>
      </c>
      <c r="D142" s="2458"/>
      <c r="E142" s="186"/>
      <c r="F142" s="876"/>
      <c r="G142" s="316"/>
      <c r="H142" s="876"/>
      <c r="I142" s="876"/>
      <c r="J142" s="876"/>
      <c r="K142" s="876"/>
      <c r="L142" s="216"/>
      <c r="M142" s="171"/>
      <c r="N142" s="213"/>
      <c r="O142" s="44"/>
      <c r="P142" s="306" t="s">
        <v>118</v>
      </c>
      <c r="Q142" s="263"/>
      <c r="R142" s="44"/>
      <c r="S142" s="880"/>
      <c r="T142" s="880"/>
      <c r="U142" s="880"/>
      <c r="V142" s="880"/>
      <c r="W142" s="880"/>
      <c r="X142" s="321"/>
      <c r="Y142" s="2133"/>
      <c r="Z142" s="42"/>
      <c r="AA142" s="133"/>
      <c r="AB142" s="565"/>
      <c r="AC142" s="2723" t="s">
        <v>118</v>
      </c>
      <c r="AD142" s="2723"/>
      <c r="AE142" s="511"/>
      <c r="AF142" s="922"/>
      <c r="AG142" s="573"/>
      <c r="AH142" s="922"/>
      <c r="AI142" s="922"/>
      <c r="AJ142" s="922"/>
      <c r="AK142" s="922"/>
      <c r="AL142" s="532"/>
      <c r="AM142" s="419"/>
      <c r="AN142" s="574"/>
      <c r="AO142" s="909"/>
      <c r="AP142" s="2724" t="s">
        <v>118</v>
      </c>
      <c r="AQ142" s="552"/>
      <c r="AR142" s="465"/>
      <c r="AS142" s="909"/>
      <c r="AT142" s="909"/>
      <c r="AU142" s="909"/>
      <c r="AV142" s="909"/>
      <c r="AW142" s="909"/>
      <c r="AX142" s="563"/>
      <c r="AY142" s="464"/>
      <c r="AZ142" s="449"/>
      <c r="BA142" s="559"/>
      <c r="BB142" s="2127"/>
      <c r="BC142" s="2128"/>
      <c r="BD142" s="39"/>
      <c r="BE142" s="2368"/>
      <c r="BF142" s="2421"/>
      <c r="BH142" s="2368"/>
    </row>
    <row r="143" spans="1:60">
      <c r="A143" s="3034" t="s">
        <v>702</v>
      </c>
      <c r="B143" s="227"/>
      <c r="C143" s="186"/>
      <c r="D143" s="4160"/>
      <c r="E143" s="4161"/>
      <c r="F143" s="876" t="s">
        <v>156</v>
      </c>
      <c r="G143" s="316"/>
      <c r="H143" s="876"/>
      <c r="I143" s="876"/>
      <c r="J143" s="876"/>
      <c r="K143" s="876"/>
      <c r="L143" s="216"/>
      <c r="M143" s="307"/>
      <c r="N143" s="280"/>
      <c r="O143" s="44"/>
      <c r="P143" s="226"/>
      <c r="Q143" s="4160"/>
      <c r="R143" s="4161"/>
      <c r="S143" s="880" t="s">
        <v>156</v>
      </c>
      <c r="T143" s="317"/>
      <c r="U143" s="317"/>
      <c r="V143" s="317"/>
      <c r="W143" s="317"/>
      <c r="X143" s="321"/>
      <c r="Y143" s="2133"/>
      <c r="Z143" s="307"/>
      <c r="AA143" s="279"/>
      <c r="AB143" s="565"/>
      <c r="AC143" s="511"/>
      <c r="AD143" s="4160"/>
      <c r="AE143" s="4161"/>
      <c r="AF143" s="922" t="s">
        <v>156</v>
      </c>
      <c r="AG143" s="573"/>
      <c r="AH143" s="922"/>
      <c r="AI143" s="922"/>
      <c r="AJ143" s="922"/>
      <c r="AK143" s="922"/>
      <c r="AL143" s="532"/>
      <c r="AM143" s="2727"/>
      <c r="AN143" s="574"/>
      <c r="AO143" s="909"/>
      <c r="AP143" s="434"/>
      <c r="AQ143" s="4160"/>
      <c r="AR143" s="4161"/>
      <c r="AS143" s="909" t="s">
        <v>156</v>
      </c>
      <c r="AT143" s="558"/>
      <c r="AU143" s="558"/>
      <c r="AV143" s="558"/>
      <c r="AW143" s="558"/>
      <c r="AX143" s="563"/>
      <c r="AY143" s="464"/>
      <c r="AZ143" s="2727"/>
      <c r="BA143" s="559"/>
      <c r="BB143" s="2351" t="str">
        <f>IF(BB145=FALSE,"If UR and IC values differ significantly, check accuracy of input parameter values used in the IC formula."," ")</f>
        <v xml:space="preserve"> </v>
      </c>
      <c r="BC143" s="2127"/>
      <c r="BE143" s="2368"/>
      <c r="BF143" s="2421"/>
      <c r="BH143" s="2368"/>
    </row>
    <row r="144" spans="1:60" ht="2.25" customHeight="1">
      <c r="A144" s="206"/>
      <c r="B144" s="227"/>
      <c r="C144" s="186"/>
      <c r="D144" s="186"/>
      <c r="E144" s="171"/>
      <c r="F144" s="876"/>
      <c r="G144" s="316"/>
      <c r="H144" s="876"/>
      <c r="I144" s="876"/>
      <c r="J144" s="876"/>
      <c r="K144" s="876"/>
      <c r="L144" s="216"/>
      <c r="M144" s="171"/>
      <c r="N144" s="280"/>
      <c r="O144" s="44"/>
      <c r="P144" s="226"/>
      <c r="Q144" s="226"/>
      <c r="R144" s="42"/>
      <c r="S144" s="880"/>
      <c r="T144" s="317"/>
      <c r="U144" s="317"/>
      <c r="V144" s="317"/>
      <c r="W144" s="317"/>
      <c r="X144" s="321"/>
      <c r="Y144" s="2133"/>
      <c r="Z144" s="42"/>
      <c r="AA144" s="279"/>
      <c r="AB144" s="565"/>
      <c r="AC144" s="511"/>
      <c r="AD144" s="511"/>
      <c r="AE144" s="419"/>
      <c r="AF144" s="922"/>
      <c r="AG144" s="573"/>
      <c r="AH144" s="922"/>
      <c r="AI144" s="922"/>
      <c r="AJ144" s="922"/>
      <c r="AK144" s="922"/>
      <c r="AL144" s="532"/>
      <c r="AM144" s="419"/>
      <c r="AN144" s="574"/>
      <c r="AO144" s="909"/>
      <c r="AP144" s="434"/>
      <c r="AQ144" s="434"/>
      <c r="AR144" s="449"/>
      <c r="AS144" s="909"/>
      <c r="AT144" s="558"/>
      <c r="AU144" s="558"/>
      <c r="AV144" s="558"/>
      <c r="AW144" s="558"/>
      <c r="AX144" s="563"/>
      <c r="AY144" s="464"/>
      <c r="AZ144" s="449"/>
      <c r="BA144" s="559"/>
      <c r="BC144" s="2132"/>
      <c r="BD144" s="39"/>
    </row>
    <row r="145" spans="1:58">
      <c r="A145" s="208" t="s">
        <v>712</v>
      </c>
      <c r="B145" s="227"/>
      <c r="C145" s="186"/>
      <c r="D145" s="4178">
        <f>((F1_Age_at_1st_Birthing*30.4)+(F1_Length_of_Lactation*F1_Number_of_Lactations)+(F1_Dryoff_Period*F1_Number_of_Lactations-1))/365.25</f>
        <v>4.476514020925551</v>
      </c>
      <c r="E145" s="4179" t="e">
        <f>((F1_Age_at_1st_Birthing_default*30.4)+(F1_Length_of_Lactation_reported*1.8)+(F1_Dryoff_Period_reported*INT(F1_Number_of_Lactatioins_projected)))/365</f>
        <v>#NAME?</v>
      </c>
      <c r="F145" s="876" t="s">
        <v>156</v>
      </c>
      <c r="G145" s="316"/>
      <c r="H145" s="876"/>
      <c r="I145" s="876"/>
      <c r="J145" s="876"/>
      <c r="K145" s="876"/>
      <c r="L145" s="216"/>
      <c r="M145" s="330">
        <v>7</v>
      </c>
      <c r="N145" s="280"/>
      <c r="O145" s="44"/>
      <c r="P145" s="226"/>
      <c r="Q145" s="4293">
        <f>((F2_Age_at_1st_Birthing*30.4)+(F2_Length_of_Lactation*F2_Number_of_Lactations)+(F2_Dryoff_Period*F2_Number_of_Lactations-1))/365.25</f>
        <v>4.7162216103186916</v>
      </c>
      <c r="R145" s="4294" t="e">
        <f>((F1_Age_at_1st_Birthing_default*30.4)+(F1_Length_of_Lactation_reported*1.8)+(F1_Dryoff_Period_reported*INT(F1_Number_of_Lactatioins_projected)))/365</f>
        <v>#NAME?</v>
      </c>
      <c r="S145" s="880" t="s">
        <v>156</v>
      </c>
      <c r="T145" s="2465"/>
      <c r="U145" s="2465"/>
      <c r="V145" s="2465"/>
      <c r="W145" s="2465"/>
      <c r="X145" s="321"/>
      <c r="Y145" s="2133"/>
      <c r="Z145" s="331">
        <v>7</v>
      </c>
      <c r="AA145" s="279"/>
      <c r="AB145" s="565"/>
      <c r="AC145" s="511"/>
      <c r="AD145" s="4256">
        <f>((F3_Age_at_1st_Birthing*30.4)+(F3_Length_of_Lactation*F3_Number_of_Lactations)+(F3_Dryoff_Period*F3_Number_of_Lactations-1))/365.25</f>
        <v>6.2461742275483134</v>
      </c>
      <c r="AE145" s="4257" t="e">
        <f>((F1_Age_at_1st_Birthing_default*30.4)+(F1_Length_of_Lactation_reported*1.8)+(F1_Dryoff_Period_reported*INT(F1_Number_of_Lactatioins_projected)))/365</f>
        <v>#NAME?</v>
      </c>
      <c r="AF145" s="922" t="s">
        <v>156</v>
      </c>
      <c r="AG145" s="573"/>
      <c r="AH145" s="922"/>
      <c r="AI145" s="922"/>
      <c r="AJ145" s="922"/>
      <c r="AK145" s="922"/>
      <c r="AL145" s="532"/>
      <c r="AM145" s="2646">
        <v>7</v>
      </c>
      <c r="AN145" s="574"/>
      <c r="AO145" s="909"/>
      <c r="AP145" s="434"/>
      <c r="AQ145" s="4258">
        <f>((F4_Age_at_1st_Birthing*30.4)+(F4_Length_of_Lactation*F4_Number_of_Lactations)+(F4_Dryoff_Period*F4_Number_of_Lactations-1))/365.25</f>
        <v>6.4478201978719438</v>
      </c>
      <c r="AR145" s="4259" t="e">
        <f>((F1_Age_at_1st_Birthing_default*30.4)+(F1_Length_of_Lactation_reported*1.8)+(F1_Dryoff_Period_reported*INT(F1_Number_of_Lactatioins_projected)))/365</f>
        <v>#NAME?</v>
      </c>
      <c r="AS145" s="909" t="s">
        <v>156</v>
      </c>
      <c r="AT145" s="2776"/>
      <c r="AU145" s="2776"/>
      <c r="AV145" s="2776"/>
      <c r="AW145" s="2776"/>
      <c r="AX145" s="563"/>
      <c r="AY145" s="464"/>
      <c r="AZ145" s="649">
        <v>7</v>
      </c>
      <c r="BA145" s="559"/>
      <c r="BB145" s="3651" t="str">
        <f>IF(Options!N92=2,IF(Options!P92=2,IF(Options!R92=2,IF(Options!T92=2," ",FALSE))))</f>
        <v xml:space="preserve"> </v>
      </c>
      <c r="BC145" s="2367"/>
      <c r="BD145" s="39"/>
      <c r="BF145" s="2368"/>
    </row>
    <row r="146" spans="1:58" ht="6" customHeight="1">
      <c r="A146" s="205"/>
      <c r="B146" s="230"/>
      <c r="C146" s="190"/>
      <c r="D146" s="190"/>
      <c r="E146" s="161"/>
      <c r="F146" s="900"/>
      <c r="G146" s="275"/>
      <c r="H146" s="900"/>
      <c r="I146" s="900"/>
      <c r="J146" s="900"/>
      <c r="K146" s="900"/>
      <c r="L146" s="215"/>
      <c r="M146" s="161"/>
      <c r="N146" s="231"/>
      <c r="O146" s="67"/>
      <c r="P146" s="67"/>
      <c r="Q146" s="67"/>
      <c r="R146" s="85"/>
      <c r="S146" s="905"/>
      <c r="T146" s="276"/>
      <c r="U146" s="276"/>
      <c r="V146" s="276"/>
      <c r="W146" s="276"/>
      <c r="X146" s="321"/>
      <c r="Y146" s="907"/>
      <c r="Z146" s="85"/>
      <c r="AA146" s="138"/>
      <c r="AB146" s="567"/>
      <c r="AC146" s="516"/>
      <c r="AD146" s="516"/>
      <c r="AE146" s="568"/>
      <c r="AF146" s="933"/>
      <c r="AG146" s="592"/>
      <c r="AH146" s="933"/>
      <c r="AI146" s="933"/>
      <c r="AJ146" s="933"/>
      <c r="AK146" s="933"/>
      <c r="AL146" s="569"/>
      <c r="AM146" s="568"/>
      <c r="AN146" s="2765"/>
      <c r="AO146" s="919"/>
      <c r="AP146" s="469"/>
      <c r="AQ146" s="469"/>
      <c r="AR146" s="553"/>
      <c r="AS146" s="919"/>
      <c r="AT146" s="596"/>
      <c r="AU146" s="596"/>
      <c r="AV146" s="596"/>
      <c r="AW146" s="596"/>
      <c r="AX146" s="563"/>
      <c r="AY146" s="554"/>
      <c r="AZ146" s="553"/>
      <c r="BA146" s="2775"/>
      <c r="BB146" s="2127"/>
      <c r="BC146" s="2132"/>
      <c r="BD146" s="39"/>
    </row>
    <row r="147" spans="1:58" ht="5.25" customHeight="1">
      <c r="A147" s="2422"/>
      <c r="B147" s="227"/>
      <c r="C147" s="171"/>
      <c r="D147" s="171"/>
      <c r="E147" s="186"/>
      <c r="F147" s="876"/>
      <c r="G147" s="316"/>
      <c r="H147" s="876"/>
      <c r="I147" s="876"/>
      <c r="J147" s="876"/>
      <c r="K147" s="876"/>
      <c r="L147" s="187"/>
      <c r="M147" s="233"/>
      <c r="N147" s="234"/>
      <c r="O147" s="44"/>
      <c r="P147" s="42"/>
      <c r="Q147" s="42"/>
      <c r="R147" s="44"/>
      <c r="S147" s="880"/>
      <c r="T147" s="880"/>
      <c r="U147" s="880"/>
      <c r="V147" s="880"/>
      <c r="W147" s="880"/>
      <c r="X147" s="321"/>
      <c r="Y147" s="3330"/>
      <c r="Z147" s="100"/>
      <c r="AA147" s="139"/>
      <c r="AB147" s="565"/>
      <c r="AC147" s="419"/>
      <c r="AD147" s="419"/>
      <c r="AE147" s="511"/>
      <c r="AF147" s="922"/>
      <c r="AG147" s="573"/>
      <c r="AH147" s="922"/>
      <c r="AI147" s="922"/>
      <c r="AJ147" s="922"/>
      <c r="AK147" s="922"/>
      <c r="AL147" s="512"/>
      <c r="AM147" s="575"/>
      <c r="AN147" s="3356"/>
      <c r="AO147" s="909"/>
      <c r="AP147" s="449"/>
      <c r="AQ147" s="449"/>
      <c r="AR147" s="465"/>
      <c r="AS147" s="909"/>
      <c r="AT147" s="909"/>
      <c r="AU147" s="909"/>
      <c r="AV147" s="909"/>
      <c r="AW147" s="909"/>
      <c r="AX147" s="563"/>
      <c r="AY147" s="550"/>
      <c r="AZ147" s="560"/>
      <c r="BA147" s="3328"/>
      <c r="BB147" s="2127"/>
      <c r="BC147" s="2128"/>
      <c r="BD147" s="39"/>
    </row>
    <row r="148" spans="1:58" ht="12" customHeight="1">
      <c r="A148" s="221" t="s">
        <v>705</v>
      </c>
      <c r="B148" s="227"/>
      <c r="C148" s="171"/>
      <c r="D148" s="4178">
        <f>F1_Age_at_EOL-(F1_Age_at_1st_Birthing/12)</f>
        <v>2.3000355263018948</v>
      </c>
      <c r="E148" s="4179"/>
      <c r="F148" s="876" t="s">
        <v>156</v>
      </c>
      <c r="G148" s="316"/>
      <c r="H148" s="876"/>
      <c r="I148" s="876"/>
      <c r="J148" s="876"/>
      <c r="K148" s="876"/>
      <c r="L148" s="216"/>
      <c r="M148" s="330">
        <v>8</v>
      </c>
      <c r="N148" s="213"/>
      <c r="O148" s="44"/>
      <c r="P148" s="42"/>
      <c r="Q148" s="4293">
        <f>F2_Age_at_EOL-(F2_Age_at_1st_Birthing/12)</f>
        <v>2.5898468585808563</v>
      </c>
      <c r="R148" s="4294"/>
      <c r="S148" s="880" t="s">
        <v>156</v>
      </c>
      <c r="T148" s="2465"/>
      <c r="U148" s="2465"/>
      <c r="V148" s="2465"/>
      <c r="W148" s="2465"/>
      <c r="X148" s="321"/>
      <c r="Y148" s="2133"/>
      <c r="Z148" s="331">
        <v>8</v>
      </c>
      <c r="AA148" s="133"/>
      <c r="AB148" s="565"/>
      <c r="AC148" s="419"/>
      <c r="AD148" s="4256">
        <f>F3_Age_at_EOL-(F3_Age_at_1st_Birthing/12)</f>
        <v>4.27346772170036</v>
      </c>
      <c r="AE148" s="4257"/>
      <c r="AF148" s="922" t="s">
        <v>156</v>
      </c>
      <c r="AG148" s="573"/>
      <c r="AH148" s="922"/>
      <c r="AI148" s="922"/>
      <c r="AJ148" s="922"/>
      <c r="AK148" s="922"/>
      <c r="AL148" s="532"/>
      <c r="AM148" s="2646">
        <v>8</v>
      </c>
      <c r="AN148" s="574"/>
      <c r="AO148" s="909"/>
      <c r="AP148" s="449"/>
      <c r="AQ148" s="4258">
        <f>F4_Age_at_EOL-(F4_Age_at_1st_Birthing/12)</f>
        <v>4.5370945200410029</v>
      </c>
      <c r="AR148" s="4259"/>
      <c r="AS148" s="909" t="s">
        <v>156</v>
      </c>
      <c r="AT148" s="2776"/>
      <c r="AU148" s="2776"/>
      <c r="AV148" s="2776"/>
      <c r="AW148" s="2776"/>
      <c r="AX148" s="563"/>
      <c r="AY148" s="464"/>
      <c r="AZ148" s="649">
        <v>8</v>
      </c>
      <c r="BA148" s="559"/>
      <c r="BB148" s="2420"/>
      <c r="BC148" s="2128"/>
      <c r="BD148" s="39"/>
    </row>
    <row r="149" spans="1:58" ht="6" customHeight="1">
      <c r="A149" s="205"/>
      <c r="B149" s="230"/>
      <c r="C149" s="190"/>
      <c r="D149" s="190"/>
      <c r="E149" s="161"/>
      <c r="F149" s="900"/>
      <c r="G149" s="275"/>
      <c r="H149" s="900"/>
      <c r="I149" s="900"/>
      <c r="J149" s="900"/>
      <c r="K149" s="900"/>
      <c r="L149" s="215"/>
      <c r="M149" s="161"/>
      <c r="N149" s="231"/>
      <c r="O149" s="67"/>
      <c r="P149" s="67"/>
      <c r="Q149" s="67"/>
      <c r="R149" s="85"/>
      <c r="S149" s="905"/>
      <c r="T149" s="276"/>
      <c r="U149" s="276"/>
      <c r="V149" s="276"/>
      <c r="W149" s="276"/>
      <c r="X149" s="3320"/>
      <c r="Y149" s="907"/>
      <c r="Z149" s="85"/>
      <c r="AA149" s="138"/>
      <c r="AB149" s="567"/>
      <c r="AC149" s="516"/>
      <c r="AD149" s="516"/>
      <c r="AE149" s="568"/>
      <c r="AF149" s="933"/>
      <c r="AG149" s="592"/>
      <c r="AH149" s="933"/>
      <c r="AI149" s="933"/>
      <c r="AJ149" s="933"/>
      <c r="AK149" s="933"/>
      <c r="AL149" s="569"/>
      <c r="AM149" s="568"/>
      <c r="AN149" s="2765"/>
      <c r="AO149" s="919"/>
      <c r="AP149" s="469"/>
      <c r="AQ149" s="469"/>
      <c r="AR149" s="553"/>
      <c r="AS149" s="919"/>
      <c r="AT149" s="596"/>
      <c r="AU149" s="596"/>
      <c r="AV149" s="596"/>
      <c r="AW149" s="596"/>
      <c r="AX149" s="3327"/>
      <c r="AY149" s="554"/>
      <c r="AZ149" s="553"/>
      <c r="BA149" s="2775"/>
      <c r="BB149" s="2127"/>
      <c r="BC149" s="2128"/>
      <c r="BD149" s="39"/>
    </row>
    <row r="150" spans="1:58" ht="5.25" customHeight="1">
      <c r="A150" s="206"/>
      <c r="B150" s="227"/>
      <c r="C150" s="186"/>
      <c r="D150" s="186"/>
      <c r="E150" s="171"/>
      <c r="F150" s="876"/>
      <c r="G150" s="316"/>
      <c r="H150" s="876"/>
      <c r="I150" s="876"/>
      <c r="J150" s="876"/>
      <c r="K150" s="876"/>
      <c r="L150" s="216"/>
      <c r="M150" s="171"/>
      <c r="N150" s="213"/>
      <c r="O150" s="44"/>
      <c r="P150" s="226"/>
      <c r="Q150" s="226"/>
      <c r="R150" s="42"/>
      <c r="S150" s="880"/>
      <c r="T150" s="317"/>
      <c r="U150" s="317"/>
      <c r="V150" s="317"/>
      <c r="W150" s="317"/>
      <c r="X150" s="321"/>
      <c r="Y150" s="2133"/>
      <c r="Z150" s="42"/>
      <c r="AA150" s="133"/>
      <c r="AB150" s="565"/>
      <c r="AC150" s="511"/>
      <c r="AD150" s="511"/>
      <c r="AE150" s="419"/>
      <c r="AF150" s="922"/>
      <c r="AG150" s="573"/>
      <c r="AH150" s="922"/>
      <c r="AI150" s="922"/>
      <c r="AJ150" s="922"/>
      <c r="AK150" s="922"/>
      <c r="AL150" s="532"/>
      <c r="AM150" s="419"/>
      <c r="AN150" s="574"/>
      <c r="AO150" s="909"/>
      <c r="AP150" s="434"/>
      <c r="AQ150" s="434"/>
      <c r="AR150" s="449"/>
      <c r="AS150" s="909"/>
      <c r="AT150" s="558"/>
      <c r="AU150" s="558"/>
      <c r="AV150" s="558"/>
      <c r="AW150" s="558"/>
      <c r="AX150" s="563"/>
      <c r="AY150" s="464"/>
      <c r="AZ150" s="449"/>
      <c r="BA150" s="559"/>
      <c r="BB150" s="2127"/>
      <c r="BC150" s="2132"/>
      <c r="BD150" s="39"/>
    </row>
    <row r="151" spans="1:58">
      <c r="A151" s="221" t="s">
        <v>818</v>
      </c>
      <c r="B151" s="227"/>
      <c r="C151" s="2458"/>
      <c r="D151" s="2458"/>
      <c r="E151" s="171"/>
      <c r="F151" s="876"/>
      <c r="G151" s="316"/>
      <c r="H151" s="876"/>
      <c r="I151" s="876"/>
      <c r="J151" s="876"/>
      <c r="K151" s="876"/>
      <c r="L151" s="216"/>
      <c r="M151" s="171"/>
      <c r="N151" s="213"/>
      <c r="O151" s="44"/>
      <c r="P151" s="47"/>
      <c r="Q151" s="263"/>
      <c r="R151" s="42"/>
      <c r="S151" s="880"/>
      <c r="T151" s="317"/>
      <c r="U151" s="317"/>
      <c r="V151" s="317"/>
      <c r="W151" s="317"/>
      <c r="X151" s="321"/>
      <c r="Y151" s="2133"/>
      <c r="Z151" s="42"/>
      <c r="AA151" s="133"/>
      <c r="AB151" s="565"/>
      <c r="AC151" s="2723"/>
      <c r="AD151" s="2723"/>
      <c r="AE151" s="419"/>
      <c r="AF151" s="922"/>
      <c r="AG151" s="573"/>
      <c r="AH151" s="922"/>
      <c r="AI151" s="922"/>
      <c r="AJ151" s="922"/>
      <c r="AK151" s="922"/>
      <c r="AL151" s="532"/>
      <c r="AM151" s="419"/>
      <c r="AN151" s="574"/>
      <c r="AO151" s="909"/>
      <c r="AP151" s="2724"/>
      <c r="AQ151" s="552"/>
      <c r="AR151" s="449"/>
      <c r="AS151" s="909"/>
      <c r="AT151" s="558"/>
      <c r="AU151" s="558"/>
      <c r="AV151" s="558"/>
      <c r="AW151" s="558"/>
      <c r="AX151" s="563"/>
      <c r="AY151" s="464"/>
      <c r="AZ151" s="449"/>
      <c r="BA151" s="559"/>
    </row>
    <row r="152" spans="1:58">
      <c r="A152" s="208" t="s">
        <v>1350</v>
      </c>
      <c r="B152" s="227"/>
      <c r="C152" s="186"/>
      <c r="D152" s="4176">
        <f>Z182</f>
        <v>1.8</v>
      </c>
      <c r="E152" s="4177"/>
      <c r="F152" s="876" t="s">
        <v>163</v>
      </c>
      <c r="G152" s="316"/>
      <c r="H152" s="876"/>
      <c r="I152" s="876"/>
      <c r="J152" s="876"/>
      <c r="K152" s="876"/>
      <c r="L152" s="216"/>
      <c r="M152" s="330" t="s">
        <v>1316</v>
      </c>
      <c r="N152" s="213"/>
      <c r="O152" s="44"/>
      <c r="P152" s="226"/>
      <c r="Q152" s="4289">
        <f>Z183</f>
        <v>2.11</v>
      </c>
      <c r="R152" s="4290"/>
      <c r="S152" s="880" t="s">
        <v>163</v>
      </c>
      <c r="T152" s="317"/>
      <c r="U152" s="317"/>
      <c r="V152" s="317"/>
      <c r="W152" s="317"/>
      <c r="X152" s="321"/>
      <c r="Y152" s="2133"/>
      <c r="Z152" s="331" t="s">
        <v>1316</v>
      </c>
      <c r="AA152" s="133"/>
      <c r="AB152" s="565"/>
      <c r="AC152" s="511"/>
      <c r="AD152" s="4252">
        <f>Z184</f>
        <v>3.96</v>
      </c>
      <c r="AE152" s="4253"/>
      <c r="AF152" s="922" t="s">
        <v>163</v>
      </c>
      <c r="AG152" s="573"/>
      <c r="AH152" s="922"/>
      <c r="AI152" s="922"/>
      <c r="AJ152" s="922"/>
      <c r="AK152" s="922"/>
      <c r="AL152" s="532"/>
      <c r="AM152" s="2646" t="s">
        <v>1316</v>
      </c>
      <c r="AN152" s="574"/>
      <c r="AO152" s="909"/>
      <c r="AP152" s="434"/>
      <c r="AQ152" s="4254">
        <f>Z185</f>
        <v>4.4800000000000004</v>
      </c>
      <c r="AR152" s="4255"/>
      <c r="AS152" s="909" t="s">
        <v>163</v>
      </c>
      <c r="AT152" s="558"/>
      <c r="AU152" s="558"/>
      <c r="AV152" s="558"/>
      <c r="AW152" s="558"/>
      <c r="AX152" s="563"/>
      <c r="AY152" s="464"/>
      <c r="AZ152" s="649" t="s">
        <v>1316</v>
      </c>
      <c r="BA152" s="559"/>
    </row>
    <row r="153" spans="1:58" ht="6.75" customHeight="1" thickBot="1">
      <c r="A153" s="206"/>
      <c r="B153" s="227"/>
      <c r="C153" s="171"/>
      <c r="D153" s="171"/>
      <c r="E153" s="186"/>
      <c r="F153" s="876"/>
      <c r="G153" s="316"/>
      <c r="H153" s="876"/>
      <c r="I153" s="876"/>
      <c r="J153" s="876"/>
      <c r="K153" s="876"/>
      <c r="L153" s="216"/>
      <c r="M153" s="186"/>
      <c r="N153" s="188"/>
      <c r="O153" s="44"/>
      <c r="P153" s="44"/>
      <c r="Q153" s="44"/>
      <c r="R153" s="44"/>
      <c r="S153" s="880"/>
      <c r="T153" s="880"/>
      <c r="U153" s="880"/>
      <c r="V153" s="880"/>
      <c r="W153" s="880"/>
      <c r="X153" s="880"/>
      <c r="Y153" s="2133"/>
      <c r="Z153" s="44"/>
      <c r="AA153" s="52"/>
      <c r="AB153" s="565"/>
      <c r="AC153" s="419"/>
      <c r="AD153" s="419"/>
      <c r="AE153" s="511"/>
      <c r="AF153" s="511"/>
      <c r="AG153" s="419"/>
      <c r="AH153" s="511"/>
      <c r="AI153" s="511"/>
      <c r="AJ153" s="511"/>
      <c r="AK153" s="511"/>
      <c r="AL153" s="532"/>
      <c r="AM153" s="511"/>
      <c r="AN153" s="1329"/>
      <c r="AO153" s="909"/>
      <c r="AP153" s="465"/>
      <c r="AQ153" s="465"/>
      <c r="AR153" s="465"/>
      <c r="AS153" s="465"/>
      <c r="AT153" s="465"/>
      <c r="AU153" s="465"/>
      <c r="AV153" s="465"/>
      <c r="AW153" s="465"/>
      <c r="AX153" s="465"/>
      <c r="AY153" s="464"/>
      <c r="AZ153" s="465"/>
      <c r="BA153" s="1354"/>
      <c r="BB153" s="2127"/>
      <c r="BC153" s="2127"/>
    </row>
    <row r="154" spans="1:58" ht="30" customHeight="1">
      <c r="A154" s="4139" t="s">
        <v>20</v>
      </c>
      <c r="B154" s="4140"/>
      <c r="C154" s="4140"/>
      <c r="D154" s="4140"/>
      <c r="E154" s="4140"/>
      <c r="F154" s="4140"/>
      <c r="G154" s="4140"/>
      <c r="H154" s="4140"/>
      <c r="I154" s="4140"/>
      <c r="J154" s="4140"/>
      <c r="K154" s="4140"/>
      <c r="L154" s="4140"/>
      <c r="M154" s="4140"/>
      <c r="N154" s="4140"/>
      <c r="O154" s="4140"/>
      <c r="P154" s="4140"/>
      <c r="Q154" s="4140"/>
      <c r="R154" s="4140"/>
      <c r="S154" s="4140"/>
      <c r="T154" s="4140"/>
      <c r="U154" s="4140"/>
      <c r="V154" s="4140"/>
      <c r="W154" s="4140"/>
      <c r="X154" s="4140"/>
      <c r="Y154" s="4140"/>
      <c r="Z154" s="4140"/>
      <c r="AA154" s="4140"/>
      <c r="AB154" s="4140"/>
      <c r="AC154" s="4140"/>
      <c r="AD154" s="4140"/>
      <c r="AE154" s="4140"/>
      <c r="AF154" s="4140"/>
      <c r="AG154" s="4140"/>
      <c r="AH154" s="4140"/>
      <c r="AI154" s="4140"/>
      <c r="AJ154" s="4140"/>
      <c r="AK154" s="4140"/>
      <c r="AL154" s="4140"/>
      <c r="AM154" s="4140"/>
      <c r="AN154" s="4140"/>
      <c r="AO154" s="4140"/>
      <c r="AP154" s="4140"/>
      <c r="AQ154" s="4140"/>
      <c r="AR154" s="4140"/>
      <c r="AS154" s="4140"/>
      <c r="AT154" s="4140"/>
      <c r="AU154" s="4140"/>
      <c r="AV154" s="4140"/>
      <c r="AW154" s="4140"/>
      <c r="AX154" s="4140"/>
      <c r="AY154" s="4140"/>
      <c r="AZ154" s="4140"/>
      <c r="BA154" s="4141"/>
      <c r="BB154" s="2420"/>
      <c r="BC154" s="2127"/>
    </row>
    <row r="155" spans="1:58">
      <c r="A155" s="4058" t="s">
        <v>990</v>
      </c>
      <c r="B155" s="4059"/>
      <c r="C155" s="4059"/>
      <c r="D155" s="4059"/>
      <c r="E155" s="4059"/>
      <c r="F155" s="4059"/>
      <c r="G155" s="4059"/>
      <c r="H155" s="4059"/>
      <c r="I155" s="4059"/>
      <c r="J155" s="4059"/>
      <c r="K155" s="4059"/>
      <c r="L155" s="4059"/>
      <c r="M155" s="4059"/>
      <c r="N155" s="4059"/>
      <c r="O155" s="4059"/>
      <c r="P155" s="4059"/>
      <c r="Q155" s="4059"/>
      <c r="R155" s="4059"/>
      <c r="S155" s="4059"/>
      <c r="T155" s="4059"/>
      <c r="U155" s="4059"/>
      <c r="V155" s="4059"/>
      <c r="W155" s="4059"/>
      <c r="X155" s="4059"/>
      <c r="Y155" s="4059"/>
      <c r="Z155" s="4059"/>
      <c r="AA155" s="4059"/>
      <c r="AB155" s="4059"/>
      <c r="AC155" s="4059"/>
      <c r="AD155" s="4059"/>
      <c r="AE155" s="4059"/>
      <c r="AF155" s="4059"/>
      <c r="AG155" s="4059"/>
      <c r="AH155" s="4059"/>
      <c r="AI155" s="4059"/>
      <c r="AJ155" s="4059"/>
      <c r="AK155" s="4059"/>
      <c r="AL155" s="4059"/>
      <c r="AM155" s="4059"/>
      <c r="AN155" s="4059"/>
      <c r="AO155" s="4059"/>
      <c r="AP155" s="4059"/>
      <c r="AQ155" s="4059"/>
      <c r="AR155" s="4059"/>
      <c r="AS155" s="4059"/>
      <c r="AT155" s="4059"/>
      <c r="AU155" s="4059"/>
      <c r="AV155" s="4059"/>
      <c r="AW155" s="4059"/>
      <c r="AX155" s="4059"/>
      <c r="AY155" s="4059"/>
      <c r="AZ155" s="4059"/>
      <c r="BA155" s="4060"/>
      <c r="BB155" s="2127"/>
      <c r="BC155" s="2127"/>
    </row>
    <row r="156" spans="1:58">
      <c r="A156" s="4242" t="s">
        <v>991</v>
      </c>
      <c r="B156" s="4243"/>
      <c r="C156" s="4243"/>
      <c r="D156" s="4243"/>
      <c r="E156" s="4243"/>
      <c r="F156" s="4243"/>
      <c r="G156" s="4243"/>
      <c r="H156" s="4243"/>
      <c r="I156" s="4243"/>
      <c r="J156" s="4243"/>
      <c r="K156" s="4243"/>
      <c r="L156" s="4243"/>
      <c r="M156" s="4243"/>
      <c r="N156" s="4243"/>
      <c r="O156" s="4243"/>
      <c r="P156" s="4243"/>
      <c r="Q156" s="4243"/>
      <c r="R156" s="4243"/>
      <c r="S156" s="4243"/>
      <c r="T156" s="4243"/>
      <c r="U156" s="4243"/>
      <c r="V156" s="4243"/>
      <c r="W156" s="4243"/>
      <c r="X156" s="4243"/>
      <c r="Y156" s="4243"/>
      <c r="Z156" s="4243"/>
      <c r="AA156" s="4243"/>
      <c r="AB156" s="4243"/>
      <c r="AC156" s="4243"/>
      <c r="AD156" s="4243"/>
      <c r="AE156" s="4243"/>
      <c r="AF156" s="4243"/>
      <c r="AG156" s="4243"/>
      <c r="AH156" s="4243"/>
      <c r="AI156" s="4243"/>
      <c r="AJ156" s="4243"/>
      <c r="AK156" s="4243"/>
      <c r="AL156" s="4243"/>
      <c r="AM156" s="4243"/>
      <c r="AN156" s="4243"/>
      <c r="AO156" s="4243"/>
      <c r="AP156" s="4243"/>
      <c r="AQ156" s="4243"/>
      <c r="AR156" s="4243"/>
      <c r="AS156" s="4243"/>
      <c r="AT156" s="4243"/>
      <c r="AU156" s="4243"/>
      <c r="AV156" s="4243"/>
      <c r="AW156" s="4243"/>
      <c r="AX156" s="4243"/>
      <c r="AY156" s="4243"/>
      <c r="AZ156" s="4243"/>
      <c r="BA156" s="4244"/>
      <c r="BB156" s="2127"/>
      <c r="BC156" s="23"/>
      <c r="BD156" s="61"/>
      <c r="BE156" s="61"/>
      <c r="BF156" s="23"/>
    </row>
    <row r="157" spans="1:58">
      <c r="A157" s="4058" t="s">
        <v>992</v>
      </c>
      <c r="B157" s="4059"/>
      <c r="C157" s="4059"/>
      <c r="D157" s="4059"/>
      <c r="E157" s="4059"/>
      <c r="F157" s="4059"/>
      <c r="G157" s="4059"/>
      <c r="H157" s="4059"/>
      <c r="I157" s="4059"/>
      <c r="J157" s="4059"/>
      <c r="K157" s="4059"/>
      <c r="L157" s="4059"/>
      <c r="M157" s="4059"/>
      <c r="N157" s="4059"/>
      <c r="O157" s="4059"/>
      <c r="P157" s="4059"/>
      <c r="Q157" s="4059"/>
      <c r="R157" s="4059"/>
      <c r="S157" s="4059"/>
      <c r="T157" s="4059"/>
      <c r="U157" s="4059"/>
      <c r="V157" s="4059"/>
      <c r="W157" s="4059"/>
      <c r="X157" s="4059"/>
      <c r="Y157" s="4059"/>
      <c r="Z157" s="4059"/>
      <c r="AA157" s="4059"/>
      <c r="AB157" s="4059"/>
      <c r="AC157" s="4059"/>
      <c r="AD157" s="4059"/>
      <c r="AE157" s="4059"/>
      <c r="AF157" s="4059"/>
      <c r="AG157" s="4059"/>
      <c r="AH157" s="4059"/>
      <c r="AI157" s="4059"/>
      <c r="AJ157" s="4059"/>
      <c r="AK157" s="4059"/>
      <c r="AL157" s="4059"/>
      <c r="AM157" s="4059"/>
      <c r="AN157" s="4059"/>
      <c r="AO157" s="4059"/>
      <c r="AP157" s="4059"/>
      <c r="AQ157" s="4059"/>
      <c r="AR157" s="4059"/>
      <c r="AS157" s="4059"/>
      <c r="AT157" s="4059"/>
      <c r="AU157" s="4059"/>
      <c r="AV157" s="4059"/>
      <c r="AW157" s="4059"/>
      <c r="AX157" s="4059"/>
      <c r="AY157" s="4059"/>
      <c r="AZ157" s="4059"/>
      <c r="BA157" s="4060"/>
      <c r="BB157" s="2127"/>
      <c r="BC157" s="23"/>
      <c r="BD157" s="61"/>
      <c r="BE157" s="61"/>
      <c r="BF157" s="23"/>
    </row>
    <row r="158" spans="1:58">
      <c r="A158" s="4242" t="s">
        <v>993</v>
      </c>
      <c r="B158" s="4243"/>
      <c r="C158" s="4243"/>
      <c r="D158" s="4243"/>
      <c r="E158" s="4243"/>
      <c r="F158" s="4243"/>
      <c r="G158" s="4243"/>
      <c r="H158" s="4243"/>
      <c r="I158" s="4243"/>
      <c r="J158" s="4243"/>
      <c r="K158" s="4243"/>
      <c r="L158" s="4243"/>
      <c r="M158" s="4243"/>
      <c r="N158" s="4243"/>
      <c r="O158" s="4243"/>
      <c r="P158" s="4243"/>
      <c r="Q158" s="4243"/>
      <c r="R158" s="4243"/>
      <c r="S158" s="4243"/>
      <c r="T158" s="4243"/>
      <c r="U158" s="4243"/>
      <c r="V158" s="4243"/>
      <c r="W158" s="4243"/>
      <c r="X158" s="4243"/>
      <c r="Y158" s="4243"/>
      <c r="Z158" s="4243"/>
      <c r="AA158" s="4243"/>
      <c r="AB158" s="4243"/>
      <c r="AC158" s="4243"/>
      <c r="AD158" s="4243"/>
      <c r="AE158" s="4243"/>
      <c r="AF158" s="4243"/>
      <c r="AG158" s="4243"/>
      <c r="AH158" s="4243"/>
      <c r="AI158" s="4243"/>
      <c r="AJ158" s="4243"/>
      <c r="AK158" s="4243"/>
      <c r="AL158" s="4243"/>
      <c r="AM158" s="4243"/>
      <c r="AN158" s="4243"/>
      <c r="AO158" s="4243"/>
      <c r="AP158" s="4243"/>
      <c r="AQ158" s="4243"/>
      <c r="AR158" s="4243"/>
      <c r="AS158" s="4243"/>
      <c r="AT158" s="4243"/>
      <c r="AU158" s="4243"/>
      <c r="AV158" s="4243"/>
      <c r="AW158" s="4243"/>
      <c r="AX158" s="4243"/>
      <c r="AY158" s="4243"/>
      <c r="AZ158" s="4243"/>
      <c r="BA158" s="4244"/>
      <c r="BB158" s="2127"/>
      <c r="BC158" s="23"/>
      <c r="BD158" s="23"/>
      <c r="BE158" s="61"/>
      <c r="BF158" s="23"/>
    </row>
    <row r="159" spans="1:58">
      <c r="A159" s="4058" t="s">
        <v>994</v>
      </c>
      <c r="B159" s="4059"/>
      <c r="C159" s="4059"/>
      <c r="D159" s="4059"/>
      <c r="E159" s="4059"/>
      <c r="F159" s="4059"/>
      <c r="G159" s="4059"/>
      <c r="H159" s="4059"/>
      <c r="I159" s="4059"/>
      <c r="J159" s="4059"/>
      <c r="K159" s="4059"/>
      <c r="L159" s="4059"/>
      <c r="M159" s="4059"/>
      <c r="N159" s="4059"/>
      <c r="O159" s="4059"/>
      <c r="P159" s="4059"/>
      <c r="Q159" s="4059"/>
      <c r="R159" s="4059"/>
      <c r="S159" s="4059"/>
      <c r="T159" s="4059"/>
      <c r="U159" s="4059"/>
      <c r="V159" s="4059"/>
      <c r="W159" s="4059"/>
      <c r="X159" s="4059"/>
      <c r="Y159" s="4059"/>
      <c r="Z159" s="4059"/>
      <c r="AA159" s="4059"/>
      <c r="AB159" s="4059"/>
      <c r="AC159" s="4059"/>
      <c r="AD159" s="4059"/>
      <c r="AE159" s="4059"/>
      <c r="AF159" s="4059"/>
      <c r="AG159" s="4059"/>
      <c r="AH159" s="4059"/>
      <c r="AI159" s="4059"/>
      <c r="AJ159" s="4059"/>
      <c r="AK159" s="4059"/>
      <c r="AL159" s="4059"/>
      <c r="AM159" s="4059"/>
      <c r="AN159" s="4059"/>
      <c r="AO159" s="4059"/>
      <c r="AP159" s="4059"/>
      <c r="AQ159" s="4059"/>
      <c r="AR159" s="4059"/>
      <c r="AS159" s="4059"/>
      <c r="AT159" s="4059"/>
      <c r="AU159" s="4059"/>
      <c r="AV159" s="4059"/>
      <c r="AW159" s="4059"/>
      <c r="AX159" s="4059"/>
      <c r="AY159" s="4059"/>
      <c r="AZ159" s="4059"/>
      <c r="BA159" s="4060"/>
      <c r="BB159" s="2127"/>
      <c r="BC159" s="23"/>
      <c r="BD159" s="61"/>
      <c r="BE159" s="61"/>
      <c r="BF159" s="23"/>
    </row>
    <row r="160" spans="1:58">
      <c r="A160" s="4058" t="s">
        <v>995</v>
      </c>
      <c r="B160" s="4059"/>
      <c r="C160" s="4059"/>
      <c r="D160" s="4059"/>
      <c r="E160" s="4059"/>
      <c r="F160" s="4059"/>
      <c r="G160" s="4059"/>
      <c r="H160" s="4059"/>
      <c r="I160" s="4059"/>
      <c r="J160" s="4059"/>
      <c r="K160" s="4059"/>
      <c r="L160" s="4059"/>
      <c r="M160" s="4059"/>
      <c r="N160" s="4059"/>
      <c r="O160" s="4059"/>
      <c r="P160" s="4059"/>
      <c r="Q160" s="4059"/>
      <c r="R160" s="4059"/>
      <c r="S160" s="4059"/>
      <c r="T160" s="4059"/>
      <c r="U160" s="4059"/>
      <c r="V160" s="4059"/>
      <c r="W160" s="4059"/>
      <c r="X160" s="4059"/>
      <c r="Y160" s="4059"/>
      <c r="Z160" s="4059"/>
      <c r="AA160" s="4059"/>
      <c r="AB160" s="4059"/>
      <c r="AC160" s="4059"/>
      <c r="AD160" s="4059"/>
      <c r="AE160" s="4059"/>
      <c r="AF160" s="4059"/>
      <c r="AG160" s="4059"/>
      <c r="AH160" s="4059"/>
      <c r="AI160" s="4059"/>
      <c r="AJ160" s="4059"/>
      <c r="AK160" s="4059"/>
      <c r="AL160" s="4059"/>
      <c r="AM160" s="4059"/>
      <c r="AN160" s="4059"/>
      <c r="AO160" s="4059"/>
      <c r="AP160" s="4059"/>
      <c r="AQ160" s="4059"/>
      <c r="AR160" s="4059"/>
      <c r="AS160" s="4059"/>
      <c r="AT160" s="4059"/>
      <c r="AU160" s="4059"/>
      <c r="AV160" s="4059"/>
      <c r="AW160" s="4059"/>
      <c r="AX160" s="4059"/>
      <c r="AY160" s="4059"/>
      <c r="AZ160" s="4059"/>
      <c r="BA160" s="4060"/>
      <c r="BC160" s="23"/>
      <c r="BD160" s="23"/>
      <c r="BE160" s="61"/>
      <c r="BF160" s="23"/>
    </row>
    <row r="161" spans="1:58">
      <c r="A161" s="4058" t="s">
        <v>996</v>
      </c>
      <c r="B161" s="4059"/>
      <c r="C161" s="4059"/>
      <c r="D161" s="4059"/>
      <c r="E161" s="4059"/>
      <c r="F161" s="4059"/>
      <c r="G161" s="4059"/>
      <c r="H161" s="4059"/>
      <c r="I161" s="4059"/>
      <c r="J161" s="4059"/>
      <c r="K161" s="4059"/>
      <c r="L161" s="4059"/>
      <c r="M161" s="4059"/>
      <c r="N161" s="4059"/>
      <c r="O161" s="4059"/>
      <c r="P161" s="4059"/>
      <c r="Q161" s="4059"/>
      <c r="R161" s="4059"/>
      <c r="S161" s="4059"/>
      <c r="T161" s="4059"/>
      <c r="U161" s="4059"/>
      <c r="V161" s="4059"/>
      <c r="W161" s="4059"/>
      <c r="X161" s="4059"/>
      <c r="Y161" s="4059"/>
      <c r="Z161" s="4059"/>
      <c r="AA161" s="4059"/>
      <c r="AB161" s="4059"/>
      <c r="AC161" s="4059"/>
      <c r="AD161" s="4059"/>
      <c r="AE161" s="4059"/>
      <c r="AF161" s="4059"/>
      <c r="AG161" s="4059"/>
      <c r="AH161" s="4059"/>
      <c r="AI161" s="4059"/>
      <c r="AJ161" s="4059"/>
      <c r="AK161" s="4059"/>
      <c r="AL161" s="4059"/>
      <c r="AM161" s="4059"/>
      <c r="AN161" s="4059"/>
      <c r="AO161" s="4059"/>
      <c r="AP161" s="4059"/>
      <c r="AQ161" s="4059"/>
      <c r="AR161" s="4059"/>
      <c r="AS161" s="4059"/>
      <c r="AT161" s="4059"/>
      <c r="AU161" s="4059"/>
      <c r="AV161" s="4059"/>
      <c r="AW161" s="4059"/>
      <c r="AX161" s="4059"/>
      <c r="AY161" s="4059"/>
      <c r="AZ161" s="4059"/>
      <c r="BA161" s="4060"/>
      <c r="BC161" s="23"/>
      <c r="BD161" s="61"/>
      <c r="BE161" s="61"/>
      <c r="BF161" s="23"/>
    </row>
    <row r="162" spans="1:58">
      <c r="A162" s="4242" t="s">
        <v>997</v>
      </c>
      <c r="B162" s="4243"/>
      <c r="C162" s="4243"/>
      <c r="D162" s="4243"/>
      <c r="E162" s="4243"/>
      <c r="F162" s="4243"/>
      <c r="G162" s="4243"/>
      <c r="H162" s="4243"/>
      <c r="I162" s="4243"/>
      <c r="J162" s="4243"/>
      <c r="K162" s="4243"/>
      <c r="L162" s="4243"/>
      <c r="M162" s="4243"/>
      <c r="N162" s="4243"/>
      <c r="O162" s="4243"/>
      <c r="P162" s="4243"/>
      <c r="Q162" s="4243"/>
      <c r="R162" s="4243"/>
      <c r="S162" s="4243"/>
      <c r="T162" s="4243"/>
      <c r="U162" s="4243"/>
      <c r="V162" s="4243"/>
      <c r="W162" s="4243"/>
      <c r="X162" s="4243"/>
      <c r="Y162" s="4243"/>
      <c r="Z162" s="4243"/>
      <c r="AA162" s="4243"/>
      <c r="AB162" s="4243"/>
      <c r="AC162" s="4243"/>
      <c r="AD162" s="4243"/>
      <c r="AE162" s="4243"/>
      <c r="AF162" s="4243"/>
      <c r="AG162" s="4243"/>
      <c r="AH162" s="4243"/>
      <c r="AI162" s="4243"/>
      <c r="AJ162" s="4243"/>
      <c r="AK162" s="4243"/>
      <c r="AL162" s="4243"/>
      <c r="AM162" s="4243"/>
      <c r="AN162" s="4243"/>
      <c r="AO162" s="4243"/>
      <c r="AP162" s="4243"/>
      <c r="AQ162" s="4243"/>
      <c r="AR162" s="4243"/>
      <c r="AS162" s="4243"/>
      <c r="AT162" s="4243"/>
      <c r="AU162" s="4243"/>
      <c r="AV162" s="4243"/>
      <c r="AW162" s="4243"/>
      <c r="AX162" s="4243"/>
      <c r="AY162" s="4243"/>
      <c r="AZ162" s="4243"/>
      <c r="BA162" s="4244"/>
      <c r="BC162" s="23"/>
      <c r="BD162" s="23"/>
      <c r="BE162" s="61"/>
      <c r="BF162" s="23"/>
    </row>
    <row r="163" spans="1:58" ht="12.75" customHeight="1">
      <c r="A163" s="4074" t="s">
        <v>576</v>
      </c>
      <c r="B163" s="4075"/>
      <c r="C163" s="4075"/>
      <c r="D163" s="4075"/>
      <c r="E163" s="4075"/>
      <c r="F163" s="4075"/>
      <c r="G163" s="4075"/>
      <c r="H163" s="4075"/>
      <c r="I163" s="4075"/>
      <c r="J163" s="4075"/>
      <c r="K163" s="4075"/>
      <c r="L163" s="4075"/>
      <c r="M163" s="4075"/>
      <c r="N163" s="4075"/>
      <c r="O163" s="4075"/>
      <c r="P163" s="4075"/>
      <c r="Q163" s="4075"/>
      <c r="R163" s="4075"/>
      <c r="S163" s="4075"/>
      <c r="T163" s="4075"/>
      <c r="U163" s="4075"/>
      <c r="V163" s="4075"/>
      <c r="W163" s="4075"/>
      <c r="X163" s="4075"/>
      <c r="Y163" s="4075"/>
      <c r="Z163" s="4075"/>
      <c r="AA163" s="4075"/>
      <c r="AB163" s="4075"/>
      <c r="AC163" s="4075"/>
      <c r="AD163" s="4075"/>
      <c r="AE163" s="4075"/>
      <c r="AF163" s="4075"/>
      <c r="AG163" s="4075"/>
      <c r="AH163" s="4075"/>
      <c r="AI163" s="4075"/>
      <c r="AJ163" s="4075"/>
      <c r="AK163" s="4075"/>
      <c r="AL163" s="4075"/>
      <c r="AM163" s="4075"/>
      <c r="AN163" s="4075"/>
      <c r="AO163" s="4075"/>
      <c r="AP163" s="4075"/>
      <c r="AQ163" s="4075"/>
      <c r="AR163" s="4075"/>
      <c r="AS163" s="4075"/>
      <c r="AT163" s="4075"/>
      <c r="AU163" s="4075"/>
      <c r="AV163" s="4075"/>
      <c r="AW163" s="4075"/>
      <c r="AX163" s="4075"/>
      <c r="AY163" s="4075"/>
      <c r="AZ163" s="4075"/>
      <c r="BA163" s="4076"/>
      <c r="BC163" s="23"/>
      <c r="BD163" s="23"/>
      <c r="BE163" s="23"/>
      <c r="BF163" s="23"/>
    </row>
    <row r="164" spans="1:58" ht="12.75" customHeight="1">
      <c r="A164" s="4074" t="s">
        <v>848</v>
      </c>
      <c r="B164" s="4075"/>
      <c r="C164" s="4075"/>
      <c r="D164" s="4075"/>
      <c r="E164" s="4075"/>
      <c r="F164" s="4075"/>
      <c r="G164" s="4075"/>
      <c r="H164" s="4075"/>
      <c r="I164" s="4075"/>
      <c r="J164" s="4075"/>
      <c r="K164" s="4075"/>
      <c r="L164" s="4075"/>
      <c r="M164" s="4075"/>
      <c r="N164" s="4075"/>
      <c r="O164" s="4075"/>
      <c r="P164" s="4075"/>
      <c r="Q164" s="4075"/>
      <c r="R164" s="4075"/>
      <c r="S164" s="4075"/>
      <c r="T164" s="4075"/>
      <c r="U164" s="4075"/>
      <c r="V164" s="4075"/>
      <c r="W164" s="4075"/>
      <c r="X164" s="4075"/>
      <c r="Y164" s="4075"/>
      <c r="Z164" s="4075"/>
      <c r="AA164" s="4075"/>
      <c r="AB164" s="4075"/>
      <c r="AC164" s="4075"/>
      <c r="AD164" s="4075"/>
      <c r="AE164" s="4075"/>
      <c r="AF164" s="4075"/>
      <c r="AG164" s="4075"/>
      <c r="AH164" s="4075"/>
      <c r="AI164" s="4075"/>
      <c r="AJ164" s="4075"/>
      <c r="AK164" s="4075"/>
      <c r="AL164" s="4075"/>
      <c r="AM164" s="4075"/>
      <c r="AN164" s="4075"/>
      <c r="AO164" s="4075"/>
      <c r="AP164" s="4075"/>
      <c r="AQ164" s="4075"/>
      <c r="AR164" s="4075"/>
      <c r="AS164" s="4075"/>
      <c r="AT164" s="4075"/>
      <c r="AU164" s="4075"/>
      <c r="AV164" s="4075"/>
      <c r="AW164" s="4075"/>
      <c r="AX164" s="4075"/>
      <c r="AY164" s="4075"/>
      <c r="AZ164" s="4075"/>
      <c r="BA164" s="4076"/>
      <c r="BC164" s="23"/>
      <c r="BD164" s="23"/>
      <c r="BE164" s="23"/>
      <c r="BF164" s="23"/>
    </row>
    <row r="165" spans="1:58" ht="12.75" customHeight="1">
      <c r="A165" s="4074" t="s">
        <v>578</v>
      </c>
      <c r="B165" s="4075"/>
      <c r="C165" s="4075"/>
      <c r="D165" s="4075"/>
      <c r="E165" s="4075"/>
      <c r="F165" s="4075"/>
      <c r="G165" s="4075"/>
      <c r="H165" s="4075"/>
      <c r="I165" s="4075"/>
      <c r="J165" s="4075"/>
      <c r="K165" s="4075"/>
      <c r="L165" s="4075"/>
      <c r="M165" s="4075"/>
      <c r="N165" s="4075"/>
      <c r="O165" s="4075"/>
      <c r="P165" s="4075"/>
      <c r="Q165" s="4075"/>
      <c r="R165" s="4075"/>
      <c r="S165" s="4075"/>
      <c r="T165" s="4075"/>
      <c r="U165" s="4075"/>
      <c r="V165" s="4075"/>
      <c r="W165" s="4075"/>
      <c r="X165" s="4075"/>
      <c r="Y165" s="4075"/>
      <c r="Z165" s="4075"/>
      <c r="AA165" s="4075"/>
      <c r="AB165" s="4075"/>
      <c r="AC165" s="4075"/>
      <c r="AD165" s="4075"/>
      <c r="AE165" s="4075"/>
      <c r="AF165" s="4075"/>
      <c r="AG165" s="4075"/>
      <c r="AH165" s="4075"/>
      <c r="AI165" s="4075"/>
      <c r="AJ165" s="4075"/>
      <c r="AK165" s="4075"/>
      <c r="AL165" s="4075"/>
      <c r="AM165" s="4075"/>
      <c r="AN165" s="4075"/>
      <c r="AO165" s="4075"/>
      <c r="AP165" s="4075"/>
      <c r="AQ165" s="4075"/>
      <c r="AR165" s="4075"/>
      <c r="AS165" s="4075"/>
      <c r="AT165" s="4075"/>
      <c r="AU165" s="4075"/>
      <c r="AV165" s="4075"/>
      <c r="AW165" s="4075"/>
      <c r="AX165" s="4075"/>
      <c r="AY165" s="4075"/>
      <c r="AZ165" s="4075"/>
      <c r="BA165" s="4076"/>
      <c r="BC165" s="23"/>
      <c r="BD165" s="23"/>
      <c r="BE165" s="23"/>
      <c r="BF165" s="23"/>
    </row>
    <row r="166" spans="1:58" ht="13.5" thickBot="1">
      <c r="A166" s="4245" t="s">
        <v>826</v>
      </c>
      <c r="B166" s="4246"/>
      <c r="C166" s="4246"/>
      <c r="D166" s="4246"/>
      <c r="E166" s="4246"/>
      <c r="F166" s="4246"/>
      <c r="G166" s="4246"/>
      <c r="H166" s="4246"/>
      <c r="I166" s="4246"/>
      <c r="J166" s="4246"/>
      <c r="K166" s="4246"/>
      <c r="L166" s="4246"/>
      <c r="M166" s="4246"/>
      <c r="N166" s="4246"/>
      <c r="O166" s="4246"/>
      <c r="P166" s="4246"/>
      <c r="Q166" s="4246"/>
      <c r="R166" s="4246"/>
      <c r="S166" s="4246"/>
      <c r="T166" s="4246"/>
      <c r="U166" s="4246"/>
      <c r="V166" s="4246"/>
      <c r="W166" s="4246"/>
      <c r="X166" s="4246"/>
      <c r="Y166" s="4246"/>
      <c r="Z166" s="4246"/>
      <c r="AA166" s="4246"/>
      <c r="AB166" s="4246"/>
      <c r="AC166" s="4246"/>
      <c r="AD166" s="4246"/>
      <c r="AE166" s="4246"/>
      <c r="AF166" s="4246"/>
      <c r="AG166" s="4246"/>
      <c r="AH166" s="4246"/>
      <c r="AI166" s="4246"/>
      <c r="AJ166" s="4246"/>
      <c r="AK166" s="4246"/>
      <c r="AL166" s="4246"/>
      <c r="AM166" s="4246"/>
      <c r="AN166" s="4246"/>
      <c r="AO166" s="4246"/>
      <c r="AP166" s="4246"/>
      <c r="AQ166" s="4246"/>
      <c r="AR166" s="4246"/>
      <c r="AS166" s="4246"/>
      <c r="AT166" s="4246"/>
      <c r="AU166" s="4246"/>
      <c r="AV166" s="4246"/>
      <c r="AW166" s="4246"/>
      <c r="AX166" s="4246"/>
      <c r="AY166" s="4246"/>
      <c r="AZ166" s="4246"/>
      <c r="BA166" s="4247"/>
      <c r="BC166" s="23"/>
      <c r="BD166" s="23"/>
      <c r="BE166" s="23"/>
      <c r="BF166" s="23"/>
    </row>
    <row r="168" spans="1:58" ht="13.5" thickBot="1">
      <c r="AD168" s="2127"/>
      <c r="AE168" s="2127"/>
      <c r="AF168" s="2127"/>
      <c r="AG168" s="2127"/>
      <c r="AH168" s="2127"/>
      <c r="AI168" s="2127"/>
      <c r="AJ168" s="2127"/>
      <c r="AK168" s="2127"/>
      <c r="AL168" s="2127"/>
      <c r="AM168" s="2127"/>
      <c r="AN168" s="2127"/>
    </row>
    <row r="169" spans="1:58" s="57" customFormat="1" ht="25.5" customHeight="1">
      <c r="A169" s="4236" t="s">
        <v>1347</v>
      </c>
      <c r="B169" s="4237"/>
      <c r="C169" s="4237"/>
      <c r="D169" s="4237"/>
      <c r="E169" s="4237"/>
      <c r="F169" s="4237"/>
      <c r="G169" s="4237"/>
      <c r="H169" s="4237"/>
      <c r="I169" s="4237"/>
      <c r="J169" s="4237"/>
      <c r="K169" s="4237"/>
      <c r="L169" s="4237"/>
      <c r="M169" s="4237"/>
      <c r="N169" s="4237"/>
      <c r="O169" s="4237"/>
      <c r="P169" s="4237"/>
      <c r="Q169" s="4237"/>
      <c r="R169" s="4237"/>
      <c r="S169" s="4237"/>
      <c r="T169" s="4237"/>
      <c r="U169" s="4237"/>
      <c r="V169" s="4237"/>
      <c r="W169" s="4237"/>
      <c r="X169" s="4237"/>
      <c r="Y169" s="4237"/>
      <c r="Z169" s="4237"/>
      <c r="AA169" s="4237"/>
      <c r="AB169" s="4237"/>
      <c r="AC169" s="4238"/>
      <c r="AD169" s="3741"/>
      <c r="AE169" s="3741"/>
      <c r="AF169" s="3741"/>
      <c r="AG169" s="3741"/>
      <c r="AH169" s="3741"/>
      <c r="AI169" s="3741"/>
      <c r="AJ169" s="3741"/>
      <c r="AK169" s="3741"/>
      <c r="AL169" s="3741"/>
      <c r="AM169" s="3741"/>
      <c r="AN169" s="3741"/>
    </row>
    <row r="170" spans="1:58" ht="24" customHeight="1">
      <c r="A170" s="4248"/>
      <c r="B170" s="4239" t="s">
        <v>1311</v>
      </c>
      <c r="C170" s="4240"/>
      <c r="D170" s="4240"/>
      <c r="E170" s="4240"/>
      <c r="F170" s="4240"/>
      <c r="G170" s="4240"/>
      <c r="H170" s="4240"/>
      <c r="I170" s="4240"/>
      <c r="J170" s="4240"/>
      <c r="K170" s="4240"/>
      <c r="L170" s="4240"/>
      <c r="M170" s="4240"/>
      <c r="N170" s="4240"/>
      <c r="O170" s="4240"/>
      <c r="P170" s="4240"/>
      <c r="Q170" s="4240"/>
      <c r="R170" s="4240"/>
      <c r="S170" s="4240"/>
      <c r="T170" s="4240"/>
      <c r="U170" s="4240"/>
      <c r="V170" s="4240"/>
      <c r="W170" s="4240"/>
      <c r="X170" s="4240"/>
      <c r="Y170" s="4240"/>
      <c r="Z170" s="4240"/>
      <c r="AA170" s="4240"/>
      <c r="AB170" s="4240"/>
      <c r="AC170" s="4241"/>
      <c r="AD170" s="2127"/>
      <c r="AE170" s="2127"/>
      <c r="AF170" s="2127"/>
      <c r="AG170" s="2127"/>
      <c r="AH170" s="2127"/>
      <c r="AI170" s="2127"/>
      <c r="AJ170" s="2127"/>
      <c r="AK170" s="2127"/>
      <c r="AL170" s="2127"/>
      <c r="AM170" s="2127"/>
      <c r="AN170" s="2127"/>
    </row>
    <row r="171" spans="1:58" ht="54.75" customHeight="1">
      <c r="A171" s="4249"/>
      <c r="B171" s="4384" t="s">
        <v>1623</v>
      </c>
      <c r="C171" s="4385"/>
      <c r="D171" s="4385"/>
      <c r="E171" s="4385"/>
      <c r="F171" s="4385" t="s">
        <v>1312</v>
      </c>
      <c r="G171" s="4385"/>
      <c r="H171" s="4385"/>
      <c r="I171" s="4385"/>
      <c r="J171" s="4385"/>
      <c r="K171" s="4385" t="s">
        <v>1313</v>
      </c>
      <c r="L171" s="4385"/>
      <c r="M171" s="4385"/>
      <c r="N171" s="4385"/>
      <c r="O171" s="4385" t="s">
        <v>1314</v>
      </c>
      <c r="P171" s="4385"/>
      <c r="Q171" s="4385"/>
      <c r="R171" s="4385"/>
      <c r="S171" s="4385" t="s">
        <v>1315</v>
      </c>
      <c r="T171" s="4385"/>
      <c r="U171" s="4385"/>
      <c r="V171" s="4386"/>
      <c r="W171" s="4385" t="s">
        <v>1345</v>
      </c>
      <c r="X171" s="4385"/>
      <c r="Y171" s="4387"/>
      <c r="Z171" s="4233" t="s">
        <v>1346</v>
      </c>
      <c r="AA171" s="4234"/>
      <c r="AB171" s="4234"/>
      <c r="AC171" s="4235"/>
      <c r="AD171" s="2127"/>
      <c r="AE171" s="2127"/>
      <c r="AF171" s="2127"/>
      <c r="AG171" s="2127"/>
      <c r="AH171" s="2127"/>
      <c r="AI171" s="2127"/>
      <c r="AJ171" s="2127"/>
      <c r="AK171" s="2127"/>
      <c r="AL171" s="2127"/>
      <c r="AM171" s="2127"/>
      <c r="AN171" s="2127"/>
    </row>
    <row r="172" spans="1:58">
      <c r="A172" s="3808" t="s">
        <v>1360</v>
      </c>
      <c r="B172" s="4228">
        <v>2</v>
      </c>
      <c r="C172" s="4228"/>
      <c r="D172" s="4228"/>
      <c r="E172" s="4228"/>
      <c r="F172" s="4228">
        <v>5</v>
      </c>
      <c r="G172" s="4228"/>
      <c r="H172" s="4228"/>
      <c r="I172" s="4228"/>
      <c r="J172" s="4228"/>
      <c r="K172" s="4228">
        <v>4</v>
      </c>
      <c r="L172" s="4228"/>
      <c r="M172" s="4228"/>
      <c r="N172" s="4228"/>
      <c r="O172" s="4228">
        <v>2</v>
      </c>
      <c r="P172" s="4228"/>
      <c r="Q172" s="4228"/>
      <c r="R172" s="4228"/>
      <c r="S172" s="4228">
        <v>1.5</v>
      </c>
      <c r="T172" s="4228"/>
      <c r="U172" s="4228"/>
      <c r="V172" s="4229"/>
      <c r="W172" s="4250">
        <f>B172+F172+K172+O172+S172</f>
        <v>14.5</v>
      </c>
      <c r="X172" s="4250"/>
      <c r="Y172" s="4251"/>
      <c r="Z172" s="4188">
        <v>14.5</v>
      </c>
      <c r="AA172" s="4189"/>
      <c r="AB172" s="4189"/>
      <c r="AC172" s="4190"/>
      <c r="AD172" s="2127"/>
      <c r="AE172" s="2127"/>
      <c r="AF172" s="2127"/>
      <c r="AG172" s="2127"/>
      <c r="AH172" s="2127"/>
      <c r="AI172" s="2127"/>
      <c r="AJ172" s="2127"/>
      <c r="AK172" s="2127"/>
      <c r="AL172" s="2127"/>
      <c r="AM172" s="2127"/>
      <c r="AN172" s="2127"/>
    </row>
    <row r="173" spans="1:58">
      <c r="A173" s="3809" t="s">
        <v>1361</v>
      </c>
      <c r="B173" s="4228">
        <v>2</v>
      </c>
      <c r="C173" s="4228"/>
      <c r="D173" s="4228"/>
      <c r="E173" s="4228"/>
      <c r="F173" s="4228">
        <v>4</v>
      </c>
      <c r="G173" s="4228"/>
      <c r="H173" s="4228"/>
      <c r="I173" s="4228"/>
      <c r="J173" s="4228"/>
      <c r="K173" s="4228">
        <v>3</v>
      </c>
      <c r="L173" s="4228"/>
      <c r="M173" s="4228"/>
      <c r="N173" s="4228"/>
      <c r="O173" s="4228">
        <v>1</v>
      </c>
      <c r="P173" s="4228"/>
      <c r="Q173" s="4228"/>
      <c r="R173" s="4228"/>
      <c r="S173" s="4228">
        <v>0.5</v>
      </c>
      <c r="T173" s="4228"/>
      <c r="U173" s="4228"/>
      <c r="V173" s="4229"/>
      <c r="W173" s="4382">
        <f>B173+F173+K173+O173+S173</f>
        <v>10.5</v>
      </c>
      <c r="X173" s="4382"/>
      <c r="Y173" s="4383"/>
      <c r="Z173" s="4188">
        <v>10.5</v>
      </c>
      <c r="AA173" s="4189"/>
      <c r="AB173" s="4189"/>
      <c r="AC173" s="4190"/>
      <c r="AD173" s="2127"/>
      <c r="AE173" s="2127"/>
      <c r="AF173" s="2127"/>
      <c r="AG173" s="2127"/>
      <c r="AH173" s="2127"/>
      <c r="AI173" s="2127"/>
      <c r="AJ173" s="2127"/>
      <c r="AK173" s="2127"/>
      <c r="AL173" s="2127"/>
      <c r="AM173" s="2127"/>
      <c r="AN173" s="2127"/>
    </row>
    <row r="174" spans="1:58">
      <c r="A174" s="3810" t="s">
        <v>1362</v>
      </c>
      <c r="B174" s="4228">
        <v>6</v>
      </c>
      <c r="C174" s="4228"/>
      <c r="D174" s="4228"/>
      <c r="E174" s="4228"/>
      <c r="F174" s="4228">
        <v>0.5</v>
      </c>
      <c r="G174" s="4228"/>
      <c r="H174" s="4228"/>
      <c r="I174" s="4228"/>
      <c r="J174" s="4228"/>
      <c r="K174" s="4228">
        <v>2</v>
      </c>
      <c r="L174" s="4228"/>
      <c r="M174" s="4228"/>
      <c r="N174" s="4228"/>
      <c r="O174" s="4228">
        <v>0.5</v>
      </c>
      <c r="P174" s="4228"/>
      <c r="Q174" s="4228"/>
      <c r="R174" s="4228"/>
      <c r="S174" s="4228">
        <v>0</v>
      </c>
      <c r="T174" s="4228"/>
      <c r="U174" s="4228"/>
      <c r="V174" s="4229"/>
      <c r="W174" s="4230">
        <f>B174+F174+K174+O174+S174</f>
        <v>9</v>
      </c>
      <c r="X174" s="4230"/>
      <c r="Y174" s="4231"/>
      <c r="Z174" s="4188">
        <v>9</v>
      </c>
      <c r="AA174" s="4189"/>
      <c r="AB174" s="4189"/>
      <c r="AC174" s="4190"/>
      <c r="AD174" s="2127"/>
      <c r="AE174" s="2127"/>
      <c r="AF174" s="2127"/>
      <c r="AG174" s="2127"/>
      <c r="AH174" s="2127"/>
      <c r="AI174" s="2127"/>
      <c r="AJ174" s="2127"/>
      <c r="AK174" s="2127"/>
      <c r="AL174" s="2127"/>
      <c r="AM174" s="2127"/>
      <c r="AN174" s="2127"/>
    </row>
    <row r="175" spans="1:58">
      <c r="A175" s="3884" t="s">
        <v>1363</v>
      </c>
      <c r="B175" s="4232">
        <v>6</v>
      </c>
      <c r="C175" s="4232"/>
      <c r="D175" s="4232"/>
      <c r="E175" s="4232"/>
      <c r="F175" s="4232">
        <v>0.2</v>
      </c>
      <c r="G175" s="4232"/>
      <c r="H175" s="4232"/>
      <c r="I175" s="4232"/>
      <c r="J175" s="4232"/>
      <c r="K175" s="4232">
        <v>1</v>
      </c>
      <c r="L175" s="4232"/>
      <c r="M175" s="4232"/>
      <c r="N175" s="4232"/>
      <c r="O175" s="4232">
        <v>0.2</v>
      </c>
      <c r="P175" s="4232"/>
      <c r="Q175" s="4232"/>
      <c r="R175" s="4232"/>
      <c r="S175" s="4232">
        <v>0</v>
      </c>
      <c r="T175" s="4232"/>
      <c r="U175" s="4232"/>
      <c r="V175" s="4388"/>
      <c r="W175" s="4389">
        <f>B175+F175+K175+O175+S175</f>
        <v>7.4</v>
      </c>
      <c r="X175" s="4389"/>
      <c r="Y175" s="4390"/>
      <c r="Z175" s="4191">
        <v>7.4</v>
      </c>
      <c r="AA175" s="4192"/>
      <c r="AB175" s="4192"/>
      <c r="AC175" s="4193"/>
      <c r="AD175" s="2127"/>
      <c r="AE175" s="2127"/>
      <c r="AF175" s="2127"/>
      <c r="AG175" s="2127"/>
      <c r="AH175" s="2127"/>
      <c r="AI175" s="2127"/>
      <c r="AJ175" s="2127"/>
      <c r="AK175" s="2127"/>
      <c r="AL175" s="2127"/>
      <c r="AM175" s="2127"/>
      <c r="AN175" s="2127"/>
    </row>
    <row r="176" spans="1:58" ht="43.5" customHeight="1">
      <c r="A176" s="4194" t="s">
        <v>1491</v>
      </c>
      <c r="B176" s="4195"/>
      <c r="C176" s="4195"/>
      <c r="D176" s="4195"/>
      <c r="E176" s="4195"/>
      <c r="F176" s="4195"/>
      <c r="G176" s="4195"/>
      <c r="H176" s="4195"/>
      <c r="I176" s="4195"/>
      <c r="J176" s="4195"/>
      <c r="K176" s="4195"/>
      <c r="L176" s="4195"/>
      <c r="M176" s="4195"/>
      <c r="N176" s="4195"/>
      <c r="O176" s="4195"/>
      <c r="P176" s="4195"/>
      <c r="Q176" s="4195"/>
      <c r="R176" s="4195"/>
      <c r="S176" s="4195"/>
      <c r="T176" s="4195"/>
      <c r="U176" s="4195"/>
      <c r="V176" s="4195"/>
      <c r="W176" s="4195"/>
      <c r="X176" s="4195"/>
      <c r="Y176" s="4195"/>
      <c r="Z176" s="4195"/>
      <c r="AA176" s="4195"/>
      <c r="AB176" s="4195"/>
      <c r="AC176" s="4196"/>
      <c r="AD176" s="2127"/>
      <c r="AE176" s="2127"/>
      <c r="AF176" s="2127"/>
      <c r="AG176" s="2127"/>
      <c r="AH176" s="2127"/>
      <c r="AI176" s="2127"/>
      <c r="AJ176" s="2127"/>
      <c r="AK176" s="2127"/>
      <c r="AL176" s="2127"/>
      <c r="AM176" s="2127"/>
      <c r="AN176" s="2127"/>
    </row>
    <row r="177" spans="1:57" ht="28.5" customHeight="1">
      <c r="A177" s="4401" t="s">
        <v>1624</v>
      </c>
      <c r="B177" s="4402"/>
      <c r="C177" s="4402"/>
      <c r="D177" s="4402"/>
      <c r="E177" s="4402"/>
      <c r="F177" s="4402"/>
      <c r="G177" s="4402"/>
      <c r="H177" s="4402"/>
      <c r="I177" s="4402"/>
      <c r="J177" s="4402"/>
      <c r="K177" s="4402"/>
      <c r="L177" s="4402"/>
      <c r="M177" s="4402"/>
      <c r="N177" s="4402"/>
      <c r="O177" s="4402"/>
      <c r="P177" s="4402"/>
      <c r="Q177" s="4402"/>
      <c r="R177" s="4402"/>
      <c r="S177" s="4402"/>
      <c r="T177" s="4402"/>
      <c r="U177" s="4402"/>
      <c r="V177" s="4402"/>
      <c r="W177" s="4402"/>
      <c r="X177" s="4402"/>
      <c r="Y177" s="4402"/>
      <c r="Z177" s="4402"/>
      <c r="AA177" s="4402"/>
      <c r="AB177" s="4402"/>
      <c r="AC177" s="4403"/>
      <c r="AD177" s="2127"/>
      <c r="AE177" s="2127"/>
      <c r="AF177" s="2127"/>
      <c r="AG177" s="2127"/>
      <c r="AH177" s="2127"/>
      <c r="AI177" s="2127"/>
      <c r="AJ177" s="2127"/>
      <c r="AK177" s="2127"/>
      <c r="AL177" s="2127"/>
      <c r="AM177" s="2127"/>
      <c r="AN177" s="2127"/>
    </row>
    <row r="178" spans="1:57" ht="29.25" customHeight="1" thickBot="1">
      <c r="A178" s="3696"/>
      <c r="B178" s="3696"/>
      <c r="C178" s="3696"/>
      <c r="D178" s="3696"/>
      <c r="E178" s="3696"/>
      <c r="F178" s="3696"/>
      <c r="G178" s="3696"/>
      <c r="H178" s="3696"/>
      <c r="I178" s="3696"/>
      <c r="J178" s="3696"/>
      <c r="K178" s="3696"/>
      <c r="L178" s="3696"/>
      <c r="M178" s="3696"/>
      <c r="N178" s="3696"/>
      <c r="O178" s="3696"/>
      <c r="P178" s="3696"/>
      <c r="Q178" s="3696"/>
      <c r="R178" s="3696"/>
      <c r="S178" s="3696"/>
      <c r="T178" s="3696"/>
      <c r="U178" s="3696"/>
      <c r="V178" s="3696"/>
      <c r="W178" s="3696"/>
      <c r="X178" s="3696"/>
      <c r="Y178" s="3696"/>
      <c r="AD178" s="2127"/>
      <c r="AE178" s="2127"/>
      <c r="AF178" s="2127"/>
      <c r="AG178" s="2127"/>
      <c r="AH178" s="2127"/>
      <c r="AI178" s="2127"/>
      <c r="AJ178" s="2127"/>
      <c r="AK178" s="2127"/>
      <c r="AL178" s="2127"/>
      <c r="AM178" s="2127"/>
      <c r="AN178" s="2127"/>
    </row>
    <row r="179" spans="1:57" ht="25.5" customHeight="1">
      <c r="A179" s="4226" t="s">
        <v>1348</v>
      </c>
      <c r="B179" s="4227"/>
      <c r="C179" s="4227"/>
      <c r="D179" s="4227"/>
      <c r="E179" s="4227"/>
      <c r="F179" s="4227"/>
      <c r="G179" s="4227"/>
      <c r="H179" s="4227"/>
      <c r="I179" s="4227"/>
      <c r="J179" s="4227"/>
      <c r="K179" s="4227"/>
      <c r="L179" s="4227"/>
      <c r="M179" s="4227"/>
      <c r="N179" s="4227"/>
      <c r="O179" s="4227"/>
      <c r="P179" s="4227"/>
      <c r="Q179" s="4227"/>
      <c r="R179" s="4227"/>
      <c r="S179" s="4227"/>
      <c r="T179" s="4227"/>
      <c r="U179" s="4227"/>
      <c r="V179" s="4227"/>
      <c r="W179" s="4227"/>
      <c r="X179" s="4227"/>
      <c r="Y179" s="4227"/>
      <c r="Z179" s="4227"/>
      <c r="AA179" s="4227"/>
      <c r="AB179" s="4227"/>
      <c r="AC179" s="4227"/>
      <c r="AD179" s="3742"/>
      <c r="AE179" s="2127"/>
      <c r="AF179" s="2131"/>
      <c r="AG179" s="2131"/>
      <c r="AH179" s="2131"/>
      <c r="AI179" s="2131"/>
      <c r="AJ179" s="2131"/>
      <c r="AK179" s="2131"/>
      <c r="AL179" s="2131"/>
      <c r="AM179" s="2131"/>
      <c r="AN179" s="2127"/>
      <c r="AO179" s="2127"/>
      <c r="AP179" s="2127"/>
      <c r="AQ179" s="2127"/>
      <c r="AR179" s="2127"/>
      <c r="AS179" s="2127"/>
      <c r="AT179" s="2127"/>
      <c r="AU179" s="2127"/>
      <c r="AV179" s="2127"/>
      <c r="AW179" s="2127"/>
      <c r="AX179" s="2127"/>
      <c r="AY179" s="2127"/>
      <c r="AZ179" s="2127"/>
      <c r="BA179" s="2127"/>
      <c r="BB179" s="2127"/>
      <c r="BC179" s="2127"/>
      <c r="BD179" s="2127"/>
      <c r="BE179" s="2127"/>
    </row>
    <row r="180" spans="1:57" ht="23.25" customHeight="1">
      <c r="A180" s="4391"/>
      <c r="B180" s="4399" t="s">
        <v>1351</v>
      </c>
      <c r="C180" s="4400"/>
      <c r="D180" s="4400"/>
      <c r="E180" s="4400"/>
      <c r="F180" s="4400"/>
      <c r="G180" s="4400"/>
      <c r="H180" s="4400"/>
      <c r="I180" s="4400"/>
      <c r="J180" s="4400"/>
      <c r="K180" s="4400"/>
      <c r="L180" s="4400"/>
      <c r="M180" s="4400"/>
      <c r="N180" s="4400"/>
      <c r="O180" s="4400"/>
      <c r="P180" s="4400"/>
      <c r="Q180" s="4400"/>
      <c r="R180" s="4400"/>
      <c r="S180" s="4396" t="s">
        <v>1329</v>
      </c>
      <c r="T180" s="4397"/>
      <c r="U180" s="4397"/>
      <c r="V180" s="4397"/>
      <c r="W180" s="4197" t="s">
        <v>1324</v>
      </c>
      <c r="X180" s="4198"/>
      <c r="Y180" s="4199"/>
      <c r="Z180" s="4215" t="s">
        <v>1352</v>
      </c>
      <c r="AA180" s="4198"/>
      <c r="AB180" s="4198"/>
      <c r="AC180" s="4199"/>
      <c r="AD180" s="2130"/>
      <c r="AE180" s="2127"/>
      <c r="AF180" s="3743"/>
      <c r="AG180" s="3743"/>
      <c r="AH180" s="3743"/>
      <c r="AI180" s="3743"/>
      <c r="AJ180" s="3743"/>
      <c r="AK180" s="3743"/>
      <c r="AL180" s="3743"/>
      <c r="AM180" s="3743"/>
      <c r="AN180" s="3744"/>
      <c r="AO180" s="2127"/>
      <c r="AP180" s="2127"/>
      <c r="AQ180" s="2127"/>
      <c r="AR180" s="2127"/>
      <c r="AS180" s="2127"/>
      <c r="AT180" s="2127"/>
      <c r="AU180" s="2127"/>
      <c r="AV180" s="2127"/>
      <c r="AW180" s="2127"/>
      <c r="AX180" s="2127"/>
      <c r="AY180" s="2127"/>
      <c r="AZ180" s="2127"/>
      <c r="BA180" s="2127"/>
      <c r="BB180" s="2127"/>
      <c r="BC180" s="2127"/>
      <c r="BD180" s="2127"/>
      <c r="BE180" s="2127"/>
    </row>
    <row r="181" spans="1:57" ht="41.25" customHeight="1">
      <c r="A181" s="4249"/>
      <c r="B181" s="4392" t="s">
        <v>1317</v>
      </c>
      <c r="C181" s="4393"/>
      <c r="D181" s="4394"/>
      <c r="E181" s="4392" t="s">
        <v>1318</v>
      </c>
      <c r="F181" s="4393"/>
      <c r="G181" s="4394"/>
      <c r="H181" s="4392" t="s">
        <v>1319</v>
      </c>
      <c r="I181" s="4394"/>
      <c r="J181" s="4392" t="s">
        <v>1320</v>
      </c>
      <c r="K181" s="4393"/>
      <c r="L181" s="4394"/>
      <c r="M181" s="3697" t="s">
        <v>1321</v>
      </c>
      <c r="N181" s="4392" t="s">
        <v>1322</v>
      </c>
      <c r="O181" s="4393"/>
      <c r="P181" s="4394"/>
      <c r="Q181" s="4395" t="s">
        <v>1323</v>
      </c>
      <c r="R181" s="4234"/>
      <c r="S181" s="4386"/>
      <c r="T181" s="4398"/>
      <c r="U181" s="4398"/>
      <c r="V181" s="4398"/>
      <c r="W181" s="4200"/>
      <c r="X181" s="4201"/>
      <c r="Y181" s="4202"/>
      <c r="Z181" s="4216"/>
      <c r="AA181" s="4201"/>
      <c r="AB181" s="4201"/>
      <c r="AC181" s="4202"/>
      <c r="AD181" s="2130"/>
      <c r="AE181" s="2127"/>
      <c r="AF181" s="3743"/>
      <c r="AG181" s="3743"/>
      <c r="AH181" s="3743"/>
      <c r="AI181" s="3743"/>
      <c r="AJ181" s="3743"/>
      <c r="AK181" s="3743"/>
      <c r="AL181" s="3743"/>
      <c r="AM181" s="3743"/>
      <c r="AN181" s="3744"/>
      <c r="AO181" s="2127"/>
      <c r="AP181" s="2127"/>
      <c r="AQ181" s="2127"/>
      <c r="AR181" s="2127"/>
      <c r="AS181" s="2127"/>
      <c r="AT181" s="2127"/>
      <c r="AU181" s="2127"/>
      <c r="AV181" s="2127"/>
      <c r="AW181" s="2127"/>
      <c r="AX181" s="2127"/>
      <c r="AY181" s="2127"/>
      <c r="AZ181" s="2127"/>
      <c r="BA181" s="2127"/>
      <c r="BB181" s="2127"/>
      <c r="BC181" s="2127"/>
      <c r="BD181" s="2127"/>
      <c r="BE181" s="2127"/>
    </row>
    <row r="182" spans="1:57">
      <c r="A182" s="3808" t="s">
        <v>1364</v>
      </c>
      <c r="B182" s="4404">
        <v>0.47</v>
      </c>
      <c r="C182" s="4405"/>
      <c r="D182" s="4405"/>
      <c r="E182" s="4404">
        <v>0.35</v>
      </c>
      <c r="F182" s="4405"/>
      <c r="G182" s="4406"/>
      <c r="H182" s="4405">
        <v>0.11</v>
      </c>
      <c r="I182" s="4405"/>
      <c r="J182" s="4404">
        <v>0.05</v>
      </c>
      <c r="K182" s="4405"/>
      <c r="L182" s="4406"/>
      <c r="M182" s="3805">
        <v>0.02</v>
      </c>
      <c r="N182" s="4404">
        <v>0</v>
      </c>
      <c r="O182" s="4405"/>
      <c r="P182" s="4406"/>
      <c r="Q182" s="4405">
        <v>0</v>
      </c>
      <c r="R182" s="4405"/>
      <c r="S182" s="4407">
        <f>(B182*1)+(E182*2)+(H182*3)+(J182*4)+(M182*5)+(N182*6)+(Q182*8)</f>
        <v>1.8</v>
      </c>
      <c r="T182" s="4408"/>
      <c r="U182" s="4408"/>
      <c r="V182" s="4408"/>
      <c r="W182" s="4203">
        <f>SUM(B182:R182)</f>
        <v>1</v>
      </c>
      <c r="X182" s="4204"/>
      <c r="Y182" s="4205"/>
      <c r="Z182" s="4217">
        <v>1.8</v>
      </c>
      <c r="AA182" s="4218"/>
      <c r="AB182" s="4218"/>
      <c r="AC182" s="4219"/>
      <c r="AD182" s="3745" t="str">
        <f>IF(W182&lt;&gt;100%,IF(W182 = 0," ","Total percent must equal 100")," ")</f>
        <v xml:space="preserve"> </v>
      </c>
      <c r="AE182" s="2127"/>
      <c r="AF182" s="3746"/>
      <c r="AG182" s="3746"/>
      <c r="AH182" s="3746"/>
      <c r="AI182" s="3746"/>
      <c r="AJ182" s="3747"/>
      <c r="AK182" s="3747"/>
      <c r="AL182" s="3747"/>
      <c r="AM182" s="3747"/>
      <c r="AN182" s="2127"/>
      <c r="AO182" s="2127"/>
      <c r="AP182" s="2127"/>
      <c r="AQ182" s="2127"/>
      <c r="AR182" s="2127"/>
      <c r="AS182" s="2127"/>
      <c r="AT182" s="2127"/>
      <c r="AU182" s="2127"/>
      <c r="AV182" s="2127"/>
      <c r="AW182" s="2127"/>
      <c r="AX182" s="2127"/>
      <c r="AY182" s="2127"/>
      <c r="AZ182" s="2127"/>
      <c r="BA182" s="2127"/>
      <c r="BB182" s="2127"/>
      <c r="BC182" s="2127"/>
      <c r="BD182" s="2127"/>
      <c r="BE182" s="2127"/>
    </row>
    <row r="183" spans="1:57">
      <c r="A183" s="3809" t="s">
        <v>1365</v>
      </c>
      <c r="B183" s="4404">
        <v>0.35</v>
      </c>
      <c r="C183" s="4405"/>
      <c r="D183" s="4405"/>
      <c r="E183" s="4404">
        <v>0.37</v>
      </c>
      <c r="F183" s="4405"/>
      <c r="G183" s="4406"/>
      <c r="H183" s="4405">
        <v>0.16</v>
      </c>
      <c r="I183" s="4405"/>
      <c r="J183" s="4404">
        <v>7.0000000000000007E-2</v>
      </c>
      <c r="K183" s="4405"/>
      <c r="L183" s="4406"/>
      <c r="M183" s="3805">
        <v>0.04</v>
      </c>
      <c r="N183" s="4404">
        <v>0.01</v>
      </c>
      <c r="O183" s="4405"/>
      <c r="P183" s="4406"/>
      <c r="Q183" s="4405">
        <v>0</v>
      </c>
      <c r="R183" s="4405"/>
      <c r="S183" s="4409">
        <f t="shared" ref="S183:S185" si="0">(B183*1)+(E183*2)+(H183*3)+(J183*4)+(M183*5)+(N183*6)+(Q183*8)</f>
        <v>2.11</v>
      </c>
      <c r="T183" s="4410"/>
      <c r="U183" s="4410"/>
      <c r="V183" s="4410"/>
      <c r="W183" s="4206">
        <f t="shared" ref="W183:W185" si="1">SUM(B183:R183)</f>
        <v>1</v>
      </c>
      <c r="X183" s="4207"/>
      <c r="Y183" s="4208"/>
      <c r="Z183" s="4188">
        <v>2.11</v>
      </c>
      <c r="AA183" s="4189"/>
      <c r="AB183" s="4189"/>
      <c r="AC183" s="4190"/>
      <c r="AD183" s="3745" t="str">
        <f>IF(AJ183&lt;&gt;100%,IF(AJ183 = 0," ","Total percent must equal 100")," ")</f>
        <v xml:space="preserve"> </v>
      </c>
      <c r="AE183" s="2127"/>
      <c r="AF183" s="3746"/>
      <c r="AG183" s="3746"/>
      <c r="AH183" s="3746"/>
      <c r="AI183" s="3746"/>
      <c r="AJ183" s="3747"/>
      <c r="AK183" s="3747"/>
      <c r="AL183" s="3747"/>
      <c r="AM183" s="3747"/>
      <c r="AN183" s="2127"/>
      <c r="AO183" s="2127"/>
      <c r="AP183" s="2127"/>
      <c r="AQ183" s="2127"/>
      <c r="AR183" s="2127"/>
      <c r="AS183" s="2127"/>
      <c r="AT183" s="2127"/>
      <c r="AU183" s="2127"/>
      <c r="AV183" s="2127"/>
      <c r="AW183" s="2127"/>
      <c r="AX183" s="2127"/>
      <c r="AY183" s="2127"/>
      <c r="AZ183" s="2127"/>
      <c r="BA183" s="2127"/>
      <c r="BB183" s="2127"/>
      <c r="BC183" s="2127"/>
      <c r="BD183" s="2127"/>
      <c r="BE183" s="2127"/>
    </row>
    <row r="184" spans="1:57">
      <c r="A184" s="3806" t="s">
        <v>1366</v>
      </c>
      <c r="B184" s="4413">
        <v>0.1</v>
      </c>
      <c r="C184" s="4414"/>
      <c r="D184" s="4414"/>
      <c r="E184" s="4413">
        <v>0.13</v>
      </c>
      <c r="F184" s="4414"/>
      <c r="G184" s="4415"/>
      <c r="H184" s="4414">
        <v>0.21</v>
      </c>
      <c r="I184" s="4414"/>
      <c r="J184" s="4413">
        <v>0.2</v>
      </c>
      <c r="K184" s="4414"/>
      <c r="L184" s="4415"/>
      <c r="M184" s="3807">
        <v>0.17</v>
      </c>
      <c r="N184" s="4413">
        <v>0.1</v>
      </c>
      <c r="O184" s="4414"/>
      <c r="P184" s="4415"/>
      <c r="Q184" s="4414">
        <v>0.09</v>
      </c>
      <c r="R184" s="4414"/>
      <c r="S184" s="4416">
        <f t="shared" si="0"/>
        <v>3.96</v>
      </c>
      <c r="T184" s="4417"/>
      <c r="U184" s="4417"/>
      <c r="V184" s="4417"/>
      <c r="W184" s="4209">
        <f t="shared" si="1"/>
        <v>1</v>
      </c>
      <c r="X184" s="4210"/>
      <c r="Y184" s="4211"/>
      <c r="Z184" s="4220">
        <v>3.96</v>
      </c>
      <c r="AA184" s="4221"/>
      <c r="AB184" s="4221"/>
      <c r="AC184" s="4222"/>
      <c r="AD184" s="3745" t="str">
        <f>IF(AJ184&lt;&gt;100%,IF(AJ184 = 0," ","Total percent must equal 100")," ")</f>
        <v xml:space="preserve"> </v>
      </c>
      <c r="AE184" s="2127"/>
      <c r="AF184" s="3746"/>
      <c r="AG184" s="3746"/>
      <c r="AH184" s="3746"/>
      <c r="AI184" s="3746"/>
      <c r="AJ184" s="3747"/>
      <c r="AK184" s="3747"/>
      <c r="AL184" s="3747"/>
      <c r="AM184" s="3747"/>
      <c r="AN184" s="2127"/>
      <c r="AO184" s="2127"/>
      <c r="AP184" s="2127"/>
      <c r="AQ184" s="2127"/>
      <c r="AR184" s="2127"/>
      <c r="AS184" s="2127"/>
      <c r="AT184" s="2127"/>
      <c r="AU184" s="2127"/>
      <c r="AV184" s="2127"/>
      <c r="AW184" s="2127"/>
      <c r="AX184" s="2127"/>
      <c r="AY184" s="2127"/>
      <c r="AZ184" s="2127"/>
      <c r="BA184" s="2127"/>
      <c r="BB184" s="2127"/>
      <c r="BC184" s="2127"/>
      <c r="BD184" s="2127"/>
      <c r="BE184" s="2127"/>
    </row>
    <row r="185" spans="1:57" ht="13.5" thickBot="1">
      <c r="A185" s="3695" t="s">
        <v>1367</v>
      </c>
      <c r="B185" s="4418">
        <v>7.0000000000000007E-2</v>
      </c>
      <c r="C185" s="4419"/>
      <c r="D185" s="4419"/>
      <c r="E185" s="4418">
        <v>0.1</v>
      </c>
      <c r="F185" s="4419"/>
      <c r="G185" s="4420"/>
      <c r="H185" s="4419">
        <v>0.13</v>
      </c>
      <c r="I185" s="4419"/>
      <c r="J185" s="4418">
        <v>0.24</v>
      </c>
      <c r="K185" s="4419"/>
      <c r="L185" s="4420"/>
      <c r="M185" s="3698">
        <v>0.2</v>
      </c>
      <c r="N185" s="4418">
        <v>0.11</v>
      </c>
      <c r="O185" s="4419"/>
      <c r="P185" s="4420"/>
      <c r="Q185" s="4419">
        <v>0.15</v>
      </c>
      <c r="R185" s="4419"/>
      <c r="S185" s="4421">
        <f t="shared" si="0"/>
        <v>4.4800000000000004</v>
      </c>
      <c r="T185" s="4422"/>
      <c r="U185" s="4422"/>
      <c r="V185" s="4422"/>
      <c r="W185" s="4212">
        <f t="shared" si="1"/>
        <v>1</v>
      </c>
      <c r="X185" s="4213"/>
      <c r="Y185" s="4214"/>
      <c r="Z185" s="4223">
        <v>4.4800000000000004</v>
      </c>
      <c r="AA185" s="4224"/>
      <c r="AB185" s="4224"/>
      <c r="AC185" s="4225"/>
      <c r="AD185" s="3745" t="str">
        <f>IF(AJ185&lt;&gt;100%,IF(AJ185 = 0," ","Total percent must equal 100")," ")</f>
        <v xml:space="preserve"> </v>
      </c>
      <c r="AE185" s="2127"/>
      <c r="AF185" s="3746"/>
      <c r="AG185" s="3746"/>
      <c r="AH185" s="3746"/>
      <c r="AI185" s="3746"/>
      <c r="AJ185" s="3747"/>
      <c r="AK185" s="3747"/>
      <c r="AL185" s="3747"/>
      <c r="AM185" s="3747"/>
      <c r="AN185" s="2127"/>
      <c r="AO185" s="2127"/>
      <c r="AP185" s="2127"/>
      <c r="AQ185" s="2127"/>
      <c r="AR185" s="2127"/>
      <c r="AS185" s="2127"/>
      <c r="AT185" s="2127"/>
      <c r="AU185" s="2127"/>
      <c r="AV185" s="2127"/>
      <c r="AW185" s="2127"/>
      <c r="AX185" s="2127"/>
      <c r="AY185" s="2127"/>
      <c r="AZ185" s="2127"/>
      <c r="BA185" s="2127"/>
      <c r="BB185" s="2127"/>
      <c r="BC185" s="2127"/>
      <c r="BD185" s="2127"/>
      <c r="BE185" s="2127"/>
    </row>
    <row r="186" spans="1:57" ht="14.25" customHeight="1">
      <c r="A186" s="4423" t="s">
        <v>1325</v>
      </c>
      <c r="B186" s="4424"/>
      <c r="C186" s="4424"/>
      <c r="D186" s="4424"/>
      <c r="E186" s="4424"/>
      <c r="F186" s="4424"/>
      <c r="G186" s="4424"/>
      <c r="H186" s="4424"/>
      <c r="I186" s="4424"/>
      <c r="J186" s="4424"/>
      <c r="K186" s="4424"/>
      <c r="L186" s="4424"/>
      <c r="M186" s="4424"/>
      <c r="N186" s="4424"/>
      <c r="O186" s="4424"/>
      <c r="P186" s="4424"/>
      <c r="Q186" s="4424"/>
      <c r="R186" s="4424"/>
      <c r="S186" s="4424"/>
      <c r="T186" s="4424"/>
      <c r="U186" s="4424"/>
      <c r="V186" s="4424"/>
      <c r="W186" s="4424"/>
      <c r="X186" s="4424"/>
      <c r="Y186" s="4424"/>
      <c r="Z186" s="4424"/>
      <c r="AA186" s="4424"/>
      <c r="AB186" s="4424"/>
      <c r="AC186" s="4425"/>
      <c r="AD186" s="3748"/>
      <c r="AE186" s="2127"/>
      <c r="AF186" s="2132"/>
      <c r="AG186" s="2132"/>
      <c r="AH186" s="2132"/>
      <c r="AI186" s="2132"/>
      <c r="AJ186" s="2132"/>
      <c r="AK186" s="2132"/>
      <c r="AL186" s="2132"/>
      <c r="AM186" s="2132"/>
      <c r="AN186" s="2127"/>
      <c r="AO186" s="2127"/>
      <c r="AP186" s="2127"/>
      <c r="AQ186" s="2127"/>
      <c r="AR186" s="2127"/>
      <c r="AS186" s="2127"/>
      <c r="AT186" s="2127"/>
      <c r="AU186" s="2127"/>
      <c r="AV186" s="2127"/>
      <c r="AW186" s="2127"/>
      <c r="AX186" s="2127"/>
      <c r="AY186" s="2127"/>
      <c r="AZ186" s="2127"/>
      <c r="BA186" s="2127"/>
      <c r="BB186" s="2127"/>
      <c r="BC186" s="2127"/>
      <c r="BD186" s="2127"/>
      <c r="BE186" s="2127"/>
    </row>
    <row r="187" spans="1:57" ht="14.25" customHeight="1">
      <c r="A187" s="4429" t="s">
        <v>1358</v>
      </c>
      <c r="B187" s="4430"/>
      <c r="C187" s="4430"/>
      <c r="D187" s="4430"/>
      <c r="E187" s="4430"/>
      <c r="F187" s="4430"/>
      <c r="G187" s="4430"/>
      <c r="H187" s="4430"/>
      <c r="I187" s="4430"/>
      <c r="J187" s="4430"/>
      <c r="K187" s="4430"/>
      <c r="L187" s="4430"/>
      <c r="M187" s="4430"/>
      <c r="N187" s="4430"/>
      <c r="O187" s="4430"/>
      <c r="P187" s="4430"/>
      <c r="Q187" s="4430"/>
      <c r="R187" s="4430"/>
      <c r="S187" s="4430"/>
      <c r="T187" s="4430"/>
      <c r="U187" s="4430"/>
      <c r="V187" s="4430"/>
      <c r="W187" s="4430"/>
      <c r="X187" s="4430"/>
      <c r="Y187" s="4430"/>
      <c r="Z187" s="4430"/>
      <c r="AA187" s="4430"/>
      <c r="AB187" s="4430"/>
      <c r="AC187" s="4431"/>
      <c r="AD187" s="3749"/>
      <c r="AE187" s="2127"/>
      <c r="AF187" s="2132"/>
      <c r="AG187" s="2132"/>
      <c r="AH187" s="2132"/>
      <c r="AI187" s="2132"/>
      <c r="AJ187" s="2132"/>
      <c r="AK187" s="2132"/>
      <c r="AL187" s="2132"/>
      <c r="AM187" s="2132"/>
      <c r="AN187" s="2127"/>
      <c r="AO187" s="2127"/>
      <c r="AP187" s="2127"/>
      <c r="AQ187" s="2127"/>
      <c r="AR187" s="2127"/>
      <c r="AS187" s="2127"/>
      <c r="AT187" s="2127"/>
      <c r="AU187" s="2127"/>
      <c r="AV187" s="2127"/>
      <c r="AW187" s="2127"/>
      <c r="AX187" s="2127"/>
      <c r="AY187" s="2127"/>
      <c r="AZ187" s="2127"/>
      <c r="BA187" s="2127"/>
      <c r="BB187" s="2127"/>
      <c r="BC187" s="2127"/>
      <c r="BD187" s="2127"/>
      <c r="BE187" s="2127"/>
    </row>
    <row r="188" spans="1:57" ht="14.25" customHeight="1">
      <c r="A188" s="4426" t="s">
        <v>1353</v>
      </c>
      <c r="B188" s="4427"/>
      <c r="C188" s="4427"/>
      <c r="D188" s="4427"/>
      <c r="E188" s="4427"/>
      <c r="F188" s="4427"/>
      <c r="G188" s="4427"/>
      <c r="H188" s="4427"/>
      <c r="I188" s="4427"/>
      <c r="J188" s="4427"/>
      <c r="K188" s="4427"/>
      <c r="L188" s="4427"/>
      <c r="M188" s="4427"/>
      <c r="N188" s="4427"/>
      <c r="O188" s="4427"/>
      <c r="P188" s="4427"/>
      <c r="Q188" s="4427"/>
      <c r="R188" s="4427"/>
      <c r="S188" s="4427"/>
      <c r="T188" s="4427"/>
      <c r="U188" s="4427"/>
      <c r="V188" s="4427"/>
      <c r="W188" s="4427"/>
      <c r="X188" s="4427"/>
      <c r="Y188" s="4427"/>
      <c r="Z188" s="4427"/>
      <c r="AA188" s="4427"/>
      <c r="AB188" s="4427"/>
      <c r="AC188" s="4428"/>
      <c r="AD188" s="3748"/>
      <c r="AE188" s="2127"/>
      <c r="AF188" s="2127"/>
      <c r="AG188" s="2127"/>
      <c r="AH188" s="2127"/>
      <c r="AI188" s="2127"/>
      <c r="AJ188" s="2127"/>
      <c r="AK188" s="2127"/>
      <c r="AL188" s="2127"/>
      <c r="AM188" s="2127"/>
      <c r="AN188" s="2127"/>
      <c r="AO188" s="2127"/>
      <c r="AP188" s="2127"/>
      <c r="AQ188" s="2127"/>
      <c r="AR188" s="2127"/>
      <c r="AS188" s="2127"/>
      <c r="AT188" s="2127"/>
      <c r="AU188" s="2127"/>
      <c r="AV188" s="2127"/>
      <c r="AW188" s="2127"/>
      <c r="AX188" s="2127"/>
      <c r="AY188" s="2127"/>
      <c r="AZ188" s="2127"/>
      <c r="BA188" s="2127"/>
      <c r="BB188" s="2127"/>
      <c r="BC188" s="2127"/>
      <c r="BD188" s="2127"/>
      <c r="BE188" s="2127"/>
    </row>
    <row r="189" spans="1:57" ht="66" customHeight="1" thickBot="1">
      <c r="A189" s="4411" t="s">
        <v>1388</v>
      </c>
      <c r="B189" s="4412"/>
      <c r="C189" s="4412"/>
      <c r="D189" s="4412"/>
      <c r="E189" s="4412"/>
      <c r="F189" s="4412"/>
      <c r="G189" s="4412"/>
      <c r="H189" s="4412"/>
      <c r="I189" s="4412"/>
      <c r="J189" s="4412"/>
      <c r="K189" s="4412"/>
      <c r="L189" s="4412"/>
      <c r="M189" s="4412"/>
      <c r="N189" s="4412"/>
      <c r="O189" s="4412"/>
      <c r="P189" s="4412"/>
      <c r="Q189" s="4412"/>
      <c r="R189" s="4412"/>
      <c r="S189" s="4412"/>
      <c r="T189" s="4412"/>
      <c r="U189" s="4412"/>
      <c r="V189" s="4412"/>
      <c r="W189" s="4412"/>
      <c r="X189" s="4412"/>
      <c r="Y189" s="4412"/>
      <c r="Z189" s="4412"/>
      <c r="AA189" s="4412"/>
      <c r="AB189" s="4412"/>
      <c r="AC189" s="4412"/>
      <c r="AD189" s="3750"/>
      <c r="AE189" s="2127"/>
      <c r="AF189" s="2127"/>
      <c r="AG189" s="2127"/>
      <c r="AH189" s="2127"/>
      <c r="AI189" s="2127"/>
      <c r="AJ189" s="2127"/>
      <c r="AK189" s="2127"/>
      <c r="AL189" s="2127"/>
      <c r="AM189" s="2127"/>
      <c r="AN189" s="2127"/>
      <c r="AO189" s="2127"/>
      <c r="AP189" s="2127"/>
      <c r="AQ189" s="2127"/>
      <c r="AR189" s="2127"/>
      <c r="AS189" s="2127"/>
      <c r="AT189" s="2127"/>
      <c r="AU189" s="2127"/>
      <c r="AV189" s="2127"/>
      <c r="AW189" s="2127"/>
      <c r="AX189" s="2127"/>
      <c r="AY189" s="2127"/>
      <c r="AZ189" s="2127"/>
      <c r="BA189" s="2127"/>
      <c r="BB189" s="2127"/>
      <c r="BC189" s="2127"/>
      <c r="BD189" s="2127"/>
      <c r="BE189" s="2127"/>
    </row>
    <row r="190" spans="1:57">
      <c r="A190" s="2127"/>
      <c r="B190" s="2127"/>
      <c r="C190" s="2127"/>
      <c r="D190" s="2127"/>
      <c r="E190" s="2127"/>
      <c r="F190" s="2127"/>
      <c r="G190" s="2127"/>
      <c r="H190" s="2127"/>
      <c r="I190" s="2127"/>
      <c r="J190" s="2127"/>
      <c r="K190" s="2127"/>
      <c r="L190" s="2127"/>
      <c r="M190" s="2127"/>
      <c r="N190" s="2127"/>
      <c r="O190" s="2127"/>
      <c r="P190" s="2127"/>
      <c r="Q190" s="2127"/>
      <c r="R190" s="2127"/>
      <c r="S190" s="2127"/>
      <c r="T190" s="2127"/>
      <c r="U190" s="2127"/>
      <c r="V190" s="2127"/>
      <c r="W190" s="2127"/>
      <c r="X190" s="2127"/>
      <c r="Y190" s="2127"/>
      <c r="Z190" s="2127"/>
      <c r="AA190" s="2127"/>
      <c r="AB190" s="2127"/>
      <c r="AC190" s="2127"/>
      <c r="AD190" s="2127"/>
      <c r="AE190" s="2127"/>
      <c r="AF190" s="2127"/>
      <c r="AG190" s="2127"/>
      <c r="AH190" s="2127"/>
      <c r="AI190" s="2127"/>
      <c r="AJ190" s="2127"/>
      <c r="AK190" s="2127"/>
      <c r="AL190" s="2127"/>
      <c r="AM190" s="2127"/>
      <c r="AN190" s="2127"/>
      <c r="AO190" s="2127"/>
      <c r="AP190" s="2127"/>
      <c r="AQ190" s="2127"/>
      <c r="AR190" s="2127"/>
      <c r="AS190" s="2127"/>
      <c r="AT190" s="2127"/>
      <c r="AU190" s="2127"/>
      <c r="AV190" s="2127"/>
      <c r="AW190" s="2127"/>
      <c r="AX190" s="2127"/>
      <c r="AY190" s="2127"/>
      <c r="AZ190" s="2127"/>
      <c r="BA190" s="2127"/>
      <c r="BB190" s="2127"/>
      <c r="BC190" s="2127"/>
      <c r="BD190" s="2127"/>
      <c r="BE190" s="2127"/>
    </row>
    <row r="191" spans="1:57">
      <c r="A191" s="2127"/>
      <c r="B191" s="2127"/>
      <c r="C191" s="2127"/>
      <c r="D191" s="2127"/>
      <c r="E191" s="2127"/>
      <c r="F191" s="2127"/>
      <c r="G191" s="2127"/>
      <c r="H191" s="2127"/>
      <c r="I191" s="2127"/>
      <c r="J191" s="2127"/>
      <c r="K191" s="2127"/>
      <c r="L191" s="2127"/>
      <c r="M191" s="2127"/>
      <c r="N191" s="2127"/>
      <c r="O191" s="2127"/>
      <c r="P191" s="2127"/>
      <c r="Q191" s="2127"/>
      <c r="R191" s="2127"/>
      <c r="S191" s="2127"/>
      <c r="T191" s="2127"/>
      <c r="U191" s="2127"/>
      <c r="V191" s="2127"/>
      <c r="W191" s="2127"/>
      <c r="X191" s="2127"/>
      <c r="Y191" s="2127"/>
      <c r="Z191" s="2127"/>
      <c r="AA191" s="2127"/>
      <c r="AB191" s="2127"/>
      <c r="AC191" s="2127"/>
      <c r="AD191" s="2127"/>
      <c r="AE191" s="2127"/>
      <c r="AF191" s="2127"/>
      <c r="AG191" s="2127"/>
      <c r="AH191" s="2127"/>
      <c r="AI191" s="2127"/>
      <c r="AJ191" s="2127"/>
      <c r="AK191" s="2127"/>
      <c r="AL191" s="2127"/>
      <c r="AM191" s="2127"/>
      <c r="AN191" s="2127"/>
      <c r="AO191" s="2127"/>
      <c r="AP191" s="2127"/>
      <c r="AQ191" s="2127"/>
      <c r="AR191" s="2127"/>
      <c r="AS191" s="2127"/>
      <c r="AT191" s="2127"/>
      <c r="AU191" s="2127"/>
      <c r="AV191" s="2127"/>
      <c r="AW191" s="2127"/>
      <c r="AX191" s="2127"/>
      <c r="AY191" s="2127"/>
      <c r="AZ191" s="2127"/>
      <c r="BA191" s="2127"/>
      <c r="BB191" s="2127"/>
      <c r="BC191" s="2127"/>
      <c r="BD191" s="2127"/>
      <c r="BE191" s="2127"/>
    </row>
    <row r="192" spans="1:57">
      <c r="A192" s="2127"/>
      <c r="B192" s="2127"/>
      <c r="C192" s="2127"/>
      <c r="D192" s="2127"/>
      <c r="E192" s="2127"/>
      <c r="F192" s="2127"/>
      <c r="G192" s="2127"/>
      <c r="H192" s="2127"/>
      <c r="I192" s="2127"/>
      <c r="J192" s="2127"/>
      <c r="K192" s="2127"/>
      <c r="L192" s="2127"/>
      <c r="M192" s="2127"/>
      <c r="N192" s="2127"/>
      <c r="O192" s="2127"/>
      <c r="P192" s="2127"/>
      <c r="Q192" s="2127"/>
      <c r="R192" s="2127"/>
      <c r="S192" s="2127"/>
      <c r="T192" s="2127"/>
      <c r="U192" s="2127"/>
      <c r="V192" s="2127"/>
      <c r="W192" s="2127"/>
      <c r="X192" s="2127"/>
      <c r="Y192" s="2127"/>
      <c r="Z192" s="2127"/>
      <c r="AA192" s="2127"/>
      <c r="AB192" s="2127"/>
      <c r="AC192" s="2127"/>
      <c r="AD192" s="2127"/>
      <c r="AE192" s="2127"/>
      <c r="AF192" s="2127"/>
      <c r="AG192" s="2127"/>
      <c r="AH192" s="2127"/>
      <c r="AI192" s="2127"/>
      <c r="AJ192" s="2127"/>
      <c r="AK192" s="2127"/>
      <c r="AL192" s="2127"/>
      <c r="AM192" s="2127"/>
      <c r="AN192" s="2127"/>
      <c r="AO192" s="2127"/>
      <c r="AP192" s="2127"/>
      <c r="AQ192" s="2127"/>
      <c r="AR192" s="2127"/>
      <c r="AS192" s="2127"/>
      <c r="AT192" s="2127"/>
      <c r="AU192" s="2127"/>
      <c r="AV192" s="2127"/>
      <c r="AW192" s="2127"/>
      <c r="AX192" s="2127"/>
      <c r="AY192" s="2127"/>
      <c r="AZ192" s="2127"/>
      <c r="BA192" s="2127"/>
      <c r="BB192" s="2127"/>
      <c r="BC192" s="2127"/>
      <c r="BD192" s="2127"/>
      <c r="BE192" s="2127"/>
    </row>
    <row r="193" spans="1:57">
      <c r="A193" s="2127"/>
      <c r="B193" s="2127"/>
      <c r="C193" s="2127"/>
      <c r="D193" s="2127"/>
      <c r="E193" s="2127"/>
      <c r="F193" s="2127"/>
      <c r="G193" s="2127"/>
      <c r="H193" s="2127"/>
      <c r="I193" s="2127"/>
      <c r="J193" s="2127"/>
      <c r="K193" s="2127"/>
      <c r="L193" s="2127"/>
      <c r="M193" s="2127"/>
      <c r="N193" s="2127"/>
      <c r="O193" s="2127"/>
      <c r="P193" s="2127"/>
      <c r="Q193" s="2127"/>
      <c r="R193" s="2127"/>
      <c r="S193" s="2127"/>
      <c r="T193" s="2127"/>
      <c r="U193" s="2127"/>
      <c r="V193" s="2127"/>
      <c r="W193" s="2127"/>
      <c r="X193" s="2127"/>
      <c r="Y193" s="2127"/>
      <c r="Z193" s="2127"/>
      <c r="AA193" s="2127"/>
      <c r="AB193" s="2127"/>
      <c r="AC193" s="2127"/>
      <c r="AD193" s="2127"/>
      <c r="AE193" s="2127"/>
      <c r="AF193" s="2127"/>
      <c r="AG193" s="2127"/>
      <c r="AH193" s="2127"/>
      <c r="AI193" s="2127"/>
      <c r="AJ193" s="2127"/>
      <c r="AK193" s="2127"/>
      <c r="AL193" s="2127"/>
      <c r="AM193" s="2127"/>
      <c r="AN193" s="2127"/>
      <c r="AO193" s="2127"/>
      <c r="AP193" s="2127"/>
      <c r="AQ193" s="2127"/>
      <c r="AR193" s="2127"/>
      <c r="AS193" s="2127"/>
      <c r="AT193" s="2127"/>
      <c r="AU193" s="2127"/>
      <c r="AV193" s="2127"/>
      <c r="AW193" s="2127"/>
      <c r="AX193" s="2127"/>
      <c r="AY193" s="2127"/>
      <c r="AZ193" s="2127"/>
      <c r="BA193" s="2127"/>
      <c r="BB193" s="2127"/>
      <c r="BC193" s="2127"/>
      <c r="BD193" s="2127"/>
      <c r="BE193" s="2127"/>
    </row>
    <row r="194" spans="1:57">
      <c r="A194" s="2127"/>
      <c r="B194" s="2127"/>
      <c r="C194" s="2127"/>
      <c r="D194" s="2127"/>
      <c r="E194" s="2127"/>
      <c r="F194" s="2127"/>
      <c r="G194" s="2127"/>
      <c r="H194" s="2127"/>
      <c r="I194" s="2127"/>
      <c r="J194" s="2127"/>
      <c r="K194" s="2127"/>
      <c r="L194" s="2127"/>
      <c r="M194" s="2127"/>
      <c r="N194" s="2127"/>
      <c r="O194" s="2127"/>
      <c r="P194" s="2127"/>
      <c r="Q194" s="2127"/>
      <c r="R194" s="2127"/>
      <c r="S194" s="2127"/>
      <c r="T194" s="2127"/>
      <c r="U194" s="2127"/>
      <c r="V194" s="2127"/>
      <c r="W194" s="2127"/>
      <c r="X194" s="2127"/>
      <c r="Y194" s="2127"/>
      <c r="Z194" s="2127"/>
      <c r="AA194" s="2127"/>
      <c r="AB194" s="2127"/>
      <c r="AC194" s="2127"/>
      <c r="AD194" s="2127"/>
      <c r="AE194" s="2127"/>
      <c r="AF194" s="2127"/>
      <c r="AG194" s="2127"/>
      <c r="AH194" s="2127"/>
      <c r="AI194" s="2127"/>
      <c r="AJ194" s="2127"/>
      <c r="AK194" s="2127"/>
      <c r="AL194" s="2127"/>
      <c r="AM194" s="2127"/>
      <c r="AN194" s="2127"/>
      <c r="AO194" s="2127"/>
      <c r="AP194" s="2127"/>
      <c r="AQ194" s="2127"/>
      <c r="AR194" s="2127"/>
      <c r="AS194" s="2127"/>
      <c r="AT194" s="2127"/>
      <c r="AU194" s="2127"/>
      <c r="AV194" s="2127"/>
      <c r="AW194" s="2127"/>
      <c r="AX194" s="2127"/>
      <c r="AY194" s="2127"/>
      <c r="AZ194" s="2127"/>
      <c r="BA194" s="2127"/>
      <c r="BB194" s="2127"/>
      <c r="BC194" s="2127"/>
      <c r="BD194" s="2127"/>
      <c r="BE194" s="2127"/>
    </row>
    <row r="195" spans="1:57">
      <c r="A195" s="2127"/>
      <c r="B195" s="2127"/>
      <c r="C195" s="2127"/>
      <c r="D195" s="2127"/>
      <c r="E195" s="2127"/>
      <c r="F195" s="2127"/>
      <c r="G195" s="2127"/>
      <c r="H195" s="2127"/>
      <c r="I195" s="2127"/>
      <c r="J195" s="2127"/>
      <c r="K195" s="2127"/>
      <c r="L195" s="2127"/>
      <c r="M195" s="2127"/>
      <c r="N195" s="2127"/>
      <c r="O195" s="2127"/>
      <c r="P195" s="2127"/>
      <c r="Q195" s="2127"/>
      <c r="R195" s="2127"/>
      <c r="S195" s="2127"/>
      <c r="T195" s="2127"/>
      <c r="U195" s="2127"/>
      <c r="V195" s="2127"/>
      <c r="W195" s="2127"/>
      <c r="X195" s="2127"/>
      <c r="Y195" s="2127"/>
      <c r="Z195" s="2127"/>
      <c r="AA195" s="2127"/>
      <c r="AB195" s="2127"/>
      <c r="AC195" s="2127"/>
      <c r="AD195" s="2127"/>
      <c r="AE195" s="2127"/>
      <c r="AF195" s="2127"/>
      <c r="AG195" s="2127"/>
      <c r="AH195" s="2127"/>
      <c r="AI195" s="2127"/>
      <c r="AJ195" s="2127"/>
      <c r="AK195" s="2127"/>
      <c r="AL195" s="2127"/>
      <c r="AM195" s="2127"/>
      <c r="AN195" s="2127"/>
      <c r="AO195" s="2127"/>
      <c r="AP195" s="2127"/>
      <c r="AQ195" s="2127"/>
      <c r="AR195" s="2127"/>
      <c r="AS195" s="2127"/>
      <c r="AT195" s="2127"/>
      <c r="AU195" s="2127"/>
      <c r="AV195" s="2127"/>
      <c r="AW195" s="2127"/>
      <c r="AX195" s="2127"/>
      <c r="AY195" s="2127"/>
      <c r="AZ195" s="2127"/>
      <c r="BA195" s="2127"/>
      <c r="BB195" s="2127"/>
      <c r="BC195" s="2127"/>
      <c r="BD195" s="2127"/>
      <c r="BE195" s="2127"/>
    </row>
    <row r="196" spans="1:57">
      <c r="A196" s="2127"/>
      <c r="B196" s="2127"/>
      <c r="C196" s="2127"/>
      <c r="D196" s="2127"/>
      <c r="E196" s="2127"/>
      <c r="F196" s="2127"/>
      <c r="G196" s="2127"/>
      <c r="H196" s="2127"/>
      <c r="I196" s="2127"/>
      <c r="J196" s="2127"/>
      <c r="K196" s="2127"/>
      <c r="L196" s="2127"/>
      <c r="M196" s="2127"/>
      <c r="N196" s="2127"/>
      <c r="O196" s="2127"/>
      <c r="P196" s="2127"/>
      <c r="Q196" s="2127"/>
      <c r="R196" s="2127"/>
      <c r="S196" s="2127"/>
      <c r="T196" s="2127"/>
      <c r="U196" s="2127"/>
      <c r="V196" s="2127"/>
      <c r="W196" s="2127"/>
      <c r="X196" s="2127"/>
      <c r="Y196" s="2127"/>
      <c r="Z196" s="2127"/>
      <c r="AA196" s="2127"/>
      <c r="AB196" s="2127"/>
      <c r="AC196" s="2127"/>
      <c r="AD196" s="2127"/>
      <c r="AE196" s="2127"/>
      <c r="AF196" s="2127"/>
      <c r="AG196" s="2127"/>
      <c r="AH196" s="2127"/>
      <c r="AI196" s="2127"/>
      <c r="AJ196" s="2127"/>
      <c r="AK196" s="2127"/>
      <c r="AL196" s="2127"/>
      <c r="AM196" s="2127"/>
      <c r="AN196" s="2127"/>
      <c r="AO196" s="2127"/>
      <c r="AP196" s="2127"/>
      <c r="AQ196" s="2127"/>
      <c r="AR196" s="2127"/>
      <c r="AS196" s="2127"/>
      <c r="AT196" s="2127"/>
      <c r="AU196" s="2127"/>
      <c r="AV196" s="2127"/>
      <c r="AW196" s="2127"/>
      <c r="AX196" s="2127"/>
      <c r="AY196" s="2127"/>
      <c r="AZ196" s="2127"/>
      <c r="BA196" s="2127"/>
      <c r="BB196" s="2127"/>
      <c r="BC196" s="2127"/>
      <c r="BD196" s="2127"/>
      <c r="BE196" s="2127"/>
    </row>
    <row r="197" spans="1:57">
      <c r="A197" s="2127"/>
      <c r="B197" s="2127"/>
      <c r="C197" s="2127"/>
      <c r="D197" s="2127"/>
      <c r="E197" s="2127"/>
      <c r="F197" s="2127"/>
      <c r="G197" s="2127"/>
      <c r="H197" s="2127"/>
      <c r="I197" s="2127"/>
      <c r="J197" s="2127"/>
      <c r="K197" s="2127"/>
      <c r="L197" s="2127"/>
      <c r="M197" s="2127"/>
      <c r="N197" s="2127"/>
      <c r="O197" s="2127"/>
      <c r="P197" s="2127"/>
      <c r="Q197" s="2127"/>
      <c r="R197" s="2127"/>
      <c r="S197" s="2127"/>
      <c r="T197" s="2127"/>
      <c r="U197" s="2127"/>
      <c r="V197" s="2127"/>
      <c r="W197" s="2127"/>
      <c r="X197" s="2127"/>
      <c r="Y197" s="2127"/>
      <c r="Z197" s="2127"/>
      <c r="AA197" s="2127"/>
      <c r="AB197" s="2127"/>
      <c r="AC197" s="2127"/>
      <c r="AD197" s="2127"/>
      <c r="AE197" s="2127"/>
      <c r="AF197" s="2127"/>
      <c r="AG197" s="2127"/>
      <c r="AH197" s="2127"/>
      <c r="AI197" s="2127"/>
      <c r="AJ197" s="2127"/>
      <c r="AK197" s="2127"/>
      <c r="AL197" s="2127"/>
      <c r="AM197" s="2127"/>
      <c r="AN197" s="2127"/>
      <c r="AO197" s="2127"/>
      <c r="AP197" s="2127"/>
      <c r="AQ197" s="2127"/>
      <c r="AR197" s="2127"/>
      <c r="AS197" s="2127"/>
      <c r="AT197" s="2127"/>
      <c r="AU197" s="2127"/>
      <c r="AV197" s="2127"/>
      <c r="AW197" s="2127"/>
      <c r="AX197" s="2127"/>
      <c r="AY197" s="2127"/>
      <c r="AZ197" s="2127"/>
      <c r="BA197" s="2127"/>
      <c r="BB197" s="2127"/>
      <c r="BC197" s="2127"/>
      <c r="BD197" s="2127"/>
      <c r="BE197" s="2127"/>
    </row>
    <row r="198" spans="1:57">
      <c r="A198" s="2127"/>
      <c r="B198" s="2127"/>
      <c r="C198" s="2127"/>
      <c r="D198" s="2127"/>
      <c r="E198" s="2127"/>
      <c r="F198" s="2127"/>
      <c r="G198" s="2127"/>
      <c r="H198" s="2127"/>
      <c r="I198" s="2127"/>
      <c r="J198" s="2127"/>
      <c r="K198" s="2127"/>
      <c r="L198" s="2127"/>
      <c r="M198" s="2127"/>
      <c r="N198" s="2127"/>
      <c r="O198" s="2127"/>
      <c r="P198" s="2127"/>
      <c r="Q198" s="2127"/>
      <c r="R198" s="2127"/>
      <c r="S198" s="2127"/>
      <c r="T198" s="2127"/>
      <c r="U198" s="2127"/>
      <c r="V198" s="2127"/>
      <c r="W198" s="2127"/>
      <c r="X198" s="2127"/>
      <c r="Y198" s="2127"/>
      <c r="Z198" s="2127"/>
      <c r="AA198" s="2127"/>
      <c r="AB198" s="2127"/>
      <c r="AC198" s="2127"/>
      <c r="AD198" s="2127"/>
      <c r="AE198" s="2127"/>
      <c r="AF198" s="2127"/>
      <c r="AG198" s="2127"/>
      <c r="AH198" s="2127"/>
      <c r="AI198" s="2127"/>
      <c r="AJ198" s="2127"/>
      <c r="AK198" s="2127"/>
      <c r="AL198" s="2127"/>
      <c r="AM198" s="2127"/>
      <c r="AN198" s="2127"/>
      <c r="AO198" s="2127"/>
      <c r="AP198" s="2127"/>
      <c r="AQ198" s="2127"/>
      <c r="AR198" s="2127"/>
      <c r="AS198" s="2127"/>
      <c r="AT198" s="2127"/>
      <c r="AU198" s="2127"/>
      <c r="AV198" s="2127"/>
      <c r="AW198" s="2127"/>
      <c r="AX198" s="2127"/>
      <c r="AY198" s="2127"/>
      <c r="AZ198" s="2127"/>
      <c r="BA198" s="2127"/>
      <c r="BB198" s="2127"/>
      <c r="BC198" s="2127"/>
      <c r="BD198" s="2127"/>
      <c r="BE198" s="2127"/>
    </row>
    <row r="199" spans="1:57">
      <c r="A199" s="2127"/>
      <c r="B199" s="2127"/>
      <c r="C199" s="2127"/>
      <c r="D199" s="2127"/>
      <c r="E199" s="2127"/>
      <c r="F199" s="2127"/>
      <c r="G199" s="2127"/>
      <c r="H199" s="2127"/>
      <c r="I199" s="2127"/>
      <c r="J199" s="2127"/>
      <c r="K199" s="2127"/>
      <c r="L199" s="2127"/>
      <c r="M199" s="2127"/>
      <c r="N199" s="2127"/>
      <c r="O199" s="2127"/>
      <c r="P199" s="2127"/>
      <c r="Q199" s="2127"/>
      <c r="R199" s="2127"/>
      <c r="S199" s="2127"/>
      <c r="T199" s="2127"/>
      <c r="U199" s="2127"/>
      <c r="V199" s="2127"/>
      <c r="W199" s="2127"/>
      <c r="X199" s="2127"/>
      <c r="Y199" s="2127"/>
      <c r="Z199" s="2127"/>
      <c r="AA199" s="2127"/>
      <c r="AB199" s="2127"/>
      <c r="AC199" s="2127"/>
      <c r="AD199" s="2127"/>
      <c r="AE199" s="2127"/>
    </row>
    <row r="200" spans="1:57">
      <c r="A200" s="2127"/>
      <c r="B200" s="2127"/>
      <c r="C200" s="2127"/>
      <c r="D200" s="2127"/>
      <c r="E200" s="2127"/>
      <c r="F200" s="2127"/>
      <c r="G200" s="2127"/>
      <c r="H200" s="2127"/>
      <c r="I200" s="2127"/>
      <c r="J200" s="2127"/>
      <c r="K200" s="2127"/>
      <c r="L200" s="2127"/>
      <c r="M200" s="2127"/>
      <c r="N200" s="2127"/>
      <c r="O200" s="2127"/>
      <c r="P200" s="2127"/>
      <c r="Q200" s="2127"/>
      <c r="R200" s="2127"/>
      <c r="S200" s="2127"/>
      <c r="T200" s="2127"/>
      <c r="U200" s="2127"/>
      <c r="V200" s="2127"/>
      <c r="W200" s="2127"/>
      <c r="X200" s="2127"/>
      <c r="Y200" s="2127"/>
      <c r="Z200" s="2127"/>
      <c r="AA200" s="2127"/>
      <c r="AB200" s="2127"/>
      <c r="AC200" s="2127"/>
      <c r="AD200" s="2127"/>
      <c r="AE200" s="2127"/>
    </row>
    <row r="201" spans="1:57">
      <c r="A201" s="2127"/>
      <c r="B201" s="2127"/>
      <c r="C201" s="2127"/>
      <c r="D201" s="2127"/>
      <c r="E201" s="2127"/>
      <c r="F201" s="2127"/>
      <c r="G201" s="2127"/>
      <c r="H201" s="2127"/>
      <c r="I201" s="2127"/>
      <c r="J201" s="2127"/>
      <c r="K201" s="2127"/>
      <c r="L201" s="2127"/>
      <c r="M201" s="2127"/>
      <c r="N201" s="2127"/>
      <c r="O201" s="2127"/>
      <c r="P201" s="2127"/>
      <c r="Q201" s="2127"/>
      <c r="R201" s="2127"/>
      <c r="S201" s="2127"/>
      <c r="T201" s="2127"/>
      <c r="U201" s="2127"/>
      <c r="V201" s="2127"/>
      <c r="W201" s="2127"/>
      <c r="X201" s="2127"/>
      <c r="Y201" s="2127"/>
      <c r="Z201" s="2127"/>
      <c r="AA201" s="2127"/>
      <c r="AB201" s="2127"/>
      <c r="AC201" s="2127"/>
      <c r="AD201" s="2127"/>
      <c r="AE201" s="2127"/>
    </row>
    <row r="202" spans="1:57">
      <c r="A202" s="2127"/>
      <c r="B202" s="2127"/>
      <c r="C202" s="2127"/>
      <c r="D202" s="2127"/>
      <c r="E202" s="2127"/>
      <c r="F202" s="2127"/>
      <c r="G202" s="2127"/>
      <c r="H202" s="2127"/>
      <c r="I202" s="2127"/>
      <c r="J202" s="2127"/>
      <c r="K202" s="2127"/>
      <c r="L202" s="2127"/>
      <c r="M202" s="2127"/>
      <c r="N202" s="2127"/>
      <c r="O202" s="2127"/>
      <c r="P202" s="2127"/>
      <c r="Q202" s="2127"/>
      <c r="R202" s="2127"/>
      <c r="S202" s="2127"/>
      <c r="T202" s="2127"/>
      <c r="U202" s="2127"/>
      <c r="V202" s="2127"/>
      <c r="W202" s="2127"/>
      <c r="X202" s="2127"/>
      <c r="Y202" s="2127"/>
      <c r="Z202" s="2127"/>
      <c r="AA202" s="2127"/>
      <c r="AB202" s="2127"/>
      <c r="AC202" s="2127"/>
      <c r="AD202" s="2127"/>
      <c r="AE202" s="2127"/>
    </row>
    <row r="203" spans="1:57">
      <c r="A203" s="2127"/>
      <c r="B203" s="2127"/>
      <c r="C203" s="2127"/>
      <c r="D203" s="2127"/>
      <c r="E203" s="2127"/>
      <c r="F203" s="2127"/>
      <c r="G203" s="2127"/>
      <c r="H203" s="2127"/>
      <c r="I203" s="2127"/>
      <c r="J203" s="2127"/>
      <c r="K203" s="2127"/>
      <c r="L203" s="2127"/>
      <c r="M203" s="2127"/>
      <c r="N203" s="2127"/>
      <c r="O203" s="2127"/>
      <c r="P203" s="2127"/>
      <c r="Q203" s="2127"/>
      <c r="R203" s="2127"/>
      <c r="S203" s="2127"/>
      <c r="T203" s="2127"/>
      <c r="U203" s="2127"/>
      <c r="V203" s="2127"/>
      <c r="W203" s="2127"/>
      <c r="X203" s="2127"/>
      <c r="Y203" s="2127"/>
      <c r="Z203" s="2127"/>
      <c r="AA203" s="2127"/>
      <c r="AB203" s="2127"/>
      <c r="AC203" s="2127"/>
      <c r="AD203" s="2127"/>
      <c r="AE203" s="2127"/>
    </row>
    <row r="204" spans="1:57">
      <c r="A204" s="2127"/>
      <c r="B204" s="2127"/>
      <c r="C204" s="2127"/>
      <c r="D204" s="2127"/>
      <c r="E204" s="2127"/>
      <c r="F204" s="2127"/>
      <c r="G204" s="2127"/>
      <c r="H204" s="2127"/>
      <c r="I204" s="2127"/>
      <c r="J204" s="2127"/>
      <c r="K204" s="2127"/>
      <c r="L204" s="2127"/>
      <c r="M204" s="2127"/>
      <c r="N204" s="2127"/>
      <c r="O204" s="2127"/>
      <c r="P204" s="2127"/>
      <c r="Q204" s="2127"/>
      <c r="R204" s="2127"/>
      <c r="S204" s="2127"/>
      <c r="T204" s="2127"/>
      <c r="U204" s="2127"/>
      <c r="V204" s="2127"/>
      <c r="W204" s="2127"/>
      <c r="X204" s="2127"/>
      <c r="Y204" s="2127"/>
      <c r="Z204" s="2127"/>
      <c r="AA204" s="2127"/>
      <c r="AB204" s="2127"/>
      <c r="AC204" s="2127"/>
      <c r="AD204" s="2127"/>
      <c r="AE204" s="2127"/>
    </row>
    <row r="205" spans="1:57">
      <c r="A205" s="2127"/>
      <c r="B205" s="2127"/>
      <c r="C205" s="2127"/>
      <c r="D205" s="2127"/>
      <c r="E205" s="2127"/>
      <c r="F205" s="2127"/>
      <c r="G205" s="2127"/>
      <c r="H205" s="2127"/>
      <c r="I205" s="2127"/>
      <c r="J205" s="2127"/>
      <c r="K205" s="2127"/>
      <c r="L205" s="2127"/>
      <c r="M205" s="2127"/>
      <c r="N205" s="2127"/>
      <c r="O205" s="2127"/>
      <c r="P205" s="2127"/>
      <c r="Q205" s="2127"/>
      <c r="R205" s="2127"/>
      <c r="S205" s="2127"/>
      <c r="T205" s="2127"/>
      <c r="U205" s="2127"/>
      <c r="V205" s="2127"/>
      <c r="W205" s="2127"/>
      <c r="X205" s="2127"/>
      <c r="Y205" s="2127"/>
      <c r="Z205" s="2127"/>
      <c r="AA205" s="2127"/>
      <c r="AB205" s="2127"/>
      <c r="AC205" s="2127"/>
      <c r="AD205" s="2127"/>
      <c r="AE205" s="2127"/>
    </row>
    <row r="206" spans="1:57">
      <c r="A206" s="2127"/>
      <c r="B206" s="2127"/>
      <c r="C206" s="2127"/>
      <c r="D206" s="2127"/>
      <c r="E206" s="2127"/>
      <c r="F206" s="2127"/>
      <c r="G206" s="2127"/>
      <c r="H206" s="2127"/>
      <c r="I206" s="2127"/>
      <c r="J206" s="2127"/>
      <c r="K206" s="2127"/>
      <c r="L206" s="2127"/>
      <c r="M206" s="2127"/>
      <c r="N206" s="2127"/>
      <c r="O206" s="2127"/>
      <c r="P206" s="2127"/>
      <c r="Q206" s="2127"/>
      <c r="R206" s="2127"/>
      <c r="S206" s="2127"/>
      <c r="T206" s="2127"/>
      <c r="U206" s="2127"/>
      <c r="V206" s="2127"/>
      <c r="W206" s="2127"/>
      <c r="X206" s="2127"/>
      <c r="Y206" s="2127"/>
      <c r="Z206" s="2127"/>
      <c r="AA206" s="2127"/>
      <c r="AB206" s="2127"/>
      <c r="AC206" s="2127"/>
      <c r="AD206" s="2127"/>
      <c r="AE206" s="2127"/>
    </row>
    <row r="207" spans="1:57">
      <c r="A207" s="2127"/>
      <c r="B207" s="2127"/>
      <c r="C207" s="2127"/>
      <c r="D207" s="2127"/>
      <c r="E207" s="2127"/>
      <c r="F207" s="2127"/>
      <c r="G207" s="2127"/>
      <c r="H207" s="2127"/>
      <c r="I207" s="2127"/>
      <c r="J207" s="2127"/>
      <c r="K207" s="2127"/>
      <c r="L207" s="2127"/>
      <c r="M207" s="2127"/>
      <c r="N207" s="2127"/>
      <c r="O207" s="2127"/>
      <c r="P207" s="2127"/>
      <c r="Q207" s="2127"/>
      <c r="R207" s="2127"/>
      <c r="S207" s="2127"/>
      <c r="T207" s="2127"/>
      <c r="U207" s="2127"/>
      <c r="V207" s="2127"/>
      <c r="W207" s="2127"/>
      <c r="X207" s="2127"/>
      <c r="Y207" s="2127"/>
      <c r="Z207" s="2127"/>
      <c r="AA207" s="2127"/>
      <c r="AB207" s="2127"/>
      <c r="AC207" s="2127"/>
      <c r="AD207" s="2127"/>
      <c r="AE207" s="2127"/>
    </row>
    <row r="208" spans="1:57">
      <c r="A208" s="2127"/>
      <c r="B208" s="2127"/>
      <c r="C208" s="2127"/>
      <c r="D208" s="2127"/>
      <c r="E208" s="2127"/>
      <c r="F208" s="2127"/>
      <c r="G208" s="2127"/>
      <c r="H208" s="2127"/>
      <c r="I208" s="2127"/>
      <c r="J208" s="2127"/>
      <c r="K208" s="2127"/>
      <c r="L208" s="2127"/>
      <c r="M208" s="2127"/>
      <c r="N208" s="2127"/>
      <c r="O208" s="2127"/>
      <c r="P208" s="2127"/>
      <c r="Q208" s="2127"/>
      <c r="R208" s="2127"/>
      <c r="S208" s="2127"/>
      <c r="T208" s="2127"/>
      <c r="U208" s="2127"/>
      <c r="V208" s="2127"/>
      <c r="W208" s="2127"/>
      <c r="X208" s="2127"/>
      <c r="Y208" s="2127"/>
      <c r="Z208" s="2127"/>
      <c r="AA208" s="2127"/>
      <c r="AB208" s="2127"/>
      <c r="AC208" s="2127"/>
      <c r="AD208" s="2127"/>
      <c r="AE208" s="2127"/>
    </row>
    <row r="209" spans="1:31">
      <c r="A209" s="2127"/>
      <c r="B209" s="2127"/>
      <c r="C209" s="2127"/>
      <c r="D209" s="2127"/>
      <c r="E209" s="2127"/>
      <c r="F209" s="2127"/>
      <c r="G209" s="2127"/>
      <c r="H209" s="2127"/>
      <c r="I209" s="2127"/>
      <c r="J209" s="2127"/>
      <c r="K209" s="2127"/>
      <c r="L209" s="2127"/>
      <c r="M209" s="2127"/>
      <c r="N209" s="2127"/>
      <c r="O209" s="2127"/>
      <c r="P209" s="2127"/>
      <c r="Q209" s="2127"/>
      <c r="R209" s="2127"/>
      <c r="S209" s="2127"/>
      <c r="T209" s="2127"/>
      <c r="U209" s="2127"/>
      <c r="V209" s="2127"/>
      <c r="W209" s="2127"/>
      <c r="X209" s="2127"/>
      <c r="Y209" s="2127"/>
      <c r="Z209" s="2127"/>
      <c r="AA209" s="2127"/>
      <c r="AB209" s="2127"/>
      <c r="AC209" s="2127"/>
      <c r="AD209" s="2127"/>
      <c r="AE209" s="2127"/>
    </row>
    <row r="210" spans="1:31">
      <c r="A210" s="2127"/>
      <c r="B210" s="2127"/>
      <c r="C210" s="2127"/>
      <c r="D210" s="2127"/>
      <c r="E210" s="2127"/>
      <c r="F210" s="2127"/>
      <c r="G210" s="2127"/>
      <c r="H210" s="2127"/>
      <c r="I210" s="2127"/>
      <c r="J210" s="2127"/>
      <c r="K210" s="2127"/>
      <c r="L210" s="2127"/>
      <c r="M210" s="2127"/>
      <c r="N210" s="2127"/>
      <c r="O210" s="2127"/>
      <c r="P210" s="2127"/>
      <c r="Q210" s="2127"/>
      <c r="R210" s="2127"/>
      <c r="S210" s="2127"/>
      <c r="T210" s="2127"/>
      <c r="U210" s="2127"/>
      <c r="V210" s="2127"/>
      <c r="W210" s="2127"/>
      <c r="X210" s="2127"/>
      <c r="Y210" s="2127"/>
      <c r="Z210" s="2127"/>
      <c r="AA210" s="2127"/>
      <c r="AB210" s="2127"/>
      <c r="AC210" s="2127"/>
      <c r="AD210" s="2127"/>
      <c r="AE210" s="2127"/>
    </row>
    <row r="211" spans="1:31">
      <c r="A211" s="2127"/>
      <c r="B211" s="2127"/>
      <c r="C211" s="2127"/>
      <c r="D211" s="2127"/>
      <c r="E211" s="2127"/>
      <c r="F211" s="2127"/>
      <c r="G211" s="2127"/>
      <c r="H211" s="2127"/>
      <c r="I211" s="2127"/>
      <c r="J211" s="2127"/>
      <c r="K211" s="2127"/>
      <c r="L211" s="2127"/>
      <c r="M211" s="2127"/>
      <c r="N211" s="2127"/>
      <c r="O211" s="2127"/>
      <c r="P211" s="2127"/>
      <c r="Q211" s="2127"/>
      <c r="R211" s="2127"/>
      <c r="S211" s="2127"/>
      <c r="T211" s="2127"/>
      <c r="U211" s="2127"/>
      <c r="V211" s="2127"/>
      <c r="W211" s="2127"/>
      <c r="X211" s="2127"/>
      <c r="Y211" s="2127"/>
      <c r="Z211" s="2127"/>
      <c r="AA211" s="2127"/>
      <c r="AB211" s="2127"/>
      <c r="AC211" s="2127"/>
      <c r="AD211" s="2127"/>
      <c r="AE211" s="2127"/>
    </row>
    <row r="212" spans="1:31">
      <c r="A212" s="2127"/>
      <c r="B212" s="2127"/>
      <c r="C212" s="2127"/>
      <c r="D212" s="2127"/>
      <c r="E212" s="2127"/>
      <c r="F212" s="2127"/>
      <c r="G212" s="2127"/>
      <c r="H212" s="2127"/>
      <c r="I212" s="2127"/>
      <c r="J212" s="2127"/>
      <c r="K212" s="2127"/>
      <c r="L212" s="2127"/>
      <c r="M212" s="2127"/>
      <c r="N212" s="2127"/>
      <c r="O212" s="2127"/>
      <c r="P212" s="2127"/>
      <c r="Q212" s="2127"/>
      <c r="R212" s="2127"/>
      <c r="S212" s="2127"/>
      <c r="T212" s="2127"/>
      <c r="U212" s="2127"/>
      <c r="V212" s="2127"/>
      <c r="W212" s="2127"/>
      <c r="X212" s="2127"/>
      <c r="Y212" s="2127"/>
      <c r="Z212" s="2127"/>
      <c r="AA212" s="2127"/>
      <c r="AB212" s="2127"/>
      <c r="AC212" s="2127"/>
      <c r="AD212" s="2127"/>
      <c r="AE212" s="2127"/>
    </row>
    <row r="213" spans="1:31">
      <c r="A213" s="2127"/>
      <c r="B213" s="2127"/>
      <c r="C213" s="2127"/>
      <c r="D213" s="2127"/>
      <c r="E213" s="2127"/>
      <c r="F213" s="2127"/>
      <c r="G213" s="2127"/>
      <c r="H213" s="2127"/>
      <c r="I213" s="2127"/>
      <c r="J213" s="2127"/>
      <c r="K213" s="2127"/>
      <c r="L213" s="2127"/>
      <c r="M213" s="2127"/>
      <c r="N213" s="2127"/>
      <c r="O213" s="2127"/>
      <c r="P213" s="2127"/>
      <c r="Q213" s="2127"/>
      <c r="R213" s="2127"/>
      <c r="S213" s="2127"/>
      <c r="T213" s="2127"/>
      <c r="U213" s="2127"/>
      <c r="V213" s="2127"/>
      <c r="W213" s="2127"/>
      <c r="X213" s="2127"/>
      <c r="Y213" s="2127"/>
      <c r="Z213" s="2127"/>
      <c r="AA213" s="2127"/>
      <c r="AB213" s="2127"/>
      <c r="AC213" s="2127"/>
      <c r="AD213" s="2127"/>
      <c r="AE213" s="2127"/>
    </row>
    <row r="214" spans="1:31">
      <c r="A214" s="2127"/>
      <c r="B214" s="2127"/>
      <c r="C214" s="2127"/>
      <c r="D214" s="2127"/>
      <c r="E214" s="2127"/>
      <c r="F214" s="2127"/>
      <c r="G214" s="2127"/>
      <c r="H214" s="2127"/>
      <c r="I214" s="2127"/>
      <c r="J214" s="2127"/>
      <c r="K214" s="2127"/>
      <c r="L214" s="2127"/>
      <c r="M214" s="2127"/>
      <c r="N214" s="2127"/>
      <c r="O214" s="2127"/>
      <c r="P214" s="2127"/>
      <c r="Q214" s="2127"/>
      <c r="R214" s="2127"/>
      <c r="S214" s="2127"/>
      <c r="T214" s="2127"/>
      <c r="U214" s="2127"/>
      <c r="V214" s="2127"/>
      <c r="W214" s="2127"/>
      <c r="X214" s="2127"/>
      <c r="Y214" s="2127"/>
      <c r="Z214" s="2127"/>
      <c r="AA214" s="2127"/>
      <c r="AB214" s="2127"/>
      <c r="AC214" s="2127"/>
      <c r="AD214" s="2127"/>
      <c r="AE214" s="2127"/>
    </row>
    <row r="215" spans="1:31">
      <c r="A215" s="2127"/>
      <c r="B215" s="2127"/>
      <c r="C215" s="2127"/>
      <c r="D215" s="2127"/>
      <c r="E215" s="2127"/>
      <c r="F215" s="2127"/>
      <c r="G215" s="2127"/>
      <c r="H215" s="2127"/>
      <c r="I215" s="2127"/>
      <c r="J215" s="2127"/>
      <c r="K215" s="2127"/>
      <c r="L215" s="2127"/>
      <c r="M215" s="2127"/>
      <c r="N215" s="2127"/>
      <c r="O215" s="2127"/>
      <c r="P215" s="2127"/>
      <c r="Q215" s="2127"/>
      <c r="R215" s="2127"/>
      <c r="S215" s="2127"/>
      <c r="T215" s="2127"/>
      <c r="U215" s="2127"/>
      <c r="V215" s="2127"/>
      <c r="W215" s="2127"/>
      <c r="X215" s="2127"/>
      <c r="Y215" s="2127"/>
      <c r="Z215" s="2127"/>
      <c r="AA215" s="2127"/>
      <c r="AB215" s="2127"/>
      <c r="AC215" s="2127"/>
      <c r="AD215" s="2127"/>
      <c r="AE215" s="2127"/>
    </row>
    <row r="216" spans="1:31">
      <c r="A216" s="2127"/>
      <c r="B216" s="2127"/>
      <c r="C216" s="2127"/>
      <c r="D216" s="2127"/>
      <c r="E216" s="2127"/>
      <c r="F216" s="2127"/>
      <c r="G216" s="2127"/>
      <c r="H216" s="2127"/>
      <c r="I216" s="2127"/>
      <c r="J216" s="2127"/>
      <c r="K216" s="2127"/>
      <c r="L216" s="2127"/>
      <c r="M216" s="2127"/>
      <c r="N216" s="2127"/>
      <c r="O216" s="2127"/>
      <c r="P216" s="2127"/>
      <c r="Q216" s="2127"/>
      <c r="R216" s="2127"/>
      <c r="S216" s="2127"/>
      <c r="T216" s="2127"/>
      <c r="U216" s="2127"/>
      <c r="V216" s="2127"/>
      <c r="W216" s="2127"/>
      <c r="X216" s="2127"/>
      <c r="Y216" s="2127"/>
      <c r="Z216" s="2127"/>
      <c r="AA216" s="2127"/>
      <c r="AB216" s="2127"/>
      <c r="AC216" s="2127"/>
      <c r="AD216" s="2127"/>
      <c r="AE216" s="2127"/>
    </row>
    <row r="217" spans="1:31">
      <c r="A217" s="2127"/>
      <c r="B217" s="2127"/>
      <c r="C217" s="2127"/>
      <c r="D217" s="2127"/>
      <c r="E217" s="2127"/>
      <c r="F217" s="2127"/>
      <c r="G217" s="2127"/>
      <c r="H217" s="2127"/>
      <c r="I217" s="2127"/>
      <c r="J217" s="2127"/>
      <c r="K217" s="2127"/>
      <c r="L217" s="2127"/>
      <c r="M217" s="2127"/>
      <c r="N217" s="2127"/>
      <c r="O217" s="2127"/>
      <c r="P217" s="2127"/>
      <c r="Q217" s="2127"/>
      <c r="R217" s="2127"/>
      <c r="S217" s="2127"/>
      <c r="T217" s="2127"/>
      <c r="U217" s="2127"/>
      <c r="V217" s="2127"/>
      <c r="W217" s="2127"/>
      <c r="X217" s="2127"/>
      <c r="Y217" s="2127"/>
      <c r="Z217" s="2127"/>
      <c r="AA217" s="2127"/>
      <c r="AB217" s="2127"/>
      <c r="AC217" s="2127"/>
      <c r="AD217" s="2127"/>
      <c r="AE217" s="2127"/>
    </row>
    <row r="218" spans="1:31">
      <c r="A218" s="2127"/>
      <c r="B218" s="2127"/>
      <c r="C218" s="2127"/>
      <c r="D218" s="2127"/>
      <c r="E218" s="2127"/>
      <c r="F218" s="2127"/>
      <c r="G218" s="2127"/>
      <c r="H218" s="2127"/>
      <c r="I218" s="2127"/>
      <c r="J218" s="2127"/>
      <c r="K218" s="2127"/>
      <c r="L218" s="2127"/>
      <c r="M218" s="2127"/>
      <c r="N218" s="2127"/>
      <c r="O218" s="2127"/>
      <c r="P218" s="2127"/>
      <c r="Q218" s="2127"/>
      <c r="R218" s="2127"/>
      <c r="S218" s="2127"/>
      <c r="T218" s="2127"/>
      <c r="U218" s="2127"/>
      <c r="V218" s="2127"/>
      <c r="W218" s="2127"/>
      <c r="X218" s="2127"/>
      <c r="Y218" s="2127"/>
      <c r="Z218" s="2127"/>
      <c r="AA218" s="2127"/>
      <c r="AB218" s="2127"/>
      <c r="AC218" s="2127"/>
      <c r="AD218" s="2127"/>
      <c r="AE218" s="2127"/>
    </row>
    <row r="219" spans="1:31">
      <c r="A219" s="2127"/>
      <c r="B219" s="2127"/>
      <c r="C219" s="2127"/>
      <c r="D219" s="2127"/>
      <c r="E219" s="2127"/>
      <c r="F219" s="2127"/>
      <c r="G219" s="2127"/>
      <c r="H219" s="2127"/>
      <c r="I219" s="2127"/>
      <c r="J219" s="2127"/>
      <c r="K219" s="2127"/>
      <c r="L219" s="2127"/>
      <c r="M219" s="2127"/>
      <c r="N219" s="2127"/>
      <c r="O219" s="2127"/>
      <c r="P219" s="2127"/>
      <c r="Q219" s="2127"/>
      <c r="R219" s="2127"/>
      <c r="S219" s="2127"/>
      <c r="T219" s="2127"/>
      <c r="U219" s="2127"/>
      <c r="V219" s="2127"/>
      <c r="W219" s="2127"/>
      <c r="X219" s="2127"/>
      <c r="Y219" s="2127"/>
      <c r="Z219" s="2127"/>
      <c r="AA219" s="2127"/>
      <c r="AB219" s="2127"/>
      <c r="AC219" s="2127"/>
      <c r="AD219" s="2127"/>
      <c r="AE219" s="2127"/>
    </row>
    <row r="220" spans="1:31">
      <c r="A220" s="2127"/>
      <c r="B220" s="2127"/>
      <c r="C220" s="2127"/>
      <c r="D220" s="2127"/>
      <c r="E220" s="2127"/>
      <c r="F220" s="2127"/>
      <c r="G220" s="2127"/>
      <c r="H220" s="2127"/>
      <c r="I220" s="2127"/>
      <c r="J220" s="2127"/>
      <c r="K220" s="2127"/>
      <c r="L220" s="2127"/>
      <c r="M220" s="2127"/>
      <c r="N220" s="2127"/>
      <c r="O220" s="2127"/>
      <c r="P220" s="2127"/>
      <c r="Q220" s="2127"/>
      <c r="R220" s="2127"/>
      <c r="S220" s="2127"/>
      <c r="T220" s="2127"/>
      <c r="U220" s="2127"/>
      <c r="V220" s="2127"/>
      <c r="W220" s="2127"/>
      <c r="X220" s="2127"/>
      <c r="Y220" s="2127"/>
      <c r="Z220" s="2127"/>
      <c r="AA220" s="2127"/>
      <c r="AB220" s="2127"/>
      <c r="AC220" s="2127"/>
      <c r="AD220" s="2127"/>
      <c r="AE220" s="2127"/>
    </row>
    <row r="221" spans="1:31">
      <c r="A221" s="2127"/>
      <c r="B221" s="2127"/>
      <c r="C221" s="2127"/>
      <c r="D221" s="2127"/>
      <c r="E221" s="2127"/>
      <c r="F221" s="2127"/>
      <c r="G221" s="2127"/>
      <c r="H221" s="2127"/>
      <c r="I221" s="2127"/>
      <c r="J221" s="2127"/>
      <c r="K221" s="2127"/>
      <c r="L221" s="2127"/>
      <c r="M221" s="2127"/>
      <c r="N221" s="2127"/>
      <c r="O221" s="2127"/>
      <c r="P221" s="2127"/>
      <c r="Q221" s="2127"/>
      <c r="R221" s="2127"/>
      <c r="S221" s="2127"/>
      <c r="T221" s="2127"/>
      <c r="U221" s="2127"/>
      <c r="V221" s="2127"/>
      <c r="W221" s="2127"/>
      <c r="X221" s="2127"/>
      <c r="Y221" s="2127"/>
      <c r="Z221" s="2127"/>
      <c r="AA221" s="2127"/>
      <c r="AB221" s="2127"/>
      <c r="AC221" s="2127"/>
      <c r="AD221" s="2127"/>
      <c r="AE221" s="2127"/>
    </row>
    <row r="222" spans="1:31">
      <c r="A222" s="2127"/>
      <c r="B222" s="2127"/>
      <c r="C222" s="2127"/>
      <c r="D222" s="2127"/>
      <c r="E222" s="2127"/>
      <c r="F222" s="2127"/>
      <c r="G222" s="2127"/>
      <c r="H222" s="2127"/>
      <c r="I222" s="2127"/>
      <c r="J222" s="2127"/>
      <c r="K222" s="2127"/>
      <c r="L222" s="2127"/>
      <c r="M222" s="2127"/>
      <c r="N222" s="2127"/>
      <c r="O222" s="2127"/>
      <c r="P222" s="2127"/>
      <c r="Q222" s="2127"/>
      <c r="R222" s="2127"/>
      <c r="S222" s="2127"/>
      <c r="T222" s="2127"/>
      <c r="U222" s="2127"/>
      <c r="V222" s="2127"/>
      <c r="W222" s="2127"/>
      <c r="X222" s="2127"/>
      <c r="Y222" s="2127"/>
      <c r="Z222" s="2127"/>
      <c r="AA222" s="2127"/>
      <c r="AB222" s="2127"/>
      <c r="AC222" s="2127"/>
      <c r="AD222" s="2127"/>
      <c r="AE222" s="2127"/>
    </row>
    <row r="223" spans="1:31">
      <c r="A223" s="2127"/>
      <c r="B223" s="2127"/>
      <c r="C223" s="2127"/>
      <c r="D223" s="2127"/>
      <c r="E223" s="2127"/>
      <c r="F223" s="2127"/>
      <c r="G223" s="2127"/>
      <c r="H223" s="2127"/>
      <c r="I223" s="2127"/>
      <c r="J223" s="2127"/>
      <c r="K223" s="2127"/>
      <c r="L223" s="2127"/>
      <c r="M223" s="2127"/>
      <c r="N223" s="2127"/>
      <c r="O223" s="2127"/>
      <c r="P223" s="2127"/>
      <c r="Q223" s="2127"/>
      <c r="R223" s="2127"/>
      <c r="S223" s="2127"/>
      <c r="T223" s="2127"/>
      <c r="U223" s="2127"/>
      <c r="V223" s="2127"/>
      <c r="W223" s="2127"/>
      <c r="X223" s="2127"/>
      <c r="Y223" s="2127"/>
      <c r="Z223" s="2127"/>
      <c r="AA223" s="2127"/>
      <c r="AB223" s="2127"/>
      <c r="AC223" s="2127"/>
      <c r="AD223" s="2127"/>
      <c r="AE223" s="2127"/>
    </row>
    <row r="224" spans="1:31">
      <c r="A224" s="2127"/>
      <c r="B224" s="2127"/>
      <c r="C224" s="2127"/>
      <c r="D224" s="2127"/>
      <c r="E224" s="2127"/>
      <c r="F224" s="2127"/>
      <c r="G224" s="2127"/>
      <c r="H224" s="2127"/>
      <c r="I224" s="2127"/>
      <c r="J224" s="2127"/>
      <c r="K224" s="2127"/>
      <c r="L224" s="2127"/>
      <c r="M224" s="2127"/>
      <c r="N224" s="2127"/>
      <c r="O224" s="2127"/>
      <c r="P224" s="2127"/>
      <c r="Q224" s="2127"/>
      <c r="R224" s="2127"/>
      <c r="S224" s="2127"/>
      <c r="T224" s="2127"/>
      <c r="U224" s="2127"/>
      <c r="V224" s="2127"/>
      <c r="W224" s="2127"/>
      <c r="X224" s="2127"/>
      <c r="Y224" s="2127"/>
      <c r="Z224" s="2127"/>
      <c r="AA224" s="2127"/>
      <c r="AB224" s="2127"/>
      <c r="AC224" s="2127"/>
      <c r="AD224" s="2127"/>
      <c r="AE224" s="2127"/>
    </row>
    <row r="225" spans="1:31">
      <c r="A225" s="2127"/>
      <c r="B225" s="2127"/>
      <c r="C225" s="2127"/>
      <c r="D225" s="2127"/>
      <c r="E225" s="2127"/>
      <c r="F225" s="2127"/>
      <c r="G225" s="2127"/>
      <c r="H225" s="2127"/>
      <c r="I225" s="2127"/>
      <c r="J225" s="2127"/>
      <c r="K225" s="2127"/>
      <c r="L225" s="2127"/>
      <c r="M225" s="2127"/>
      <c r="N225" s="2127"/>
      <c r="O225" s="2127"/>
      <c r="P225" s="2127"/>
      <c r="Q225" s="2127"/>
      <c r="R225" s="2127"/>
      <c r="S225" s="2127"/>
      <c r="T225" s="2127"/>
      <c r="U225" s="2127"/>
      <c r="V225" s="2127"/>
      <c r="W225" s="2127"/>
      <c r="X225" s="2127"/>
      <c r="Y225" s="2127"/>
      <c r="Z225" s="2127"/>
      <c r="AA225" s="2127"/>
      <c r="AB225" s="2127"/>
      <c r="AC225" s="2127"/>
      <c r="AD225" s="2127"/>
      <c r="AE225" s="2127"/>
    </row>
    <row r="226" spans="1:31">
      <c r="A226" s="2127"/>
      <c r="B226" s="2127"/>
      <c r="C226" s="2127"/>
      <c r="D226" s="2127"/>
      <c r="E226" s="2127"/>
      <c r="F226" s="2127"/>
      <c r="G226" s="2127"/>
      <c r="H226" s="2127"/>
      <c r="I226" s="2127"/>
      <c r="J226" s="2127"/>
      <c r="K226" s="2127"/>
      <c r="L226" s="2127"/>
      <c r="M226" s="2127"/>
      <c r="N226" s="2127"/>
      <c r="O226" s="2127"/>
      <c r="P226" s="2127"/>
      <c r="Q226" s="2127"/>
      <c r="R226" s="2127"/>
      <c r="S226" s="2127"/>
      <c r="T226" s="2127"/>
      <c r="U226" s="2127"/>
      <c r="V226" s="2127"/>
      <c r="W226" s="2127"/>
      <c r="X226" s="2127"/>
      <c r="Y226" s="2127"/>
      <c r="Z226" s="2127"/>
      <c r="AA226" s="2127"/>
      <c r="AB226" s="2127"/>
      <c r="AC226" s="2127"/>
      <c r="AD226" s="2127"/>
      <c r="AE226" s="2127"/>
    </row>
    <row r="227" spans="1:31">
      <c r="A227" s="2127"/>
      <c r="B227" s="2127"/>
      <c r="C227" s="2127"/>
      <c r="D227" s="2127"/>
      <c r="E227" s="2127"/>
      <c r="F227" s="2127"/>
      <c r="G227" s="2127"/>
      <c r="H227" s="2127"/>
      <c r="I227" s="2127"/>
      <c r="J227" s="2127"/>
      <c r="K227" s="2127"/>
      <c r="L227" s="2127"/>
      <c r="M227" s="2127"/>
      <c r="N227" s="2127"/>
      <c r="O227" s="2127"/>
      <c r="P227" s="2127"/>
      <c r="Q227" s="2127"/>
      <c r="R227" s="2127"/>
      <c r="S227" s="2127"/>
      <c r="T227" s="2127"/>
      <c r="U227" s="2127"/>
      <c r="V227" s="2127"/>
      <c r="W227" s="2127"/>
      <c r="X227" s="2127"/>
      <c r="Y227" s="2127"/>
      <c r="Z227" s="2127"/>
      <c r="AA227" s="2127"/>
      <c r="AB227" s="2127"/>
      <c r="AC227" s="2127"/>
      <c r="AD227" s="2127"/>
      <c r="AE227" s="2127"/>
    </row>
    <row r="228" spans="1:31">
      <c r="A228" s="2127"/>
      <c r="B228" s="2127"/>
      <c r="C228" s="2127"/>
      <c r="D228" s="2127"/>
      <c r="E228" s="2127"/>
      <c r="F228" s="2127"/>
      <c r="G228" s="2127"/>
      <c r="H228" s="2127"/>
      <c r="I228" s="2127"/>
      <c r="J228" s="2127"/>
      <c r="K228" s="2127"/>
      <c r="L228" s="2127"/>
      <c r="M228" s="2127"/>
      <c r="N228" s="2127"/>
      <c r="O228" s="2127"/>
      <c r="P228" s="2127"/>
      <c r="Q228" s="2127"/>
      <c r="R228" s="2127"/>
      <c r="S228" s="2127"/>
      <c r="T228" s="2127"/>
      <c r="U228" s="2127"/>
      <c r="V228" s="2127"/>
      <c r="W228" s="2127"/>
      <c r="X228" s="2127"/>
      <c r="Y228" s="2127"/>
      <c r="Z228" s="2127"/>
      <c r="AA228" s="2127"/>
      <c r="AB228" s="2127"/>
      <c r="AC228" s="2127"/>
      <c r="AD228" s="2127"/>
      <c r="AE228" s="2127"/>
    </row>
    <row r="229" spans="1:31">
      <c r="A229" s="2127"/>
      <c r="B229" s="2127"/>
      <c r="C229" s="2127"/>
      <c r="D229" s="2127"/>
      <c r="E229" s="2127"/>
      <c r="F229" s="2127"/>
      <c r="G229" s="2127"/>
      <c r="H229" s="2127"/>
      <c r="I229" s="2127"/>
      <c r="J229" s="2127"/>
      <c r="K229" s="2127"/>
      <c r="L229" s="2127"/>
      <c r="M229" s="2127"/>
      <c r="N229" s="2127"/>
      <c r="O229" s="2127"/>
      <c r="P229" s="2127"/>
      <c r="Q229" s="2127"/>
      <c r="R229" s="2127"/>
      <c r="S229" s="2127"/>
      <c r="T229" s="2127"/>
      <c r="U229" s="2127"/>
      <c r="V229" s="2127"/>
      <c r="W229" s="2127"/>
      <c r="X229" s="2127"/>
      <c r="Y229" s="2127"/>
      <c r="Z229" s="2127"/>
      <c r="AA229" s="2127"/>
      <c r="AB229" s="2127"/>
      <c r="AC229" s="2127"/>
      <c r="AD229" s="2127"/>
      <c r="AE229" s="2127"/>
    </row>
    <row r="230" spans="1:31">
      <c r="A230" s="2127"/>
      <c r="B230" s="2127"/>
      <c r="C230" s="2127"/>
      <c r="D230" s="2127"/>
      <c r="E230" s="2127"/>
      <c r="F230" s="2127"/>
      <c r="G230" s="2127"/>
      <c r="H230" s="2127"/>
      <c r="I230" s="2127"/>
      <c r="J230" s="2127"/>
      <c r="K230" s="2127"/>
      <c r="L230" s="2127"/>
      <c r="M230" s="2127"/>
      <c r="N230" s="2127"/>
      <c r="O230" s="2127"/>
      <c r="P230" s="2127"/>
      <c r="Q230" s="2127"/>
      <c r="R230" s="2127"/>
      <c r="S230" s="2127"/>
      <c r="T230" s="2127"/>
      <c r="U230" s="2127"/>
      <c r="V230" s="2127"/>
      <c r="W230" s="2127"/>
      <c r="X230" s="2127"/>
      <c r="Y230" s="2127"/>
      <c r="Z230" s="2127"/>
      <c r="AA230" s="2127"/>
      <c r="AB230" s="2127"/>
      <c r="AC230" s="2127"/>
      <c r="AD230" s="2127"/>
      <c r="AE230" s="2127"/>
    </row>
    <row r="231" spans="1:31">
      <c r="A231" s="2127"/>
      <c r="B231" s="2127"/>
      <c r="C231" s="2127"/>
      <c r="D231" s="2127"/>
      <c r="E231" s="2127"/>
      <c r="F231" s="2127"/>
      <c r="G231" s="2127"/>
      <c r="H231" s="2127"/>
      <c r="I231" s="2127"/>
      <c r="J231" s="2127"/>
      <c r="K231" s="2127"/>
      <c r="L231" s="2127"/>
      <c r="M231" s="2127"/>
      <c r="N231" s="2127"/>
      <c r="O231" s="2127"/>
      <c r="P231" s="2127"/>
      <c r="Q231" s="2127"/>
      <c r="R231" s="2127"/>
      <c r="S231" s="2127"/>
      <c r="T231" s="2127"/>
      <c r="U231" s="2127"/>
      <c r="V231" s="2127"/>
      <c r="W231" s="2127"/>
      <c r="X231" s="2127"/>
      <c r="Y231" s="2127"/>
      <c r="Z231" s="2127"/>
      <c r="AA231" s="2127"/>
      <c r="AB231" s="2127"/>
      <c r="AC231" s="2127"/>
      <c r="AD231" s="2127"/>
      <c r="AE231" s="2127"/>
    </row>
    <row r="232" spans="1:31">
      <c r="A232" s="2127"/>
      <c r="B232" s="2127"/>
      <c r="C232" s="2127"/>
      <c r="D232" s="2127"/>
      <c r="E232" s="2127"/>
      <c r="F232" s="2127"/>
      <c r="G232" s="2127"/>
      <c r="H232" s="2127"/>
      <c r="I232" s="2127"/>
      <c r="J232" s="2127"/>
      <c r="K232" s="2127"/>
      <c r="L232" s="2127"/>
      <c r="M232" s="2127"/>
      <c r="N232" s="2127"/>
      <c r="O232" s="2127"/>
      <c r="P232" s="2127"/>
      <c r="Q232" s="2127"/>
      <c r="R232" s="2127"/>
      <c r="S232" s="2127"/>
      <c r="T232" s="2127"/>
      <c r="U232" s="2127"/>
      <c r="V232" s="2127"/>
      <c r="W232" s="2127"/>
      <c r="X232" s="2127"/>
      <c r="Y232" s="2127"/>
      <c r="Z232" s="2127"/>
      <c r="AA232" s="2127"/>
      <c r="AB232" s="2127"/>
      <c r="AC232" s="2127"/>
      <c r="AD232" s="2127"/>
      <c r="AE232" s="2127"/>
    </row>
    <row r="233" spans="1:31">
      <c r="A233" s="2127"/>
      <c r="B233" s="2127"/>
      <c r="C233" s="2127"/>
      <c r="D233" s="2127"/>
      <c r="E233" s="2127"/>
      <c r="F233" s="2127"/>
      <c r="G233" s="2127"/>
      <c r="H233" s="2127"/>
      <c r="I233" s="2127"/>
      <c r="J233" s="2127"/>
      <c r="K233" s="2127"/>
      <c r="L233" s="2127"/>
      <c r="M233" s="2127"/>
      <c r="N233" s="2127"/>
      <c r="O233" s="2127"/>
      <c r="P233" s="2127"/>
      <c r="Q233" s="2127"/>
      <c r="R233" s="2127"/>
      <c r="S233" s="2127"/>
      <c r="T233" s="2127"/>
      <c r="U233" s="2127"/>
      <c r="V233" s="2127"/>
      <c r="W233" s="2127"/>
      <c r="X233" s="2127"/>
      <c r="Y233" s="2127"/>
      <c r="Z233" s="2127"/>
      <c r="AA233" s="2127"/>
      <c r="AB233" s="2127"/>
      <c r="AC233" s="2127"/>
      <c r="AD233" s="2127"/>
      <c r="AE233" s="2127"/>
    </row>
    <row r="234" spans="1:31">
      <c r="A234" s="2127"/>
      <c r="B234" s="2127"/>
      <c r="C234" s="2127"/>
      <c r="D234" s="2127"/>
      <c r="E234" s="2127"/>
      <c r="F234" s="2127"/>
      <c r="G234" s="2127"/>
      <c r="H234" s="2127"/>
      <c r="I234" s="2127"/>
      <c r="J234" s="2127"/>
      <c r="K234" s="2127"/>
      <c r="L234" s="2127"/>
      <c r="M234" s="2127"/>
      <c r="N234" s="2127"/>
      <c r="O234" s="2127"/>
      <c r="P234" s="2127"/>
      <c r="Q234" s="2127"/>
      <c r="R234" s="2127"/>
      <c r="S234" s="2127"/>
      <c r="T234" s="2127"/>
      <c r="U234" s="2127"/>
      <c r="V234" s="2127"/>
      <c r="W234" s="2127"/>
      <c r="X234" s="2127"/>
      <c r="Y234" s="2127"/>
      <c r="Z234" s="2127"/>
      <c r="AA234" s="2127"/>
      <c r="AB234" s="2127"/>
      <c r="AC234" s="2127"/>
      <c r="AD234" s="2127"/>
      <c r="AE234" s="2127"/>
    </row>
    <row r="235" spans="1:31">
      <c r="A235" s="2127"/>
      <c r="B235" s="2127"/>
      <c r="C235" s="2127"/>
      <c r="D235" s="2127"/>
      <c r="E235" s="2127"/>
      <c r="F235" s="2127"/>
      <c r="G235" s="2127"/>
      <c r="H235" s="2127"/>
      <c r="I235" s="2127"/>
      <c r="J235" s="2127"/>
      <c r="K235" s="2127"/>
      <c r="L235" s="2127"/>
      <c r="M235" s="2127"/>
      <c r="N235" s="2127"/>
      <c r="O235" s="2127"/>
      <c r="P235" s="2127"/>
      <c r="Q235" s="2127"/>
      <c r="R235" s="2127"/>
      <c r="S235" s="2127"/>
      <c r="T235" s="2127"/>
      <c r="U235" s="2127"/>
      <c r="V235" s="2127"/>
      <c r="W235" s="2127"/>
      <c r="X235" s="2127"/>
      <c r="Y235" s="2127"/>
      <c r="Z235" s="2127"/>
      <c r="AA235" s="2127"/>
      <c r="AB235" s="2127"/>
      <c r="AC235" s="2127"/>
      <c r="AD235" s="2127"/>
      <c r="AE235" s="2127"/>
    </row>
    <row r="236" spans="1:31">
      <c r="A236" s="2127"/>
      <c r="B236" s="2127"/>
      <c r="C236" s="2127"/>
      <c r="D236" s="2127"/>
      <c r="E236" s="2127"/>
      <c r="F236" s="2127"/>
      <c r="G236" s="2127"/>
      <c r="H236" s="2127"/>
      <c r="I236" s="2127"/>
      <c r="J236" s="2127"/>
      <c r="K236" s="2127"/>
      <c r="L236" s="2127"/>
      <c r="M236" s="2127"/>
      <c r="N236" s="2127"/>
      <c r="O236" s="2127"/>
      <c r="P236" s="2127"/>
      <c r="Q236" s="2127"/>
      <c r="R236" s="2127"/>
      <c r="S236" s="2127"/>
      <c r="T236" s="2127"/>
      <c r="U236" s="2127"/>
      <c r="V236" s="2127"/>
      <c r="W236" s="2127"/>
      <c r="X236" s="2127"/>
      <c r="Y236" s="2127"/>
      <c r="Z236" s="2127"/>
      <c r="AA236" s="2127"/>
      <c r="AB236" s="2127"/>
      <c r="AC236" s="2127"/>
      <c r="AD236" s="2127"/>
      <c r="AE236" s="2127"/>
    </row>
    <row r="237" spans="1:31">
      <c r="A237" s="2127"/>
      <c r="B237" s="2127"/>
      <c r="C237" s="2127"/>
      <c r="D237" s="2127"/>
      <c r="E237" s="2127"/>
      <c r="F237" s="2127"/>
      <c r="G237" s="2127"/>
      <c r="H237" s="2127"/>
      <c r="I237" s="2127"/>
      <c r="J237" s="2127"/>
      <c r="K237" s="2127"/>
      <c r="L237" s="2127"/>
      <c r="M237" s="2127"/>
      <c r="N237" s="2127"/>
      <c r="O237" s="2127"/>
      <c r="P237" s="2127"/>
      <c r="Q237" s="2127"/>
      <c r="R237" s="2127"/>
      <c r="S237" s="2127"/>
      <c r="T237" s="2127"/>
      <c r="U237" s="2127"/>
      <c r="V237" s="2127"/>
      <c r="W237" s="2127"/>
      <c r="X237" s="2127"/>
      <c r="Y237" s="2127"/>
      <c r="Z237" s="2127"/>
      <c r="AA237" s="2127"/>
      <c r="AB237" s="2127"/>
      <c r="AC237" s="2127"/>
      <c r="AD237" s="2127"/>
      <c r="AE237" s="2127"/>
    </row>
    <row r="238" spans="1:31">
      <c r="A238" s="2127"/>
      <c r="B238" s="2127"/>
      <c r="C238" s="2127"/>
      <c r="D238" s="2127"/>
      <c r="E238" s="2127"/>
      <c r="F238" s="2127"/>
      <c r="G238" s="2127"/>
      <c r="H238" s="2127"/>
      <c r="I238" s="2127"/>
      <c r="J238" s="2127"/>
      <c r="K238" s="2127"/>
      <c r="L238" s="2127"/>
      <c r="M238" s="2127"/>
      <c r="N238" s="2127"/>
      <c r="O238" s="2127"/>
      <c r="P238" s="2127"/>
      <c r="Q238" s="2127"/>
      <c r="R238" s="2127"/>
      <c r="S238" s="2127"/>
      <c r="T238" s="2127"/>
      <c r="U238" s="2127"/>
      <c r="V238" s="2127"/>
      <c r="W238" s="2127"/>
      <c r="X238" s="2127"/>
      <c r="Y238" s="2127"/>
      <c r="Z238" s="2127"/>
      <c r="AA238" s="2127"/>
      <c r="AB238" s="2127"/>
      <c r="AC238" s="2127"/>
      <c r="AD238" s="2127"/>
      <c r="AE238" s="2127"/>
    </row>
    <row r="239" spans="1:31">
      <c r="A239" s="2127"/>
      <c r="B239" s="2127"/>
      <c r="C239" s="2127"/>
      <c r="D239" s="2127"/>
      <c r="E239" s="2127"/>
      <c r="F239" s="2127"/>
      <c r="G239" s="2127"/>
      <c r="H239" s="2127"/>
      <c r="I239" s="2127"/>
      <c r="J239" s="2127"/>
      <c r="K239" s="2127"/>
      <c r="L239" s="2127"/>
      <c r="M239" s="2127"/>
      <c r="N239" s="2127"/>
      <c r="O239" s="2127"/>
      <c r="P239" s="2127"/>
      <c r="Q239" s="2127"/>
      <c r="R239" s="2127"/>
      <c r="S239" s="2127"/>
      <c r="T239" s="2127"/>
      <c r="U239" s="2127"/>
      <c r="V239" s="2127"/>
      <c r="W239" s="2127"/>
      <c r="X239" s="2127"/>
      <c r="Y239" s="2127"/>
      <c r="Z239" s="2127"/>
      <c r="AA239" s="2127"/>
      <c r="AB239" s="2127"/>
      <c r="AC239" s="2127"/>
      <c r="AD239" s="2127"/>
      <c r="AE239" s="2127"/>
    </row>
    <row r="240" spans="1:31">
      <c r="A240" s="2127"/>
      <c r="B240" s="2127"/>
      <c r="C240" s="2127"/>
      <c r="D240" s="2127"/>
      <c r="E240" s="2127"/>
      <c r="F240" s="2127"/>
      <c r="G240" s="2127"/>
      <c r="H240" s="2127"/>
      <c r="I240" s="2127"/>
      <c r="J240" s="2127"/>
      <c r="K240" s="2127"/>
      <c r="L240" s="2127"/>
      <c r="M240" s="2127"/>
      <c r="N240" s="2127"/>
      <c r="O240" s="2127"/>
      <c r="P240" s="2127"/>
      <c r="Q240" s="2127"/>
      <c r="R240" s="2127"/>
      <c r="S240" s="2127"/>
      <c r="T240" s="2127"/>
      <c r="U240" s="2127"/>
      <c r="V240" s="2127"/>
      <c r="W240" s="2127"/>
      <c r="X240" s="2127"/>
      <c r="Y240" s="2127"/>
      <c r="Z240" s="2127"/>
      <c r="AA240" s="2127"/>
      <c r="AB240" s="2127"/>
      <c r="AC240" s="2127"/>
      <c r="AD240" s="2127"/>
      <c r="AE240" s="2127"/>
    </row>
    <row r="241" spans="1:31">
      <c r="A241" s="2127"/>
      <c r="B241" s="2127"/>
      <c r="C241" s="2127"/>
      <c r="D241" s="2127"/>
      <c r="E241" s="2127"/>
      <c r="F241" s="2127"/>
      <c r="G241" s="2127"/>
      <c r="H241" s="2127"/>
      <c r="I241" s="2127"/>
      <c r="J241" s="2127"/>
      <c r="K241" s="2127"/>
      <c r="L241" s="2127"/>
      <c r="M241" s="2127"/>
      <c r="N241" s="2127"/>
      <c r="O241" s="2127"/>
      <c r="P241" s="2127"/>
      <c r="Q241" s="2127"/>
      <c r="R241" s="2127"/>
      <c r="S241" s="2127"/>
      <c r="T241" s="2127"/>
      <c r="U241" s="2127"/>
      <c r="V241" s="2127"/>
      <c r="W241" s="2127"/>
      <c r="X241" s="2127"/>
      <c r="Y241" s="2127"/>
      <c r="Z241" s="2127"/>
      <c r="AA241" s="2127"/>
      <c r="AB241" s="2127"/>
      <c r="AC241" s="2127"/>
      <c r="AD241" s="2127"/>
      <c r="AE241" s="2127"/>
    </row>
    <row r="242" spans="1:31">
      <c r="A242" s="2127"/>
      <c r="B242" s="2127"/>
      <c r="C242" s="2127"/>
      <c r="D242" s="2127"/>
      <c r="E242" s="2127"/>
      <c r="F242" s="2127"/>
      <c r="G242" s="2127"/>
      <c r="H242" s="2127"/>
      <c r="I242" s="2127"/>
      <c r="J242" s="2127"/>
      <c r="K242" s="2127"/>
      <c r="L242" s="2127"/>
      <c r="M242" s="2127"/>
      <c r="N242" s="2127"/>
      <c r="O242" s="2127"/>
      <c r="P242" s="2127"/>
      <c r="Q242" s="2127"/>
      <c r="R242" s="2127"/>
      <c r="S242" s="2127"/>
      <c r="T242" s="2127"/>
      <c r="U242" s="2127"/>
      <c r="V242" s="2127"/>
      <c r="W242" s="2127"/>
      <c r="X242" s="2127"/>
      <c r="Y242" s="2127"/>
      <c r="Z242" s="2127"/>
      <c r="AA242" s="2127"/>
      <c r="AB242" s="2127"/>
      <c r="AC242" s="2127"/>
      <c r="AD242" s="2127"/>
      <c r="AE242" s="2127"/>
    </row>
    <row r="243" spans="1:31">
      <c r="A243" s="2127"/>
      <c r="B243" s="2127"/>
      <c r="C243" s="2127"/>
      <c r="D243" s="2127"/>
      <c r="E243" s="2127"/>
      <c r="F243" s="2127"/>
      <c r="G243" s="2127"/>
      <c r="H243" s="2127"/>
      <c r="I243" s="2127"/>
      <c r="J243" s="2127"/>
      <c r="K243" s="2127"/>
      <c r="L243" s="2127"/>
      <c r="M243" s="2127"/>
      <c r="N243" s="2127"/>
      <c r="O243" s="2127"/>
      <c r="P243" s="2127"/>
      <c r="Q243" s="2127"/>
      <c r="R243" s="2127"/>
      <c r="S243" s="2127"/>
      <c r="T243" s="2127"/>
      <c r="U243" s="2127"/>
      <c r="V243" s="2127"/>
      <c r="W243" s="2127"/>
      <c r="X243" s="2127"/>
      <c r="Y243" s="2127"/>
      <c r="Z243" s="2127"/>
      <c r="AA243" s="2127"/>
      <c r="AB243" s="2127"/>
      <c r="AC243" s="2127"/>
      <c r="AD243" s="2127"/>
      <c r="AE243" s="2127"/>
    </row>
    <row r="244" spans="1:31">
      <c r="A244" s="2127"/>
      <c r="B244" s="2127"/>
      <c r="C244" s="2127"/>
      <c r="D244" s="2127"/>
      <c r="E244" s="2127"/>
      <c r="F244" s="2127"/>
      <c r="G244" s="2127"/>
      <c r="H244" s="2127"/>
      <c r="I244" s="2127"/>
      <c r="J244" s="2127"/>
      <c r="K244" s="2127"/>
      <c r="L244" s="2127"/>
      <c r="M244" s="2127"/>
      <c r="N244" s="2127"/>
      <c r="O244" s="2127"/>
      <c r="P244" s="2127"/>
      <c r="Q244" s="2127"/>
      <c r="R244" s="2127"/>
      <c r="S244" s="2127"/>
      <c r="T244" s="2127"/>
      <c r="U244" s="2127"/>
      <c r="V244" s="2127"/>
      <c r="W244" s="2127"/>
      <c r="X244" s="2127"/>
      <c r="Y244" s="2127"/>
      <c r="Z244" s="2127"/>
      <c r="AA244" s="2127"/>
      <c r="AB244" s="2127"/>
      <c r="AC244" s="2127"/>
      <c r="AD244" s="2127"/>
      <c r="AE244" s="2127"/>
    </row>
    <row r="245" spans="1:31">
      <c r="A245" s="2127"/>
      <c r="B245" s="2127"/>
      <c r="C245" s="2127"/>
      <c r="D245" s="2127"/>
      <c r="E245" s="2127"/>
      <c r="F245" s="2127"/>
      <c r="G245" s="2127"/>
      <c r="H245" s="2127"/>
      <c r="I245" s="2127"/>
      <c r="J245" s="2127"/>
      <c r="K245" s="2127"/>
      <c r="L245" s="2127"/>
      <c r="M245" s="2127"/>
      <c r="N245" s="2127"/>
      <c r="O245" s="2127"/>
      <c r="P245" s="2127"/>
      <c r="Q245" s="2127"/>
      <c r="R245" s="2127"/>
      <c r="S245" s="2127"/>
      <c r="T245" s="2127"/>
      <c r="U245" s="2127"/>
      <c r="V245" s="2127"/>
      <c r="W245" s="2127"/>
      <c r="X245" s="2127"/>
      <c r="Y245" s="2127"/>
      <c r="Z245" s="2127"/>
      <c r="AA245" s="2127"/>
      <c r="AB245" s="2127"/>
      <c r="AC245" s="2127"/>
      <c r="AD245" s="2127"/>
      <c r="AE245" s="2127"/>
    </row>
    <row r="246" spans="1:31">
      <c r="A246" s="2127"/>
      <c r="B246" s="2127"/>
      <c r="C246" s="2127"/>
      <c r="D246" s="2127"/>
      <c r="E246" s="2127"/>
      <c r="F246" s="2127"/>
      <c r="G246" s="2127"/>
      <c r="H246" s="2127"/>
      <c r="I246" s="2127"/>
      <c r="J246" s="2127"/>
      <c r="K246" s="2127"/>
      <c r="L246" s="2127"/>
      <c r="M246" s="2127"/>
      <c r="N246" s="2127"/>
      <c r="O246" s="2127"/>
      <c r="P246" s="2127"/>
      <c r="Q246" s="2127"/>
      <c r="R246" s="2127"/>
      <c r="S246" s="2127"/>
      <c r="T246" s="2127"/>
      <c r="U246" s="2127"/>
      <c r="V246" s="2127"/>
      <c r="W246" s="2127"/>
      <c r="X246" s="2127"/>
      <c r="Y246" s="2127"/>
      <c r="Z246" s="2127"/>
      <c r="AA246" s="2127"/>
      <c r="AB246" s="2127"/>
      <c r="AC246" s="2127"/>
      <c r="AD246" s="2127"/>
      <c r="AE246" s="2127"/>
    </row>
    <row r="247" spans="1:31">
      <c r="A247" s="2127"/>
      <c r="B247" s="2127"/>
      <c r="C247" s="2127"/>
      <c r="D247" s="2127"/>
      <c r="E247" s="2127"/>
      <c r="F247" s="2127"/>
      <c r="G247" s="2127"/>
      <c r="H247" s="2127"/>
      <c r="I247" s="2127"/>
      <c r="J247" s="2127"/>
      <c r="K247" s="2127"/>
      <c r="L247" s="2127"/>
      <c r="M247" s="2127"/>
      <c r="N247" s="2127"/>
      <c r="O247" s="2127"/>
      <c r="P247" s="2127"/>
      <c r="Q247" s="2127"/>
      <c r="R247" s="2127"/>
      <c r="S247" s="2127"/>
      <c r="T247" s="2127"/>
      <c r="U247" s="2127"/>
      <c r="V247" s="2127"/>
      <c r="W247" s="2127"/>
      <c r="X247" s="2127"/>
      <c r="Y247" s="2127"/>
      <c r="Z247" s="2127"/>
      <c r="AA247" s="2127"/>
      <c r="AB247" s="2127"/>
      <c r="AC247" s="2127"/>
      <c r="AD247" s="2127"/>
      <c r="AE247" s="2127"/>
    </row>
    <row r="248" spans="1:31">
      <c r="A248" s="2127"/>
      <c r="B248" s="2127"/>
      <c r="C248" s="2127"/>
      <c r="D248" s="2127"/>
      <c r="E248" s="2127"/>
      <c r="F248" s="2127"/>
      <c r="G248" s="2127"/>
      <c r="H248" s="2127"/>
      <c r="I248" s="2127"/>
      <c r="J248" s="2127"/>
      <c r="K248" s="2127"/>
      <c r="L248" s="2127"/>
      <c r="M248" s="2127"/>
      <c r="N248" s="2127"/>
      <c r="O248" s="2127"/>
      <c r="P248" s="2127"/>
      <c r="Q248" s="2127"/>
      <c r="R248" s="2127"/>
      <c r="S248" s="2127"/>
      <c r="T248" s="2127"/>
      <c r="U248" s="2127"/>
      <c r="V248" s="2127"/>
      <c r="W248" s="2127"/>
      <c r="X248" s="2127"/>
      <c r="Y248" s="2127"/>
      <c r="Z248" s="2127"/>
      <c r="AA248" s="2127"/>
      <c r="AB248" s="2127"/>
      <c r="AC248" s="2127"/>
      <c r="AD248" s="2127"/>
      <c r="AE248" s="2127"/>
    </row>
    <row r="249" spans="1:31">
      <c r="A249" s="2127"/>
      <c r="B249" s="2127"/>
      <c r="C249" s="2127"/>
      <c r="D249" s="2127"/>
      <c r="E249" s="2127"/>
      <c r="F249" s="2127"/>
      <c r="G249" s="2127"/>
      <c r="H249" s="2127"/>
      <c r="I249" s="2127"/>
      <c r="J249" s="2127"/>
      <c r="K249" s="2127"/>
      <c r="L249" s="2127"/>
      <c r="M249" s="2127"/>
      <c r="N249" s="2127"/>
      <c r="O249" s="2127"/>
      <c r="P249" s="2127"/>
      <c r="Q249" s="2127"/>
      <c r="R249" s="2127"/>
      <c r="S249" s="2127"/>
      <c r="T249" s="2127"/>
      <c r="U249" s="2127"/>
      <c r="V249" s="2127"/>
      <c r="W249" s="2127"/>
      <c r="X249" s="2127"/>
      <c r="Y249" s="2127"/>
      <c r="Z249" s="2127"/>
      <c r="AA249" s="2127"/>
      <c r="AB249" s="2127"/>
      <c r="AC249" s="2127"/>
      <c r="AD249" s="2127"/>
      <c r="AE249" s="2127"/>
    </row>
    <row r="250" spans="1:31">
      <c r="A250" s="2127"/>
      <c r="B250" s="2127"/>
      <c r="C250" s="2127"/>
      <c r="D250" s="2127"/>
      <c r="E250" s="2127"/>
      <c r="F250" s="2127"/>
      <c r="G250" s="2127"/>
      <c r="H250" s="2127"/>
      <c r="I250" s="2127"/>
      <c r="J250" s="2127"/>
      <c r="K250" s="2127"/>
      <c r="L250" s="2127"/>
      <c r="M250" s="2127"/>
      <c r="N250" s="2127"/>
      <c r="O250" s="2127"/>
      <c r="P250" s="2127"/>
      <c r="Q250" s="2127"/>
      <c r="R250" s="2127"/>
      <c r="S250" s="2127"/>
      <c r="T250" s="2127"/>
      <c r="U250" s="2127"/>
      <c r="V250" s="2127"/>
      <c r="W250" s="2127"/>
      <c r="X250" s="2127"/>
      <c r="Y250" s="2127"/>
      <c r="Z250" s="2127"/>
      <c r="AA250" s="2127"/>
      <c r="AB250" s="2127"/>
      <c r="AC250" s="2127"/>
      <c r="AD250" s="2127"/>
      <c r="AE250" s="2127"/>
    </row>
    <row r="251" spans="1:31">
      <c r="A251" s="2127"/>
      <c r="B251" s="2127"/>
      <c r="C251" s="2127"/>
      <c r="D251" s="2127"/>
      <c r="E251" s="2127"/>
      <c r="F251" s="2127"/>
      <c r="G251" s="2127"/>
      <c r="H251" s="2127"/>
      <c r="I251" s="2127"/>
      <c r="J251" s="2127"/>
      <c r="K251" s="2127"/>
      <c r="L251" s="2127"/>
      <c r="M251" s="2127"/>
      <c r="N251" s="2127"/>
      <c r="O251" s="2127"/>
      <c r="P251" s="2127"/>
      <c r="Q251" s="2127"/>
      <c r="R251" s="2127"/>
      <c r="S251" s="2127"/>
      <c r="T251" s="2127"/>
      <c r="U251" s="2127"/>
      <c r="V251" s="2127"/>
      <c r="W251" s="2127"/>
      <c r="X251" s="2127"/>
      <c r="Y251" s="2127"/>
      <c r="Z251" s="2127"/>
      <c r="AA251" s="2127"/>
      <c r="AB251" s="2127"/>
      <c r="AC251" s="2127"/>
      <c r="AD251" s="2127"/>
      <c r="AE251" s="2127"/>
    </row>
    <row r="252" spans="1:31">
      <c r="A252" s="2127"/>
      <c r="B252" s="2127"/>
      <c r="C252" s="2127"/>
      <c r="D252" s="2127"/>
      <c r="E252" s="2127"/>
      <c r="F252" s="2127"/>
      <c r="G252" s="2127"/>
      <c r="H252" s="2127"/>
      <c r="I252" s="2127"/>
      <c r="J252" s="2127"/>
      <c r="K252" s="2127"/>
      <c r="L252" s="2127"/>
      <c r="M252" s="2127"/>
      <c r="N252" s="2127"/>
      <c r="O252" s="2127"/>
      <c r="P252" s="2127"/>
      <c r="Q252" s="2127"/>
      <c r="R252" s="2127"/>
      <c r="S252" s="2127"/>
      <c r="T252" s="2127"/>
      <c r="U252" s="2127"/>
      <c r="V252" s="2127"/>
      <c r="W252" s="2127"/>
      <c r="X252" s="2127"/>
      <c r="Y252" s="2127"/>
      <c r="Z252" s="2127"/>
      <c r="AA252" s="2127"/>
      <c r="AB252" s="2127"/>
      <c r="AC252" s="2127"/>
      <c r="AD252" s="2127"/>
      <c r="AE252" s="2127"/>
    </row>
    <row r="253" spans="1:31">
      <c r="A253" s="2127"/>
      <c r="B253" s="2127"/>
      <c r="C253" s="2127"/>
      <c r="D253" s="2127"/>
      <c r="E253" s="2127"/>
      <c r="F253" s="2127"/>
      <c r="G253" s="2127"/>
      <c r="H253" s="2127"/>
      <c r="I253" s="2127"/>
      <c r="J253" s="2127"/>
      <c r="K253" s="2127"/>
      <c r="L253" s="2127"/>
      <c r="M253" s="2127"/>
      <c r="N253" s="2127"/>
      <c r="O253" s="2127"/>
      <c r="P253" s="2127"/>
      <c r="Q253" s="2127"/>
      <c r="R253" s="2127"/>
      <c r="S253" s="2127"/>
      <c r="T253" s="2127"/>
      <c r="U253" s="2127"/>
      <c r="V253" s="2127"/>
      <c r="W253" s="2127"/>
      <c r="X253" s="2127"/>
      <c r="Y253" s="2127"/>
      <c r="Z253" s="2127"/>
      <c r="AA253" s="2127"/>
      <c r="AB253" s="2127"/>
      <c r="AC253" s="2127"/>
      <c r="AD253" s="2127"/>
      <c r="AE253" s="2127"/>
    </row>
    <row r="254" spans="1:31">
      <c r="A254" s="2127"/>
      <c r="B254" s="2127"/>
      <c r="C254" s="2127"/>
      <c r="D254" s="2127"/>
      <c r="E254" s="2127"/>
      <c r="F254" s="2127"/>
      <c r="G254" s="2127"/>
      <c r="H254" s="2127"/>
      <c r="I254" s="2127"/>
      <c r="J254" s="2127"/>
      <c r="K254" s="2127"/>
      <c r="L254" s="2127"/>
      <c r="M254" s="2127"/>
      <c r="N254" s="2127"/>
      <c r="O254" s="2127"/>
      <c r="P254" s="2127"/>
      <c r="Q254" s="2127"/>
      <c r="R254" s="2127"/>
      <c r="S254" s="2127"/>
      <c r="T254" s="2127"/>
      <c r="U254" s="2127"/>
      <c r="V254" s="2127"/>
      <c r="W254" s="2127"/>
      <c r="X254" s="2127"/>
      <c r="Y254" s="2127"/>
      <c r="Z254" s="2127"/>
      <c r="AA254" s="2127"/>
      <c r="AB254" s="2127"/>
      <c r="AC254" s="2127"/>
      <c r="AD254" s="2127"/>
      <c r="AE254" s="2127"/>
    </row>
    <row r="255" spans="1:31">
      <c r="A255" s="2127"/>
      <c r="B255" s="2127"/>
      <c r="C255" s="2127"/>
      <c r="D255" s="2127"/>
      <c r="E255" s="2127"/>
      <c r="F255" s="2127"/>
      <c r="G255" s="2127"/>
      <c r="H255" s="2127"/>
      <c r="I255" s="2127"/>
      <c r="J255" s="2127"/>
      <c r="K255" s="2127"/>
      <c r="L255" s="2127"/>
      <c r="M255" s="2127"/>
      <c r="N255" s="2127"/>
      <c r="O255" s="2127"/>
      <c r="P255" s="2127"/>
      <c r="Q255" s="2127"/>
      <c r="R255" s="2127"/>
      <c r="S255" s="2127"/>
      <c r="T255" s="2127"/>
      <c r="U255" s="2127"/>
      <c r="V255" s="2127"/>
      <c r="W255" s="2127"/>
      <c r="X255" s="2127"/>
      <c r="Y255" s="2127"/>
      <c r="Z255" s="2127"/>
      <c r="AA255" s="2127"/>
      <c r="AB255" s="2127"/>
      <c r="AC255" s="2127"/>
      <c r="AD255" s="2127"/>
      <c r="AE255" s="2127"/>
    </row>
    <row r="256" spans="1:31">
      <c r="A256" s="2127"/>
      <c r="B256" s="2127"/>
      <c r="C256" s="2127"/>
      <c r="D256" s="2127"/>
      <c r="E256" s="2127"/>
      <c r="F256" s="2127"/>
      <c r="G256" s="2127"/>
      <c r="H256" s="2127"/>
      <c r="I256" s="2127"/>
      <c r="J256" s="2127"/>
      <c r="K256" s="2127"/>
      <c r="L256" s="2127"/>
      <c r="M256" s="2127"/>
      <c r="N256" s="2127"/>
      <c r="O256" s="2127"/>
      <c r="P256" s="2127"/>
      <c r="Q256" s="2127"/>
      <c r="R256" s="2127"/>
      <c r="S256" s="2127"/>
      <c r="T256" s="2127"/>
      <c r="U256" s="2127"/>
      <c r="V256" s="2127"/>
      <c r="W256" s="2127"/>
      <c r="X256" s="2127"/>
      <c r="Y256" s="2127"/>
      <c r="Z256" s="2127"/>
      <c r="AA256" s="2127"/>
      <c r="AB256" s="2127"/>
      <c r="AC256" s="2127"/>
      <c r="AD256" s="2127"/>
      <c r="AE256" s="2127"/>
    </row>
    <row r="257" spans="1:31">
      <c r="A257" s="2127"/>
      <c r="B257" s="2127"/>
      <c r="C257" s="2127"/>
      <c r="D257" s="2127"/>
      <c r="E257" s="2127"/>
      <c r="F257" s="2127"/>
      <c r="G257" s="2127"/>
      <c r="H257" s="2127"/>
      <c r="I257" s="2127"/>
      <c r="J257" s="2127"/>
      <c r="K257" s="2127"/>
      <c r="L257" s="2127"/>
      <c r="M257" s="2127"/>
      <c r="N257" s="2127"/>
      <c r="O257" s="2127"/>
      <c r="P257" s="2127"/>
      <c r="Q257" s="2127"/>
      <c r="R257" s="2127"/>
      <c r="S257" s="2127"/>
      <c r="T257" s="2127"/>
      <c r="U257" s="2127"/>
      <c r="V257" s="2127"/>
      <c r="W257" s="2127"/>
      <c r="X257" s="2127"/>
      <c r="Y257" s="2127"/>
      <c r="Z257" s="2127"/>
      <c r="AA257" s="2127"/>
      <c r="AB257" s="2127"/>
      <c r="AC257" s="2127"/>
      <c r="AD257" s="2127"/>
      <c r="AE257" s="2127"/>
    </row>
    <row r="258" spans="1:31">
      <c r="A258" s="2127"/>
      <c r="B258" s="2127"/>
      <c r="C258" s="2127"/>
      <c r="D258" s="2127"/>
      <c r="E258" s="2127"/>
      <c r="F258" s="2127"/>
      <c r="G258" s="2127"/>
      <c r="H258" s="2127"/>
      <c r="I258" s="2127"/>
      <c r="J258" s="2127"/>
      <c r="K258" s="2127"/>
      <c r="L258" s="2127"/>
      <c r="M258" s="2127"/>
      <c r="N258" s="2127"/>
      <c r="O258" s="2127"/>
      <c r="P258" s="2127"/>
      <c r="Q258" s="2127"/>
      <c r="R258" s="2127"/>
      <c r="S258" s="2127"/>
      <c r="T258" s="2127"/>
      <c r="U258" s="2127"/>
      <c r="V258" s="2127"/>
      <c r="W258" s="2127"/>
      <c r="X258" s="2127"/>
      <c r="Y258" s="2127"/>
      <c r="Z258" s="2127"/>
      <c r="AA258" s="2127"/>
      <c r="AB258" s="2127"/>
      <c r="AC258" s="2127"/>
      <c r="AD258" s="2127"/>
      <c r="AE258" s="2127"/>
    </row>
    <row r="259" spans="1:31">
      <c r="A259" s="2127"/>
      <c r="B259" s="2127"/>
      <c r="C259" s="2127"/>
      <c r="D259" s="2127"/>
      <c r="E259" s="2127"/>
      <c r="F259" s="2127"/>
      <c r="G259" s="2127"/>
      <c r="H259" s="2127"/>
      <c r="I259" s="2127"/>
      <c r="J259" s="2127"/>
      <c r="K259" s="2127"/>
      <c r="L259" s="2127"/>
      <c r="M259" s="2127"/>
      <c r="N259" s="2127"/>
      <c r="O259" s="2127"/>
      <c r="P259" s="2127"/>
      <c r="Q259" s="2127"/>
      <c r="R259" s="2127"/>
      <c r="S259" s="2127"/>
      <c r="T259" s="2127"/>
      <c r="U259" s="2127"/>
      <c r="V259" s="2127"/>
      <c r="W259" s="2127"/>
      <c r="X259" s="2127"/>
      <c r="Y259" s="2127"/>
      <c r="Z259" s="2127"/>
      <c r="AA259" s="2127"/>
      <c r="AB259" s="2127"/>
      <c r="AC259" s="2127"/>
      <c r="AD259" s="2127"/>
      <c r="AE259" s="2127"/>
    </row>
    <row r="260" spans="1:31">
      <c r="A260" s="2127"/>
      <c r="B260" s="2127"/>
      <c r="C260" s="2127"/>
      <c r="D260" s="2127"/>
      <c r="E260" s="2127"/>
      <c r="F260" s="2127"/>
      <c r="G260" s="2127"/>
      <c r="H260" s="2127"/>
      <c r="I260" s="2127"/>
      <c r="J260" s="2127"/>
      <c r="K260" s="2127"/>
      <c r="L260" s="2127"/>
      <c r="M260" s="2127"/>
      <c r="N260" s="2127"/>
      <c r="O260" s="2127"/>
      <c r="P260" s="2127"/>
      <c r="Q260" s="2127"/>
      <c r="R260" s="2127"/>
      <c r="S260" s="2127"/>
      <c r="T260" s="2127"/>
      <c r="U260" s="2127"/>
      <c r="V260" s="2127"/>
      <c r="W260" s="2127"/>
      <c r="X260" s="2127"/>
      <c r="Y260" s="2127"/>
      <c r="Z260" s="2127"/>
      <c r="AA260" s="2127"/>
      <c r="AB260" s="2127"/>
      <c r="AC260" s="2127"/>
      <c r="AD260" s="2127"/>
      <c r="AE260" s="2127"/>
    </row>
    <row r="261" spans="1:31">
      <c r="A261" s="2127"/>
      <c r="B261" s="2127"/>
      <c r="C261" s="2127"/>
      <c r="D261" s="2127"/>
      <c r="E261" s="2127"/>
      <c r="F261" s="2127"/>
      <c r="G261" s="2127"/>
      <c r="H261" s="2127"/>
      <c r="I261" s="2127"/>
      <c r="J261" s="2127"/>
      <c r="K261" s="2127"/>
      <c r="L261" s="2127"/>
      <c r="M261" s="2127"/>
      <c r="N261" s="2127"/>
      <c r="O261" s="2127"/>
      <c r="P261" s="2127"/>
      <c r="Q261" s="2127"/>
      <c r="R261" s="2127"/>
      <c r="S261" s="2127"/>
      <c r="T261" s="2127"/>
      <c r="U261" s="2127"/>
      <c r="V261" s="2127"/>
      <c r="W261" s="2127"/>
      <c r="X261" s="2127"/>
      <c r="Y261" s="2127"/>
      <c r="Z261" s="2127"/>
      <c r="AA261" s="2127"/>
      <c r="AB261" s="2127"/>
      <c r="AC261" s="2127"/>
      <c r="AD261" s="2127"/>
      <c r="AE261" s="2127"/>
    </row>
    <row r="262" spans="1:31">
      <c r="A262" s="2127"/>
      <c r="B262" s="2127"/>
      <c r="C262" s="2127"/>
      <c r="D262" s="2127"/>
      <c r="E262" s="2127"/>
      <c r="F262" s="2127"/>
      <c r="G262" s="2127"/>
      <c r="H262" s="2127"/>
      <c r="I262" s="2127"/>
      <c r="J262" s="2127"/>
      <c r="K262" s="2127"/>
      <c r="L262" s="2127"/>
      <c r="M262" s="2127"/>
      <c r="N262" s="2127"/>
      <c r="O262" s="2127"/>
      <c r="P262" s="2127"/>
      <c r="Q262" s="2127"/>
      <c r="R262" s="2127"/>
      <c r="S262" s="2127"/>
      <c r="T262" s="2127"/>
      <c r="U262" s="2127"/>
      <c r="V262" s="2127"/>
      <c r="W262" s="2127"/>
      <c r="X262" s="2127"/>
      <c r="Y262" s="2127"/>
      <c r="Z262" s="2127"/>
      <c r="AA262" s="2127"/>
      <c r="AB262" s="2127"/>
      <c r="AC262" s="2127"/>
      <c r="AD262" s="2127"/>
      <c r="AE262" s="2127"/>
    </row>
    <row r="263" spans="1:31">
      <c r="A263" s="2127"/>
      <c r="B263" s="2127"/>
      <c r="C263" s="2127"/>
      <c r="D263" s="2127"/>
      <c r="E263" s="2127"/>
      <c r="F263" s="2127"/>
      <c r="G263" s="2127"/>
      <c r="H263" s="2127"/>
      <c r="I263" s="2127"/>
      <c r="J263" s="2127"/>
      <c r="K263" s="2127"/>
      <c r="L263" s="2127"/>
      <c r="M263" s="2127"/>
      <c r="N263" s="2127"/>
      <c r="O263" s="2127"/>
      <c r="P263" s="2127"/>
      <c r="Q263" s="2127"/>
      <c r="R263" s="2127"/>
      <c r="S263" s="2127"/>
      <c r="T263" s="2127"/>
      <c r="U263" s="2127"/>
      <c r="V263" s="2127"/>
      <c r="W263" s="2127"/>
      <c r="X263" s="2127"/>
      <c r="Y263" s="2127"/>
      <c r="Z263" s="2127"/>
      <c r="AA263" s="2127"/>
      <c r="AB263" s="2127"/>
      <c r="AC263" s="2127"/>
      <c r="AD263" s="2127"/>
      <c r="AE263" s="2127"/>
    </row>
    <row r="264" spans="1:31">
      <c r="A264" s="2127"/>
      <c r="B264" s="2127"/>
      <c r="C264" s="2127"/>
      <c r="D264" s="2127"/>
      <c r="E264" s="2127"/>
      <c r="F264" s="2127"/>
      <c r="G264" s="2127"/>
      <c r="H264" s="2127"/>
      <c r="I264" s="2127"/>
      <c r="J264" s="2127"/>
      <c r="K264" s="2127"/>
      <c r="L264" s="2127"/>
      <c r="M264" s="2127"/>
      <c r="N264" s="2127"/>
      <c r="O264" s="2127"/>
      <c r="P264" s="2127"/>
      <c r="Q264" s="2127"/>
      <c r="R264" s="2127"/>
      <c r="S264" s="2127"/>
      <c r="T264" s="2127"/>
      <c r="U264" s="2127"/>
      <c r="V264" s="2127"/>
      <c r="W264" s="2127"/>
      <c r="X264" s="2127"/>
      <c r="Y264" s="2127"/>
      <c r="Z264" s="2127"/>
      <c r="AA264" s="2127"/>
      <c r="AB264" s="2127"/>
      <c r="AC264" s="2127"/>
      <c r="AD264" s="2127"/>
      <c r="AE264" s="2127"/>
    </row>
    <row r="265" spans="1:31">
      <c r="A265" s="2127"/>
      <c r="B265" s="2127"/>
      <c r="C265" s="2127"/>
      <c r="D265" s="2127"/>
      <c r="E265" s="2127"/>
      <c r="F265" s="2127"/>
      <c r="G265" s="2127"/>
      <c r="H265" s="2127"/>
      <c r="I265" s="2127"/>
      <c r="J265" s="2127"/>
      <c r="K265" s="2127"/>
      <c r="L265" s="2127"/>
      <c r="M265" s="2127"/>
      <c r="N265" s="2127"/>
      <c r="O265" s="2127"/>
      <c r="P265" s="2127"/>
      <c r="Q265" s="2127"/>
      <c r="R265" s="2127"/>
      <c r="S265" s="2127"/>
      <c r="T265" s="2127"/>
      <c r="U265" s="2127"/>
      <c r="V265" s="2127"/>
      <c r="W265" s="2127"/>
      <c r="X265" s="2127"/>
      <c r="Y265" s="2127"/>
      <c r="Z265" s="2127"/>
      <c r="AA265" s="2127"/>
      <c r="AB265" s="2127"/>
      <c r="AC265" s="2127"/>
      <c r="AD265" s="2127"/>
      <c r="AE265" s="2127"/>
    </row>
    <row r="266" spans="1:31">
      <c r="A266" s="2127"/>
      <c r="B266" s="2127"/>
      <c r="C266" s="2127"/>
      <c r="D266" s="2127"/>
      <c r="E266" s="2127"/>
      <c r="F266" s="2127"/>
      <c r="G266" s="2127"/>
      <c r="H266" s="2127"/>
      <c r="I266" s="2127"/>
      <c r="J266" s="2127"/>
      <c r="K266" s="2127"/>
      <c r="L266" s="2127"/>
      <c r="M266" s="2127"/>
      <c r="N266" s="2127"/>
      <c r="O266" s="2127"/>
      <c r="P266" s="2127"/>
      <c r="Q266" s="2127"/>
      <c r="R266" s="2127"/>
      <c r="S266" s="2127"/>
      <c r="T266" s="2127"/>
      <c r="U266" s="2127"/>
      <c r="V266" s="2127"/>
      <c r="W266" s="2127"/>
      <c r="X266" s="2127"/>
      <c r="Y266" s="2127"/>
      <c r="Z266" s="2127"/>
      <c r="AA266" s="2127"/>
      <c r="AB266" s="2127"/>
      <c r="AC266" s="2127"/>
      <c r="AD266" s="2127"/>
      <c r="AE266" s="2127"/>
    </row>
    <row r="267" spans="1:31">
      <c r="A267" s="2127"/>
      <c r="B267" s="2127"/>
      <c r="C267" s="2127"/>
      <c r="D267" s="2127"/>
      <c r="E267" s="2127"/>
      <c r="F267" s="2127"/>
      <c r="G267" s="2127"/>
      <c r="H267" s="2127"/>
      <c r="I267" s="2127"/>
      <c r="J267" s="2127"/>
      <c r="K267" s="2127"/>
      <c r="L267" s="2127"/>
      <c r="M267" s="2127"/>
      <c r="N267" s="2127"/>
      <c r="O267" s="2127"/>
      <c r="P267" s="2127"/>
      <c r="Q267" s="2127"/>
      <c r="R267" s="2127"/>
      <c r="S267" s="2127"/>
      <c r="T267" s="2127"/>
      <c r="U267" s="2127"/>
      <c r="V267" s="2127"/>
      <c r="W267" s="2127"/>
      <c r="X267" s="2127"/>
      <c r="Y267" s="2127"/>
      <c r="Z267" s="2127"/>
      <c r="AA267" s="2127"/>
      <c r="AB267" s="2127"/>
      <c r="AC267" s="2127"/>
      <c r="AD267" s="2127"/>
      <c r="AE267" s="2127"/>
    </row>
    <row r="268" spans="1:31">
      <c r="A268" s="2127"/>
      <c r="B268" s="2127"/>
      <c r="C268" s="2127"/>
      <c r="D268" s="2127"/>
      <c r="E268" s="2127"/>
      <c r="F268" s="2127"/>
      <c r="G268" s="2127"/>
      <c r="H268" s="2127"/>
      <c r="I268" s="2127"/>
      <c r="J268" s="2127"/>
      <c r="K268" s="2127"/>
      <c r="L268" s="2127"/>
      <c r="M268" s="2127"/>
      <c r="N268" s="2127"/>
      <c r="O268" s="2127"/>
      <c r="P268" s="2127"/>
      <c r="Q268" s="2127"/>
      <c r="R268" s="2127"/>
      <c r="S268" s="2127"/>
      <c r="T268" s="2127"/>
      <c r="U268" s="2127"/>
      <c r="V268" s="2127"/>
      <c r="W268" s="2127"/>
      <c r="X268" s="2127"/>
      <c r="Y268" s="2127"/>
      <c r="Z268" s="2127"/>
      <c r="AA268" s="2127"/>
      <c r="AB268" s="2127"/>
      <c r="AC268" s="2127"/>
      <c r="AD268" s="2127"/>
      <c r="AE268" s="2127"/>
    </row>
    <row r="269" spans="1:31">
      <c r="A269" s="2127"/>
      <c r="B269" s="2127"/>
      <c r="C269" s="2127"/>
      <c r="D269" s="2127"/>
      <c r="E269" s="2127"/>
      <c r="F269" s="2127"/>
      <c r="G269" s="2127"/>
      <c r="H269" s="2127"/>
      <c r="I269" s="2127"/>
      <c r="J269" s="2127"/>
      <c r="K269" s="2127"/>
      <c r="L269" s="2127"/>
      <c r="M269" s="2127"/>
      <c r="N269" s="2127"/>
      <c r="O269" s="2127"/>
      <c r="P269" s="2127"/>
      <c r="Q269" s="2127"/>
      <c r="R269" s="2127"/>
      <c r="S269" s="2127"/>
      <c r="T269" s="2127"/>
      <c r="U269" s="2127"/>
      <c r="V269" s="2127"/>
      <c r="W269" s="2127"/>
      <c r="X269" s="2127"/>
      <c r="Y269" s="2127"/>
      <c r="Z269" s="2127"/>
      <c r="AA269" s="2127"/>
      <c r="AB269" s="2127"/>
      <c r="AC269" s="2127"/>
      <c r="AD269" s="2127"/>
      <c r="AE269" s="2127"/>
    </row>
    <row r="270" spans="1:31">
      <c r="A270" s="2127"/>
      <c r="B270" s="2127"/>
      <c r="C270" s="2127"/>
      <c r="D270" s="2127"/>
      <c r="E270" s="2127"/>
      <c r="F270" s="2127"/>
      <c r="G270" s="2127"/>
      <c r="H270" s="2127"/>
      <c r="I270" s="2127"/>
      <c r="J270" s="2127"/>
      <c r="K270" s="2127"/>
      <c r="L270" s="2127"/>
      <c r="M270" s="2127"/>
      <c r="N270" s="2127"/>
      <c r="O270" s="2127"/>
      <c r="P270" s="2127"/>
      <c r="Q270" s="2127"/>
      <c r="R270" s="2127"/>
      <c r="S270" s="2127"/>
      <c r="T270" s="2127"/>
      <c r="U270" s="2127"/>
      <c r="V270" s="2127"/>
      <c r="W270" s="2127"/>
      <c r="X270" s="2127"/>
      <c r="Y270" s="2127"/>
      <c r="Z270" s="2127"/>
      <c r="AA270" s="2127"/>
      <c r="AB270" s="2127"/>
      <c r="AC270" s="2127"/>
      <c r="AD270" s="2127"/>
      <c r="AE270" s="2127"/>
    </row>
    <row r="271" spans="1:31">
      <c r="A271" s="2127"/>
      <c r="B271" s="2127"/>
      <c r="C271" s="2127"/>
      <c r="D271" s="2127"/>
      <c r="E271" s="2127"/>
      <c r="F271" s="2127"/>
      <c r="G271" s="2127"/>
      <c r="H271" s="2127"/>
      <c r="I271" s="2127"/>
      <c r="J271" s="2127"/>
      <c r="K271" s="2127"/>
      <c r="L271" s="2127"/>
      <c r="M271" s="2127"/>
      <c r="N271" s="2127"/>
      <c r="O271" s="2127"/>
      <c r="P271" s="2127"/>
      <c r="Q271" s="2127"/>
      <c r="R271" s="2127"/>
      <c r="S271" s="2127"/>
      <c r="T271" s="2127"/>
      <c r="U271" s="2127"/>
      <c r="V271" s="2127"/>
      <c r="W271" s="2127"/>
      <c r="X271" s="2127"/>
      <c r="Y271" s="2127"/>
      <c r="Z271" s="2127"/>
      <c r="AA271" s="2127"/>
      <c r="AB271" s="2127"/>
      <c r="AC271" s="2127"/>
      <c r="AD271" s="2127"/>
      <c r="AE271" s="2127"/>
    </row>
    <row r="272" spans="1:31">
      <c r="A272" s="2127"/>
      <c r="B272" s="2127"/>
      <c r="C272" s="2127"/>
      <c r="D272" s="2127"/>
      <c r="E272" s="2127"/>
      <c r="F272" s="2127"/>
      <c r="G272" s="2127"/>
      <c r="H272" s="2127"/>
      <c r="I272" s="2127"/>
      <c r="J272" s="2127"/>
      <c r="K272" s="2127"/>
      <c r="L272" s="2127"/>
      <c r="M272" s="2127"/>
      <c r="N272" s="2127"/>
      <c r="O272" s="2127"/>
      <c r="P272" s="2127"/>
      <c r="Q272" s="2127"/>
      <c r="R272" s="2127"/>
      <c r="S272" s="2127"/>
      <c r="T272" s="2127"/>
      <c r="U272" s="2127"/>
      <c r="V272" s="2127"/>
      <c r="W272" s="2127"/>
      <c r="X272" s="2127"/>
      <c r="Y272" s="2127"/>
      <c r="Z272" s="2127"/>
      <c r="AA272" s="2127"/>
      <c r="AB272" s="2127"/>
      <c r="AC272" s="2127"/>
      <c r="AD272" s="2127"/>
      <c r="AE272" s="2127"/>
    </row>
    <row r="273" spans="1:31">
      <c r="A273" s="2127"/>
      <c r="B273" s="2127"/>
      <c r="C273" s="2127"/>
      <c r="D273" s="2127"/>
      <c r="E273" s="2127"/>
      <c r="F273" s="2127"/>
      <c r="G273" s="2127"/>
      <c r="H273" s="2127"/>
      <c r="I273" s="2127"/>
      <c r="J273" s="2127"/>
      <c r="K273" s="2127"/>
      <c r="L273" s="2127"/>
      <c r="M273" s="2127"/>
      <c r="N273" s="2127"/>
      <c r="O273" s="2127"/>
      <c r="P273" s="2127"/>
      <c r="Q273" s="2127"/>
      <c r="R273" s="2127"/>
      <c r="S273" s="2127"/>
      <c r="T273" s="2127"/>
      <c r="U273" s="2127"/>
      <c r="V273" s="2127"/>
      <c r="W273" s="2127"/>
      <c r="X273" s="2127"/>
      <c r="Y273" s="2127"/>
      <c r="Z273" s="2127"/>
      <c r="AA273" s="2127"/>
      <c r="AB273" s="2127"/>
      <c r="AC273" s="2127"/>
      <c r="AD273" s="2127"/>
      <c r="AE273" s="2127"/>
    </row>
    <row r="274" spans="1:31">
      <c r="A274" s="2127"/>
      <c r="B274" s="2127"/>
      <c r="C274" s="2127"/>
      <c r="D274" s="2127"/>
      <c r="E274" s="2127"/>
      <c r="F274" s="2127"/>
      <c r="G274" s="2127"/>
      <c r="H274" s="2127"/>
      <c r="I274" s="2127"/>
      <c r="J274" s="2127"/>
      <c r="K274" s="2127"/>
      <c r="L274" s="2127"/>
      <c r="M274" s="2127"/>
      <c r="N274" s="2127"/>
      <c r="O274" s="2127"/>
      <c r="P274" s="2127"/>
      <c r="Q274" s="2127"/>
      <c r="R274" s="2127"/>
      <c r="S274" s="2127"/>
      <c r="T274" s="2127"/>
      <c r="U274" s="2127"/>
      <c r="V274" s="2127"/>
      <c r="W274" s="2127"/>
      <c r="X274" s="2127"/>
      <c r="Y274" s="2127"/>
      <c r="Z274" s="2127"/>
      <c r="AA274" s="2127"/>
      <c r="AB274" s="2127"/>
      <c r="AC274" s="2127"/>
      <c r="AD274" s="2127"/>
      <c r="AE274" s="2127"/>
    </row>
    <row r="275" spans="1:31">
      <c r="A275" s="2127"/>
      <c r="B275" s="2127"/>
      <c r="C275" s="2127"/>
      <c r="D275" s="2127"/>
      <c r="E275" s="2127"/>
      <c r="F275" s="2127"/>
      <c r="G275" s="2127"/>
      <c r="H275" s="2127"/>
      <c r="I275" s="2127"/>
      <c r="J275" s="2127"/>
      <c r="K275" s="2127"/>
      <c r="L275" s="2127"/>
      <c r="M275" s="2127"/>
      <c r="N275" s="2127"/>
      <c r="O275" s="2127"/>
      <c r="P275" s="2127"/>
      <c r="Q275" s="2127"/>
      <c r="R275" s="2127"/>
      <c r="S275" s="2127"/>
      <c r="T275" s="2127"/>
      <c r="U275" s="2127"/>
      <c r="V275" s="2127"/>
      <c r="W275" s="2127"/>
      <c r="X275" s="2127"/>
      <c r="Y275" s="2127"/>
      <c r="Z275" s="2127"/>
      <c r="AA275" s="2127"/>
      <c r="AB275" s="2127"/>
      <c r="AC275" s="2127"/>
      <c r="AD275" s="2127"/>
      <c r="AE275" s="2127"/>
    </row>
    <row r="276" spans="1:31">
      <c r="A276" s="2127"/>
      <c r="B276" s="2127"/>
      <c r="C276" s="2127"/>
      <c r="D276" s="2127"/>
      <c r="E276" s="2127"/>
      <c r="F276" s="2127"/>
      <c r="G276" s="2127"/>
      <c r="H276" s="2127"/>
      <c r="I276" s="2127"/>
      <c r="J276" s="2127"/>
      <c r="K276" s="2127"/>
      <c r="L276" s="2127"/>
      <c r="M276" s="2127"/>
      <c r="N276" s="2127"/>
      <c r="O276" s="2127"/>
      <c r="P276" s="2127"/>
      <c r="Q276" s="2127"/>
      <c r="R276" s="2127"/>
      <c r="S276" s="2127"/>
      <c r="T276" s="2127"/>
      <c r="U276" s="2127"/>
      <c r="V276" s="2127"/>
      <c r="W276" s="2127"/>
      <c r="X276" s="2127"/>
      <c r="Y276" s="2127"/>
      <c r="Z276" s="2127"/>
      <c r="AA276" s="2127"/>
      <c r="AB276" s="2127"/>
      <c r="AC276" s="2127"/>
      <c r="AD276" s="2127"/>
      <c r="AE276" s="2127"/>
    </row>
    <row r="277" spans="1:31">
      <c r="A277" s="2127"/>
      <c r="B277" s="2127"/>
      <c r="C277" s="2127"/>
      <c r="D277" s="2127"/>
      <c r="E277" s="2127"/>
      <c r="F277" s="2127"/>
      <c r="G277" s="2127"/>
      <c r="H277" s="2127"/>
      <c r="I277" s="2127"/>
      <c r="J277" s="2127"/>
      <c r="K277" s="2127"/>
      <c r="L277" s="2127"/>
      <c r="M277" s="2127"/>
      <c r="N277" s="2127"/>
      <c r="O277" s="2127"/>
      <c r="P277" s="2127"/>
      <c r="Q277" s="2127"/>
      <c r="R277" s="2127"/>
      <c r="S277" s="2127"/>
      <c r="T277" s="2127"/>
      <c r="U277" s="2127"/>
      <c r="V277" s="2127"/>
      <c r="W277" s="2127"/>
      <c r="X277" s="2127"/>
      <c r="Y277" s="2127"/>
      <c r="Z277" s="2127"/>
      <c r="AA277" s="2127"/>
      <c r="AB277" s="2127"/>
      <c r="AC277" s="2127"/>
      <c r="AD277" s="2127"/>
      <c r="AE277" s="2127"/>
    </row>
    <row r="278" spans="1:31">
      <c r="A278" s="2127"/>
      <c r="B278" s="2127"/>
      <c r="C278" s="2127"/>
      <c r="D278" s="2127"/>
      <c r="E278" s="2127"/>
      <c r="F278" s="2127"/>
      <c r="G278" s="2127"/>
      <c r="H278" s="2127"/>
      <c r="I278" s="2127"/>
      <c r="J278" s="2127"/>
      <c r="K278" s="2127"/>
      <c r="L278" s="2127"/>
      <c r="M278" s="2127"/>
      <c r="N278" s="2127"/>
      <c r="O278" s="2127"/>
      <c r="P278" s="2127"/>
      <c r="Q278" s="2127"/>
      <c r="R278" s="2127"/>
      <c r="S278" s="2127"/>
      <c r="T278" s="2127"/>
      <c r="U278" s="2127"/>
      <c r="V278" s="2127"/>
      <c r="W278" s="2127"/>
      <c r="X278" s="2127"/>
      <c r="Y278" s="2127"/>
      <c r="Z278" s="2127"/>
      <c r="AA278" s="2127"/>
      <c r="AB278" s="2127"/>
      <c r="AC278" s="2127"/>
      <c r="AD278" s="2127"/>
      <c r="AE278" s="2127"/>
    </row>
    <row r="279" spans="1:31">
      <c r="A279" s="2127"/>
      <c r="B279" s="2127"/>
      <c r="C279" s="2127"/>
      <c r="D279" s="2127"/>
      <c r="E279" s="2127"/>
      <c r="F279" s="2127"/>
      <c r="G279" s="2127"/>
      <c r="H279" s="2127"/>
      <c r="I279" s="2127"/>
      <c r="J279" s="2127"/>
      <c r="K279" s="2127"/>
      <c r="L279" s="2127"/>
      <c r="M279" s="2127"/>
      <c r="N279" s="2127"/>
      <c r="O279" s="2127"/>
      <c r="P279" s="2127"/>
      <c r="Q279" s="2127"/>
      <c r="R279" s="2127"/>
      <c r="S279" s="2127"/>
      <c r="T279" s="2127"/>
      <c r="U279" s="2127"/>
      <c r="V279" s="2127"/>
      <c r="W279" s="2127"/>
      <c r="X279" s="2127"/>
      <c r="Y279" s="2127"/>
      <c r="Z279" s="2127"/>
      <c r="AA279" s="2127"/>
      <c r="AB279" s="2127"/>
      <c r="AC279" s="2127"/>
      <c r="AD279" s="2127"/>
      <c r="AE279" s="2127"/>
    </row>
    <row r="280" spans="1:31">
      <c r="A280" s="2127"/>
      <c r="B280" s="2127"/>
      <c r="C280" s="2127"/>
      <c r="D280" s="2127"/>
      <c r="E280" s="2127"/>
      <c r="F280" s="2127"/>
      <c r="G280" s="2127"/>
      <c r="H280" s="2127"/>
      <c r="I280" s="2127"/>
      <c r="J280" s="2127"/>
      <c r="K280" s="2127"/>
      <c r="L280" s="2127"/>
      <c r="M280" s="2127"/>
      <c r="N280" s="2127"/>
      <c r="O280" s="2127"/>
      <c r="P280" s="2127"/>
      <c r="Q280" s="2127"/>
      <c r="R280" s="2127"/>
      <c r="S280" s="2127"/>
      <c r="T280" s="2127"/>
      <c r="U280" s="2127"/>
      <c r="V280" s="2127"/>
      <c r="W280" s="2127"/>
      <c r="X280" s="2127"/>
      <c r="Y280" s="2127"/>
      <c r="Z280" s="2127"/>
      <c r="AA280" s="2127"/>
      <c r="AB280" s="2127"/>
      <c r="AC280" s="2127"/>
      <c r="AD280" s="2127"/>
      <c r="AE280" s="2127"/>
    </row>
    <row r="281" spans="1:31">
      <c r="A281" s="2127"/>
      <c r="B281" s="2127"/>
      <c r="C281" s="2127"/>
      <c r="D281" s="2127"/>
      <c r="E281" s="2127"/>
      <c r="F281" s="2127"/>
      <c r="G281" s="2127"/>
      <c r="H281" s="2127"/>
      <c r="I281" s="2127"/>
      <c r="J281" s="2127"/>
      <c r="K281" s="2127"/>
      <c r="L281" s="2127"/>
      <c r="M281" s="2127"/>
      <c r="N281" s="2127"/>
      <c r="O281" s="2127"/>
      <c r="P281" s="2127"/>
      <c r="Q281" s="2127"/>
      <c r="R281" s="2127"/>
      <c r="S281" s="2127"/>
      <c r="T281" s="2127"/>
      <c r="U281" s="2127"/>
      <c r="V281" s="2127"/>
      <c r="W281" s="2127"/>
      <c r="X281" s="2127"/>
      <c r="Y281" s="2127"/>
      <c r="Z281" s="2127"/>
      <c r="AA281" s="2127"/>
      <c r="AB281" s="2127"/>
      <c r="AC281" s="2127"/>
      <c r="AD281" s="2127"/>
      <c r="AE281" s="2127"/>
    </row>
    <row r="282" spans="1:31">
      <c r="A282" s="2127"/>
      <c r="B282" s="2127"/>
      <c r="C282" s="2127"/>
      <c r="D282" s="2127"/>
      <c r="E282" s="2127"/>
      <c r="F282" s="2127"/>
      <c r="G282" s="2127"/>
      <c r="H282" s="2127"/>
      <c r="I282" s="2127"/>
      <c r="J282" s="2127"/>
      <c r="K282" s="2127"/>
      <c r="L282" s="2127"/>
      <c r="M282" s="2127"/>
      <c r="N282" s="2127"/>
      <c r="O282" s="2127"/>
      <c r="P282" s="2127"/>
      <c r="Q282" s="2127"/>
      <c r="R282" s="2127"/>
      <c r="S282" s="2127"/>
      <c r="T282" s="2127"/>
      <c r="U282" s="2127"/>
      <c r="V282" s="2127"/>
      <c r="W282" s="2127"/>
      <c r="X282" s="2127"/>
      <c r="Y282" s="2127"/>
      <c r="Z282" s="2127"/>
      <c r="AA282" s="2127"/>
      <c r="AB282" s="2127"/>
      <c r="AC282" s="2127"/>
      <c r="AD282" s="2127"/>
      <c r="AE282" s="2127"/>
    </row>
    <row r="283" spans="1:31">
      <c r="A283" s="2127"/>
      <c r="B283" s="2127"/>
      <c r="C283" s="2127"/>
      <c r="D283" s="2127"/>
      <c r="E283" s="2127"/>
      <c r="F283" s="2127"/>
      <c r="G283" s="2127"/>
      <c r="H283" s="2127"/>
      <c r="I283" s="2127"/>
      <c r="J283" s="2127"/>
      <c r="K283" s="2127"/>
      <c r="L283" s="2127"/>
      <c r="M283" s="2127"/>
      <c r="N283" s="2127"/>
      <c r="O283" s="2127"/>
      <c r="P283" s="2127"/>
      <c r="Q283" s="2127"/>
      <c r="R283" s="2127"/>
      <c r="S283" s="2127"/>
      <c r="T283" s="2127"/>
      <c r="U283" s="2127"/>
      <c r="V283" s="2127"/>
      <c r="W283" s="2127"/>
      <c r="X283" s="2127"/>
      <c r="Y283" s="2127"/>
      <c r="Z283" s="2127"/>
      <c r="AA283" s="2127"/>
      <c r="AB283" s="2127"/>
      <c r="AC283" s="2127"/>
      <c r="AD283" s="2127"/>
      <c r="AE283" s="2127"/>
    </row>
    <row r="284" spans="1:31">
      <c r="A284" s="2127"/>
      <c r="B284" s="2127"/>
      <c r="C284" s="2127"/>
      <c r="D284" s="2127"/>
      <c r="E284" s="2127"/>
      <c r="F284" s="2127"/>
      <c r="G284" s="2127"/>
      <c r="H284" s="2127"/>
      <c r="I284" s="2127"/>
      <c r="J284" s="2127"/>
      <c r="K284" s="2127"/>
      <c r="L284" s="2127"/>
      <c r="M284" s="2127"/>
      <c r="N284" s="2127"/>
      <c r="O284" s="2127"/>
      <c r="P284" s="2127"/>
      <c r="Q284" s="2127"/>
      <c r="R284" s="2127"/>
      <c r="S284" s="2127"/>
      <c r="T284" s="2127"/>
      <c r="U284" s="2127"/>
      <c r="V284" s="2127"/>
      <c r="W284" s="2127"/>
      <c r="X284" s="2127"/>
      <c r="Y284" s="2127"/>
      <c r="Z284" s="2127"/>
      <c r="AA284" s="2127"/>
      <c r="AB284" s="2127"/>
      <c r="AC284" s="2127"/>
      <c r="AD284" s="2127"/>
      <c r="AE284" s="2127"/>
    </row>
    <row r="285" spans="1:31">
      <c r="A285" s="2127"/>
      <c r="B285" s="2127"/>
      <c r="C285" s="2127"/>
      <c r="D285" s="2127"/>
      <c r="E285" s="2127"/>
      <c r="F285" s="2127"/>
      <c r="G285" s="2127"/>
      <c r="H285" s="2127"/>
      <c r="I285" s="2127"/>
      <c r="J285" s="2127"/>
      <c r="K285" s="2127"/>
      <c r="L285" s="2127"/>
      <c r="M285" s="2127"/>
      <c r="N285" s="2127"/>
      <c r="O285" s="2127"/>
      <c r="P285" s="2127"/>
      <c r="Q285" s="2127"/>
      <c r="R285" s="2127"/>
      <c r="S285" s="2127"/>
      <c r="T285" s="2127"/>
      <c r="U285" s="2127"/>
      <c r="V285" s="2127"/>
      <c r="W285" s="2127"/>
      <c r="X285" s="2127"/>
      <c r="Y285" s="2127"/>
      <c r="Z285" s="2127"/>
      <c r="AA285" s="2127"/>
      <c r="AB285" s="2127"/>
      <c r="AC285" s="2127"/>
      <c r="AD285" s="2127"/>
      <c r="AE285" s="2127"/>
    </row>
    <row r="286" spans="1:31">
      <c r="A286" s="2127"/>
      <c r="B286" s="2127"/>
      <c r="C286" s="2127"/>
      <c r="D286" s="2127"/>
      <c r="E286" s="2127"/>
      <c r="F286" s="2127"/>
      <c r="G286" s="2127"/>
      <c r="H286" s="2127"/>
      <c r="I286" s="2127"/>
      <c r="J286" s="2127"/>
      <c r="K286" s="2127"/>
      <c r="L286" s="2127"/>
      <c r="M286" s="2127"/>
      <c r="N286" s="2127"/>
      <c r="O286" s="2127"/>
      <c r="P286" s="2127"/>
      <c r="Q286" s="2127"/>
      <c r="R286" s="2127"/>
      <c r="S286" s="2127"/>
      <c r="T286" s="2127"/>
      <c r="U286" s="2127"/>
      <c r="V286" s="2127"/>
      <c r="W286" s="2127"/>
      <c r="X286" s="2127"/>
      <c r="Y286" s="2127"/>
      <c r="Z286" s="2127"/>
      <c r="AA286" s="2127"/>
      <c r="AB286" s="2127"/>
      <c r="AC286" s="2127"/>
      <c r="AD286" s="2127"/>
      <c r="AE286" s="2127"/>
    </row>
    <row r="287" spans="1:31">
      <c r="A287" s="2127"/>
      <c r="B287" s="2127"/>
      <c r="C287" s="2127"/>
      <c r="D287" s="2127"/>
      <c r="E287" s="2127"/>
      <c r="F287" s="2127"/>
      <c r="G287" s="2127"/>
      <c r="H287" s="2127"/>
      <c r="I287" s="2127"/>
      <c r="J287" s="2127"/>
      <c r="K287" s="2127"/>
      <c r="L287" s="2127"/>
      <c r="M287" s="2127"/>
      <c r="N287" s="2127"/>
      <c r="O287" s="2127"/>
      <c r="P287" s="2127"/>
      <c r="Q287" s="2127"/>
      <c r="R287" s="2127"/>
      <c r="S287" s="2127"/>
      <c r="T287" s="2127"/>
      <c r="U287" s="2127"/>
      <c r="V287" s="2127"/>
      <c r="W287" s="2127"/>
      <c r="X287" s="2127"/>
      <c r="Y287" s="2127"/>
      <c r="Z287" s="2127"/>
      <c r="AA287" s="2127"/>
      <c r="AB287" s="2127"/>
      <c r="AC287" s="2127"/>
      <c r="AD287" s="2127"/>
      <c r="AE287" s="2127"/>
    </row>
    <row r="288" spans="1:31">
      <c r="A288" s="2127"/>
      <c r="B288" s="2127"/>
      <c r="C288" s="2127"/>
      <c r="D288" s="2127"/>
      <c r="E288" s="2127"/>
      <c r="F288" s="2127"/>
      <c r="G288" s="2127"/>
      <c r="H288" s="2127"/>
      <c r="I288" s="2127"/>
      <c r="J288" s="2127"/>
      <c r="K288" s="2127"/>
      <c r="L288" s="2127"/>
      <c r="M288" s="2127"/>
      <c r="N288" s="2127"/>
      <c r="O288" s="2127"/>
      <c r="P288" s="2127"/>
      <c r="Q288" s="2127"/>
      <c r="R288" s="2127"/>
      <c r="S288" s="2127"/>
      <c r="T288" s="2127"/>
      <c r="U288" s="2127"/>
      <c r="V288" s="2127"/>
      <c r="W288" s="2127"/>
      <c r="X288" s="2127"/>
      <c r="Y288" s="2127"/>
      <c r="Z288" s="2127"/>
      <c r="AA288" s="2127"/>
      <c r="AB288" s="2127"/>
      <c r="AC288" s="2127"/>
      <c r="AD288" s="2127"/>
      <c r="AE288" s="2127"/>
    </row>
    <row r="289" spans="1:31">
      <c r="A289" s="2127"/>
      <c r="B289" s="2127"/>
      <c r="C289" s="2127"/>
      <c r="D289" s="2127"/>
      <c r="E289" s="2127"/>
      <c r="F289" s="2127"/>
      <c r="G289" s="2127"/>
      <c r="H289" s="2127"/>
      <c r="I289" s="2127"/>
      <c r="J289" s="2127"/>
      <c r="K289" s="2127"/>
      <c r="L289" s="2127"/>
      <c r="M289" s="2127"/>
      <c r="N289" s="2127"/>
      <c r="O289" s="2127"/>
      <c r="P289" s="2127"/>
      <c r="Q289" s="2127"/>
      <c r="R289" s="2127"/>
      <c r="S289" s="2127"/>
      <c r="T289" s="2127"/>
      <c r="U289" s="2127"/>
      <c r="V289" s="2127"/>
      <c r="W289" s="2127"/>
      <c r="X289" s="2127"/>
      <c r="Y289" s="2127"/>
      <c r="Z289" s="2127"/>
      <c r="AA289" s="2127"/>
      <c r="AB289" s="2127"/>
      <c r="AC289" s="2127"/>
      <c r="AD289" s="2127"/>
      <c r="AE289" s="2127"/>
    </row>
    <row r="290" spans="1:31">
      <c r="A290" s="2127"/>
      <c r="B290" s="2127"/>
      <c r="C290" s="2127"/>
      <c r="D290" s="2127"/>
      <c r="E290" s="2127"/>
      <c r="F290" s="2127"/>
      <c r="G290" s="2127"/>
      <c r="H290" s="2127"/>
      <c r="I290" s="2127"/>
      <c r="J290" s="2127"/>
      <c r="K290" s="2127"/>
      <c r="L290" s="2127"/>
      <c r="M290" s="2127"/>
      <c r="N290" s="2127"/>
      <c r="O290" s="2127"/>
      <c r="P290" s="2127"/>
      <c r="Q290" s="2127"/>
      <c r="R290" s="2127"/>
      <c r="S290" s="2127"/>
      <c r="T290" s="2127"/>
      <c r="U290" s="2127"/>
      <c r="V290" s="2127"/>
      <c r="W290" s="2127"/>
      <c r="X290" s="2127"/>
      <c r="Y290" s="2127"/>
      <c r="Z290" s="2127"/>
      <c r="AA290" s="2127"/>
      <c r="AB290" s="2127"/>
      <c r="AC290" s="2127"/>
      <c r="AD290" s="2127"/>
      <c r="AE290" s="2127"/>
    </row>
    <row r="291" spans="1:31">
      <c r="A291" s="2127"/>
      <c r="B291" s="2127"/>
      <c r="C291" s="2127"/>
      <c r="D291" s="2127"/>
      <c r="E291" s="2127"/>
      <c r="F291" s="2127"/>
      <c r="G291" s="2127"/>
      <c r="H291" s="2127"/>
      <c r="I291" s="2127"/>
      <c r="J291" s="2127"/>
      <c r="K291" s="2127"/>
      <c r="L291" s="2127"/>
      <c r="M291" s="2127"/>
      <c r="N291" s="2127"/>
      <c r="O291" s="2127"/>
      <c r="P291" s="2127"/>
      <c r="Q291" s="2127"/>
      <c r="R291" s="2127"/>
      <c r="S291" s="2127"/>
      <c r="T291" s="2127"/>
      <c r="U291" s="2127"/>
      <c r="V291" s="2127"/>
      <c r="W291" s="2127"/>
      <c r="X291" s="2127"/>
      <c r="Y291" s="2127"/>
      <c r="Z291" s="2127"/>
      <c r="AA291" s="2127"/>
      <c r="AB291" s="2127"/>
      <c r="AC291" s="2127"/>
      <c r="AD291" s="2127"/>
      <c r="AE291" s="2127"/>
    </row>
    <row r="292" spans="1:31">
      <c r="A292" s="2127"/>
      <c r="B292" s="2127"/>
      <c r="C292" s="2127"/>
      <c r="D292" s="2127"/>
      <c r="E292" s="2127"/>
      <c r="F292" s="2127"/>
      <c r="G292" s="2127"/>
      <c r="H292" s="2127"/>
      <c r="I292" s="2127"/>
      <c r="J292" s="2127"/>
      <c r="K292" s="2127"/>
      <c r="L292" s="2127"/>
      <c r="M292" s="2127"/>
      <c r="N292" s="2127"/>
      <c r="O292" s="2127"/>
      <c r="P292" s="2127"/>
      <c r="Q292" s="2127"/>
      <c r="R292" s="2127"/>
      <c r="S292" s="2127"/>
      <c r="T292" s="2127"/>
      <c r="U292" s="2127"/>
      <c r="V292" s="2127"/>
      <c r="W292" s="2127"/>
      <c r="X292" s="2127"/>
      <c r="Y292" s="2127"/>
      <c r="Z292" s="2127"/>
      <c r="AA292" s="2127"/>
      <c r="AB292" s="2127"/>
      <c r="AC292" s="2127"/>
      <c r="AD292" s="2127"/>
      <c r="AE292" s="2127"/>
    </row>
    <row r="293" spans="1:31">
      <c r="A293" s="2127"/>
      <c r="B293" s="2127"/>
      <c r="C293" s="2127"/>
      <c r="D293" s="2127"/>
      <c r="E293" s="2127"/>
      <c r="F293" s="2127"/>
      <c r="G293" s="2127"/>
      <c r="H293" s="2127"/>
      <c r="I293" s="2127"/>
      <c r="J293" s="2127"/>
      <c r="K293" s="2127"/>
      <c r="L293" s="2127"/>
      <c r="M293" s="2127"/>
      <c r="N293" s="2127"/>
      <c r="O293" s="2127"/>
      <c r="P293" s="2127"/>
      <c r="Q293" s="2127"/>
      <c r="R293" s="2127"/>
      <c r="S293" s="2127"/>
      <c r="T293" s="2127"/>
      <c r="U293" s="2127"/>
      <c r="V293" s="2127"/>
      <c r="W293" s="2127"/>
      <c r="X293" s="2127"/>
      <c r="Y293" s="2127"/>
      <c r="Z293" s="2127"/>
      <c r="AA293" s="2127"/>
      <c r="AB293" s="2127"/>
      <c r="AC293" s="2127"/>
      <c r="AD293" s="2127"/>
      <c r="AE293" s="2127"/>
    </row>
    <row r="294" spans="1:31">
      <c r="A294" s="2127"/>
      <c r="B294" s="2127"/>
      <c r="C294" s="2127"/>
      <c r="D294" s="2127"/>
      <c r="E294" s="2127"/>
      <c r="F294" s="2127"/>
      <c r="G294" s="2127"/>
      <c r="H294" s="2127"/>
      <c r="I294" s="2127"/>
      <c r="J294" s="2127"/>
      <c r="K294" s="2127"/>
      <c r="L294" s="2127"/>
      <c r="M294" s="2127"/>
      <c r="N294" s="2127"/>
      <c r="O294" s="2127"/>
      <c r="P294" s="2127"/>
      <c r="Q294" s="2127"/>
      <c r="R294" s="2127"/>
      <c r="S294" s="2127"/>
      <c r="T294" s="2127"/>
      <c r="U294" s="2127"/>
      <c r="V294" s="2127"/>
      <c r="W294" s="2127"/>
      <c r="X294" s="2127"/>
      <c r="Y294" s="2127"/>
      <c r="Z294" s="2127"/>
      <c r="AA294" s="2127"/>
      <c r="AB294" s="2127"/>
      <c r="AC294" s="2127"/>
      <c r="AD294" s="2127"/>
      <c r="AE294" s="2127"/>
    </row>
    <row r="295" spans="1:31">
      <c r="A295" s="2127"/>
      <c r="B295" s="2127"/>
      <c r="C295" s="2127"/>
      <c r="D295" s="2127"/>
      <c r="E295" s="2127"/>
      <c r="F295" s="2127"/>
      <c r="G295" s="2127"/>
      <c r="H295" s="2127"/>
      <c r="I295" s="2127"/>
      <c r="J295" s="2127"/>
      <c r="K295" s="2127"/>
      <c r="L295" s="2127"/>
      <c r="M295" s="2127"/>
      <c r="N295" s="2127"/>
      <c r="O295" s="2127"/>
      <c r="P295" s="2127"/>
      <c r="Q295" s="2127"/>
      <c r="R295" s="2127"/>
      <c r="S295" s="2127"/>
      <c r="T295" s="2127"/>
      <c r="U295" s="2127"/>
      <c r="V295" s="2127"/>
      <c r="W295" s="2127"/>
      <c r="X295" s="2127"/>
      <c r="Y295" s="2127"/>
      <c r="Z295" s="2127"/>
      <c r="AA295" s="2127"/>
      <c r="AB295" s="2127"/>
      <c r="AC295" s="2127"/>
      <c r="AD295" s="2127"/>
      <c r="AE295" s="2127"/>
    </row>
    <row r="296" spans="1:31">
      <c r="A296" s="2127"/>
      <c r="B296" s="2127"/>
      <c r="C296" s="2127"/>
      <c r="D296" s="2127"/>
      <c r="E296" s="2127"/>
      <c r="F296" s="2127"/>
      <c r="G296" s="2127"/>
      <c r="H296" s="2127"/>
      <c r="I296" s="2127"/>
      <c r="J296" s="2127"/>
      <c r="K296" s="2127"/>
      <c r="L296" s="2127"/>
      <c r="M296" s="2127"/>
      <c r="N296" s="2127"/>
      <c r="O296" s="2127"/>
      <c r="P296" s="2127"/>
      <c r="Q296" s="2127"/>
      <c r="R296" s="2127"/>
      <c r="S296" s="2127"/>
      <c r="T296" s="2127"/>
      <c r="U296" s="2127"/>
      <c r="V296" s="2127"/>
      <c r="W296" s="2127"/>
      <c r="X296" s="2127"/>
      <c r="Y296" s="2127"/>
      <c r="Z296" s="2127"/>
      <c r="AA296" s="2127"/>
      <c r="AB296" s="2127"/>
      <c r="AC296" s="2127"/>
      <c r="AD296" s="2127"/>
      <c r="AE296" s="2127"/>
    </row>
    <row r="297" spans="1:31">
      <c r="A297" s="2127"/>
      <c r="B297" s="2127"/>
      <c r="C297" s="2127"/>
      <c r="D297" s="2127"/>
      <c r="E297" s="2127"/>
      <c r="F297" s="2127"/>
      <c r="G297" s="2127"/>
      <c r="H297" s="2127"/>
      <c r="I297" s="2127"/>
      <c r="J297" s="2127"/>
      <c r="K297" s="2127"/>
      <c r="L297" s="2127"/>
      <c r="M297" s="2127"/>
      <c r="N297" s="2127"/>
      <c r="O297" s="2127"/>
      <c r="P297" s="2127"/>
      <c r="Q297" s="2127"/>
      <c r="R297" s="2127"/>
      <c r="S297" s="2127"/>
      <c r="T297" s="2127"/>
      <c r="U297" s="2127"/>
      <c r="V297" s="2127"/>
      <c r="W297" s="2127"/>
      <c r="X297" s="2127"/>
      <c r="Y297" s="2127"/>
      <c r="Z297" s="2127"/>
      <c r="AA297" s="2127"/>
      <c r="AB297" s="2127"/>
      <c r="AC297" s="2127"/>
      <c r="AD297" s="2127"/>
      <c r="AE297" s="2127"/>
    </row>
    <row r="298" spans="1:31">
      <c r="A298" s="2127"/>
      <c r="B298" s="2127"/>
      <c r="C298" s="2127"/>
      <c r="D298" s="2127"/>
      <c r="E298" s="2127"/>
      <c r="F298" s="2127"/>
      <c r="G298" s="2127"/>
      <c r="H298" s="2127"/>
      <c r="I298" s="2127"/>
      <c r="J298" s="2127"/>
      <c r="K298" s="2127"/>
      <c r="L298" s="2127"/>
      <c r="M298" s="2127"/>
      <c r="N298" s="2127"/>
      <c r="O298" s="2127"/>
      <c r="P298" s="2127"/>
      <c r="Q298" s="2127"/>
      <c r="R298" s="2127"/>
      <c r="S298" s="2127"/>
      <c r="T298" s="2127"/>
      <c r="U298" s="2127"/>
      <c r="V298" s="2127"/>
      <c r="W298" s="2127"/>
      <c r="X298" s="2127"/>
      <c r="Y298" s="2127"/>
      <c r="Z298" s="2127"/>
      <c r="AA298" s="2127"/>
      <c r="AB298" s="2127"/>
      <c r="AC298" s="2127"/>
      <c r="AD298" s="2127"/>
      <c r="AE298" s="2127"/>
    </row>
    <row r="299" spans="1:31">
      <c r="A299" s="2127"/>
      <c r="B299" s="2127"/>
      <c r="C299" s="2127"/>
      <c r="D299" s="2127"/>
      <c r="E299" s="2127"/>
      <c r="F299" s="2127"/>
      <c r="G299" s="2127"/>
      <c r="H299" s="2127"/>
      <c r="I299" s="2127"/>
      <c r="J299" s="2127"/>
      <c r="K299" s="2127"/>
      <c r="L299" s="2127"/>
      <c r="M299" s="2127"/>
      <c r="N299" s="2127"/>
      <c r="O299" s="2127"/>
      <c r="P299" s="2127"/>
      <c r="Q299" s="2127"/>
      <c r="R299" s="2127"/>
      <c r="S299" s="2127"/>
      <c r="T299" s="2127"/>
      <c r="U299" s="2127"/>
      <c r="V299" s="2127"/>
      <c r="W299" s="2127"/>
      <c r="X299" s="2127"/>
      <c r="Y299" s="2127"/>
      <c r="Z299" s="2127"/>
      <c r="AA299" s="2127"/>
      <c r="AB299" s="2127"/>
      <c r="AC299" s="2127"/>
      <c r="AD299" s="2127"/>
      <c r="AE299" s="2127"/>
    </row>
    <row r="300" spans="1:31">
      <c r="A300" s="2127"/>
      <c r="B300" s="2127"/>
      <c r="C300" s="2127"/>
      <c r="D300" s="2127"/>
      <c r="E300" s="2127"/>
      <c r="F300" s="2127"/>
      <c r="G300" s="2127"/>
      <c r="H300" s="2127"/>
      <c r="I300" s="2127"/>
      <c r="J300" s="2127"/>
      <c r="K300" s="2127"/>
      <c r="L300" s="2127"/>
      <c r="M300" s="2127"/>
      <c r="N300" s="2127"/>
      <c r="O300" s="2127"/>
      <c r="P300" s="2127"/>
      <c r="Q300" s="2127"/>
      <c r="R300" s="2127"/>
      <c r="S300" s="2127"/>
      <c r="T300" s="2127"/>
      <c r="U300" s="2127"/>
      <c r="V300" s="2127"/>
      <c r="W300" s="2127"/>
      <c r="X300" s="2127"/>
      <c r="Y300" s="2127"/>
      <c r="Z300" s="2127"/>
      <c r="AA300" s="2127"/>
      <c r="AB300" s="2127"/>
      <c r="AC300" s="2127"/>
      <c r="AD300" s="2127"/>
      <c r="AE300" s="2127"/>
    </row>
    <row r="301" spans="1:31">
      <c r="A301" s="2127"/>
      <c r="B301" s="2127"/>
      <c r="C301" s="2127"/>
      <c r="D301" s="2127"/>
      <c r="E301" s="2127"/>
      <c r="F301" s="2127"/>
      <c r="G301" s="2127"/>
      <c r="H301" s="2127"/>
      <c r="I301" s="2127"/>
      <c r="J301" s="2127"/>
      <c r="K301" s="2127"/>
      <c r="L301" s="2127"/>
      <c r="M301" s="2127"/>
      <c r="N301" s="2127"/>
      <c r="O301" s="2127"/>
      <c r="P301" s="2127"/>
      <c r="Q301" s="2127"/>
      <c r="R301" s="2127"/>
      <c r="S301" s="2127"/>
      <c r="T301" s="2127"/>
      <c r="U301" s="2127"/>
      <c r="V301" s="2127"/>
      <c r="W301" s="2127"/>
      <c r="X301" s="2127"/>
      <c r="Y301" s="2127"/>
      <c r="Z301" s="2127"/>
      <c r="AA301" s="2127"/>
      <c r="AB301" s="2127"/>
      <c r="AC301" s="2127"/>
      <c r="AD301" s="2127"/>
      <c r="AE301" s="2127"/>
    </row>
    <row r="302" spans="1:31">
      <c r="A302" s="2127"/>
      <c r="B302" s="2127"/>
      <c r="C302" s="2127"/>
      <c r="D302" s="2127"/>
      <c r="E302" s="2127"/>
      <c r="F302" s="2127"/>
      <c r="G302" s="2127"/>
      <c r="H302" s="2127"/>
      <c r="I302" s="2127"/>
      <c r="J302" s="2127"/>
      <c r="K302" s="2127"/>
      <c r="L302" s="2127"/>
      <c r="M302" s="2127"/>
      <c r="N302" s="2127"/>
      <c r="O302" s="2127"/>
      <c r="P302" s="2127"/>
      <c r="Q302" s="2127"/>
      <c r="R302" s="2127"/>
      <c r="S302" s="2127"/>
      <c r="T302" s="2127"/>
      <c r="U302" s="2127"/>
      <c r="V302" s="2127"/>
      <c r="W302" s="2127"/>
      <c r="X302" s="2127"/>
      <c r="Y302" s="2127"/>
      <c r="Z302" s="2127"/>
      <c r="AA302" s="2127"/>
      <c r="AB302" s="2127"/>
      <c r="AC302" s="2127"/>
      <c r="AD302" s="2127"/>
      <c r="AE302" s="2127"/>
    </row>
    <row r="303" spans="1:31">
      <c r="A303" s="2127"/>
      <c r="B303" s="2127"/>
      <c r="C303" s="2127"/>
      <c r="D303" s="2127"/>
      <c r="E303" s="2127"/>
      <c r="F303" s="2127"/>
      <c r="G303" s="2127"/>
      <c r="H303" s="2127"/>
      <c r="I303" s="2127"/>
      <c r="J303" s="2127"/>
      <c r="K303" s="2127"/>
      <c r="L303" s="2127"/>
      <c r="M303" s="2127"/>
      <c r="N303" s="2127"/>
      <c r="O303" s="2127"/>
      <c r="P303" s="2127"/>
      <c r="Q303" s="2127"/>
      <c r="R303" s="2127"/>
      <c r="S303" s="2127"/>
      <c r="T303" s="2127"/>
      <c r="U303" s="2127"/>
      <c r="V303" s="2127"/>
      <c r="W303" s="2127"/>
      <c r="X303" s="2127"/>
      <c r="Y303" s="2127"/>
      <c r="Z303" s="2127"/>
      <c r="AA303" s="2127"/>
      <c r="AB303" s="2127"/>
      <c r="AC303" s="2127"/>
      <c r="AD303" s="2127"/>
      <c r="AE303" s="2127"/>
    </row>
    <row r="304" spans="1:31">
      <c r="A304" s="2127"/>
      <c r="B304" s="2127"/>
      <c r="C304" s="2127"/>
      <c r="D304" s="2127"/>
      <c r="E304" s="2127"/>
      <c r="F304" s="2127"/>
      <c r="G304" s="2127"/>
      <c r="H304" s="2127"/>
      <c r="I304" s="2127"/>
      <c r="J304" s="2127"/>
      <c r="K304" s="2127"/>
      <c r="L304" s="2127"/>
      <c r="M304" s="2127"/>
      <c r="N304" s="2127"/>
      <c r="O304" s="2127"/>
      <c r="P304" s="2127"/>
      <c r="Q304" s="2127"/>
      <c r="R304" s="2127"/>
      <c r="S304" s="2127"/>
      <c r="T304" s="2127"/>
      <c r="U304" s="2127"/>
      <c r="V304" s="2127"/>
      <c r="W304" s="2127"/>
      <c r="X304" s="2127"/>
      <c r="Y304" s="2127"/>
      <c r="Z304" s="2127"/>
      <c r="AA304" s="2127"/>
      <c r="AB304" s="2127"/>
      <c r="AC304" s="2127"/>
      <c r="AD304" s="2127"/>
      <c r="AE304" s="2127"/>
    </row>
    <row r="305" spans="1:31">
      <c r="A305" s="2127"/>
      <c r="B305" s="2127"/>
      <c r="C305" s="2127"/>
      <c r="D305" s="2127"/>
      <c r="E305" s="2127"/>
      <c r="F305" s="2127"/>
      <c r="G305" s="2127"/>
      <c r="H305" s="2127"/>
      <c r="I305" s="2127"/>
      <c r="J305" s="2127"/>
      <c r="K305" s="2127"/>
      <c r="L305" s="2127"/>
      <c r="M305" s="2127"/>
      <c r="N305" s="2127"/>
      <c r="O305" s="2127"/>
      <c r="P305" s="2127"/>
      <c r="Q305" s="2127"/>
      <c r="R305" s="2127"/>
      <c r="S305" s="2127"/>
      <c r="T305" s="2127"/>
      <c r="U305" s="2127"/>
      <c r="V305" s="2127"/>
      <c r="W305" s="2127"/>
      <c r="X305" s="2127"/>
      <c r="Y305" s="2127"/>
      <c r="Z305" s="2127"/>
      <c r="AA305" s="2127"/>
      <c r="AB305" s="2127"/>
      <c r="AC305" s="2127"/>
      <c r="AD305" s="2127"/>
      <c r="AE305" s="2127"/>
    </row>
    <row r="306" spans="1:31">
      <c r="A306" s="2127"/>
      <c r="B306" s="2127"/>
      <c r="C306" s="2127"/>
      <c r="D306" s="2127"/>
      <c r="E306" s="2127"/>
      <c r="F306" s="2127"/>
      <c r="G306" s="2127"/>
      <c r="H306" s="2127"/>
      <c r="I306" s="2127"/>
      <c r="J306" s="2127"/>
      <c r="K306" s="2127"/>
      <c r="L306" s="2127"/>
      <c r="M306" s="2127"/>
      <c r="N306" s="2127"/>
      <c r="O306" s="2127"/>
      <c r="P306" s="2127"/>
      <c r="Q306" s="2127"/>
      <c r="R306" s="2127"/>
      <c r="S306" s="2127"/>
      <c r="T306" s="2127"/>
      <c r="U306" s="2127"/>
      <c r="V306" s="2127"/>
      <c r="W306" s="2127"/>
      <c r="X306" s="2127"/>
      <c r="Y306" s="2127"/>
      <c r="Z306" s="2127"/>
      <c r="AA306" s="2127"/>
      <c r="AB306" s="2127"/>
      <c r="AC306" s="2127"/>
      <c r="AD306" s="2127"/>
      <c r="AE306" s="2127"/>
    </row>
    <row r="307" spans="1:31">
      <c r="A307" s="2127"/>
      <c r="B307" s="2127"/>
      <c r="C307" s="2127"/>
      <c r="D307" s="2127"/>
      <c r="E307" s="2127"/>
      <c r="F307" s="2127"/>
      <c r="G307" s="2127"/>
      <c r="H307" s="2127"/>
      <c r="I307" s="2127"/>
      <c r="J307" s="2127"/>
      <c r="K307" s="2127"/>
      <c r="L307" s="2127"/>
      <c r="M307" s="2127"/>
      <c r="N307" s="2127"/>
      <c r="O307" s="2127"/>
      <c r="P307" s="2127"/>
      <c r="Q307" s="2127"/>
      <c r="R307" s="2127"/>
      <c r="S307" s="2127"/>
      <c r="T307" s="2127"/>
      <c r="U307" s="2127"/>
      <c r="V307" s="2127"/>
      <c r="W307" s="2127"/>
      <c r="X307" s="2127"/>
      <c r="Y307" s="2127"/>
      <c r="Z307" s="2127"/>
      <c r="AA307" s="2127"/>
      <c r="AB307" s="2127"/>
      <c r="AC307" s="2127"/>
      <c r="AD307" s="2127"/>
      <c r="AE307" s="2127"/>
    </row>
    <row r="308" spans="1:31">
      <c r="A308" s="2127"/>
      <c r="B308" s="2127"/>
      <c r="C308" s="2127"/>
      <c r="D308" s="2127"/>
      <c r="E308" s="2127"/>
      <c r="F308" s="2127"/>
      <c r="G308" s="2127"/>
      <c r="H308" s="2127"/>
      <c r="I308" s="2127"/>
      <c r="J308" s="2127"/>
      <c r="K308" s="2127"/>
      <c r="L308" s="2127"/>
      <c r="M308" s="2127"/>
      <c r="N308" s="2127"/>
      <c r="O308" s="2127"/>
      <c r="P308" s="2127"/>
      <c r="Q308" s="2127"/>
      <c r="R308" s="2127"/>
      <c r="S308" s="2127"/>
      <c r="T308" s="2127"/>
      <c r="U308" s="2127"/>
      <c r="V308" s="2127"/>
      <c r="W308" s="2127"/>
      <c r="X308" s="2127"/>
      <c r="Y308" s="2127"/>
      <c r="Z308" s="2127"/>
      <c r="AA308" s="2127"/>
      <c r="AB308" s="2127"/>
      <c r="AC308" s="2127"/>
      <c r="AD308" s="2127"/>
      <c r="AE308" s="2127"/>
    </row>
    <row r="309" spans="1:31">
      <c r="A309" s="2127"/>
      <c r="B309" s="2127"/>
      <c r="C309" s="2127"/>
      <c r="D309" s="2127"/>
      <c r="E309" s="2127"/>
      <c r="F309" s="2127"/>
      <c r="G309" s="2127"/>
      <c r="H309" s="2127"/>
      <c r="I309" s="2127"/>
      <c r="J309" s="2127"/>
      <c r="K309" s="2127"/>
      <c r="L309" s="2127"/>
      <c r="M309" s="2127"/>
      <c r="N309" s="2127"/>
      <c r="O309" s="2127"/>
      <c r="P309" s="2127"/>
      <c r="Q309" s="2127"/>
      <c r="R309" s="2127"/>
      <c r="S309" s="2127"/>
      <c r="T309" s="2127"/>
      <c r="U309" s="2127"/>
      <c r="V309" s="2127"/>
      <c r="W309" s="2127"/>
      <c r="X309" s="2127"/>
      <c r="Y309" s="2127"/>
      <c r="Z309" s="2127"/>
      <c r="AA309" s="2127"/>
      <c r="AB309" s="2127"/>
      <c r="AC309" s="2127"/>
      <c r="AD309" s="2127"/>
      <c r="AE309" s="2127"/>
    </row>
    <row r="310" spans="1:31">
      <c r="A310" s="2127"/>
      <c r="B310" s="2127"/>
      <c r="C310" s="2127"/>
      <c r="D310" s="2127"/>
      <c r="E310" s="2127"/>
      <c r="F310" s="2127"/>
      <c r="G310" s="2127"/>
      <c r="H310" s="2127"/>
      <c r="I310" s="2127"/>
      <c r="J310" s="2127"/>
      <c r="K310" s="2127"/>
      <c r="L310" s="2127"/>
      <c r="M310" s="2127"/>
      <c r="N310" s="2127"/>
      <c r="O310" s="2127"/>
      <c r="P310" s="2127"/>
      <c r="Q310" s="2127"/>
      <c r="R310" s="2127"/>
      <c r="S310" s="2127"/>
      <c r="T310" s="2127"/>
      <c r="U310" s="2127"/>
      <c r="V310" s="2127"/>
      <c r="W310" s="2127"/>
      <c r="X310" s="2127"/>
      <c r="Y310" s="2127"/>
      <c r="Z310" s="2127"/>
      <c r="AA310" s="2127"/>
      <c r="AB310" s="2127"/>
      <c r="AC310" s="2127"/>
      <c r="AD310" s="2127"/>
      <c r="AE310" s="2127"/>
    </row>
    <row r="311" spans="1:31">
      <c r="A311" s="2127"/>
      <c r="B311" s="2127"/>
      <c r="C311" s="2127"/>
      <c r="D311" s="2127"/>
      <c r="E311" s="2127"/>
      <c r="F311" s="2127"/>
      <c r="G311" s="2127"/>
      <c r="H311" s="2127"/>
      <c r="I311" s="2127"/>
      <c r="J311" s="2127"/>
      <c r="K311" s="2127"/>
      <c r="L311" s="2127"/>
      <c r="M311" s="2127"/>
      <c r="N311" s="2127"/>
      <c r="O311" s="2127"/>
      <c r="P311" s="2127"/>
      <c r="Q311" s="2127"/>
      <c r="R311" s="2127"/>
      <c r="S311" s="2127"/>
      <c r="T311" s="2127"/>
      <c r="U311" s="2127"/>
      <c r="V311" s="2127"/>
      <c r="W311" s="2127"/>
      <c r="X311" s="2127"/>
      <c r="Y311" s="2127"/>
      <c r="Z311" s="2127"/>
      <c r="AA311" s="2127"/>
      <c r="AB311" s="2127"/>
      <c r="AC311" s="2127"/>
      <c r="AD311" s="2127"/>
      <c r="AE311" s="2127"/>
    </row>
    <row r="312" spans="1:31">
      <c r="A312" s="2127"/>
      <c r="B312" s="2127"/>
      <c r="C312" s="2127"/>
      <c r="D312" s="2127"/>
      <c r="E312" s="2127"/>
      <c r="F312" s="2127"/>
      <c r="G312" s="2127"/>
      <c r="H312" s="2127"/>
      <c r="I312" s="2127"/>
      <c r="J312" s="2127"/>
      <c r="K312" s="2127"/>
      <c r="L312" s="2127"/>
      <c r="M312" s="2127"/>
      <c r="N312" s="2127"/>
      <c r="O312" s="2127"/>
      <c r="P312" s="2127"/>
      <c r="Q312" s="2127"/>
      <c r="R312" s="2127"/>
      <c r="S312" s="2127"/>
      <c r="T312" s="2127"/>
      <c r="U312" s="2127"/>
      <c r="V312" s="2127"/>
      <c r="W312" s="2127"/>
      <c r="X312" s="2127"/>
      <c r="Y312" s="2127"/>
      <c r="Z312" s="2127"/>
      <c r="AA312" s="2127"/>
      <c r="AB312" s="2127"/>
      <c r="AC312" s="2127"/>
      <c r="AD312" s="2127"/>
      <c r="AE312" s="2127"/>
    </row>
    <row r="313" spans="1:31">
      <c r="A313" s="2127"/>
      <c r="B313" s="2127"/>
      <c r="C313" s="2127"/>
      <c r="D313" s="2127"/>
      <c r="E313" s="2127"/>
      <c r="F313" s="2127"/>
      <c r="G313" s="2127"/>
      <c r="H313" s="2127"/>
      <c r="I313" s="2127"/>
      <c r="J313" s="2127"/>
      <c r="K313" s="2127"/>
      <c r="L313" s="2127"/>
      <c r="M313" s="2127"/>
      <c r="N313" s="2127"/>
      <c r="O313" s="2127"/>
      <c r="P313" s="2127"/>
      <c r="Q313" s="2127"/>
      <c r="R313" s="2127"/>
      <c r="S313" s="2127"/>
      <c r="T313" s="2127"/>
      <c r="U313" s="2127"/>
      <c r="V313" s="2127"/>
      <c r="W313" s="2127"/>
      <c r="X313" s="2127"/>
      <c r="Y313" s="2127"/>
      <c r="Z313" s="2127"/>
      <c r="AA313" s="2127"/>
      <c r="AB313" s="2127"/>
      <c r="AC313" s="2127"/>
      <c r="AD313" s="2127"/>
      <c r="AE313" s="2127"/>
    </row>
    <row r="314" spans="1:31">
      <c r="A314" s="2127"/>
      <c r="B314" s="2127"/>
      <c r="C314" s="2127"/>
      <c r="D314" s="2127"/>
      <c r="E314" s="2127"/>
      <c r="F314" s="2127"/>
      <c r="G314" s="2127"/>
      <c r="H314" s="2127"/>
      <c r="I314" s="2127"/>
      <c r="J314" s="2127"/>
      <c r="K314" s="2127"/>
      <c r="L314" s="2127"/>
      <c r="M314" s="2127"/>
      <c r="N314" s="2127"/>
      <c r="O314" s="2127"/>
      <c r="P314" s="2127"/>
      <c r="Q314" s="2127"/>
      <c r="R314" s="2127"/>
      <c r="S314" s="2127"/>
      <c r="T314" s="2127"/>
      <c r="U314" s="2127"/>
      <c r="V314" s="2127"/>
      <c r="W314" s="2127"/>
      <c r="X314" s="2127"/>
      <c r="Y314" s="2127"/>
      <c r="Z314" s="2127"/>
      <c r="AA314" s="2127"/>
      <c r="AB314" s="2127"/>
      <c r="AC314" s="2127"/>
      <c r="AD314" s="2127"/>
      <c r="AE314" s="2127"/>
    </row>
    <row r="315" spans="1:31">
      <c r="A315" s="2127"/>
      <c r="B315" s="2127"/>
      <c r="C315" s="2127"/>
      <c r="D315" s="2127"/>
      <c r="E315" s="2127"/>
      <c r="F315" s="2127"/>
      <c r="G315" s="2127"/>
      <c r="H315" s="2127"/>
      <c r="I315" s="2127"/>
      <c r="J315" s="2127"/>
      <c r="K315" s="2127"/>
      <c r="L315" s="2127"/>
      <c r="M315" s="2127"/>
      <c r="N315" s="2127"/>
      <c r="O315" s="2127"/>
      <c r="P315" s="2127"/>
      <c r="Q315" s="2127"/>
      <c r="R315" s="2127"/>
      <c r="S315" s="2127"/>
      <c r="T315" s="2127"/>
      <c r="U315" s="2127"/>
      <c r="V315" s="2127"/>
      <c r="W315" s="2127"/>
      <c r="X315" s="2127"/>
      <c r="Y315" s="2127"/>
      <c r="Z315" s="2127"/>
      <c r="AA315" s="2127"/>
      <c r="AB315" s="2127"/>
      <c r="AC315" s="2127"/>
      <c r="AD315" s="2127"/>
      <c r="AE315" s="2127"/>
    </row>
    <row r="316" spans="1:31">
      <c r="A316" s="2127"/>
      <c r="B316" s="2127"/>
      <c r="C316" s="2127"/>
      <c r="D316" s="2127"/>
      <c r="E316" s="2127"/>
      <c r="F316" s="2127"/>
      <c r="G316" s="2127"/>
      <c r="H316" s="2127"/>
      <c r="I316" s="2127"/>
      <c r="J316" s="2127"/>
      <c r="K316" s="2127"/>
      <c r="L316" s="2127"/>
      <c r="M316" s="2127"/>
      <c r="N316" s="2127"/>
      <c r="O316" s="2127"/>
      <c r="P316" s="2127"/>
      <c r="Q316" s="2127"/>
      <c r="R316" s="2127"/>
      <c r="S316" s="2127"/>
      <c r="T316" s="2127"/>
      <c r="U316" s="2127"/>
      <c r="V316" s="2127"/>
      <c r="W316" s="2127"/>
      <c r="X316" s="2127"/>
      <c r="Y316" s="2127"/>
      <c r="Z316" s="2127"/>
      <c r="AA316" s="2127"/>
      <c r="AB316" s="2127"/>
      <c r="AC316" s="2127"/>
      <c r="AD316" s="2127"/>
      <c r="AE316" s="2127"/>
    </row>
  </sheetData>
  <sheetProtection password="E0BE" sheet="1" objects="1" scenarios="1"/>
  <mergeCells count="422">
    <mergeCell ref="A189:AC189"/>
    <mergeCell ref="B184:D184"/>
    <mergeCell ref="E184:G184"/>
    <mergeCell ref="H184:I184"/>
    <mergeCell ref="J184:L184"/>
    <mergeCell ref="N184:P184"/>
    <mergeCell ref="Q184:R184"/>
    <mergeCell ref="S184:V184"/>
    <mergeCell ref="B185:D185"/>
    <mergeCell ref="E185:G185"/>
    <mergeCell ref="H185:I185"/>
    <mergeCell ref="J185:L185"/>
    <mergeCell ref="N185:P185"/>
    <mergeCell ref="Q185:R185"/>
    <mergeCell ref="S185:V185"/>
    <mergeCell ref="A186:AC186"/>
    <mergeCell ref="A188:AC188"/>
    <mergeCell ref="A187:AC187"/>
    <mergeCell ref="B182:D182"/>
    <mergeCell ref="E182:G182"/>
    <mergeCell ref="H182:I182"/>
    <mergeCell ref="J182:L182"/>
    <mergeCell ref="N182:P182"/>
    <mergeCell ref="Q182:R182"/>
    <mergeCell ref="S182:V182"/>
    <mergeCell ref="B183:D183"/>
    <mergeCell ref="E183:G183"/>
    <mergeCell ref="H183:I183"/>
    <mergeCell ref="J183:L183"/>
    <mergeCell ref="N183:P183"/>
    <mergeCell ref="Q183:R183"/>
    <mergeCell ref="S183:V183"/>
    <mergeCell ref="S175:V175"/>
    <mergeCell ref="W175:Y175"/>
    <mergeCell ref="A180:A181"/>
    <mergeCell ref="B181:D181"/>
    <mergeCell ref="E181:G181"/>
    <mergeCell ref="H181:I181"/>
    <mergeCell ref="J181:L181"/>
    <mergeCell ref="N181:P181"/>
    <mergeCell ref="Q181:R181"/>
    <mergeCell ref="S180:V181"/>
    <mergeCell ref="B180:R180"/>
    <mergeCell ref="A177:AC177"/>
    <mergeCell ref="F173:J173"/>
    <mergeCell ref="K173:N173"/>
    <mergeCell ref="O173:R173"/>
    <mergeCell ref="S173:V173"/>
    <mergeCell ref="W173:Y173"/>
    <mergeCell ref="B171:E171"/>
    <mergeCell ref="F171:J171"/>
    <mergeCell ref="K171:N171"/>
    <mergeCell ref="O171:R171"/>
    <mergeCell ref="S171:V171"/>
    <mergeCell ref="W171:Y171"/>
    <mergeCell ref="AY45:BA46"/>
    <mergeCell ref="AY7:BA8"/>
    <mergeCell ref="AL7:AN8"/>
    <mergeCell ref="Y7:AA8"/>
    <mergeCell ref="A45:A46"/>
    <mergeCell ref="H45:K45"/>
    <mergeCell ref="T45:X45"/>
    <mergeCell ref="AH45:AK45"/>
    <mergeCell ref="AT45:AX45"/>
    <mergeCell ref="B46:F46"/>
    <mergeCell ref="G46:K46"/>
    <mergeCell ref="O46:S46"/>
    <mergeCell ref="T46:X46"/>
    <mergeCell ref="AB46:AF46"/>
    <mergeCell ref="AG46:AK46"/>
    <mergeCell ref="AO46:AS46"/>
    <mergeCell ref="AT46:AX46"/>
    <mergeCell ref="L45:N46"/>
    <mergeCell ref="Y45:AA46"/>
    <mergeCell ref="AL45:AN46"/>
    <mergeCell ref="T7:X7"/>
    <mergeCell ref="O8:S8"/>
    <mergeCell ref="V24:W24"/>
    <mergeCell ref="V26:W26"/>
    <mergeCell ref="I52:J52"/>
    <mergeCell ref="Q66:R66"/>
    <mergeCell ref="V66:W66"/>
    <mergeCell ref="I68:J68"/>
    <mergeCell ref="V68:W68"/>
    <mergeCell ref="Q86:R86"/>
    <mergeCell ref="V86:W86"/>
    <mergeCell ref="V72:W72"/>
    <mergeCell ref="I74:J74"/>
    <mergeCell ref="V74:W74"/>
    <mergeCell ref="Q82:R82"/>
    <mergeCell ref="V31:W31"/>
    <mergeCell ref="V33:W33"/>
    <mergeCell ref="V37:W37"/>
    <mergeCell ref="O3:AA3"/>
    <mergeCell ref="B3:N3"/>
    <mergeCell ref="D37:E37"/>
    <mergeCell ref="B4:N4"/>
    <mergeCell ref="O4:AA4"/>
    <mergeCell ref="Q33:R33"/>
    <mergeCell ref="Q24:R24"/>
    <mergeCell ref="Q26:R26"/>
    <mergeCell ref="P30:Q30"/>
    <mergeCell ref="Y5:AA5"/>
    <mergeCell ref="V13:W13"/>
    <mergeCell ref="G8:K8"/>
    <mergeCell ref="B8:F8"/>
    <mergeCell ref="T8:X8"/>
    <mergeCell ref="L7:N8"/>
    <mergeCell ref="A7:A8"/>
    <mergeCell ref="I37:J37"/>
    <mergeCell ref="I39:J39"/>
    <mergeCell ref="I31:J31"/>
    <mergeCell ref="I33:J33"/>
    <mergeCell ref="D24:E24"/>
    <mergeCell ref="D18:E18"/>
    <mergeCell ref="D20:E20"/>
    <mergeCell ref="H7:K7"/>
    <mergeCell ref="D33:E33"/>
    <mergeCell ref="D26:E26"/>
    <mergeCell ref="I13:J13"/>
    <mergeCell ref="I24:J24"/>
    <mergeCell ref="I26:J26"/>
    <mergeCell ref="D39:E39"/>
    <mergeCell ref="D31:E31"/>
    <mergeCell ref="A154:BA154"/>
    <mergeCell ref="A155:BA155"/>
    <mergeCell ref="BB95:BC95"/>
    <mergeCell ref="D105:E105"/>
    <mergeCell ref="D102:E102"/>
    <mergeCell ref="Q102:R102"/>
    <mergeCell ref="D95:E95"/>
    <mergeCell ref="D68:E68"/>
    <mergeCell ref="D109:E109"/>
    <mergeCell ref="C118:D118"/>
    <mergeCell ref="D111:E111"/>
    <mergeCell ref="C116:D116"/>
    <mergeCell ref="Q100:R100"/>
    <mergeCell ref="I80:J80"/>
    <mergeCell ref="Q80:R80"/>
    <mergeCell ref="V80:W80"/>
    <mergeCell ref="I82:J82"/>
    <mergeCell ref="V82:W82"/>
    <mergeCell ref="D86:E86"/>
    <mergeCell ref="I86:J86"/>
    <mergeCell ref="D100:E100"/>
    <mergeCell ref="C122:D122"/>
    <mergeCell ref="C124:D124"/>
    <mergeCell ref="P122:Q122"/>
    <mergeCell ref="D41:E41"/>
    <mergeCell ref="Q41:R41"/>
    <mergeCell ref="D58:E58"/>
    <mergeCell ref="Q58:R58"/>
    <mergeCell ref="V50:W50"/>
    <mergeCell ref="V52:W52"/>
    <mergeCell ref="D93:E93"/>
    <mergeCell ref="D88:E88"/>
    <mergeCell ref="V56:W56"/>
    <mergeCell ref="D52:E52"/>
    <mergeCell ref="Q52:R52"/>
    <mergeCell ref="I50:J50"/>
    <mergeCell ref="D80:E80"/>
    <mergeCell ref="Q74:R74"/>
    <mergeCell ref="D72:E72"/>
    <mergeCell ref="I72:J72"/>
    <mergeCell ref="Q72:R72"/>
    <mergeCell ref="Q68:R68"/>
    <mergeCell ref="I93:J93"/>
    <mergeCell ref="D56:E56"/>
    <mergeCell ref="D50:E50"/>
    <mergeCell ref="D66:E66"/>
    <mergeCell ref="D74:E74"/>
    <mergeCell ref="D82:E82"/>
    <mergeCell ref="I95:J95"/>
    <mergeCell ref="V93:W93"/>
    <mergeCell ref="I11:J11"/>
    <mergeCell ref="V11:W11"/>
    <mergeCell ref="V39:W39"/>
    <mergeCell ref="V95:W95"/>
    <mergeCell ref="Q95:R95"/>
    <mergeCell ref="Q18:R18"/>
    <mergeCell ref="Q20:R20"/>
    <mergeCell ref="Q37:R37"/>
    <mergeCell ref="Q39:R39"/>
    <mergeCell ref="Q31:R31"/>
    <mergeCell ref="Q93:R93"/>
    <mergeCell ref="I41:J41"/>
    <mergeCell ref="Q50:R50"/>
    <mergeCell ref="I88:J88"/>
    <mergeCell ref="V88:W88"/>
    <mergeCell ref="I58:J58"/>
    <mergeCell ref="V58:W58"/>
    <mergeCell ref="I66:J66"/>
    <mergeCell ref="Q56:R56"/>
    <mergeCell ref="I56:J56"/>
    <mergeCell ref="Q88:R88"/>
    <mergeCell ref="V41:W41"/>
    <mergeCell ref="D113:E113"/>
    <mergeCell ref="Q113:R113"/>
    <mergeCell ref="P116:Q116"/>
    <mergeCell ref="Q111:R111"/>
    <mergeCell ref="Q109:R109"/>
    <mergeCell ref="Q105:R105"/>
    <mergeCell ref="D148:E148"/>
    <mergeCell ref="Q148:R148"/>
    <mergeCell ref="P130:Q130"/>
    <mergeCell ref="C120:D120"/>
    <mergeCell ref="P118:Q118"/>
    <mergeCell ref="P120:Q120"/>
    <mergeCell ref="D145:E145"/>
    <mergeCell ref="Q145:R145"/>
    <mergeCell ref="C128:D128"/>
    <mergeCell ref="C130:D130"/>
    <mergeCell ref="C132:D132"/>
    <mergeCell ref="P128:Q128"/>
    <mergeCell ref="D137:E137"/>
    <mergeCell ref="D139:E139"/>
    <mergeCell ref="D143:E143"/>
    <mergeCell ref="Q143:R143"/>
    <mergeCell ref="Q152:R152"/>
    <mergeCell ref="D152:E152"/>
    <mergeCell ref="P132:Q132"/>
    <mergeCell ref="Q137:R137"/>
    <mergeCell ref="Q139:R139"/>
    <mergeCell ref="P124:Q124"/>
    <mergeCell ref="AB3:AN3"/>
    <mergeCell ref="AO3:BA3"/>
    <mergeCell ref="AB4:AN4"/>
    <mergeCell ref="AO4:BA4"/>
    <mergeCell ref="AY5:BA5"/>
    <mergeCell ref="AH7:AK7"/>
    <mergeCell ref="AT7:AX7"/>
    <mergeCell ref="AB8:AF8"/>
    <mergeCell ref="AG8:AK8"/>
    <mergeCell ref="AO8:AS8"/>
    <mergeCell ref="AT8:AX8"/>
    <mergeCell ref="AI11:AJ11"/>
    <mergeCell ref="AV11:AW11"/>
    <mergeCell ref="AI13:AJ13"/>
    <mergeCell ref="AV13:AW13"/>
    <mergeCell ref="AD18:AE18"/>
    <mergeCell ref="AQ18:AR18"/>
    <mergeCell ref="AD20:AE20"/>
    <mergeCell ref="AQ20:AR20"/>
    <mergeCell ref="AD24:AE24"/>
    <mergeCell ref="AI24:AJ24"/>
    <mergeCell ref="AQ24:AR24"/>
    <mergeCell ref="AV24:AW24"/>
    <mergeCell ref="AD26:AE26"/>
    <mergeCell ref="AI26:AJ26"/>
    <mergeCell ref="AQ26:AR26"/>
    <mergeCell ref="AV26:AW26"/>
    <mergeCell ref="AP30:AQ30"/>
    <mergeCell ref="AD31:AE31"/>
    <mergeCell ref="AI31:AJ31"/>
    <mergeCell ref="AQ31:AR31"/>
    <mergeCell ref="AV31:AW31"/>
    <mergeCell ref="AD33:AE33"/>
    <mergeCell ref="AI33:AJ33"/>
    <mergeCell ref="AQ33:AR33"/>
    <mergeCell ref="AV33:AW33"/>
    <mergeCell ref="AD37:AE37"/>
    <mergeCell ref="AI37:AJ37"/>
    <mergeCell ref="AQ37:AR37"/>
    <mergeCell ref="AV37:AW37"/>
    <mergeCell ref="AD39:AE39"/>
    <mergeCell ref="AI39:AJ39"/>
    <mergeCell ref="AQ39:AR39"/>
    <mergeCell ref="AV39:AW39"/>
    <mergeCell ref="AD41:AE41"/>
    <mergeCell ref="AI41:AJ41"/>
    <mergeCell ref="AQ41:AR41"/>
    <mergeCell ref="AV41:AW41"/>
    <mergeCell ref="AD50:AE50"/>
    <mergeCell ref="AI50:AJ50"/>
    <mergeCell ref="AQ50:AR50"/>
    <mergeCell ref="AV50:AW50"/>
    <mergeCell ref="AD52:AE52"/>
    <mergeCell ref="AI52:AJ52"/>
    <mergeCell ref="AQ52:AR52"/>
    <mergeCell ref="AV52:AW52"/>
    <mergeCell ref="AD56:AE56"/>
    <mergeCell ref="AI56:AJ56"/>
    <mergeCell ref="AQ56:AR56"/>
    <mergeCell ref="AV56:AW56"/>
    <mergeCell ref="AD58:AE58"/>
    <mergeCell ref="AI58:AJ58"/>
    <mergeCell ref="AQ58:AR58"/>
    <mergeCell ref="AV58:AW58"/>
    <mergeCell ref="AD66:AE66"/>
    <mergeCell ref="AI66:AJ66"/>
    <mergeCell ref="AQ66:AR66"/>
    <mergeCell ref="AV66:AW66"/>
    <mergeCell ref="AD68:AE68"/>
    <mergeCell ref="AI68:AJ68"/>
    <mergeCell ref="AQ68:AR68"/>
    <mergeCell ref="AV68:AW68"/>
    <mergeCell ref="AD72:AE72"/>
    <mergeCell ref="AI72:AJ72"/>
    <mergeCell ref="AQ72:AR72"/>
    <mergeCell ref="AV72:AW72"/>
    <mergeCell ref="AD74:AE74"/>
    <mergeCell ref="AI74:AJ74"/>
    <mergeCell ref="AQ74:AR74"/>
    <mergeCell ref="AV74:AW74"/>
    <mergeCell ref="AD80:AE80"/>
    <mergeCell ref="AI80:AJ80"/>
    <mergeCell ref="AQ80:AR80"/>
    <mergeCell ref="AV80:AW80"/>
    <mergeCell ref="AD82:AE82"/>
    <mergeCell ref="AI82:AJ82"/>
    <mergeCell ref="AQ82:AR82"/>
    <mergeCell ref="AV82:AW82"/>
    <mergeCell ref="AD86:AE86"/>
    <mergeCell ref="AI86:AJ86"/>
    <mergeCell ref="AQ86:AR86"/>
    <mergeCell ref="AV86:AW86"/>
    <mergeCell ref="AD88:AE88"/>
    <mergeCell ref="AI88:AJ88"/>
    <mergeCell ref="AQ88:AR88"/>
    <mergeCell ref="AV88:AW88"/>
    <mergeCell ref="AD93:AE93"/>
    <mergeCell ref="AI93:AJ93"/>
    <mergeCell ref="AQ93:AR93"/>
    <mergeCell ref="AV93:AW93"/>
    <mergeCell ref="AD95:AE95"/>
    <mergeCell ref="AI95:AJ95"/>
    <mergeCell ref="AQ95:AR95"/>
    <mergeCell ref="AV95:AW95"/>
    <mergeCell ref="AD100:AE100"/>
    <mergeCell ref="AQ100:AR100"/>
    <mergeCell ref="AD102:AE102"/>
    <mergeCell ref="AQ102:AR102"/>
    <mergeCell ref="AD105:AE105"/>
    <mergeCell ref="AQ105:AR105"/>
    <mergeCell ref="AD109:AE109"/>
    <mergeCell ref="AQ109:AR109"/>
    <mergeCell ref="AD111:AE111"/>
    <mergeCell ref="AQ111:AR111"/>
    <mergeCell ref="AC130:AD130"/>
    <mergeCell ref="AP130:AQ130"/>
    <mergeCell ref="AC132:AD132"/>
    <mergeCell ref="AP132:AQ132"/>
    <mergeCell ref="AD113:AE113"/>
    <mergeCell ref="AQ113:AR113"/>
    <mergeCell ref="AC116:AD116"/>
    <mergeCell ref="AP116:AQ116"/>
    <mergeCell ref="AC118:AD118"/>
    <mergeCell ref="AP118:AQ118"/>
    <mergeCell ref="AC120:AD120"/>
    <mergeCell ref="AP120:AQ120"/>
    <mergeCell ref="AD152:AE152"/>
    <mergeCell ref="AQ152:AR152"/>
    <mergeCell ref="A1:BA1"/>
    <mergeCell ref="A2:BA2"/>
    <mergeCell ref="A6:BA6"/>
    <mergeCell ref="A44:BA44"/>
    <mergeCell ref="A97:BA97"/>
    <mergeCell ref="A134:BA134"/>
    <mergeCell ref="AD137:AE137"/>
    <mergeCell ref="AQ137:AR137"/>
    <mergeCell ref="AD139:AE139"/>
    <mergeCell ref="AQ139:AR139"/>
    <mergeCell ref="AD143:AE143"/>
    <mergeCell ref="AQ143:AR143"/>
    <mergeCell ref="AD145:AE145"/>
    <mergeCell ref="AQ145:AR145"/>
    <mergeCell ref="AD148:AE148"/>
    <mergeCell ref="AQ148:AR148"/>
    <mergeCell ref="AC122:AD122"/>
    <mergeCell ref="AP122:AQ122"/>
    <mergeCell ref="AC124:AD124"/>
    <mergeCell ref="AP124:AQ124"/>
    <mergeCell ref="AC128:AD128"/>
    <mergeCell ref="AP128:AQ128"/>
    <mergeCell ref="Z171:AC171"/>
    <mergeCell ref="A169:AC169"/>
    <mergeCell ref="B170:AC170"/>
    <mergeCell ref="Z172:AC172"/>
    <mergeCell ref="Z173:AC173"/>
    <mergeCell ref="A156:BA156"/>
    <mergeCell ref="A157:BA157"/>
    <mergeCell ref="A158:BA158"/>
    <mergeCell ref="A159:BA159"/>
    <mergeCell ref="A160:BA160"/>
    <mergeCell ref="A161:BA161"/>
    <mergeCell ref="A162:BA162"/>
    <mergeCell ref="A163:BA163"/>
    <mergeCell ref="A166:BA166"/>
    <mergeCell ref="A165:BA165"/>
    <mergeCell ref="A164:BA164"/>
    <mergeCell ref="A170:A171"/>
    <mergeCell ref="B172:E172"/>
    <mergeCell ref="F172:J172"/>
    <mergeCell ref="K172:N172"/>
    <mergeCell ref="O172:R172"/>
    <mergeCell ref="S172:V172"/>
    <mergeCell ref="W172:Y172"/>
    <mergeCell ref="B173:E173"/>
    <mergeCell ref="Z174:AC174"/>
    <mergeCell ref="Z175:AC175"/>
    <mergeCell ref="A176:AC176"/>
    <mergeCell ref="W180:Y181"/>
    <mergeCell ref="W182:Y182"/>
    <mergeCell ref="W183:Y183"/>
    <mergeCell ref="W184:Y184"/>
    <mergeCell ref="W185:Y185"/>
    <mergeCell ref="Z180:AC181"/>
    <mergeCell ref="Z182:AC182"/>
    <mergeCell ref="Z183:AC183"/>
    <mergeCell ref="Z184:AC184"/>
    <mergeCell ref="Z185:AC185"/>
    <mergeCell ref="A179:AC179"/>
    <mergeCell ref="B174:E174"/>
    <mergeCell ref="F174:J174"/>
    <mergeCell ref="K174:N174"/>
    <mergeCell ref="O174:R174"/>
    <mergeCell ref="S174:V174"/>
    <mergeCell ref="W174:Y174"/>
    <mergeCell ref="B175:E175"/>
    <mergeCell ref="F175:J175"/>
    <mergeCell ref="K175:N175"/>
    <mergeCell ref="O175:R175"/>
  </mergeCells>
  <printOptions horizontalCentered="1"/>
  <pageMargins left="0.7" right="0.7" top="0.75" bottom="0.75" header="0.3" footer="0.3"/>
  <pageSetup scale="48" orientation="landscape" r:id="rId1"/>
  <headerFooter>
    <oddFooter>&amp;L&amp;A&amp;C&amp;F&amp;R&amp;D</oddFooter>
  </headerFooter>
  <rowBreaks count="2" manualBreakCount="2">
    <brk id="96" max="52" man="1"/>
    <brk id="167" max="52" man="1"/>
  </rowBreaks>
  <legacyDrawing r:id="rId2"/>
</worksheet>
</file>

<file path=xl/worksheets/sheet15.xml><?xml version="1.0" encoding="utf-8"?>
<worksheet xmlns="http://schemas.openxmlformats.org/spreadsheetml/2006/main" xmlns:r="http://schemas.openxmlformats.org/officeDocument/2006/relationships">
  <sheetPr codeName="Sheet28"/>
  <dimension ref="A1:AP135"/>
  <sheetViews>
    <sheetView topLeftCell="A109" zoomScale="85" zoomScaleNormal="85" workbookViewId="0">
      <selection activeCell="C29" sqref="C29:D29"/>
    </sheetView>
  </sheetViews>
  <sheetFormatPr defaultRowHeight="12.75"/>
  <cols>
    <col min="1" max="1" width="48.5703125" customWidth="1"/>
    <col min="2" max="2" width="1.28515625" customWidth="1"/>
    <col min="3" max="4" width="4.7109375" customWidth="1"/>
    <col min="5" max="6" width="5.7109375" customWidth="1"/>
    <col min="7" max="7" width="8.7109375" customWidth="1"/>
    <col min="8" max="8" width="7.7109375" customWidth="1"/>
    <col min="9" max="9" width="1.28515625" customWidth="1"/>
    <col min="10" max="10" width="7.42578125" customWidth="1"/>
    <col min="11" max="12" width="1.28515625" customWidth="1"/>
    <col min="13" max="14" width="4.7109375" customWidth="1"/>
    <col min="15" max="16" width="5.7109375" customWidth="1"/>
    <col min="17" max="17" width="8.7109375" customWidth="1"/>
    <col min="18" max="18" width="7.7109375" customWidth="1"/>
    <col min="19" max="19" width="1.42578125" customWidth="1"/>
    <col min="20" max="20" width="7.85546875" customWidth="1"/>
    <col min="21" max="22" width="1.28515625" customWidth="1"/>
    <col min="23" max="24" width="4.7109375" customWidth="1"/>
    <col min="25" max="26" width="5.7109375" customWidth="1"/>
    <col min="27" max="27" width="8.7109375" customWidth="1"/>
    <col min="28" max="28" width="7.7109375" customWidth="1"/>
    <col min="29" max="29" width="1.28515625" customWidth="1"/>
    <col min="30" max="30" width="7.42578125" customWidth="1"/>
    <col min="31" max="32" width="1.28515625" customWidth="1"/>
    <col min="33" max="34" width="4.7109375" customWidth="1"/>
    <col min="35" max="36" width="5.7109375" customWidth="1"/>
    <col min="37" max="37" width="8.7109375" customWidth="1"/>
    <col min="38" max="38" width="7.7109375" customWidth="1"/>
    <col min="39" max="39" width="1.42578125" customWidth="1"/>
    <col min="40" max="40" width="7.85546875" customWidth="1"/>
    <col min="41" max="41" width="1.28515625" customWidth="1"/>
  </cols>
  <sheetData>
    <row r="1" spans="1:41" s="23"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7"/>
      <c r="AD1" s="3997"/>
      <c r="AE1" s="3997"/>
      <c r="AF1" s="3997"/>
      <c r="AG1" s="3997"/>
      <c r="AH1" s="3997"/>
      <c r="AI1" s="3997"/>
      <c r="AJ1" s="3997"/>
      <c r="AK1" s="3997"/>
      <c r="AL1" s="3997"/>
      <c r="AM1" s="3997"/>
      <c r="AN1" s="3997"/>
      <c r="AO1" s="3998"/>
    </row>
    <row r="2" spans="1:41" ht="30" customHeight="1">
      <c r="A2" s="4016" t="s">
        <v>629</v>
      </c>
      <c r="B2" s="4017"/>
      <c r="C2" s="4017"/>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17"/>
      <c r="AL2" s="4017"/>
      <c r="AM2" s="4017"/>
      <c r="AN2" s="4017"/>
      <c r="AO2" s="4098"/>
    </row>
    <row r="3" spans="1:41" ht="22.5" customHeight="1">
      <c r="A3" s="209"/>
      <c r="B3" s="3999" t="str">
        <f>'Chosen Parameters-Part I'!B4</f>
        <v>Scenario 1</v>
      </c>
      <c r="C3" s="4000"/>
      <c r="D3" s="4000"/>
      <c r="E3" s="4000"/>
      <c r="F3" s="4000"/>
      <c r="G3" s="4000"/>
      <c r="H3" s="4000"/>
      <c r="I3" s="4000"/>
      <c r="J3" s="4000"/>
      <c r="K3" s="4001"/>
      <c r="L3" s="4002" t="str">
        <f>'Chosen Parameters-Part I'!C4</f>
        <v>Scenario 2</v>
      </c>
      <c r="M3" s="4003"/>
      <c r="N3" s="4003"/>
      <c r="O3" s="4003"/>
      <c r="P3" s="4003"/>
      <c r="Q3" s="4003"/>
      <c r="R3" s="4003"/>
      <c r="S3" s="4003"/>
      <c r="T3" s="4003"/>
      <c r="U3" s="4004"/>
      <c r="V3" s="4005" t="str">
        <f>'Chosen Parameters-Part I'!D4</f>
        <v>Scenario 3</v>
      </c>
      <c r="W3" s="4006"/>
      <c r="X3" s="4006"/>
      <c r="Y3" s="4006"/>
      <c r="Z3" s="4006"/>
      <c r="AA3" s="4006"/>
      <c r="AB3" s="4006"/>
      <c r="AC3" s="4006"/>
      <c r="AD3" s="4006"/>
      <c r="AE3" s="4111"/>
      <c r="AF3" s="4112" t="str">
        <f>'Chosen Parameters-Part I'!E4</f>
        <v>Scenario 4</v>
      </c>
      <c r="AG3" s="4113"/>
      <c r="AH3" s="4113"/>
      <c r="AI3" s="4113"/>
      <c r="AJ3" s="4113"/>
      <c r="AK3" s="4113"/>
      <c r="AL3" s="4113"/>
      <c r="AM3" s="4113"/>
      <c r="AN3" s="4113"/>
      <c r="AO3" s="4114"/>
    </row>
    <row r="4" spans="1:41" ht="36" customHeight="1">
      <c r="A4" s="361"/>
      <c r="B4" s="4118" t="str">
        <f>'Step 1 -- Herd Profile'!B4</f>
        <v>Intensive Conventional Management with Holsteins and rbST</v>
      </c>
      <c r="C4" s="4119"/>
      <c r="D4" s="4119"/>
      <c r="E4" s="4119"/>
      <c r="F4" s="4119"/>
      <c r="G4" s="4119"/>
      <c r="H4" s="4119"/>
      <c r="I4" s="4119"/>
      <c r="J4" s="4119"/>
      <c r="K4" s="4120"/>
      <c r="L4" s="4121" t="str">
        <f>'Step 1 -- Herd Profile'!M4</f>
        <v>Conventional Management, Holsteins</v>
      </c>
      <c r="M4" s="4122"/>
      <c r="N4" s="4122"/>
      <c r="O4" s="4122"/>
      <c r="P4" s="4122"/>
      <c r="Q4" s="4122"/>
      <c r="R4" s="4122"/>
      <c r="S4" s="4122"/>
      <c r="T4" s="4122"/>
      <c r="U4" s="4123"/>
      <c r="V4" s="4040" t="str">
        <f>'Application Setup'!B6</f>
        <v>Intensive Organic Management, Holsteins</v>
      </c>
      <c r="W4" s="4041"/>
      <c r="X4" s="4041"/>
      <c r="Y4" s="4041"/>
      <c r="Z4" s="4041"/>
      <c r="AA4" s="4041"/>
      <c r="AB4" s="4041"/>
      <c r="AC4" s="4041"/>
      <c r="AD4" s="4041"/>
      <c r="AE4" s="4042"/>
      <c r="AF4" s="4115" t="str">
        <f>'Application Setup'!B7</f>
        <v>Pasture-Based Organic, Jersey Cows</v>
      </c>
      <c r="AG4" s="4116"/>
      <c r="AH4" s="4116"/>
      <c r="AI4" s="4116"/>
      <c r="AJ4" s="4116"/>
      <c r="AK4" s="4116"/>
      <c r="AL4" s="4116"/>
      <c r="AM4" s="4116"/>
      <c r="AN4" s="4116"/>
      <c r="AO4" s="4117"/>
    </row>
    <row r="5" spans="1:41" ht="20.25" customHeight="1">
      <c r="A5" s="4031" t="s">
        <v>880</v>
      </c>
      <c r="B5" s="4032"/>
      <c r="C5" s="4032"/>
      <c r="D5" s="4032"/>
      <c r="E5" s="4032"/>
      <c r="F5" s="4032"/>
      <c r="G5" s="4032"/>
      <c r="H5" s="4032"/>
      <c r="I5" s="4032"/>
      <c r="J5" s="4032"/>
      <c r="K5" s="4032"/>
      <c r="L5" s="4032"/>
      <c r="M5" s="4032"/>
      <c r="N5" s="4032"/>
      <c r="O5" s="4032"/>
      <c r="P5" s="4032"/>
      <c r="Q5" s="4032"/>
      <c r="R5" s="4032"/>
      <c r="S5" s="4032"/>
      <c r="T5" s="4032"/>
      <c r="U5" s="4032"/>
      <c r="V5" s="4032"/>
      <c r="W5" s="4032"/>
      <c r="X5" s="4032"/>
      <c r="Y5" s="4032"/>
      <c r="Z5" s="4032"/>
      <c r="AA5" s="4032"/>
      <c r="AB5" s="4032"/>
      <c r="AC5" s="4032"/>
      <c r="AD5" s="4032"/>
      <c r="AE5" s="4032"/>
      <c r="AF5" s="4032"/>
      <c r="AG5" s="4032"/>
      <c r="AH5" s="4032"/>
      <c r="AI5" s="4032"/>
      <c r="AJ5" s="4032"/>
      <c r="AK5" s="4032"/>
      <c r="AL5" s="4032"/>
      <c r="AM5" s="4032"/>
      <c r="AN5" s="4032"/>
      <c r="AO5" s="4033"/>
    </row>
    <row r="6" spans="1:41" ht="6" customHeight="1">
      <c r="A6" s="209"/>
      <c r="B6" s="358"/>
      <c r="C6" s="382"/>
      <c r="D6" s="382"/>
      <c r="E6" s="382"/>
      <c r="F6" s="382"/>
      <c r="G6" s="382"/>
      <c r="H6" s="382"/>
      <c r="I6" s="372"/>
      <c r="J6" s="382"/>
      <c r="K6" s="382"/>
      <c r="L6" s="360"/>
      <c r="M6" s="96"/>
      <c r="N6" s="96"/>
      <c r="O6" s="96"/>
      <c r="P6" s="96"/>
      <c r="Q6" s="96"/>
      <c r="R6" s="96"/>
      <c r="S6" s="109"/>
      <c r="T6" s="96"/>
      <c r="U6" s="383"/>
      <c r="V6" s="493"/>
      <c r="W6" s="494"/>
      <c r="X6" s="494"/>
      <c r="Y6" s="494"/>
      <c r="Z6" s="494"/>
      <c r="AA6" s="494"/>
      <c r="AB6" s="494"/>
      <c r="AC6" s="603"/>
      <c r="AD6" s="494"/>
      <c r="AE6" s="494"/>
      <c r="AF6" s="607"/>
      <c r="AG6" s="496"/>
      <c r="AH6" s="496"/>
      <c r="AI6" s="496"/>
      <c r="AJ6" s="496"/>
      <c r="AK6" s="496"/>
      <c r="AL6" s="496"/>
      <c r="AM6" s="611"/>
      <c r="AN6" s="496"/>
      <c r="AO6" s="497"/>
    </row>
    <row r="7" spans="1:41" ht="25.5">
      <c r="A7" s="362" t="s">
        <v>141</v>
      </c>
      <c r="B7" s="358"/>
      <c r="C7" s="382"/>
      <c r="D7" s="186"/>
      <c r="E7" s="186"/>
      <c r="F7" s="240" t="s">
        <v>94</v>
      </c>
      <c r="G7" s="322"/>
      <c r="H7" s="186"/>
      <c r="I7" s="216"/>
      <c r="J7" s="2781" t="s">
        <v>83</v>
      </c>
      <c r="K7" s="382"/>
      <c r="L7" s="360"/>
      <c r="M7" s="44"/>
      <c r="N7" s="44"/>
      <c r="O7" s="44"/>
      <c r="P7" s="241" t="s">
        <v>94</v>
      </c>
      <c r="Q7" s="104"/>
      <c r="R7" s="44"/>
      <c r="S7" s="41"/>
      <c r="T7" s="2782" t="s">
        <v>142</v>
      </c>
      <c r="U7" s="383"/>
      <c r="V7" s="493"/>
      <c r="W7" s="494"/>
      <c r="X7" s="511"/>
      <c r="Y7" s="511"/>
      <c r="Z7" s="531" t="s">
        <v>94</v>
      </c>
      <c r="AA7" s="591"/>
      <c r="AB7" s="511"/>
      <c r="AC7" s="532"/>
      <c r="AD7" s="2801" t="s">
        <v>83</v>
      </c>
      <c r="AE7" s="494"/>
      <c r="AF7" s="607"/>
      <c r="AG7" s="465"/>
      <c r="AH7" s="465"/>
      <c r="AI7" s="465"/>
      <c r="AJ7" s="481" t="s">
        <v>94</v>
      </c>
      <c r="AK7" s="593"/>
      <c r="AL7" s="465"/>
      <c r="AM7" s="464"/>
      <c r="AN7" s="2802" t="s">
        <v>142</v>
      </c>
      <c r="AO7" s="497"/>
    </row>
    <row r="8" spans="1:41" ht="2.25" customHeight="1">
      <c r="A8" s="209"/>
      <c r="B8" s="358"/>
      <c r="C8" s="382"/>
      <c r="D8" s="199"/>
      <c r="E8" s="363"/>
      <c r="F8" s="2389"/>
      <c r="G8" s="186"/>
      <c r="H8" s="200"/>
      <c r="I8" s="370"/>
      <c r="J8" s="382"/>
      <c r="K8" s="382"/>
      <c r="L8" s="360"/>
      <c r="M8" s="72"/>
      <c r="N8" s="72"/>
      <c r="O8" s="72"/>
      <c r="P8" s="364"/>
      <c r="Q8" s="44"/>
      <c r="R8" s="65"/>
      <c r="S8" s="373"/>
      <c r="T8" s="96"/>
      <c r="U8" s="383"/>
      <c r="V8" s="493"/>
      <c r="W8" s="494"/>
      <c r="X8" s="525"/>
      <c r="Y8" s="2795"/>
      <c r="Z8" s="2795"/>
      <c r="AA8" s="511"/>
      <c r="AB8" s="526"/>
      <c r="AC8" s="600"/>
      <c r="AD8" s="494"/>
      <c r="AE8" s="494"/>
      <c r="AF8" s="607"/>
      <c r="AG8" s="476"/>
      <c r="AH8" s="476"/>
      <c r="AI8" s="476"/>
      <c r="AJ8" s="2798"/>
      <c r="AK8" s="465"/>
      <c r="AL8" s="477"/>
      <c r="AM8" s="609"/>
      <c r="AN8" s="496"/>
      <c r="AO8" s="497"/>
    </row>
    <row r="9" spans="1:41">
      <c r="A9" s="209" t="s">
        <v>158</v>
      </c>
      <c r="B9" s="2423"/>
      <c r="C9" s="4475">
        <f>F1_Unadjusted_Milk_Production_lb_day*F1_Length_of_Lactation*F1_Number_of_Lactations</f>
        <v>55352.054347826088</v>
      </c>
      <c r="D9" s="4476"/>
      <c r="E9" s="1671" t="s">
        <v>257</v>
      </c>
      <c r="F9" s="2389"/>
      <c r="G9" s="2828">
        <f>C9*Defaults!$D$9</f>
        <v>25107.265209437661</v>
      </c>
      <c r="H9" s="1671" t="s">
        <v>36</v>
      </c>
      <c r="I9" s="371"/>
      <c r="J9" s="2417">
        <v>1</v>
      </c>
      <c r="K9" s="382"/>
      <c r="L9" s="360"/>
      <c r="M9" s="4492">
        <f>F2_Unadjusted_Milk_Production_lb_day*F2_Length_of_Lactation*F2_Number_of_Lactations</f>
        <v>53686.128192771081</v>
      </c>
      <c r="N9" s="4493"/>
      <c r="O9" s="1670" t="s">
        <v>257</v>
      </c>
      <c r="P9" s="104"/>
      <c r="Q9" s="2829">
        <f>M9*Defaults!$D$9</f>
        <v>24351.613946135498</v>
      </c>
      <c r="R9" s="1670" t="s">
        <v>36</v>
      </c>
      <c r="S9" s="374"/>
      <c r="T9" s="2418">
        <v>1</v>
      </c>
      <c r="U9" s="383"/>
      <c r="V9" s="2837"/>
      <c r="W9" s="4481">
        <f>F3_Unadjusted_Milk_Production_lb_day*F3_Length_of_Lactation*F3_Number_of_Lactations</f>
        <v>80033.028196721309</v>
      </c>
      <c r="X9" s="4482"/>
      <c r="Y9" s="2795" t="s">
        <v>257</v>
      </c>
      <c r="Z9" s="2795"/>
      <c r="AA9" s="2838">
        <f>W9*Defaults!$D$9</f>
        <v>36302.364711209717</v>
      </c>
      <c r="AB9" s="2795" t="s">
        <v>36</v>
      </c>
      <c r="AC9" s="602"/>
      <c r="AD9" s="2839">
        <v>1</v>
      </c>
      <c r="AE9" s="494"/>
      <c r="AF9" s="607"/>
      <c r="AG9" s="4483">
        <f>F4_Unadjusted_Milk_Production_lb_day*F4_Length_of_Lactation*F4_Number_of_Lactations</f>
        <v>70004.48000000001</v>
      </c>
      <c r="AH9" s="4484"/>
      <c r="AI9" s="2798" t="s">
        <v>257</v>
      </c>
      <c r="AJ9" s="593"/>
      <c r="AK9" s="2849">
        <f>AG9*Defaults!$D$9</f>
        <v>31753.492547251844</v>
      </c>
      <c r="AL9" s="2798" t="s">
        <v>36</v>
      </c>
      <c r="AM9" s="610"/>
      <c r="AN9" s="2850">
        <v>1</v>
      </c>
      <c r="AO9" s="497"/>
    </row>
    <row r="10" spans="1:41" ht="2.25" customHeight="1">
      <c r="A10" s="209"/>
      <c r="B10" s="358"/>
      <c r="C10" s="382"/>
      <c r="D10" s="199"/>
      <c r="E10" s="363"/>
      <c r="F10" s="2389"/>
      <c r="G10" s="186"/>
      <c r="H10" s="200"/>
      <c r="I10" s="370"/>
      <c r="J10" s="382"/>
      <c r="K10" s="382"/>
      <c r="L10" s="360"/>
      <c r="M10" s="72"/>
      <c r="N10" s="72"/>
      <c r="O10" s="364"/>
      <c r="P10" s="104"/>
      <c r="Q10" s="44"/>
      <c r="R10" s="65"/>
      <c r="S10" s="373"/>
      <c r="T10" s="96"/>
      <c r="U10" s="383"/>
      <c r="V10" s="493"/>
      <c r="W10" s="494"/>
      <c r="X10" s="525"/>
      <c r="Y10" s="2795"/>
      <c r="Z10" s="2795"/>
      <c r="AA10" s="511"/>
      <c r="AB10" s="526"/>
      <c r="AC10" s="600"/>
      <c r="AD10" s="494"/>
      <c r="AE10" s="494"/>
      <c r="AF10" s="607"/>
      <c r="AG10" s="476"/>
      <c r="AH10" s="476"/>
      <c r="AI10" s="2798"/>
      <c r="AJ10" s="593"/>
      <c r="AK10" s="465"/>
      <c r="AL10" s="477"/>
      <c r="AM10" s="609"/>
      <c r="AN10" s="496"/>
      <c r="AO10" s="497"/>
    </row>
    <row r="11" spans="1:41">
      <c r="A11" s="209" t="s">
        <v>477</v>
      </c>
      <c r="B11" s="358"/>
      <c r="C11" s="4475">
        <f>F1_ECM_Production_lb_day*F1_Length_of_Lactation*F1_Number_of_Lactations</f>
        <v>54554.984765217392</v>
      </c>
      <c r="D11" s="4476"/>
      <c r="E11" s="1671" t="s">
        <v>257</v>
      </c>
      <c r="F11" s="2389"/>
      <c r="G11" s="2828">
        <f>C11*Defaults!$D$9</f>
        <v>24745.720590421759</v>
      </c>
      <c r="H11" s="1671" t="s">
        <v>36</v>
      </c>
      <c r="I11" s="371"/>
      <c r="J11" s="2417">
        <v>1</v>
      </c>
      <c r="K11" s="382"/>
      <c r="L11" s="360"/>
      <c r="M11" s="4492">
        <f>F2_ECM_Production_lb_day*F2_Length_of_Lactation*F2_Number_of_Lactations</f>
        <v>54573.345147284817</v>
      </c>
      <c r="N11" s="4493"/>
      <c r="O11" s="1670" t="s">
        <v>257</v>
      </c>
      <c r="P11" s="104"/>
      <c r="Q11" s="2829">
        <f>M11*Defaults!$D$9</f>
        <v>24754.048718209331</v>
      </c>
      <c r="R11" s="1670" t="s">
        <v>36</v>
      </c>
      <c r="S11" s="374"/>
      <c r="T11" s="2418">
        <v>1</v>
      </c>
      <c r="U11" s="383"/>
      <c r="V11" s="493"/>
      <c r="W11" s="4481">
        <f>F3_ECM_Production_lb_day*F3_Length_of_Lactation*F3_Number_of_Lactations</f>
        <v>83670.529328262273</v>
      </c>
      <c r="X11" s="4482"/>
      <c r="Y11" s="2795" t="s">
        <v>257</v>
      </c>
      <c r="Z11" s="2795"/>
      <c r="AA11" s="2838">
        <f>W11*Defaults!$D$9</f>
        <v>37952.307187334191</v>
      </c>
      <c r="AB11" s="2795" t="s">
        <v>36</v>
      </c>
      <c r="AC11" s="602"/>
      <c r="AD11" s="2839">
        <v>1</v>
      </c>
      <c r="AE11" s="494"/>
      <c r="AF11" s="607"/>
      <c r="AG11" s="4483">
        <f>F4_ECM_Production_lb_day*F4_Length_of_Lactation*F4_Number_of_Lactations</f>
        <v>84555.611212799995</v>
      </c>
      <c r="AH11" s="4484"/>
      <c r="AI11" s="2798" t="s">
        <v>257</v>
      </c>
      <c r="AJ11" s="593"/>
      <c r="AK11" s="2849">
        <f>AG11*Defaults!$D$9</f>
        <v>38353.773508123602</v>
      </c>
      <c r="AL11" s="2798" t="s">
        <v>36</v>
      </c>
      <c r="AM11" s="610"/>
      <c r="AN11" s="2850">
        <v>1</v>
      </c>
      <c r="AO11" s="497"/>
    </row>
    <row r="12" spans="1:41" ht="6" customHeight="1">
      <c r="A12" s="361"/>
      <c r="B12" s="358"/>
      <c r="C12" s="382"/>
      <c r="D12" s="382"/>
      <c r="E12" s="382"/>
      <c r="F12" s="382"/>
      <c r="G12" s="382"/>
      <c r="H12" s="382"/>
      <c r="I12" s="372"/>
      <c r="J12" s="382"/>
      <c r="K12" s="382"/>
      <c r="L12" s="360"/>
      <c r="M12" s="96"/>
      <c r="N12" s="96"/>
      <c r="O12" s="96"/>
      <c r="P12" s="501"/>
      <c r="Q12" s="96"/>
      <c r="R12" s="96"/>
      <c r="S12" s="109"/>
      <c r="T12" s="96"/>
      <c r="U12" s="383"/>
      <c r="V12" s="493"/>
      <c r="W12" s="494"/>
      <c r="X12" s="494"/>
      <c r="Y12" s="494"/>
      <c r="Z12" s="494"/>
      <c r="AA12" s="494"/>
      <c r="AB12" s="494"/>
      <c r="AC12" s="603"/>
      <c r="AD12" s="494"/>
      <c r="AE12" s="494"/>
      <c r="AF12" s="607"/>
      <c r="AG12" s="496"/>
      <c r="AH12" s="496"/>
      <c r="AI12" s="496"/>
      <c r="AJ12" s="505"/>
      <c r="AK12" s="496"/>
      <c r="AL12" s="496"/>
      <c r="AM12" s="611"/>
      <c r="AN12" s="496"/>
      <c r="AO12" s="497"/>
    </row>
    <row r="13" spans="1:41" ht="6" customHeight="1">
      <c r="A13" s="209"/>
      <c r="B13" s="357"/>
      <c r="C13" s="366"/>
      <c r="D13" s="366"/>
      <c r="E13" s="366"/>
      <c r="F13" s="366"/>
      <c r="G13" s="366"/>
      <c r="H13" s="366"/>
      <c r="I13" s="369"/>
      <c r="J13" s="366"/>
      <c r="K13" s="366"/>
      <c r="L13" s="359"/>
      <c r="M13" s="126"/>
      <c r="N13" s="126"/>
      <c r="O13" s="126"/>
      <c r="P13" s="104"/>
      <c r="Q13" s="126"/>
      <c r="R13" s="126"/>
      <c r="S13" s="125"/>
      <c r="T13" s="126"/>
      <c r="U13" s="384"/>
      <c r="V13" s="597"/>
      <c r="W13" s="604"/>
      <c r="X13" s="604"/>
      <c r="Y13" s="604"/>
      <c r="Z13" s="604"/>
      <c r="AA13" s="604"/>
      <c r="AB13" s="604"/>
      <c r="AC13" s="598"/>
      <c r="AD13" s="604"/>
      <c r="AE13" s="604"/>
      <c r="AF13" s="612"/>
      <c r="AG13" s="595"/>
      <c r="AH13" s="595"/>
      <c r="AI13" s="595"/>
      <c r="AJ13" s="593"/>
      <c r="AK13" s="595"/>
      <c r="AL13" s="595"/>
      <c r="AM13" s="613"/>
      <c r="AN13" s="595"/>
      <c r="AO13" s="614"/>
    </row>
    <row r="14" spans="1:41">
      <c r="A14" s="618" t="s">
        <v>157</v>
      </c>
      <c r="B14" s="358"/>
      <c r="C14" s="4542">
        <f>F1_Age_at_EOL</f>
        <v>4.476514020925551</v>
      </c>
      <c r="D14" s="4543"/>
      <c r="E14" s="186" t="s">
        <v>156</v>
      </c>
      <c r="F14" s="186"/>
      <c r="G14" s="382"/>
      <c r="H14" s="382"/>
      <c r="I14" s="372"/>
      <c r="J14" s="2417" t="s">
        <v>1309</v>
      </c>
      <c r="K14" s="382"/>
      <c r="L14" s="360"/>
      <c r="M14" s="4494">
        <f>F2_Age_at_EOL</f>
        <v>4.7162216103186916</v>
      </c>
      <c r="N14" s="4495"/>
      <c r="O14" s="44" t="s">
        <v>156</v>
      </c>
      <c r="P14" s="104"/>
      <c r="Q14" s="96"/>
      <c r="R14" s="96"/>
      <c r="S14" s="109"/>
      <c r="T14" s="2418" t="s">
        <v>1309</v>
      </c>
      <c r="U14" s="383"/>
      <c r="V14" s="493"/>
      <c r="W14" s="4485">
        <f>F3_Age_at_EOL</f>
        <v>6.2461742275483134</v>
      </c>
      <c r="X14" s="4486"/>
      <c r="Y14" s="511" t="s">
        <v>156</v>
      </c>
      <c r="Z14" s="511"/>
      <c r="AA14" s="494"/>
      <c r="AB14" s="494"/>
      <c r="AC14" s="603"/>
      <c r="AD14" s="2839" t="s">
        <v>1309</v>
      </c>
      <c r="AE14" s="494"/>
      <c r="AF14" s="607"/>
      <c r="AG14" s="4487">
        <f>F4_Age_at_EOL</f>
        <v>6.4478201978719438</v>
      </c>
      <c r="AH14" s="4488"/>
      <c r="AI14" s="465" t="s">
        <v>156</v>
      </c>
      <c r="AJ14" s="593"/>
      <c r="AK14" s="496"/>
      <c r="AL14" s="496"/>
      <c r="AM14" s="611"/>
      <c r="AN14" s="2850" t="s">
        <v>1309</v>
      </c>
      <c r="AO14" s="497"/>
    </row>
    <row r="15" spans="1:41" ht="6" customHeight="1">
      <c r="A15" s="361"/>
      <c r="B15" s="358"/>
      <c r="C15" s="382"/>
      <c r="D15" s="382"/>
      <c r="E15" s="382"/>
      <c r="F15" s="382"/>
      <c r="G15" s="382"/>
      <c r="H15" s="382"/>
      <c r="I15" s="372"/>
      <c r="J15" s="382"/>
      <c r="K15" s="382"/>
      <c r="L15" s="360"/>
      <c r="M15" s="96"/>
      <c r="N15" s="96"/>
      <c r="O15" s="96"/>
      <c r="P15" s="501"/>
      <c r="Q15" s="96"/>
      <c r="R15" s="96"/>
      <c r="S15" s="109"/>
      <c r="T15" s="96"/>
      <c r="U15" s="383"/>
      <c r="V15" s="493"/>
      <c r="W15" s="494"/>
      <c r="X15" s="494"/>
      <c r="Y15" s="494"/>
      <c r="Z15" s="494"/>
      <c r="AA15" s="494"/>
      <c r="AB15" s="494"/>
      <c r="AC15" s="603"/>
      <c r="AD15" s="494"/>
      <c r="AE15" s="494"/>
      <c r="AF15" s="607"/>
      <c r="AG15" s="496"/>
      <c r="AH15" s="496"/>
      <c r="AI15" s="496"/>
      <c r="AJ15" s="505"/>
      <c r="AK15" s="496"/>
      <c r="AL15" s="496"/>
      <c r="AM15" s="611"/>
      <c r="AN15" s="496"/>
      <c r="AO15" s="497"/>
    </row>
    <row r="16" spans="1:41" ht="6" customHeight="1">
      <c r="A16" s="209"/>
      <c r="B16" s="357"/>
      <c r="C16" s="366"/>
      <c r="D16" s="366"/>
      <c r="E16" s="366"/>
      <c r="F16" s="366"/>
      <c r="G16" s="366"/>
      <c r="H16" s="366"/>
      <c r="I16" s="369"/>
      <c r="J16" s="366"/>
      <c r="K16" s="366"/>
      <c r="L16" s="359"/>
      <c r="M16" s="126"/>
      <c r="N16" s="126"/>
      <c r="O16" s="126"/>
      <c r="P16" s="104"/>
      <c r="Q16" s="126"/>
      <c r="R16" s="126"/>
      <c r="S16" s="125"/>
      <c r="T16" s="126"/>
      <c r="U16" s="384"/>
      <c r="V16" s="597"/>
      <c r="W16" s="604"/>
      <c r="X16" s="604"/>
      <c r="Y16" s="604"/>
      <c r="Z16" s="604"/>
      <c r="AA16" s="604"/>
      <c r="AB16" s="604"/>
      <c r="AC16" s="598"/>
      <c r="AD16" s="604"/>
      <c r="AE16" s="604"/>
      <c r="AF16" s="612"/>
      <c r="AG16" s="595"/>
      <c r="AH16" s="595"/>
      <c r="AI16" s="595"/>
      <c r="AJ16" s="593"/>
      <c r="AK16" s="595"/>
      <c r="AL16" s="595"/>
      <c r="AM16" s="613"/>
      <c r="AN16" s="595"/>
      <c r="AO16" s="614"/>
    </row>
    <row r="17" spans="1:42">
      <c r="A17" s="362" t="s">
        <v>208</v>
      </c>
      <c r="B17" s="358"/>
      <c r="C17" s="382"/>
      <c r="D17" s="186"/>
      <c r="E17" s="186"/>
      <c r="F17" s="186"/>
      <c r="G17" s="240"/>
      <c r="H17" s="186"/>
      <c r="I17" s="216"/>
      <c r="J17" s="382"/>
      <c r="K17" s="382"/>
      <c r="L17" s="360"/>
      <c r="M17" s="44"/>
      <c r="N17" s="44"/>
      <c r="O17" s="44"/>
      <c r="P17" s="104"/>
      <c r="Q17" s="241"/>
      <c r="R17" s="44"/>
      <c r="S17" s="41"/>
      <c r="T17" s="96"/>
      <c r="U17" s="383"/>
      <c r="V17" s="493"/>
      <c r="W17" s="494"/>
      <c r="X17" s="511"/>
      <c r="Y17" s="511"/>
      <c r="Z17" s="511"/>
      <c r="AA17" s="531"/>
      <c r="AB17" s="511"/>
      <c r="AC17" s="532"/>
      <c r="AD17" s="494"/>
      <c r="AE17" s="494"/>
      <c r="AF17" s="607"/>
      <c r="AG17" s="465"/>
      <c r="AH17" s="465"/>
      <c r="AI17" s="465"/>
      <c r="AJ17" s="593"/>
      <c r="AK17" s="481"/>
      <c r="AL17" s="465"/>
      <c r="AM17" s="464"/>
      <c r="AN17" s="496"/>
      <c r="AO17" s="497"/>
    </row>
    <row r="18" spans="1:42" ht="2.25" customHeight="1">
      <c r="A18" s="209"/>
      <c r="B18" s="358"/>
      <c r="C18" s="382"/>
      <c r="D18" s="199"/>
      <c r="E18" s="363"/>
      <c r="F18" s="2389"/>
      <c r="G18" s="186"/>
      <c r="H18" s="200"/>
      <c r="I18" s="370"/>
      <c r="J18" s="382"/>
      <c r="K18" s="382"/>
      <c r="L18" s="360"/>
      <c r="M18" s="72"/>
      <c r="N18" s="72"/>
      <c r="O18" s="364"/>
      <c r="P18" s="104"/>
      <c r="Q18" s="44"/>
      <c r="R18" s="65"/>
      <c r="S18" s="373"/>
      <c r="T18" s="96"/>
      <c r="U18" s="383"/>
      <c r="V18" s="493"/>
      <c r="W18" s="494"/>
      <c r="X18" s="525"/>
      <c r="Y18" s="2795"/>
      <c r="Z18" s="2795"/>
      <c r="AA18" s="511"/>
      <c r="AB18" s="526"/>
      <c r="AC18" s="600"/>
      <c r="AD18" s="494"/>
      <c r="AE18" s="494"/>
      <c r="AF18" s="607"/>
      <c r="AG18" s="476"/>
      <c r="AH18" s="476"/>
      <c r="AI18" s="2798"/>
      <c r="AJ18" s="593"/>
      <c r="AK18" s="465"/>
      <c r="AL18" s="477"/>
      <c r="AM18" s="609"/>
      <c r="AN18" s="496"/>
      <c r="AO18" s="497"/>
    </row>
    <row r="19" spans="1:42">
      <c r="A19" s="209" t="s">
        <v>158</v>
      </c>
      <c r="B19" s="358"/>
      <c r="C19" s="4475">
        <f>F1_Unadjusted_Milk_Production_Life_lb/F1_Age_at_EOL</f>
        <v>12364.990724720585</v>
      </c>
      <c r="D19" s="4476"/>
      <c r="E19" s="2794" t="s">
        <v>829</v>
      </c>
      <c r="F19" s="2389"/>
      <c r="G19" s="2828">
        <f>C19*Defaults!$D$9</f>
        <v>5608.6644858193822</v>
      </c>
      <c r="H19" s="2794" t="s">
        <v>828</v>
      </c>
      <c r="I19" s="371"/>
      <c r="J19" s="2417">
        <v>2</v>
      </c>
      <c r="K19" s="382"/>
      <c r="L19" s="360"/>
      <c r="M19" s="4492">
        <f>F2_Unadjusted_Milk_Production_Life_lb/F2_Age_at_EOL</f>
        <v>11383.292098766182</v>
      </c>
      <c r="N19" s="4493"/>
      <c r="O19" s="2725" t="s">
        <v>829</v>
      </c>
      <c r="P19" s="104"/>
      <c r="Q19" s="2829">
        <f>M19*Defaults!$D$9</f>
        <v>5163.3735558261806</v>
      </c>
      <c r="R19" s="2725" t="s">
        <v>828</v>
      </c>
      <c r="S19" s="374"/>
      <c r="T19" s="2418">
        <v>2</v>
      </c>
      <c r="U19" s="383"/>
      <c r="V19" s="493"/>
      <c r="W19" s="4481">
        <f>F3_Unadjusted_Milk_Production_Life_lb/F3_Age_at_EOL</f>
        <v>12813.12772924925</v>
      </c>
      <c r="X19" s="4482"/>
      <c r="Y19" s="2795" t="s">
        <v>829</v>
      </c>
      <c r="Z19" s="2795"/>
      <c r="AA19" s="2838">
        <f>W19*Defaults!$D$9</f>
        <v>5811.9359769217908</v>
      </c>
      <c r="AB19" s="2795" t="s">
        <v>828</v>
      </c>
      <c r="AC19" s="602"/>
      <c r="AD19" s="2839">
        <v>2</v>
      </c>
      <c r="AE19" s="494"/>
      <c r="AF19" s="607"/>
      <c r="AG19" s="4483">
        <f>F4_Unadjusted_Milk_Production_Life_lb/F4_Age_at_EOL</f>
        <v>10857.076942546331</v>
      </c>
      <c r="AH19" s="4484"/>
      <c r="AI19" s="2798" t="s">
        <v>829</v>
      </c>
      <c r="AJ19" s="593"/>
      <c r="AK19" s="2849">
        <f>AG19*Defaults!$D$9</f>
        <v>4924.6864169276696</v>
      </c>
      <c r="AL19" s="2798" t="s">
        <v>828</v>
      </c>
      <c r="AM19" s="610"/>
      <c r="AN19" s="2850">
        <v>2</v>
      </c>
      <c r="AO19" s="497"/>
    </row>
    <row r="20" spans="1:42" ht="2.25" customHeight="1">
      <c r="A20" s="209"/>
      <c r="B20" s="358"/>
      <c r="C20" s="199"/>
      <c r="D20" s="322"/>
      <c r="E20" s="363"/>
      <c r="F20" s="2389"/>
      <c r="G20" s="186"/>
      <c r="H20" s="200"/>
      <c r="I20" s="370"/>
      <c r="J20" s="382"/>
      <c r="K20" s="382"/>
      <c r="L20" s="360"/>
      <c r="M20" s="72"/>
      <c r="N20" s="72"/>
      <c r="O20" s="364"/>
      <c r="P20" s="104"/>
      <c r="Q20" s="44"/>
      <c r="R20" s="65"/>
      <c r="S20" s="373"/>
      <c r="T20" s="96"/>
      <c r="U20" s="383"/>
      <c r="V20" s="493"/>
      <c r="W20" s="525"/>
      <c r="X20" s="591"/>
      <c r="Y20" s="2795"/>
      <c r="Z20" s="2795"/>
      <c r="AA20" s="511"/>
      <c r="AB20" s="526"/>
      <c r="AC20" s="600"/>
      <c r="AD20" s="494"/>
      <c r="AE20" s="494"/>
      <c r="AF20" s="607"/>
      <c r="AG20" s="476"/>
      <c r="AH20" s="476"/>
      <c r="AI20" s="2798"/>
      <c r="AJ20" s="593"/>
      <c r="AK20" s="465"/>
      <c r="AL20" s="477"/>
      <c r="AM20" s="609"/>
      <c r="AN20" s="496"/>
      <c r="AO20" s="497"/>
    </row>
    <row r="21" spans="1:42">
      <c r="A21" s="209" t="s">
        <v>159</v>
      </c>
      <c r="B21" s="358"/>
      <c r="C21" s="4475">
        <f>F1_ECM_Production_Life_lb/F1_Age_at_EOL</f>
        <v>12186.934858284609</v>
      </c>
      <c r="D21" s="4476"/>
      <c r="E21" s="2794" t="s">
        <v>829</v>
      </c>
      <c r="F21" s="2389"/>
      <c r="G21" s="2828">
        <f>C21*Defaults!$D$9</f>
        <v>5527.8997172235831</v>
      </c>
      <c r="H21" s="2794" t="s">
        <v>828</v>
      </c>
      <c r="I21" s="371"/>
      <c r="J21" s="2417">
        <v>2</v>
      </c>
      <c r="K21" s="382"/>
      <c r="L21" s="360"/>
      <c r="M21" s="4492">
        <f>F2_ECM_Production_Life_lb/F2_Age_at_EOL</f>
        <v>11571.412383990391</v>
      </c>
      <c r="N21" s="4493"/>
      <c r="O21" s="2725" t="s">
        <v>829</v>
      </c>
      <c r="P21" s="104"/>
      <c r="Q21" s="2829">
        <f>M21*Defaults!$D$9</f>
        <v>5248.7034672097634</v>
      </c>
      <c r="R21" s="2725" t="s">
        <v>828</v>
      </c>
      <c r="S21" s="374"/>
      <c r="T21" s="2418">
        <v>2</v>
      </c>
      <c r="U21" s="383"/>
      <c r="V21" s="493"/>
      <c r="W21" s="4481">
        <f>F3_ECM_Production_Life_lb/F3_Age_at_EOL</f>
        <v>13395.484384543624</v>
      </c>
      <c r="X21" s="4482"/>
      <c r="Y21" s="2795" t="s">
        <v>829</v>
      </c>
      <c r="Z21" s="2795"/>
      <c r="AA21" s="2838">
        <f>W21*Defaults!$D$9</f>
        <v>6076.0884670728847</v>
      </c>
      <c r="AB21" s="2795" t="s">
        <v>828</v>
      </c>
      <c r="AC21" s="602"/>
      <c r="AD21" s="2839">
        <v>2</v>
      </c>
      <c r="AE21" s="494"/>
      <c r="AF21" s="607"/>
      <c r="AG21" s="4483">
        <f>F4_ECM_Production_Life_lb/F4_Age_at_EOL</f>
        <v>13113.82895582401</v>
      </c>
      <c r="AH21" s="4484"/>
      <c r="AI21" s="2798" t="s">
        <v>829</v>
      </c>
      <c r="AJ21" s="593"/>
      <c r="AK21" s="2849">
        <f>AG21*Defaults!$D$9</f>
        <v>5948.331735550255</v>
      </c>
      <c r="AL21" s="2798" t="s">
        <v>828</v>
      </c>
      <c r="AM21" s="610"/>
      <c r="AN21" s="2850">
        <v>2</v>
      </c>
      <c r="AO21" s="497"/>
    </row>
    <row r="22" spans="1:42" ht="6" customHeight="1">
      <c r="A22" s="209"/>
      <c r="B22" s="358"/>
      <c r="C22" s="382"/>
      <c r="D22" s="2858"/>
      <c r="E22" s="382"/>
      <c r="F22" s="382"/>
      <c r="G22" s="382"/>
      <c r="H22" s="382"/>
      <c r="I22" s="372"/>
      <c r="J22" s="382"/>
      <c r="K22" s="382"/>
      <c r="L22" s="360"/>
      <c r="M22" s="96"/>
      <c r="N22" s="96"/>
      <c r="O22" s="96"/>
      <c r="P22" s="96"/>
      <c r="Q22" s="96"/>
      <c r="R22" s="96"/>
      <c r="S22" s="109"/>
      <c r="T22" s="96"/>
      <c r="U22" s="383"/>
      <c r="V22" s="493"/>
      <c r="W22" s="494"/>
      <c r="X22" s="2859"/>
      <c r="Y22" s="494"/>
      <c r="Z22" s="494"/>
      <c r="AA22" s="494"/>
      <c r="AB22" s="494"/>
      <c r="AC22" s="603"/>
      <c r="AD22" s="494"/>
      <c r="AE22" s="494"/>
      <c r="AF22" s="607"/>
      <c r="AG22" s="496"/>
      <c r="AH22" s="496"/>
      <c r="AI22" s="496"/>
      <c r="AJ22" s="496"/>
      <c r="AK22" s="496"/>
      <c r="AL22" s="496"/>
      <c r="AM22" s="611"/>
      <c r="AN22" s="496"/>
      <c r="AO22" s="497"/>
    </row>
    <row r="23" spans="1:42" ht="20.25" customHeight="1">
      <c r="A23" s="4031" t="s">
        <v>881</v>
      </c>
      <c r="B23" s="4032"/>
      <c r="C23" s="4032"/>
      <c r="D23" s="4032"/>
      <c r="E23" s="4032"/>
      <c r="F23" s="4032"/>
      <c r="G23" s="4032"/>
      <c r="H23" s="4032"/>
      <c r="I23" s="4032"/>
      <c r="J23" s="4032"/>
      <c r="K23" s="4032"/>
      <c r="L23" s="4032"/>
      <c r="M23" s="4032"/>
      <c r="N23" s="4032"/>
      <c r="O23" s="4032"/>
      <c r="P23" s="4032"/>
      <c r="Q23" s="4032"/>
      <c r="R23" s="4032"/>
      <c r="S23" s="4032"/>
      <c r="T23" s="4032"/>
      <c r="U23" s="4032"/>
      <c r="V23" s="4032"/>
      <c r="W23" s="4032"/>
      <c r="X23" s="4032"/>
      <c r="Y23" s="4032"/>
      <c r="Z23" s="4032"/>
      <c r="AA23" s="4032"/>
      <c r="AB23" s="4032"/>
      <c r="AC23" s="4032"/>
      <c r="AD23" s="4032"/>
      <c r="AE23" s="4032"/>
      <c r="AF23" s="4032"/>
      <c r="AG23" s="4032"/>
      <c r="AH23" s="4032"/>
      <c r="AI23" s="4032"/>
      <c r="AJ23" s="4032"/>
      <c r="AK23" s="4032"/>
      <c r="AL23" s="4032"/>
      <c r="AM23" s="4032"/>
      <c r="AN23" s="4032"/>
      <c r="AO23" s="4033"/>
    </row>
    <row r="24" spans="1:42" ht="6" customHeight="1">
      <c r="A24" s="1570"/>
      <c r="B24" s="358"/>
      <c r="C24" s="382"/>
      <c r="D24" s="322"/>
      <c r="E24" s="382"/>
      <c r="F24" s="382"/>
      <c r="G24" s="382"/>
      <c r="H24" s="382"/>
      <c r="I24" s="372"/>
      <c r="J24" s="382"/>
      <c r="K24" s="382"/>
      <c r="L24" s="360"/>
      <c r="M24" s="96"/>
      <c r="N24" s="96"/>
      <c r="O24" s="96"/>
      <c r="P24" s="104"/>
      <c r="Q24" s="96"/>
      <c r="R24" s="96"/>
      <c r="S24" s="109"/>
      <c r="T24" s="96"/>
      <c r="U24" s="383"/>
      <c r="V24" s="493"/>
      <c r="W24" s="494"/>
      <c r="X24" s="591"/>
      <c r="Y24" s="494"/>
      <c r="Z24" s="494"/>
      <c r="AA24" s="494"/>
      <c r="AB24" s="494"/>
      <c r="AC24" s="603"/>
      <c r="AD24" s="494"/>
      <c r="AE24" s="494"/>
      <c r="AF24" s="607"/>
      <c r="AG24" s="496"/>
      <c r="AH24" s="496"/>
      <c r="AI24" s="496"/>
      <c r="AJ24" s="593"/>
      <c r="AK24" s="496"/>
      <c r="AL24" s="496"/>
      <c r="AM24" s="611"/>
      <c r="AN24" s="496"/>
      <c r="AO24" s="497"/>
    </row>
    <row r="25" spans="1:42">
      <c r="A25" s="2362" t="s">
        <v>701</v>
      </c>
      <c r="B25" s="358"/>
      <c r="C25" s="382"/>
      <c r="D25" s="322"/>
      <c r="E25" s="382"/>
      <c r="F25" s="382"/>
      <c r="G25" s="382"/>
      <c r="H25" s="382"/>
      <c r="I25" s="372"/>
      <c r="J25" s="382"/>
      <c r="K25" s="382"/>
      <c r="L25" s="360"/>
      <c r="M25" s="96"/>
      <c r="N25" s="96"/>
      <c r="O25" s="96"/>
      <c r="P25" s="104"/>
      <c r="Q25" s="96"/>
      <c r="R25" s="96"/>
      <c r="S25" s="109"/>
      <c r="T25" s="96"/>
      <c r="U25" s="383"/>
      <c r="V25" s="493"/>
      <c r="W25" s="494"/>
      <c r="X25" s="591"/>
      <c r="Y25" s="494"/>
      <c r="Z25" s="494"/>
      <c r="AA25" s="494"/>
      <c r="AB25" s="494"/>
      <c r="AC25" s="603"/>
      <c r="AD25" s="494"/>
      <c r="AE25" s="494"/>
      <c r="AF25" s="607"/>
      <c r="AG25" s="496"/>
      <c r="AH25" s="496"/>
      <c r="AI25" s="496"/>
      <c r="AJ25" s="593"/>
      <c r="AK25" s="496"/>
      <c r="AL25" s="496"/>
      <c r="AM25" s="611"/>
      <c r="AN25" s="496"/>
      <c r="AO25" s="497"/>
    </row>
    <row r="26" spans="1:42" ht="2.25" customHeight="1">
      <c r="A26" s="220"/>
      <c r="B26" s="358"/>
      <c r="C26" s="382"/>
      <c r="D26" s="322"/>
      <c r="E26" s="382"/>
      <c r="F26" s="382"/>
      <c r="G26" s="382"/>
      <c r="H26" s="382"/>
      <c r="I26" s="372"/>
      <c r="J26" s="382"/>
      <c r="K26" s="382"/>
      <c r="L26" s="360"/>
      <c r="M26" s="96"/>
      <c r="N26" s="96"/>
      <c r="O26" s="96"/>
      <c r="P26" s="104"/>
      <c r="Q26" s="96"/>
      <c r="R26" s="96"/>
      <c r="S26" s="109"/>
      <c r="T26" s="96"/>
      <c r="U26" s="383"/>
      <c r="V26" s="493"/>
      <c r="W26" s="494"/>
      <c r="X26" s="591"/>
      <c r="Y26" s="494"/>
      <c r="Z26" s="494"/>
      <c r="AA26" s="494"/>
      <c r="AB26" s="494"/>
      <c r="AC26" s="603"/>
      <c r="AD26" s="494"/>
      <c r="AE26" s="494"/>
      <c r="AF26" s="607"/>
      <c r="AG26" s="496"/>
      <c r="AH26" s="496"/>
      <c r="AI26" s="496"/>
      <c r="AJ26" s="593"/>
      <c r="AK26" s="496"/>
      <c r="AL26" s="496"/>
      <c r="AM26" s="611"/>
      <c r="AN26" s="496"/>
      <c r="AO26" s="497"/>
    </row>
    <row r="27" spans="1:42">
      <c r="A27" s="209" t="s">
        <v>131</v>
      </c>
      <c r="B27" s="358"/>
      <c r="C27" s="4547">
        <f>F1_Heifer_Calves_in_Life/F1_Age_at_EOL</f>
        <v>0.17566883434834177</v>
      </c>
      <c r="D27" s="4548"/>
      <c r="E27" s="186" t="s">
        <v>144</v>
      </c>
      <c r="F27" s="186"/>
      <c r="G27" s="382"/>
      <c r="H27" s="186"/>
      <c r="I27" s="216"/>
      <c r="J27" s="2417">
        <v>3</v>
      </c>
      <c r="K27" s="382"/>
      <c r="L27" s="360"/>
      <c r="M27" s="4494">
        <f>F2_Heifer_Calves_in_Life/F2_Age_at_EOL</f>
        <v>0.19545663375595904</v>
      </c>
      <c r="N27" s="4495"/>
      <c r="O27" s="44" t="s">
        <v>144</v>
      </c>
      <c r="P27" s="104"/>
      <c r="Q27" s="96"/>
      <c r="R27" s="44"/>
      <c r="S27" s="109"/>
      <c r="T27" s="2418">
        <v>3</v>
      </c>
      <c r="U27" s="383"/>
      <c r="V27" s="493"/>
      <c r="W27" s="4498">
        <f>F3_Heifer_Calves_in_Life/F3_Age_at_EOL</f>
        <v>0.28341803086316603</v>
      </c>
      <c r="X27" s="4499"/>
      <c r="Y27" s="511" t="s">
        <v>144</v>
      </c>
      <c r="Z27" s="511"/>
      <c r="AA27" s="494"/>
      <c r="AB27" s="511"/>
      <c r="AC27" s="532"/>
      <c r="AD27" s="2839">
        <v>3</v>
      </c>
      <c r="AE27" s="494"/>
      <c r="AF27" s="607"/>
      <c r="AG27" s="4487">
        <f>F4_Heifer_Calves_in_Life/F4_Age_at_EOL</f>
        <v>0.31060717243030284</v>
      </c>
      <c r="AH27" s="4488"/>
      <c r="AI27" s="465" t="s">
        <v>144</v>
      </c>
      <c r="AJ27" s="593"/>
      <c r="AK27" s="496"/>
      <c r="AL27" s="465"/>
      <c r="AM27" s="611"/>
      <c r="AN27" s="2850">
        <v>3</v>
      </c>
      <c r="AO27" s="497"/>
      <c r="AP27" s="2351"/>
    </row>
    <row r="28" spans="1:42" ht="2.25" customHeight="1">
      <c r="A28" s="220"/>
      <c r="B28" s="358"/>
      <c r="C28" s="819"/>
      <c r="D28" s="322"/>
      <c r="E28" s="382"/>
      <c r="F28" s="382"/>
      <c r="G28" s="382"/>
      <c r="H28" s="382"/>
      <c r="I28" s="372"/>
      <c r="J28" s="382"/>
      <c r="K28" s="382"/>
      <c r="L28" s="360"/>
      <c r="M28" s="96"/>
      <c r="N28" s="96"/>
      <c r="O28" s="96"/>
      <c r="P28" s="104"/>
      <c r="Q28" s="96"/>
      <c r="R28" s="96"/>
      <c r="S28" s="109"/>
      <c r="T28" s="96"/>
      <c r="U28" s="383"/>
      <c r="V28" s="493"/>
      <c r="W28" s="2792"/>
      <c r="X28" s="591"/>
      <c r="Y28" s="494"/>
      <c r="Z28" s="494"/>
      <c r="AA28" s="494"/>
      <c r="AB28" s="494"/>
      <c r="AC28" s="603"/>
      <c r="AD28" s="494"/>
      <c r="AE28" s="494"/>
      <c r="AF28" s="607"/>
      <c r="AG28" s="496"/>
      <c r="AH28" s="496"/>
      <c r="AI28" s="496"/>
      <c r="AJ28" s="593"/>
      <c r="AK28" s="496"/>
      <c r="AL28" s="496"/>
      <c r="AM28" s="611"/>
      <c r="AN28" s="496"/>
      <c r="AO28" s="497"/>
    </row>
    <row r="29" spans="1:42">
      <c r="A29" s="209" t="s">
        <v>130</v>
      </c>
      <c r="B29" s="358"/>
      <c r="C29" s="4547">
        <f>F1_Bull_Calves_in_Life/F1_Age_at_EOL</f>
        <v>0.17013595767595305</v>
      </c>
      <c r="D29" s="4548"/>
      <c r="E29" s="186" t="s">
        <v>145</v>
      </c>
      <c r="F29" s="186"/>
      <c r="G29" s="382"/>
      <c r="H29" s="186"/>
      <c r="I29" s="216"/>
      <c r="J29" s="2417">
        <v>3</v>
      </c>
      <c r="K29" s="382"/>
      <c r="L29" s="360"/>
      <c r="M29" s="4494">
        <f>F2_Bull_Calves_in_Life/F2_Age_at_EOL</f>
        <v>0.18930051930695246</v>
      </c>
      <c r="N29" s="4495"/>
      <c r="O29" s="44" t="s">
        <v>145</v>
      </c>
      <c r="P29" s="104"/>
      <c r="Q29" s="96"/>
      <c r="R29" s="44"/>
      <c r="S29" s="109"/>
      <c r="T29" s="2418">
        <v>3</v>
      </c>
      <c r="U29" s="383"/>
      <c r="V29" s="493"/>
      <c r="W29" s="4498">
        <f>F3_Bull_Calves_in_Life/F3_Age_at_EOL</f>
        <v>0.27449147870999546</v>
      </c>
      <c r="X29" s="4499"/>
      <c r="Y29" s="511" t="s">
        <v>145</v>
      </c>
      <c r="Z29" s="511"/>
      <c r="AA29" s="494"/>
      <c r="AB29" s="511"/>
      <c r="AC29" s="532"/>
      <c r="AD29" s="2839">
        <v>3</v>
      </c>
      <c r="AE29" s="494"/>
      <c r="AF29" s="607"/>
      <c r="AG29" s="4487">
        <f>F4_Bull_Calves_in_Life/F4_Age_at_EOL</f>
        <v>0.30082426936163187</v>
      </c>
      <c r="AH29" s="4488"/>
      <c r="AI29" s="465" t="s">
        <v>145</v>
      </c>
      <c r="AJ29" s="593"/>
      <c r="AK29" s="496"/>
      <c r="AL29" s="465"/>
      <c r="AM29" s="611"/>
      <c r="AN29" s="2850">
        <v>3</v>
      </c>
      <c r="AO29" s="497"/>
    </row>
    <row r="30" spans="1:42" ht="6" customHeight="1">
      <c r="A30" s="220"/>
      <c r="B30" s="358"/>
      <c r="C30" s="819"/>
      <c r="D30" s="322"/>
      <c r="E30" s="382"/>
      <c r="F30" s="382"/>
      <c r="G30" s="382"/>
      <c r="H30" s="382"/>
      <c r="I30" s="372"/>
      <c r="J30" s="382"/>
      <c r="K30" s="382"/>
      <c r="L30" s="360"/>
      <c r="M30" s="96"/>
      <c r="N30" s="96"/>
      <c r="O30" s="96"/>
      <c r="P30" s="104"/>
      <c r="Q30" s="96"/>
      <c r="R30" s="96"/>
      <c r="S30" s="109"/>
      <c r="T30" s="96"/>
      <c r="U30" s="383"/>
      <c r="V30" s="493"/>
      <c r="W30" s="2792"/>
      <c r="X30" s="591"/>
      <c r="Y30" s="494"/>
      <c r="Z30" s="494"/>
      <c r="AA30" s="494"/>
      <c r="AB30" s="494"/>
      <c r="AC30" s="603"/>
      <c r="AD30" s="494"/>
      <c r="AE30" s="494"/>
      <c r="AF30" s="607"/>
      <c r="AG30" s="496"/>
      <c r="AH30" s="496"/>
      <c r="AI30" s="496"/>
      <c r="AJ30" s="593"/>
      <c r="AK30" s="496"/>
      <c r="AL30" s="496"/>
      <c r="AM30" s="611"/>
      <c r="AN30" s="496"/>
      <c r="AO30" s="497"/>
    </row>
    <row r="31" spans="1:42">
      <c r="A31" s="209" t="s">
        <v>56</v>
      </c>
      <c r="B31" s="358"/>
      <c r="C31" s="4547">
        <f>F1_Annual_Heifer_Calves+F1_Annual_Bull_Calves</f>
        <v>0.34580479202429482</v>
      </c>
      <c r="D31" s="4548"/>
      <c r="E31" s="186" t="s">
        <v>143</v>
      </c>
      <c r="F31" s="186"/>
      <c r="G31" s="382"/>
      <c r="H31" s="186"/>
      <c r="I31" s="216"/>
      <c r="J31" s="380"/>
      <c r="K31" s="382"/>
      <c r="L31" s="360"/>
      <c r="M31" s="4494">
        <f>F2_Annual_Heifer_Calves+F2_Annual_Bull_Calves</f>
        <v>0.38475715306291147</v>
      </c>
      <c r="N31" s="4495"/>
      <c r="O31" s="44" t="s">
        <v>143</v>
      </c>
      <c r="P31" s="104"/>
      <c r="Q31" s="96"/>
      <c r="R31" s="96"/>
      <c r="S31" s="109"/>
      <c r="T31" s="381"/>
      <c r="U31" s="383"/>
      <c r="V31" s="493"/>
      <c r="W31" s="4498">
        <f>F3_Annual_Heifer_Calves+F3_Annual_Bull_Calves</f>
        <v>0.55790950957316143</v>
      </c>
      <c r="X31" s="4499"/>
      <c r="Y31" s="511" t="s">
        <v>143</v>
      </c>
      <c r="Z31" s="511"/>
      <c r="AA31" s="494"/>
      <c r="AB31" s="511"/>
      <c r="AC31" s="532"/>
      <c r="AD31" s="605"/>
      <c r="AE31" s="494"/>
      <c r="AF31" s="607"/>
      <c r="AG31" s="4487">
        <f>F4_Annual_Heifer_Calves+F4_Annual_Bull_Calves</f>
        <v>0.61143144179193465</v>
      </c>
      <c r="AH31" s="4488"/>
      <c r="AI31" s="465" t="s">
        <v>143</v>
      </c>
      <c r="AJ31" s="593"/>
      <c r="AK31" s="496"/>
      <c r="AL31" s="496"/>
      <c r="AM31" s="611"/>
      <c r="AN31" s="615"/>
      <c r="AO31" s="497"/>
    </row>
    <row r="32" spans="1:42" ht="6" customHeight="1">
      <c r="A32" s="209"/>
      <c r="B32" s="358"/>
      <c r="C32" s="382"/>
      <c r="D32" s="322"/>
      <c r="E32" s="382"/>
      <c r="F32" s="382"/>
      <c r="G32" s="382"/>
      <c r="H32" s="382"/>
      <c r="I32" s="372"/>
      <c r="J32" s="382"/>
      <c r="K32" s="382"/>
      <c r="L32" s="360"/>
      <c r="M32" s="96"/>
      <c r="N32" s="96"/>
      <c r="O32" s="96"/>
      <c r="P32" s="501"/>
      <c r="Q32" s="96"/>
      <c r="R32" s="96"/>
      <c r="S32" s="109"/>
      <c r="T32" s="96"/>
      <c r="U32" s="383"/>
      <c r="V32" s="493"/>
      <c r="W32" s="494"/>
      <c r="X32" s="591"/>
      <c r="Y32" s="494"/>
      <c r="Z32" s="494"/>
      <c r="AA32" s="494"/>
      <c r="AB32" s="494"/>
      <c r="AC32" s="603"/>
      <c r="AD32" s="494"/>
      <c r="AE32" s="494"/>
      <c r="AF32" s="607"/>
      <c r="AG32" s="496"/>
      <c r="AH32" s="496"/>
      <c r="AI32" s="496"/>
      <c r="AJ32" s="505"/>
      <c r="AK32" s="496"/>
      <c r="AL32" s="496"/>
      <c r="AM32" s="611"/>
      <c r="AN32" s="496"/>
      <c r="AO32" s="497"/>
    </row>
    <row r="33" spans="1:42" ht="6" customHeight="1">
      <c r="A33" s="368"/>
      <c r="B33" s="357"/>
      <c r="C33" s="366"/>
      <c r="D33" s="366"/>
      <c r="E33" s="366"/>
      <c r="F33" s="366"/>
      <c r="G33" s="366"/>
      <c r="H33" s="366"/>
      <c r="I33" s="369"/>
      <c r="J33" s="366"/>
      <c r="K33" s="366"/>
      <c r="L33" s="359"/>
      <c r="M33" s="126"/>
      <c r="N33" s="126"/>
      <c r="O33" s="126"/>
      <c r="P33" s="104"/>
      <c r="Q33" s="126"/>
      <c r="R33" s="126"/>
      <c r="S33" s="125"/>
      <c r="T33" s="126"/>
      <c r="U33" s="384"/>
      <c r="V33" s="597"/>
      <c r="W33" s="604"/>
      <c r="X33" s="604"/>
      <c r="Y33" s="604"/>
      <c r="Z33" s="604"/>
      <c r="AA33" s="604"/>
      <c r="AB33" s="604"/>
      <c r="AC33" s="598"/>
      <c r="AD33" s="604"/>
      <c r="AE33" s="604"/>
      <c r="AF33" s="612"/>
      <c r="AG33" s="595"/>
      <c r="AH33" s="595"/>
      <c r="AI33" s="595"/>
      <c r="AJ33" s="593"/>
      <c r="AK33" s="595"/>
      <c r="AL33" s="595"/>
      <c r="AM33" s="613"/>
      <c r="AN33" s="595"/>
      <c r="AO33" s="614"/>
    </row>
    <row r="34" spans="1:42">
      <c r="A34" s="619" t="s">
        <v>219</v>
      </c>
      <c r="B34" s="358"/>
      <c r="C34" s="698"/>
      <c r="D34" s="322"/>
      <c r="E34" s="186"/>
      <c r="F34" s="240" t="s">
        <v>94</v>
      </c>
      <c r="G34" s="385"/>
      <c r="H34" s="186"/>
      <c r="I34" s="216"/>
      <c r="J34" s="380"/>
      <c r="K34" s="382"/>
      <c r="L34" s="360"/>
      <c r="M34" s="651"/>
      <c r="N34" s="104"/>
      <c r="O34" s="44"/>
      <c r="P34" s="241" t="s">
        <v>94</v>
      </c>
      <c r="Q34" s="386"/>
      <c r="R34" s="44"/>
      <c r="S34" s="41"/>
      <c r="T34" s="381"/>
      <c r="U34" s="383"/>
      <c r="V34" s="493"/>
      <c r="W34" s="732"/>
      <c r="X34" s="591"/>
      <c r="Y34" s="511"/>
      <c r="Z34" s="531" t="s">
        <v>94</v>
      </c>
      <c r="AA34" s="606"/>
      <c r="AB34" s="511"/>
      <c r="AC34" s="532"/>
      <c r="AD34" s="605"/>
      <c r="AE34" s="494"/>
      <c r="AF34" s="607"/>
      <c r="AG34" s="770"/>
      <c r="AH34" s="593"/>
      <c r="AI34" s="465"/>
      <c r="AJ34" s="481" t="s">
        <v>94</v>
      </c>
      <c r="AK34" s="616"/>
      <c r="AL34" s="465"/>
      <c r="AM34" s="464"/>
      <c r="AN34" s="615"/>
      <c r="AO34" s="497"/>
    </row>
    <row r="35" spans="1:42" ht="3" customHeight="1">
      <c r="A35" s="619"/>
      <c r="B35" s="358"/>
      <c r="C35" s="698"/>
      <c r="D35" s="322"/>
      <c r="E35" s="186"/>
      <c r="F35" s="186"/>
      <c r="G35" s="385"/>
      <c r="H35" s="186"/>
      <c r="I35" s="216"/>
      <c r="J35" s="380"/>
      <c r="K35" s="382"/>
      <c r="L35" s="360"/>
      <c r="M35" s="651"/>
      <c r="N35" s="104"/>
      <c r="O35" s="44"/>
      <c r="P35" s="44"/>
      <c r="Q35" s="386"/>
      <c r="R35" s="44"/>
      <c r="S35" s="41"/>
      <c r="T35" s="381"/>
      <c r="U35" s="383"/>
      <c r="V35" s="493"/>
      <c r="W35" s="732"/>
      <c r="X35" s="591"/>
      <c r="Y35" s="511"/>
      <c r="Z35" s="511"/>
      <c r="AA35" s="606"/>
      <c r="AB35" s="511"/>
      <c r="AC35" s="532"/>
      <c r="AD35" s="605"/>
      <c r="AE35" s="494"/>
      <c r="AF35" s="607"/>
      <c r="AG35" s="770"/>
      <c r="AH35" s="593"/>
      <c r="AI35" s="465"/>
      <c r="AJ35" s="465"/>
      <c r="AK35" s="616"/>
      <c r="AL35" s="465"/>
      <c r="AM35" s="464"/>
      <c r="AN35" s="615"/>
      <c r="AO35" s="497"/>
    </row>
    <row r="36" spans="1:42">
      <c r="A36" s="1000" t="s">
        <v>1532</v>
      </c>
      <c r="B36" s="358"/>
      <c r="C36" s="4500">
        <f>F1_Death_Rate_Lact_Cows</f>
        <v>9.219999999999999E-2</v>
      </c>
      <c r="D36" s="4501"/>
      <c r="E36" s="186"/>
      <c r="F36" s="322"/>
      <c r="G36" s="322"/>
      <c r="H36" s="186"/>
      <c r="I36" s="216"/>
      <c r="J36" s="2417" t="s">
        <v>1290</v>
      </c>
      <c r="K36" s="382"/>
      <c r="L36" s="360"/>
      <c r="M36" s="4502">
        <f>F2_Death_Rate_Lact_Cows</f>
        <v>7.6200000000000004E-2</v>
      </c>
      <c r="N36" s="4503"/>
      <c r="O36" s="44"/>
      <c r="P36" s="104"/>
      <c r="Q36" s="104"/>
      <c r="R36" s="44"/>
      <c r="S36" s="41"/>
      <c r="T36" s="2418" t="s">
        <v>1290</v>
      </c>
      <c r="U36" s="383"/>
      <c r="V36" s="493"/>
      <c r="W36" s="4504">
        <f>F3_Death_Rate_Lact_Cows</f>
        <v>5.0199999999999995E-2</v>
      </c>
      <c r="X36" s="4505"/>
      <c r="Y36" s="511"/>
      <c r="Z36" s="591"/>
      <c r="AA36" s="591"/>
      <c r="AB36" s="511"/>
      <c r="AC36" s="532"/>
      <c r="AD36" s="2839" t="s">
        <v>1290</v>
      </c>
      <c r="AE36" s="494"/>
      <c r="AF36" s="607"/>
      <c r="AG36" s="4506">
        <f>F4_Death_Rate_Lact_Cows</f>
        <v>4.02E-2</v>
      </c>
      <c r="AH36" s="4507"/>
      <c r="AI36" s="465"/>
      <c r="AJ36" s="593"/>
      <c r="AK36" s="593"/>
      <c r="AL36" s="465"/>
      <c r="AM36" s="464"/>
      <c r="AN36" s="2850" t="s">
        <v>1290</v>
      </c>
      <c r="AO36" s="497"/>
    </row>
    <row r="37" spans="1:42" ht="2.25" customHeight="1">
      <c r="A37" s="619"/>
      <c r="B37" s="358"/>
      <c r="C37" s="698"/>
      <c r="D37" s="322"/>
      <c r="E37" s="186"/>
      <c r="F37" s="186"/>
      <c r="G37" s="385"/>
      <c r="H37" s="186"/>
      <c r="I37" s="216"/>
      <c r="J37" s="380"/>
      <c r="K37" s="382"/>
      <c r="L37" s="360"/>
      <c r="M37" s="651"/>
      <c r="N37" s="651"/>
      <c r="O37" s="44"/>
      <c r="P37" s="104"/>
      <c r="Q37" s="386"/>
      <c r="R37" s="1001"/>
      <c r="S37" s="96"/>
      <c r="T37" s="381"/>
      <c r="U37" s="383"/>
      <c r="V37" s="493"/>
      <c r="W37" s="732"/>
      <c r="X37" s="591"/>
      <c r="Y37" s="511"/>
      <c r="Z37" s="511"/>
      <c r="AA37" s="606"/>
      <c r="AB37" s="511"/>
      <c r="AC37" s="532"/>
      <c r="AD37" s="605"/>
      <c r="AE37" s="494"/>
      <c r="AF37" s="607"/>
      <c r="AG37" s="770"/>
      <c r="AH37" s="770"/>
      <c r="AI37" s="465"/>
      <c r="AJ37" s="593"/>
      <c r="AK37" s="616"/>
      <c r="AL37" s="1022"/>
      <c r="AM37" s="496"/>
      <c r="AN37" s="615"/>
      <c r="AO37" s="497"/>
    </row>
    <row r="38" spans="1:42">
      <c r="A38" s="1000" t="s">
        <v>1533</v>
      </c>
      <c r="B38" s="358"/>
      <c r="C38" s="4475">
        <f>F1_Lact_Cow_Weight_lb*(1-F1_Death_Rate_Lact_Cows)</f>
        <v>1201.0194000000001</v>
      </c>
      <c r="D38" s="4476"/>
      <c r="E38" s="1671" t="s">
        <v>257</v>
      </c>
      <c r="F38" s="2389"/>
      <c r="G38" s="2828">
        <f>C38*Defaults!$D$9</f>
        <v>544.77314261894207</v>
      </c>
      <c r="H38" s="1671" t="s">
        <v>36</v>
      </c>
      <c r="I38" s="216"/>
      <c r="J38" s="2417">
        <v>9</v>
      </c>
      <c r="K38" s="382"/>
      <c r="L38" s="360"/>
      <c r="M38" s="4492">
        <f>F2_Lact_Cow_Weight_lb*(1-F2_Death_Rate_Lact_Cows)</f>
        <v>1222.1874</v>
      </c>
      <c r="N38" s="4493"/>
      <c r="O38" s="1670" t="s">
        <v>257</v>
      </c>
      <c r="P38" s="104"/>
      <c r="Q38" s="2829">
        <f>M38*Defaults!$D$9</f>
        <v>554.37478426016594</v>
      </c>
      <c r="R38" s="1698" t="s">
        <v>36</v>
      </c>
      <c r="S38" s="96"/>
      <c r="T38" s="2418">
        <v>9</v>
      </c>
      <c r="U38" s="383"/>
      <c r="V38" s="493"/>
      <c r="W38" s="4481">
        <f>F3_Lact_Cow_Weight_lb*(1-F3_Death_Rate_Lact_Cows)</f>
        <v>1256.5853999999999</v>
      </c>
      <c r="X38" s="4482"/>
      <c r="Y38" s="2795" t="s">
        <v>257</v>
      </c>
      <c r="Z38" s="2795"/>
      <c r="AA38" s="2838">
        <f>W38*Defaults!$D$9</f>
        <v>569.97745192715479</v>
      </c>
      <c r="AB38" s="2795" t="s">
        <v>36</v>
      </c>
      <c r="AC38" s="532"/>
      <c r="AD38" s="2839">
        <v>9</v>
      </c>
      <c r="AE38" s="494"/>
      <c r="AF38" s="607"/>
      <c r="AG38" s="4483">
        <f>F4_Lact_Cow_Weight_lb*(1-F4_Death_Rate_Lact_Cows)</f>
        <v>863.81999999999994</v>
      </c>
      <c r="AH38" s="4484"/>
      <c r="AI38" s="2798" t="s">
        <v>257</v>
      </c>
      <c r="AJ38" s="593"/>
      <c r="AK38" s="2849">
        <f>AG38*Defaults!$D$9</f>
        <v>391.82209384552363</v>
      </c>
      <c r="AL38" s="1697" t="s">
        <v>36</v>
      </c>
      <c r="AM38" s="496"/>
      <c r="AN38" s="2850">
        <v>9</v>
      </c>
      <c r="AO38" s="497"/>
      <c r="AP38" s="2351"/>
    </row>
    <row r="39" spans="1:42" ht="2.25" customHeight="1">
      <c r="A39" s="619"/>
      <c r="B39" s="358"/>
      <c r="C39" s="698"/>
      <c r="D39" s="322"/>
      <c r="E39" s="186"/>
      <c r="F39" s="186"/>
      <c r="G39" s="385"/>
      <c r="H39" s="186"/>
      <c r="I39" s="216"/>
      <c r="J39" s="380"/>
      <c r="K39" s="382"/>
      <c r="L39" s="360"/>
      <c r="M39" s="651"/>
      <c r="N39" s="651"/>
      <c r="O39" s="44"/>
      <c r="P39" s="104"/>
      <c r="Q39" s="386"/>
      <c r="R39" s="1001"/>
      <c r="S39" s="96"/>
      <c r="T39" s="381"/>
      <c r="U39" s="383"/>
      <c r="V39" s="493"/>
      <c r="W39" s="732"/>
      <c r="X39" s="591"/>
      <c r="Y39" s="511"/>
      <c r="Z39" s="511"/>
      <c r="AA39" s="606"/>
      <c r="AB39" s="511"/>
      <c r="AC39" s="532"/>
      <c r="AD39" s="605"/>
      <c r="AE39" s="494"/>
      <c r="AF39" s="607"/>
      <c r="AG39" s="770"/>
      <c r="AH39" s="770"/>
      <c r="AI39" s="465"/>
      <c r="AJ39" s="593"/>
      <c r="AK39" s="616"/>
      <c r="AL39" s="1022"/>
      <c r="AM39" s="496"/>
      <c r="AN39" s="615"/>
      <c r="AO39" s="497"/>
    </row>
    <row r="40" spans="1:42">
      <c r="A40" s="1000" t="s">
        <v>218</v>
      </c>
      <c r="B40" s="358"/>
      <c r="C40" s="4477">
        <v>0.48</v>
      </c>
      <c r="D40" s="4478"/>
      <c r="E40" s="186"/>
      <c r="F40" s="186"/>
      <c r="G40" s="385"/>
      <c r="H40" s="186"/>
      <c r="I40" s="216"/>
      <c r="J40" s="377"/>
      <c r="K40" s="382"/>
      <c r="L40" s="360"/>
      <c r="M40" s="4477">
        <v>0.5</v>
      </c>
      <c r="N40" s="4478"/>
      <c r="O40" s="1019"/>
      <c r="P40" s="104"/>
      <c r="Q40" s="386"/>
      <c r="R40" s="1001"/>
      <c r="S40" s="96"/>
      <c r="T40" s="377"/>
      <c r="U40" s="383"/>
      <c r="V40" s="493"/>
      <c r="W40" s="4477">
        <v>0.48</v>
      </c>
      <c r="X40" s="4478"/>
      <c r="Y40" s="511"/>
      <c r="Z40" s="511"/>
      <c r="AA40" s="606"/>
      <c r="AB40" s="511"/>
      <c r="AC40" s="532"/>
      <c r="AD40" s="377"/>
      <c r="AE40" s="494"/>
      <c r="AF40" s="607"/>
      <c r="AG40" s="4477">
        <v>0.5</v>
      </c>
      <c r="AH40" s="4478"/>
      <c r="AI40" s="1023"/>
      <c r="AJ40" s="593"/>
      <c r="AK40" s="616"/>
      <c r="AL40" s="1022"/>
      <c r="AM40" s="496"/>
      <c r="AN40" s="377"/>
      <c r="AO40" s="497"/>
    </row>
    <row r="41" spans="1:42" ht="6" customHeight="1">
      <c r="A41" s="619"/>
      <c r="B41" s="358"/>
      <c r="C41" s="698"/>
      <c r="D41" s="322"/>
      <c r="E41" s="186"/>
      <c r="F41" s="186"/>
      <c r="G41" s="385"/>
      <c r="H41" s="186"/>
      <c r="I41" s="216"/>
      <c r="J41" s="380"/>
      <c r="K41" s="382"/>
      <c r="L41" s="360"/>
      <c r="M41" s="1004"/>
      <c r="N41" s="651"/>
      <c r="O41" s="44"/>
      <c r="P41" s="104"/>
      <c r="Q41" s="386"/>
      <c r="R41" s="1001"/>
      <c r="S41" s="96"/>
      <c r="T41" s="381"/>
      <c r="U41" s="383"/>
      <c r="V41" s="493"/>
      <c r="W41" s="732"/>
      <c r="X41" s="591"/>
      <c r="Y41" s="511"/>
      <c r="Z41" s="511"/>
      <c r="AA41" s="606"/>
      <c r="AB41" s="511"/>
      <c r="AC41" s="532"/>
      <c r="AD41" s="605"/>
      <c r="AE41" s="494"/>
      <c r="AF41" s="607"/>
      <c r="AG41" s="1024"/>
      <c r="AH41" s="770"/>
      <c r="AI41" s="465"/>
      <c r="AJ41" s="593"/>
      <c r="AK41" s="616"/>
      <c r="AL41" s="1022"/>
      <c r="AM41" s="496"/>
      <c r="AN41" s="615"/>
      <c r="AO41" s="497"/>
    </row>
    <row r="42" spans="1:42">
      <c r="A42" s="1000" t="s">
        <v>869</v>
      </c>
      <c r="B42" s="358"/>
      <c r="C42" s="4489">
        <f>F1_Pounds_Available_for_Slaughter*F1_Cow_Dressing_Rate</f>
        <v>576.48931200000004</v>
      </c>
      <c r="D42" s="4490"/>
      <c r="E42" s="1671" t="s">
        <v>257</v>
      </c>
      <c r="F42" s="2389"/>
      <c r="G42" s="2828">
        <f>C42*Defaults!$D$9</f>
        <v>261.4911084570922</v>
      </c>
      <c r="H42" s="1671" t="s">
        <v>36</v>
      </c>
      <c r="I42" s="216"/>
      <c r="J42" s="380"/>
      <c r="K42" s="382"/>
      <c r="L42" s="360"/>
      <c r="M42" s="4492">
        <f>F2_Pounds_Available_for_Slaughter*F2_Cow_Dressing_Rate</f>
        <v>611.09370000000001</v>
      </c>
      <c r="N42" s="4493"/>
      <c r="O42" s="1670" t="s">
        <v>257</v>
      </c>
      <c r="P42" s="104"/>
      <c r="Q42" s="2829">
        <f>M42*Defaults!$D$9</f>
        <v>277.18739213008297</v>
      </c>
      <c r="R42" s="1698" t="s">
        <v>36</v>
      </c>
      <c r="S42" s="96"/>
      <c r="T42" s="381"/>
      <c r="U42" s="383"/>
      <c r="V42" s="493"/>
      <c r="W42" s="4544">
        <f>F3_Pounds_Available_for_Slaughter*F3_Cow_Dressing_Rate</f>
        <v>603.16099199999996</v>
      </c>
      <c r="X42" s="4545"/>
      <c r="Y42" s="2795" t="s">
        <v>257</v>
      </c>
      <c r="Z42" s="2795"/>
      <c r="AA42" s="2838">
        <f>W42*Defaults!$D$9</f>
        <v>273.58917692503434</v>
      </c>
      <c r="AB42" s="2795" t="s">
        <v>36</v>
      </c>
      <c r="AC42" s="532"/>
      <c r="AD42" s="605"/>
      <c r="AE42" s="494"/>
      <c r="AF42" s="607"/>
      <c r="AG42" s="4483">
        <f>F4_Pounds_Available_for_Slaughter*F4_Cow_Dressing_Rate</f>
        <v>431.90999999999997</v>
      </c>
      <c r="AH42" s="4484"/>
      <c r="AI42" s="2798" t="s">
        <v>257</v>
      </c>
      <c r="AJ42" s="593"/>
      <c r="AK42" s="2849">
        <f>AG42*Defaults!$D$9</f>
        <v>195.91104692276181</v>
      </c>
      <c r="AL42" s="1697" t="s">
        <v>36</v>
      </c>
      <c r="AM42" s="496"/>
      <c r="AN42" s="615"/>
      <c r="AO42" s="497"/>
    </row>
    <row r="43" spans="1:42" ht="6" customHeight="1">
      <c r="A43" s="361"/>
      <c r="B43" s="358"/>
      <c r="C43" s="4491"/>
      <c r="D43" s="4491"/>
      <c r="E43" s="382"/>
      <c r="F43" s="382"/>
      <c r="G43" s="382"/>
      <c r="H43" s="382"/>
      <c r="I43" s="372"/>
      <c r="J43" s="382"/>
      <c r="K43" s="382"/>
      <c r="L43" s="360"/>
      <c r="M43" s="96"/>
      <c r="N43" s="96"/>
      <c r="O43" s="96"/>
      <c r="P43" s="501"/>
      <c r="Q43" s="96"/>
      <c r="R43" s="1002"/>
      <c r="S43" s="96"/>
      <c r="T43" s="96"/>
      <c r="U43" s="383"/>
      <c r="V43" s="493"/>
      <c r="W43" s="4546"/>
      <c r="X43" s="4546"/>
      <c r="Y43" s="494"/>
      <c r="Z43" s="494"/>
      <c r="AA43" s="494"/>
      <c r="AB43" s="494"/>
      <c r="AC43" s="603"/>
      <c r="AD43" s="494"/>
      <c r="AE43" s="494"/>
      <c r="AF43" s="607"/>
      <c r="AG43" s="496"/>
      <c r="AH43" s="496"/>
      <c r="AI43" s="496"/>
      <c r="AJ43" s="505"/>
      <c r="AK43" s="496"/>
      <c r="AL43" s="1025"/>
      <c r="AM43" s="496"/>
      <c r="AN43" s="496"/>
      <c r="AO43" s="497"/>
    </row>
    <row r="44" spans="1:42" ht="6" customHeight="1">
      <c r="A44" s="368"/>
      <c r="B44" s="357"/>
      <c r="C44" s="382"/>
      <c r="D44" s="322"/>
      <c r="E44" s="366"/>
      <c r="F44" s="366"/>
      <c r="G44" s="366"/>
      <c r="H44" s="366"/>
      <c r="I44" s="369"/>
      <c r="J44" s="366"/>
      <c r="K44" s="366"/>
      <c r="L44" s="359"/>
      <c r="M44" s="126"/>
      <c r="N44" s="126"/>
      <c r="O44" s="126"/>
      <c r="P44" s="104"/>
      <c r="Q44" s="126"/>
      <c r="R44" s="1003"/>
      <c r="S44" s="126"/>
      <c r="T44" s="126"/>
      <c r="U44" s="384"/>
      <c r="V44" s="597"/>
      <c r="W44" s="494"/>
      <c r="X44" s="591"/>
      <c r="Y44" s="604"/>
      <c r="Z44" s="604"/>
      <c r="AA44" s="604"/>
      <c r="AB44" s="604"/>
      <c r="AC44" s="598"/>
      <c r="AD44" s="604"/>
      <c r="AE44" s="604"/>
      <c r="AF44" s="612"/>
      <c r="AG44" s="595"/>
      <c r="AH44" s="595"/>
      <c r="AI44" s="595"/>
      <c r="AJ44" s="593"/>
      <c r="AK44" s="595"/>
      <c r="AL44" s="1026"/>
      <c r="AM44" s="595"/>
      <c r="AN44" s="595"/>
      <c r="AO44" s="614"/>
    </row>
    <row r="45" spans="1:42">
      <c r="A45" s="619" t="s">
        <v>1492</v>
      </c>
      <c r="B45" s="358"/>
      <c r="C45" s="698"/>
      <c r="D45" s="322"/>
      <c r="E45" s="186"/>
      <c r="F45" s="186"/>
      <c r="G45" s="385"/>
      <c r="H45" s="186"/>
      <c r="I45" s="216"/>
      <c r="J45" s="380"/>
      <c r="K45" s="382"/>
      <c r="L45" s="360"/>
      <c r="M45" s="651"/>
      <c r="N45" s="651"/>
      <c r="O45" s="44"/>
      <c r="P45" s="104"/>
      <c r="Q45" s="386"/>
      <c r="R45" s="1001"/>
      <c r="S45" s="96"/>
      <c r="T45" s="381"/>
      <c r="U45" s="383"/>
      <c r="V45" s="493"/>
      <c r="W45" s="732"/>
      <c r="X45" s="591"/>
      <c r="Y45" s="511"/>
      <c r="Z45" s="511"/>
      <c r="AA45" s="606"/>
      <c r="AB45" s="511"/>
      <c r="AC45" s="532"/>
      <c r="AD45" s="605"/>
      <c r="AE45" s="494"/>
      <c r="AF45" s="607"/>
      <c r="AG45" s="770"/>
      <c r="AH45" s="770"/>
      <c r="AI45" s="465"/>
      <c r="AJ45" s="593"/>
      <c r="AK45" s="616"/>
      <c r="AL45" s="1022"/>
      <c r="AM45" s="496"/>
      <c r="AN45" s="615"/>
      <c r="AO45" s="497"/>
    </row>
    <row r="46" spans="1:42" ht="2.25" customHeight="1">
      <c r="A46" s="619"/>
      <c r="B46" s="358"/>
      <c r="C46" s="698"/>
      <c r="D46" s="322"/>
      <c r="E46" s="186"/>
      <c r="F46" s="186"/>
      <c r="G46" s="385"/>
      <c r="H46" s="186"/>
      <c r="I46" s="216"/>
      <c r="J46" s="380"/>
      <c r="K46" s="382"/>
      <c r="L46" s="360"/>
      <c r="M46" s="651"/>
      <c r="N46" s="651"/>
      <c r="O46" s="44"/>
      <c r="P46" s="104"/>
      <c r="Q46" s="386"/>
      <c r="R46" s="1001"/>
      <c r="S46" s="96"/>
      <c r="T46" s="381"/>
      <c r="U46" s="383"/>
      <c r="V46" s="493"/>
      <c r="W46" s="732"/>
      <c r="X46" s="591"/>
      <c r="Y46" s="511"/>
      <c r="Z46" s="511"/>
      <c r="AA46" s="606"/>
      <c r="AB46" s="511"/>
      <c r="AC46" s="532"/>
      <c r="AD46" s="605"/>
      <c r="AE46" s="494"/>
      <c r="AF46" s="607"/>
      <c r="AG46" s="770"/>
      <c r="AH46" s="770"/>
      <c r="AI46" s="465"/>
      <c r="AJ46" s="593"/>
      <c r="AK46" s="616"/>
      <c r="AL46" s="1022"/>
      <c r="AM46" s="496"/>
      <c r="AN46" s="615"/>
      <c r="AO46" s="497"/>
    </row>
    <row r="47" spans="1:42">
      <c r="A47" s="1000" t="s">
        <v>706</v>
      </c>
      <c r="B47" s="358"/>
      <c r="C47" s="4475">
        <f>F1_Grown_Calf_Weight_lb</f>
        <v>1543.2361000000001</v>
      </c>
      <c r="D47" s="4476"/>
      <c r="E47" s="1671" t="s">
        <v>257</v>
      </c>
      <c r="F47" s="2389"/>
      <c r="G47" s="2828">
        <f>C47*Defaults!$D$9</f>
        <v>700</v>
      </c>
      <c r="H47" s="1671" t="s">
        <v>36</v>
      </c>
      <c r="I47" s="216"/>
      <c r="J47" s="2417" t="s">
        <v>495</v>
      </c>
      <c r="K47" s="382"/>
      <c r="L47" s="360"/>
      <c r="M47" s="4492">
        <f>F2_Grown_Calf_Weight_lb</f>
        <v>1543.2361000000001</v>
      </c>
      <c r="N47" s="4493"/>
      <c r="O47" s="1670" t="s">
        <v>257</v>
      </c>
      <c r="P47" s="104"/>
      <c r="Q47" s="2829">
        <f>M47*Defaults!$D$9</f>
        <v>700</v>
      </c>
      <c r="R47" s="1698" t="s">
        <v>36</v>
      </c>
      <c r="S47" s="96"/>
      <c r="T47" s="2418" t="s">
        <v>495</v>
      </c>
      <c r="U47" s="383"/>
      <c r="V47" s="493"/>
      <c r="W47" s="4481">
        <f>F3_Grown_Calf_Weight_lb</f>
        <v>1543.2361000000001</v>
      </c>
      <c r="X47" s="4482"/>
      <c r="Y47" s="2795" t="s">
        <v>257</v>
      </c>
      <c r="Z47" s="2795"/>
      <c r="AA47" s="2838">
        <f>W47*Defaults!$D$9</f>
        <v>700</v>
      </c>
      <c r="AB47" s="2795" t="s">
        <v>36</v>
      </c>
      <c r="AC47" s="532"/>
      <c r="AD47" s="2839" t="s">
        <v>495</v>
      </c>
      <c r="AE47" s="494"/>
      <c r="AF47" s="607"/>
      <c r="AG47" s="4483">
        <f>F4_Grown_Calf_Weight_lb</f>
        <v>992.08035000000007</v>
      </c>
      <c r="AH47" s="4484"/>
      <c r="AI47" s="2798" t="s">
        <v>257</v>
      </c>
      <c r="AJ47" s="593"/>
      <c r="AK47" s="2849">
        <f>AG47*Defaults!$D$9</f>
        <v>450</v>
      </c>
      <c r="AL47" s="1697" t="s">
        <v>36</v>
      </c>
      <c r="AM47" s="496"/>
      <c r="AN47" s="2850" t="s">
        <v>495</v>
      </c>
      <c r="AO47" s="497"/>
      <c r="AP47" s="21"/>
    </row>
    <row r="48" spans="1:42" ht="2.25" customHeight="1">
      <c r="A48" s="619"/>
      <c r="B48" s="358"/>
      <c r="C48" s="698"/>
      <c r="D48" s="322"/>
      <c r="E48" s="186"/>
      <c r="F48" s="186"/>
      <c r="G48" s="385"/>
      <c r="H48" s="186"/>
      <c r="I48" s="216"/>
      <c r="J48" s="380"/>
      <c r="K48" s="382"/>
      <c r="L48" s="360"/>
      <c r="M48" s="651"/>
      <c r="N48" s="651"/>
      <c r="O48" s="44"/>
      <c r="P48" s="104"/>
      <c r="Q48" s="386"/>
      <c r="R48" s="1001"/>
      <c r="S48" s="96"/>
      <c r="T48" s="381"/>
      <c r="U48" s="383"/>
      <c r="V48" s="493"/>
      <c r="W48" s="732"/>
      <c r="X48" s="591"/>
      <c r="Y48" s="511"/>
      <c r="Z48" s="511"/>
      <c r="AA48" s="606"/>
      <c r="AB48" s="511"/>
      <c r="AC48" s="532"/>
      <c r="AD48" s="605"/>
      <c r="AE48" s="494"/>
      <c r="AF48" s="607"/>
      <c r="AG48" s="770"/>
      <c r="AH48" s="770"/>
      <c r="AI48" s="465"/>
      <c r="AJ48" s="593"/>
      <c r="AK48" s="616"/>
      <c r="AL48" s="1022"/>
      <c r="AM48" s="496"/>
      <c r="AN48" s="615"/>
      <c r="AO48" s="497"/>
    </row>
    <row r="49" spans="1:42">
      <c r="A49" s="1000" t="s">
        <v>444</v>
      </c>
      <c r="B49" s="358"/>
      <c r="C49" s="4477">
        <v>0.57999999999999996</v>
      </c>
      <c r="D49" s="4478"/>
      <c r="E49" s="186"/>
      <c r="F49" s="186"/>
      <c r="G49" s="385"/>
      <c r="H49" s="186"/>
      <c r="I49" s="216"/>
      <c r="J49" s="377"/>
      <c r="K49" s="382"/>
      <c r="L49" s="360"/>
      <c r="M49" s="4477">
        <v>0.57999999999999996</v>
      </c>
      <c r="N49" s="4478"/>
      <c r="O49" s="44"/>
      <c r="P49" s="104"/>
      <c r="Q49" s="386"/>
      <c r="R49" s="1001"/>
      <c r="S49" s="96"/>
      <c r="T49" s="377"/>
      <c r="U49" s="383"/>
      <c r="V49" s="493"/>
      <c r="W49" s="4477">
        <v>0.57999999999999996</v>
      </c>
      <c r="X49" s="4478"/>
      <c r="Y49" s="511"/>
      <c r="Z49" s="511"/>
      <c r="AA49" s="606"/>
      <c r="AB49" s="511"/>
      <c r="AC49" s="532"/>
      <c r="AD49" s="377"/>
      <c r="AE49" s="494"/>
      <c r="AF49" s="607"/>
      <c r="AG49" s="4477">
        <v>0.57999999999999996</v>
      </c>
      <c r="AH49" s="4478"/>
      <c r="AI49" s="465"/>
      <c r="AJ49" s="593"/>
      <c r="AK49" s="616"/>
      <c r="AL49" s="1022"/>
      <c r="AM49" s="496"/>
      <c r="AN49" s="377"/>
      <c r="AO49" s="497"/>
    </row>
    <row r="50" spans="1:42" ht="5.25" customHeight="1">
      <c r="A50" s="619"/>
      <c r="B50" s="358"/>
      <c r="C50" s="698"/>
      <c r="D50" s="322"/>
      <c r="E50" s="186"/>
      <c r="F50" s="186"/>
      <c r="G50" s="385"/>
      <c r="H50" s="186"/>
      <c r="I50" s="216"/>
      <c r="J50" s="380"/>
      <c r="K50" s="382"/>
      <c r="L50" s="360"/>
      <c r="M50" s="651"/>
      <c r="N50" s="651"/>
      <c r="O50" s="44"/>
      <c r="P50" s="104"/>
      <c r="Q50" s="386"/>
      <c r="R50" s="1001"/>
      <c r="S50" s="96"/>
      <c r="T50" s="381"/>
      <c r="U50" s="383"/>
      <c r="V50" s="493"/>
      <c r="W50" s="732"/>
      <c r="X50" s="591"/>
      <c r="Y50" s="511"/>
      <c r="Z50" s="511"/>
      <c r="AA50" s="606"/>
      <c r="AB50" s="511"/>
      <c r="AC50" s="532"/>
      <c r="AD50" s="605"/>
      <c r="AE50" s="494"/>
      <c r="AF50" s="607"/>
      <c r="AG50" s="770"/>
      <c r="AH50" s="770"/>
      <c r="AI50" s="465"/>
      <c r="AJ50" s="593"/>
      <c r="AK50" s="616"/>
      <c r="AL50" s="1022"/>
      <c r="AM50" s="496"/>
      <c r="AN50" s="615"/>
      <c r="AO50" s="497"/>
    </row>
    <row r="51" spans="1:42">
      <c r="A51" s="1000" t="s">
        <v>869</v>
      </c>
      <c r="B51" s="358"/>
      <c r="C51" s="4475">
        <f>F1_Grown_Calf_Weight_lb*F1_Calf_Dressing_Rate</f>
        <v>895.07693799999993</v>
      </c>
      <c r="D51" s="4476"/>
      <c r="E51" s="1671" t="s">
        <v>257</v>
      </c>
      <c r="F51" s="2389"/>
      <c r="G51" s="2828">
        <f>C51*Defaults!$D$9</f>
        <v>405.99999999999994</v>
      </c>
      <c r="H51" s="1671" t="s">
        <v>36</v>
      </c>
      <c r="I51" s="216"/>
      <c r="J51" s="380"/>
      <c r="K51" s="382"/>
      <c r="L51" s="360"/>
      <c r="M51" s="4492">
        <f>F2_Grown_Calf_Weight_lb*F2_Calf_Dressing_Rate</f>
        <v>895.07693799999993</v>
      </c>
      <c r="N51" s="4493"/>
      <c r="O51" s="1670" t="s">
        <v>257</v>
      </c>
      <c r="P51" s="104"/>
      <c r="Q51" s="2829">
        <f>M51*Defaults!$D$9</f>
        <v>405.99999999999994</v>
      </c>
      <c r="R51" s="1698" t="s">
        <v>36</v>
      </c>
      <c r="S51" s="96"/>
      <c r="T51" s="381"/>
      <c r="U51" s="383"/>
      <c r="V51" s="493"/>
      <c r="W51" s="4481">
        <f>F3_Grown_Calf_Weight_lb*F3_Calf_Dressing_Rate</f>
        <v>895.07693799999993</v>
      </c>
      <c r="X51" s="4482"/>
      <c r="Y51" s="2795" t="s">
        <v>257</v>
      </c>
      <c r="Z51" s="2795"/>
      <c r="AA51" s="2838">
        <f>W51*Defaults!$D$9</f>
        <v>405.99999999999994</v>
      </c>
      <c r="AB51" s="2795" t="s">
        <v>36</v>
      </c>
      <c r="AC51" s="532"/>
      <c r="AD51" s="605"/>
      <c r="AE51" s="494"/>
      <c r="AF51" s="607"/>
      <c r="AG51" s="4483">
        <f>F4_Grown_Calf_Weight_lb*F4_Calf_Dressing_Rate</f>
        <v>575.40660300000002</v>
      </c>
      <c r="AH51" s="4484"/>
      <c r="AI51" s="2798" t="s">
        <v>257</v>
      </c>
      <c r="AJ51" s="593"/>
      <c r="AK51" s="2849">
        <f>AG51*Defaults!$D$9</f>
        <v>261</v>
      </c>
      <c r="AL51" s="1697" t="s">
        <v>36</v>
      </c>
      <c r="AM51" s="496"/>
      <c r="AN51" s="615"/>
      <c r="AO51" s="497"/>
      <c r="AP51" s="21"/>
    </row>
    <row r="52" spans="1:42" ht="6" customHeight="1">
      <c r="A52" s="361"/>
      <c r="B52" s="358"/>
      <c r="C52" s="382"/>
      <c r="D52" s="2424"/>
      <c r="E52" s="382"/>
      <c r="F52" s="382"/>
      <c r="G52" s="382"/>
      <c r="H52" s="382"/>
      <c r="I52" s="372"/>
      <c r="J52" s="382"/>
      <c r="K52" s="382"/>
      <c r="L52" s="360"/>
      <c r="M52" s="96"/>
      <c r="N52" s="96"/>
      <c r="O52" s="96"/>
      <c r="P52" s="501"/>
      <c r="Q52" s="96"/>
      <c r="R52" s="1699"/>
      <c r="S52" s="96"/>
      <c r="T52" s="96"/>
      <c r="U52" s="383"/>
      <c r="V52" s="493"/>
      <c r="W52" s="494"/>
      <c r="X52" s="2840"/>
      <c r="Y52" s="494"/>
      <c r="Z52" s="494"/>
      <c r="AA52" s="494"/>
      <c r="AB52" s="494"/>
      <c r="AC52" s="603"/>
      <c r="AD52" s="494"/>
      <c r="AE52" s="494"/>
      <c r="AF52" s="607"/>
      <c r="AG52" s="496"/>
      <c r="AH52" s="496"/>
      <c r="AI52" s="496"/>
      <c r="AJ52" s="505"/>
      <c r="AK52" s="496"/>
      <c r="AL52" s="2851"/>
      <c r="AM52" s="496"/>
      <c r="AN52" s="496"/>
      <c r="AO52" s="497"/>
    </row>
    <row r="53" spans="1:42" ht="6" customHeight="1">
      <c r="A53" s="368"/>
      <c r="B53" s="357"/>
      <c r="C53" s="366"/>
      <c r="D53" s="322"/>
      <c r="E53" s="366"/>
      <c r="F53" s="366"/>
      <c r="G53" s="366"/>
      <c r="H53" s="366"/>
      <c r="I53" s="369"/>
      <c r="J53" s="366"/>
      <c r="K53" s="366"/>
      <c r="L53" s="359"/>
      <c r="M53" s="126"/>
      <c r="N53" s="126"/>
      <c r="O53" s="126"/>
      <c r="P53" s="104"/>
      <c r="Q53" s="126"/>
      <c r="R53" s="126"/>
      <c r="S53" s="125"/>
      <c r="T53" s="126"/>
      <c r="U53" s="384"/>
      <c r="V53" s="597"/>
      <c r="W53" s="604"/>
      <c r="X53" s="591"/>
      <c r="Y53" s="604"/>
      <c r="Z53" s="604"/>
      <c r="AA53" s="604"/>
      <c r="AB53" s="604"/>
      <c r="AC53" s="598"/>
      <c r="AD53" s="604"/>
      <c r="AE53" s="604"/>
      <c r="AF53" s="612"/>
      <c r="AG53" s="595"/>
      <c r="AH53" s="595"/>
      <c r="AI53" s="595"/>
      <c r="AJ53" s="593"/>
      <c r="AK53" s="595"/>
      <c r="AL53" s="595"/>
      <c r="AM53" s="613"/>
      <c r="AN53" s="595"/>
      <c r="AO53" s="614"/>
    </row>
    <row r="54" spans="1:42" s="20" customFormat="1">
      <c r="A54" s="619" t="s">
        <v>1493</v>
      </c>
      <c r="B54" s="2383"/>
      <c r="C54" s="4479">
        <f>F1_Meat_Production_from_Cow+(F1_Meat_Production_from_Calves*F1_Total_Calves_in_Life)</f>
        <v>1962.0684120239998</v>
      </c>
      <c r="D54" s="4480"/>
      <c r="E54" s="2413" t="s">
        <v>257</v>
      </c>
      <c r="F54" s="2413"/>
      <c r="G54" s="2830">
        <f>C54*Defaults!$D$9</f>
        <v>889.97910845709202</v>
      </c>
      <c r="H54" s="2413" t="s">
        <v>36</v>
      </c>
      <c r="I54" s="2384"/>
      <c r="J54" s="2414"/>
      <c r="K54" s="1032"/>
      <c r="L54" s="1036"/>
      <c r="M54" s="4514">
        <f>F2_Meat_Production_from_Cow+(F2_Meat_Production_from_Calves*F2_Total_Calves_in_Life)</f>
        <v>2235.3003116947998</v>
      </c>
      <c r="N54" s="4515"/>
      <c r="O54" s="2415" t="s">
        <v>257</v>
      </c>
      <c r="P54" s="1425"/>
      <c r="Q54" s="2831">
        <f>M54*Defaults!$D$9</f>
        <v>1013.9149921300829</v>
      </c>
      <c r="R54" s="2415" t="s">
        <v>36</v>
      </c>
      <c r="S54" s="2385"/>
      <c r="T54" s="2416"/>
      <c r="U54" s="2386"/>
      <c r="V54" s="2053"/>
      <c r="W54" s="4510">
        <f>F3_Meat_Production_from_Cow+(F3_Meat_Production_from_Calves*F3_Total_Calves_in_Life)</f>
        <v>3722.3251055423998</v>
      </c>
      <c r="X54" s="4511"/>
      <c r="Y54" s="2841" t="s">
        <v>257</v>
      </c>
      <c r="Z54" s="2841"/>
      <c r="AA54" s="2842">
        <f>W54*Defaults!$D$9</f>
        <v>1688.4179769250341</v>
      </c>
      <c r="AB54" s="2841" t="s">
        <v>36</v>
      </c>
      <c r="AC54" s="2843"/>
      <c r="AD54" s="2844"/>
      <c r="AE54" s="1050"/>
      <c r="AF54" s="2054"/>
      <c r="AG54" s="4512">
        <f>F4_Meat_Production_from_Cow+(F4_Meat_Production_from_Calves*F4_Total_Calves_in_Life)</f>
        <v>2700.3929916672</v>
      </c>
      <c r="AH54" s="4513"/>
      <c r="AI54" s="2852" t="s">
        <v>257</v>
      </c>
      <c r="AJ54" s="1426"/>
      <c r="AK54" s="2853">
        <f>AG54*Defaults!$D$9</f>
        <v>1224.8774469227617</v>
      </c>
      <c r="AL54" s="2852" t="s">
        <v>36</v>
      </c>
      <c r="AM54" s="2854"/>
      <c r="AN54" s="2855"/>
      <c r="AO54" s="2055"/>
    </row>
    <row r="55" spans="1:42" ht="6" customHeight="1">
      <c r="A55" s="1570"/>
      <c r="B55" s="358"/>
      <c r="C55" s="382"/>
      <c r="D55" s="2858"/>
      <c r="E55" s="382"/>
      <c r="F55" s="382"/>
      <c r="G55" s="382"/>
      <c r="H55" s="382"/>
      <c r="I55" s="372"/>
      <c r="J55" s="382"/>
      <c r="K55" s="382"/>
      <c r="L55" s="360"/>
      <c r="M55" s="96"/>
      <c r="N55" s="96"/>
      <c r="O55" s="96"/>
      <c r="P55" s="96"/>
      <c r="Q55" s="96"/>
      <c r="R55" s="96"/>
      <c r="S55" s="109"/>
      <c r="T55" s="96"/>
      <c r="U55" s="383"/>
      <c r="V55" s="493"/>
      <c r="W55" s="494"/>
      <c r="X55" s="2859"/>
      <c r="Y55" s="494"/>
      <c r="Z55" s="494"/>
      <c r="AA55" s="494"/>
      <c r="AB55" s="494"/>
      <c r="AC55" s="603"/>
      <c r="AD55" s="494"/>
      <c r="AE55" s="494"/>
      <c r="AF55" s="607"/>
      <c r="AG55" s="496"/>
      <c r="AH55" s="496"/>
      <c r="AI55" s="496"/>
      <c r="AJ55" s="496"/>
      <c r="AK55" s="496"/>
      <c r="AL55" s="496"/>
      <c r="AM55" s="611"/>
      <c r="AN55" s="496"/>
      <c r="AO55" s="497"/>
    </row>
    <row r="56" spans="1:42" ht="20.25" customHeight="1">
      <c r="A56" s="4031" t="s">
        <v>981</v>
      </c>
      <c r="B56" s="4032"/>
      <c r="C56" s="4032"/>
      <c r="D56" s="4032"/>
      <c r="E56" s="4032"/>
      <c r="F56" s="4032"/>
      <c r="G56" s="4032"/>
      <c r="H56" s="4032"/>
      <c r="I56" s="4032"/>
      <c r="J56" s="4032"/>
      <c r="K56" s="4032"/>
      <c r="L56" s="4032"/>
      <c r="M56" s="4032"/>
      <c r="N56" s="4032"/>
      <c r="O56" s="4032"/>
      <c r="P56" s="4032"/>
      <c r="Q56" s="4032"/>
      <c r="R56" s="4032"/>
      <c r="S56" s="4032"/>
      <c r="T56" s="4032"/>
      <c r="U56" s="4032"/>
      <c r="V56" s="4032"/>
      <c r="W56" s="4032"/>
      <c r="X56" s="4032"/>
      <c r="Y56" s="4032"/>
      <c r="Z56" s="4032"/>
      <c r="AA56" s="4032"/>
      <c r="AB56" s="4032"/>
      <c r="AC56" s="4032"/>
      <c r="AD56" s="4032"/>
      <c r="AE56" s="4032"/>
      <c r="AF56" s="4032"/>
      <c r="AG56" s="4032"/>
      <c r="AH56" s="4032"/>
      <c r="AI56" s="4032"/>
      <c r="AJ56" s="4032"/>
      <c r="AK56" s="4032"/>
      <c r="AL56" s="4032"/>
      <c r="AM56" s="4032"/>
      <c r="AN56" s="4032"/>
      <c r="AO56" s="4033"/>
    </row>
    <row r="57" spans="1:42" ht="6" customHeight="1">
      <c r="A57" s="209"/>
      <c r="B57" s="358"/>
      <c r="C57" s="382"/>
      <c r="D57" s="322"/>
      <c r="E57" s="382"/>
      <c r="F57" s="382"/>
      <c r="G57" s="382"/>
      <c r="H57" s="382"/>
      <c r="I57" s="372"/>
      <c r="J57" s="382"/>
      <c r="K57" s="382"/>
      <c r="L57" s="360"/>
      <c r="M57" s="96"/>
      <c r="N57" s="96"/>
      <c r="O57" s="96"/>
      <c r="P57" s="96"/>
      <c r="Q57" s="96"/>
      <c r="R57" s="96"/>
      <c r="S57" s="109"/>
      <c r="T57" s="96"/>
      <c r="U57" s="383"/>
      <c r="V57" s="493"/>
      <c r="W57" s="494"/>
      <c r="X57" s="591"/>
      <c r="Y57" s="494"/>
      <c r="Z57" s="494"/>
      <c r="AA57" s="494"/>
      <c r="AB57" s="494"/>
      <c r="AC57" s="603"/>
      <c r="AD57" s="494"/>
      <c r="AE57" s="494"/>
      <c r="AF57" s="607"/>
      <c r="AG57" s="496"/>
      <c r="AH57" s="496"/>
      <c r="AI57" s="496"/>
      <c r="AJ57" s="496"/>
      <c r="AK57" s="496"/>
      <c r="AL57" s="496"/>
      <c r="AM57" s="611"/>
      <c r="AN57" s="496"/>
      <c r="AO57" s="497"/>
    </row>
    <row r="58" spans="1:42">
      <c r="A58" s="362" t="s">
        <v>690</v>
      </c>
      <c r="B58" s="358"/>
      <c r="C58" s="186" t="s">
        <v>118</v>
      </c>
      <c r="D58" s="322"/>
      <c r="E58" s="186"/>
      <c r="F58" s="186"/>
      <c r="G58" s="375"/>
      <c r="H58" s="186"/>
      <c r="I58" s="216"/>
      <c r="J58" s="2345"/>
      <c r="K58" s="382"/>
      <c r="L58" s="360"/>
      <c r="M58" s="44" t="s">
        <v>118</v>
      </c>
      <c r="N58" s="44"/>
      <c r="O58" s="44"/>
      <c r="P58" s="44"/>
      <c r="Q58" s="376"/>
      <c r="R58" s="44"/>
      <c r="S58" s="41"/>
      <c r="T58" s="2344"/>
      <c r="U58" s="383"/>
      <c r="V58" s="493"/>
      <c r="W58" s="511" t="s">
        <v>118</v>
      </c>
      <c r="X58" s="591"/>
      <c r="Y58" s="511"/>
      <c r="Z58" s="511"/>
      <c r="AA58" s="599"/>
      <c r="AB58" s="511"/>
      <c r="AC58" s="532"/>
      <c r="AD58" s="2791"/>
      <c r="AE58" s="494"/>
      <c r="AF58" s="607"/>
      <c r="AG58" s="465" t="s">
        <v>118</v>
      </c>
      <c r="AH58" s="465"/>
      <c r="AI58" s="465"/>
      <c r="AJ58" s="465"/>
      <c r="AK58" s="608"/>
      <c r="AL58" s="465"/>
      <c r="AM58" s="464"/>
      <c r="AN58" s="2793"/>
      <c r="AO58" s="497"/>
    </row>
    <row r="59" spans="1:42">
      <c r="A59" s="208" t="s">
        <v>702</v>
      </c>
      <c r="B59" s="358"/>
      <c r="C59" s="322"/>
      <c r="D59" s="4469">
        <v>0.1593</v>
      </c>
      <c r="E59" s="4470"/>
      <c r="F59" s="322"/>
      <c r="G59" s="365"/>
      <c r="H59" s="2349"/>
      <c r="I59" s="371"/>
      <c r="J59" s="377"/>
      <c r="K59" s="382"/>
      <c r="L59" s="360"/>
      <c r="M59" s="104"/>
      <c r="N59" s="4469">
        <v>0.1593</v>
      </c>
      <c r="O59" s="4470"/>
      <c r="P59" s="2348"/>
      <c r="Q59" s="104"/>
      <c r="R59" s="104"/>
      <c r="S59" s="374"/>
      <c r="T59" s="377"/>
      <c r="U59" s="383"/>
      <c r="V59" s="493"/>
      <c r="W59" s="591"/>
      <c r="X59" s="4469">
        <v>0.26819999999999999</v>
      </c>
      <c r="Y59" s="4470"/>
      <c r="Z59" s="591"/>
      <c r="AA59" s="601"/>
      <c r="AB59" s="2795"/>
      <c r="AC59" s="602"/>
      <c r="AD59" s="377"/>
      <c r="AE59" s="494"/>
      <c r="AF59" s="607"/>
      <c r="AG59" s="593"/>
      <c r="AH59" s="4469">
        <v>0.26819999999999999</v>
      </c>
      <c r="AI59" s="4470"/>
      <c r="AJ59" s="2798"/>
      <c r="AK59" s="593"/>
      <c r="AL59" s="593"/>
      <c r="AM59" s="610"/>
      <c r="AN59" s="377"/>
      <c r="AO59" s="497"/>
    </row>
    <row r="60" spans="1:42" ht="2.25" customHeight="1">
      <c r="A60" s="209"/>
      <c r="B60" s="358"/>
      <c r="C60" s="322"/>
      <c r="D60" s="199"/>
      <c r="E60" s="322"/>
      <c r="F60" s="322"/>
      <c r="G60" s="186"/>
      <c r="H60" s="200"/>
      <c r="I60" s="370"/>
      <c r="J60" s="2388"/>
      <c r="K60" s="382"/>
      <c r="L60" s="360"/>
      <c r="M60" s="104"/>
      <c r="N60" s="72"/>
      <c r="O60" s="72"/>
      <c r="P60" s="2348"/>
      <c r="Q60" s="104"/>
      <c r="R60" s="104"/>
      <c r="S60" s="373"/>
      <c r="T60" s="96"/>
      <c r="U60" s="383"/>
      <c r="V60" s="493"/>
      <c r="W60" s="591"/>
      <c r="X60" s="525"/>
      <c r="Y60" s="591"/>
      <c r="Z60" s="591"/>
      <c r="AA60" s="511"/>
      <c r="AB60" s="526"/>
      <c r="AC60" s="600"/>
      <c r="AD60" s="2792"/>
      <c r="AE60" s="494"/>
      <c r="AF60" s="607"/>
      <c r="AG60" s="593"/>
      <c r="AH60" s="476"/>
      <c r="AI60" s="476"/>
      <c r="AJ60" s="2798"/>
      <c r="AK60" s="593"/>
      <c r="AL60" s="593"/>
      <c r="AM60" s="609"/>
      <c r="AN60" s="496"/>
      <c r="AO60" s="497"/>
    </row>
    <row r="61" spans="1:42">
      <c r="A61" s="208" t="s">
        <v>631</v>
      </c>
      <c r="B61" s="358"/>
      <c r="C61" s="322"/>
      <c r="D61" s="4473">
        <f>Defaults!$B$77</f>
        <v>0.12720000000000001</v>
      </c>
      <c r="E61" s="4474"/>
      <c r="F61" s="322"/>
      <c r="G61" s="365"/>
      <c r="H61" s="2349"/>
      <c r="I61" s="371"/>
      <c r="J61" s="2417">
        <v>4</v>
      </c>
      <c r="K61" s="382"/>
      <c r="L61" s="360"/>
      <c r="M61" s="104"/>
      <c r="N61" s="4457">
        <f>Defaults!B77</f>
        <v>0.12720000000000001</v>
      </c>
      <c r="O61" s="4458"/>
      <c r="P61" s="2348"/>
      <c r="Q61" s="104"/>
      <c r="R61" s="104"/>
      <c r="S61" s="374"/>
      <c r="T61" s="2418">
        <v>4</v>
      </c>
      <c r="U61" s="383"/>
      <c r="V61" s="493"/>
      <c r="W61" s="591"/>
      <c r="X61" s="4518">
        <f>Defaults!$B$77</f>
        <v>0.12720000000000001</v>
      </c>
      <c r="Y61" s="4519"/>
      <c r="Z61" s="591"/>
      <c r="AA61" s="601"/>
      <c r="AB61" s="2795"/>
      <c r="AC61" s="602"/>
      <c r="AD61" s="2839">
        <v>4</v>
      </c>
      <c r="AE61" s="494"/>
      <c r="AF61" s="607"/>
      <c r="AG61" s="593"/>
      <c r="AH61" s="4520">
        <f>Defaults!$B$77</f>
        <v>0.12720000000000001</v>
      </c>
      <c r="AI61" s="4521"/>
      <c r="AJ61" s="2798"/>
      <c r="AK61" s="593"/>
      <c r="AL61" s="593"/>
      <c r="AM61" s="610"/>
      <c r="AN61" s="2850">
        <v>4</v>
      </c>
      <c r="AO61" s="497"/>
    </row>
    <row r="62" spans="1:42" ht="6" customHeight="1">
      <c r="A62" s="361"/>
      <c r="B62" s="498"/>
      <c r="C62" s="499"/>
      <c r="D62" s="499"/>
      <c r="E62" s="499"/>
      <c r="F62" s="499"/>
      <c r="G62" s="499"/>
      <c r="H62" s="499"/>
      <c r="I62" s="825"/>
      <c r="J62" s="499"/>
      <c r="K62" s="499"/>
      <c r="L62" s="500"/>
      <c r="M62" s="501"/>
      <c r="N62" s="501"/>
      <c r="O62" s="501"/>
      <c r="P62" s="501"/>
      <c r="Q62" s="501"/>
      <c r="R62" s="501"/>
      <c r="S62" s="110"/>
      <c r="T62" s="501"/>
      <c r="U62" s="648"/>
      <c r="V62" s="502"/>
      <c r="W62" s="503"/>
      <c r="X62" s="503"/>
      <c r="Y62" s="503"/>
      <c r="Z62" s="503"/>
      <c r="AA62" s="503"/>
      <c r="AB62" s="503"/>
      <c r="AC62" s="963"/>
      <c r="AD62" s="503"/>
      <c r="AE62" s="503"/>
      <c r="AF62" s="917"/>
      <c r="AG62" s="505"/>
      <c r="AH62" s="505"/>
      <c r="AI62" s="505"/>
      <c r="AJ62" s="505"/>
      <c r="AK62" s="505"/>
      <c r="AL62" s="505"/>
      <c r="AM62" s="968"/>
      <c r="AN62" s="505"/>
      <c r="AO62" s="506"/>
    </row>
    <row r="63" spans="1:42" ht="6" customHeight="1">
      <c r="A63" s="209"/>
      <c r="B63" s="357"/>
      <c r="C63" s="366"/>
      <c r="D63" s="322"/>
      <c r="E63" s="366"/>
      <c r="F63" s="366"/>
      <c r="G63" s="366"/>
      <c r="H63" s="366"/>
      <c r="I63" s="369"/>
      <c r="J63" s="366"/>
      <c r="K63" s="366"/>
      <c r="L63" s="359"/>
      <c r="M63" s="126"/>
      <c r="N63" s="126"/>
      <c r="O63" s="126"/>
      <c r="P63" s="126"/>
      <c r="Q63" s="126"/>
      <c r="R63" s="126"/>
      <c r="S63" s="125"/>
      <c r="T63" s="126"/>
      <c r="U63" s="384"/>
      <c r="V63" s="597"/>
      <c r="W63" s="604"/>
      <c r="X63" s="591"/>
      <c r="Y63" s="604"/>
      <c r="Z63" s="604"/>
      <c r="AA63" s="604"/>
      <c r="AB63" s="604"/>
      <c r="AC63" s="598"/>
      <c r="AD63" s="604"/>
      <c r="AE63" s="604"/>
      <c r="AF63" s="612"/>
      <c r="AG63" s="595"/>
      <c r="AH63" s="595"/>
      <c r="AI63" s="595"/>
      <c r="AJ63" s="595"/>
      <c r="AK63" s="595"/>
      <c r="AL63" s="595"/>
      <c r="AM63" s="613"/>
      <c r="AN63" s="595"/>
      <c r="AO63" s="614"/>
    </row>
    <row r="64" spans="1:42">
      <c r="A64" s="362" t="s">
        <v>691</v>
      </c>
      <c r="B64" s="358"/>
      <c r="C64" s="876"/>
      <c r="D64" s="2121"/>
      <c r="E64" s="876"/>
      <c r="F64" s="876"/>
      <c r="G64" s="3402"/>
      <c r="H64" s="876"/>
      <c r="I64" s="878"/>
      <c r="J64" s="1132"/>
      <c r="K64" s="1132"/>
      <c r="L64" s="2070"/>
      <c r="M64" s="880"/>
      <c r="N64" s="880"/>
      <c r="O64" s="880"/>
      <c r="P64" s="880"/>
      <c r="Q64" s="3403"/>
      <c r="R64" s="880"/>
      <c r="S64" s="2133"/>
      <c r="T64" s="1159"/>
      <c r="U64" s="1186"/>
      <c r="V64" s="2071"/>
      <c r="W64" s="922"/>
      <c r="X64" s="2123"/>
      <c r="Y64" s="922"/>
      <c r="Z64" s="922"/>
      <c r="AA64" s="3404"/>
      <c r="AB64" s="922"/>
      <c r="AC64" s="924"/>
      <c r="AD64" s="1070"/>
      <c r="AE64" s="1070"/>
      <c r="AF64" s="2058"/>
      <c r="AG64" s="909"/>
      <c r="AH64" s="909"/>
      <c r="AI64" s="909"/>
      <c r="AJ64" s="909"/>
      <c r="AK64" s="3405"/>
      <c r="AL64" s="909"/>
      <c r="AM64" s="2138"/>
      <c r="AN64" s="1072"/>
      <c r="AO64" s="1331"/>
    </row>
    <row r="65" spans="1:42" ht="2.25" customHeight="1">
      <c r="A65" s="209"/>
      <c r="B65" s="358"/>
      <c r="C65" s="882"/>
      <c r="D65" s="2121"/>
      <c r="E65" s="319"/>
      <c r="F65" s="319"/>
      <c r="G65" s="876"/>
      <c r="H65" s="883"/>
      <c r="I65" s="3406"/>
      <c r="J65" s="1132"/>
      <c r="K65" s="1132"/>
      <c r="L65" s="2070"/>
      <c r="M65" s="3407"/>
      <c r="N65" s="3407"/>
      <c r="O65" s="3407"/>
      <c r="P65" s="3281"/>
      <c r="Q65" s="880"/>
      <c r="R65" s="887"/>
      <c r="S65" s="3408"/>
      <c r="T65" s="1159"/>
      <c r="U65" s="1186"/>
      <c r="V65" s="2071"/>
      <c r="W65" s="925"/>
      <c r="X65" s="2123"/>
      <c r="Y65" s="572"/>
      <c r="Z65" s="572"/>
      <c r="AA65" s="922"/>
      <c r="AB65" s="926"/>
      <c r="AC65" s="3409"/>
      <c r="AD65" s="1070"/>
      <c r="AE65" s="1070"/>
      <c r="AF65" s="2058"/>
      <c r="AG65" s="3410"/>
      <c r="AH65" s="3410"/>
      <c r="AI65" s="3410"/>
      <c r="AJ65" s="3283"/>
      <c r="AK65" s="909"/>
      <c r="AL65" s="910"/>
      <c r="AM65" s="3411"/>
      <c r="AN65" s="1072"/>
      <c r="AO65" s="1331"/>
    </row>
    <row r="66" spans="1:42">
      <c r="A66" s="209" t="s">
        <v>852</v>
      </c>
      <c r="B66" s="358"/>
      <c r="C66" s="4516">
        <f>F1_Milk_Price*F1_Unadjusted_Milk_Production_lb_day*(F1_Length_of_Lactation-F1_Days_in_Diverted_Milk)*F1_Number_of_Lactations/F1_Age_at_EOL</f>
        <v>1900.083964408107</v>
      </c>
      <c r="D66" s="4517"/>
      <c r="E66" s="319" t="s">
        <v>851</v>
      </c>
      <c r="F66" s="2121"/>
      <c r="G66" s="3412"/>
      <c r="H66" s="319"/>
      <c r="I66" s="3413"/>
      <c r="J66" s="2417">
        <v>2</v>
      </c>
      <c r="K66" s="1132"/>
      <c r="L66" s="2070"/>
      <c r="M66" s="4496">
        <f>F2_Milk_Price*F2_Unadjusted_Milk_Production_lb_day*(F2_Length_of_Lactation-F2_Days_in_Diverted_Milk)*F2_Number_of_Lactations/F2_Age_at_EOL</f>
        <v>1764.7169622815989</v>
      </c>
      <c r="N66" s="4497"/>
      <c r="O66" s="3281" t="s">
        <v>851</v>
      </c>
      <c r="P66" s="2122"/>
      <c r="Q66" s="3414"/>
      <c r="R66" s="3281"/>
      <c r="S66" s="3415"/>
      <c r="T66" s="2418">
        <v>2</v>
      </c>
      <c r="U66" s="1186"/>
      <c r="V66" s="2071"/>
      <c r="W66" s="4522">
        <f>F3_Milk_Price*F3_Unadjusted_Milk_Production_lb_day*(F3_Length_of_Lactation-F3_Days_in_Diverted_Milk)*F3_Number_of_Lactations/F3_Age_at_EOL</f>
        <v>3344.661631470487</v>
      </c>
      <c r="X66" s="4523"/>
      <c r="Y66" s="572" t="s">
        <v>851</v>
      </c>
      <c r="Z66" s="1070"/>
      <c r="AA66" s="3416"/>
      <c r="AB66" s="572"/>
      <c r="AC66" s="3417"/>
      <c r="AD66" s="2839">
        <v>2</v>
      </c>
      <c r="AE66" s="1070"/>
      <c r="AF66" s="2058"/>
      <c r="AG66" s="4524">
        <f>F4_Milk_Price*F4_Unadjusted_Milk_Production_lb_day*(F4_Length_of_Lactation-F4_Days_in_Diverted_Milk)*F4_Number_of_Lactations/F4_Age_at_EOL</f>
        <v>2842.9194136104934</v>
      </c>
      <c r="AH66" s="4525"/>
      <c r="AI66" s="3283" t="s">
        <v>851</v>
      </c>
      <c r="AJ66" s="2059"/>
      <c r="AK66" s="3418"/>
      <c r="AL66" s="3283"/>
      <c r="AM66" s="3419"/>
      <c r="AN66" s="2850">
        <v>2</v>
      </c>
      <c r="AO66" s="1331"/>
    </row>
    <row r="67" spans="1:42" ht="2.25" customHeight="1">
      <c r="A67" s="209"/>
      <c r="B67" s="358"/>
      <c r="C67" s="3420"/>
      <c r="D67" s="3421"/>
      <c r="E67" s="319"/>
      <c r="F67" s="2121"/>
      <c r="G67" s="3422"/>
      <c r="H67" s="883"/>
      <c r="I67" s="3406"/>
      <c r="J67" s="1132"/>
      <c r="K67" s="1132"/>
      <c r="L67" s="2070"/>
      <c r="M67" s="3423"/>
      <c r="N67" s="3423"/>
      <c r="O67" s="3281"/>
      <c r="P67" s="2122"/>
      <c r="Q67" s="3424"/>
      <c r="R67" s="887"/>
      <c r="S67" s="3408"/>
      <c r="T67" s="1159"/>
      <c r="U67" s="1186"/>
      <c r="V67" s="2071"/>
      <c r="W67" s="3425"/>
      <c r="X67" s="3426"/>
      <c r="Y67" s="572"/>
      <c r="Z67" s="1070"/>
      <c r="AA67" s="3427"/>
      <c r="AB67" s="926"/>
      <c r="AC67" s="3409"/>
      <c r="AD67" s="1070"/>
      <c r="AE67" s="1070"/>
      <c r="AF67" s="2058"/>
      <c r="AG67" s="3428"/>
      <c r="AH67" s="3428"/>
      <c r="AI67" s="3283"/>
      <c r="AJ67" s="2059"/>
      <c r="AK67" s="3429"/>
      <c r="AL67" s="910"/>
      <c r="AM67" s="3411"/>
      <c r="AN67" s="1072"/>
      <c r="AO67" s="1331"/>
    </row>
    <row r="68" spans="1:42">
      <c r="A68" s="209" t="s">
        <v>857</v>
      </c>
      <c r="B68" s="358"/>
      <c r="C68" s="4516">
        <f>F1_Milk_Price*F1_ECM_Production_lb_day*(F1_Length_of_Lactation-F1_Days_in_Diverted_Milk)*F1_Number_of_Lactations/F1_Age_at_EOL</f>
        <v>1872.7227553206301</v>
      </c>
      <c r="D68" s="4517"/>
      <c r="E68" s="319" t="s">
        <v>851</v>
      </c>
      <c r="F68" s="2121"/>
      <c r="G68" s="3412"/>
      <c r="H68" s="319"/>
      <c r="I68" s="3413"/>
      <c r="J68" s="2417">
        <v>2</v>
      </c>
      <c r="K68" s="1132"/>
      <c r="L68" s="2070"/>
      <c r="M68" s="4496">
        <f>F2_Milk_Price*F2_ECM_Production_lb_day*(F2_Length_of_Lactation-F2_Days_in_Diverted_Milk)*F2_Number_of_Lactations/F2_Age_at_EOL</f>
        <v>1793.8806748002648</v>
      </c>
      <c r="N68" s="4497"/>
      <c r="O68" s="3281" t="s">
        <v>851</v>
      </c>
      <c r="P68" s="2122"/>
      <c r="Q68" s="3414"/>
      <c r="R68" s="3281"/>
      <c r="S68" s="3415"/>
      <c r="T68" s="2418">
        <v>2</v>
      </c>
      <c r="U68" s="1186"/>
      <c r="V68" s="2071"/>
      <c r="W68" s="4522">
        <f>F3_Milk_Price*F3_ECM_Production_lb_day*(F3_Length_of_Lactation-F3_Days_in_Diverted_Milk)*F3_Number_of_Lactations/F3_Age_at_EOL</f>
        <v>3496.6765026208213</v>
      </c>
      <c r="X68" s="4523"/>
      <c r="Y68" s="572" t="s">
        <v>851</v>
      </c>
      <c r="Z68" s="1070"/>
      <c r="AA68" s="3416"/>
      <c r="AB68" s="572"/>
      <c r="AC68" s="3417"/>
      <c r="AD68" s="2839">
        <v>2</v>
      </c>
      <c r="AE68" s="1070"/>
      <c r="AF68" s="2058"/>
      <c r="AG68" s="4524">
        <f>F4_Milk_Price*F4_ECM_Production_lb_day*(F4_Length_of_Lactation-F4_Days_in_Diverted_Milk)*F4_Number_of_Lactations/F4_Age_at_EOL</f>
        <v>3433.8486429235709</v>
      </c>
      <c r="AH68" s="4525"/>
      <c r="AI68" s="3283" t="s">
        <v>851</v>
      </c>
      <c r="AJ68" s="2059"/>
      <c r="AK68" s="3418"/>
      <c r="AL68" s="3283"/>
      <c r="AM68" s="3419"/>
      <c r="AN68" s="2850">
        <v>2</v>
      </c>
      <c r="AO68" s="1331"/>
    </row>
    <row r="69" spans="1:42" ht="6" customHeight="1">
      <c r="A69" s="209"/>
      <c r="B69" s="358"/>
      <c r="C69" s="1132"/>
      <c r="D69" s="1132"/>
      <c r="E69" s="1132"/>
      <c r="F69" s="1132"/>
      <c r="G69" s="1132"/>
      <c r="H69" s="1132"/>
      <c r="I69" s="3382"/>
      <c r="J69" s="1132"/>
      <c r="K69" s="1132"/>
      <c r="L69" s="2070"/>
      <c r="M69" s="1159"/>
      <c r="N69" s="1159"/>
      <c r="O69" s="1159"/>
      <c r="P69" s="1159"/>
      <c r="Q69" s="1159"/>
      <c r="R69" s="1159"/>
      <c r="S69" s="3383"/>
      <c r="T69" s="1159"/>
      <c r="U69" s="1186"/>
      <c r="V69" s="2071"/>
      <c r="W69" s="1070"/>
      <c r="X69" s="1070"/>
      <c r="Y69" s="1070"/>
      <c r="Z69" s="1070"/>
      <c r="AA69" s="1070"/>
      <c r="AB69" s="1070"/>
      <c r="AC69" s="3385"/>
      <c r="AD69" s="1070"/>
      <c r="AE69" s="1070"/>
      <c r="AF69" s="2058"/>
      <c r="AG69" s="1072"/>
      <c r="AH69" s="1072"/>
      <c r="AI69" s="1072"/>
      <c r="AJ69" s="1072"/>
      <c r="AK69" s="1072"/>
      <c r="AL69" s="1072"/>
      <c r="AM69" s="3386"/>
      <c r="AN69" s="1072"/>
      <c r="AO69" s="1331"/>
    </row>
    <row r="70" spans="1:42" ht="21" customHeight="1">
      <c r="A70" s="4028" t="s">
        <v>882</v>
      </c>
      <c r="B70" s="4508"/>
      <c r="C70" s="4508"/>
      <c r="D70" s="4508"/>
      <c r="E70" s="4508"/>
      <c r="F70" s="4508"/>
      <c r="G70" s="4508"/>
      <c r="H70" s="4508"/>
      <c r="I70" s="4508"/>
      <c r="J70" s="4508"/>
      <c r="K70" s="4508"/>
      <c r="L70" s="4508"/>
      <c r="M70" s="4508"/>
      <c r="N70" s="4508"/>
      <c r="O70" s="4508"/>
      <c r="P70" s="4508"/>
      <c r="Q70" s="4508"/>
      <c r="R70" s="4508"/>
      <c r="S70" s="4508"/>
      <c r="T70" s="4508"/>
      <c r="U70" s="4508"/>
      <c r="V70" s="4508"/>
      <c r="W70" s="4508"/>
      <c r="X70" s="4508"/>
      <c r="Y70" s="4508"/>
      <c r="Z70" s="4508"/>
      <c r="AA70" s="4508"/>
      <c r="AB70" s="4508"/>
      <c r="AC70" s="4508"/>
      <c r="AD70" s="4508"/>
      <c r="AE70" s="4508"/>
      <c r="AF70" s="4508"/>
      <c r="AG70" s="4508"/>
      <c r="AH70" s="4508"/>
      <c r="AI70" s="4508"/>
      <c r="AJ70" s="4508"/>
      <c r="AK70" s="4508"/>
      <c r="AL70" s="4508"/>
      <c r="AM70" s="4508"/>
      <c r="AN70" s="4508"/>
      <c r="AO70" s="4509"/>
    </row>
    <row r="71" spans="1:42" ht="5.25" customHeight="1">
      <c r="A71" s="209"/>
      <c r="B71" s="358"/>
      <c r="C71" s="382"/>
      <c r="D71" s="382"/>
      <c r="E71" s="382"/>
      <c r="F71" s="382"/>
      <c r="G71" s="382"/>
      <c r="H71" s="382"/>
      <c r="I71" s="372"/>
      <c r="J71" s="382"/>
      <c r="K71" s="382"/>
      <c r="L71" s="360"/>
      <c r="M71" s="96"/>
      <c r="N71" s="96"/>
      <c r="O71" s="96"/>
      <c r="P71" s="96"/>
      <c r="Q71" s="96"/>
      <c r="R71" s="96"/>
      <c r="S71" s="109"/>
      <c r="T71" s="96"/>
      <c r="U71" s="383"/>
      <c r="V71" s="493"/>
      <c r="W71" s="494"/>
      <c r="X71" s="494"/>
      <c r="Y71" s="494"/>
      <c r="Z71" s="494"/>
      <c r="AA71" s="494"/>
      <c r="AB71" s="494"/>
      <c r="AC71" s="603"/>
      <c r="AD71" s="494"/>
      <c r="AE71" s="494"/>
      <c r="AF71" s="607"/>
      <c r="AG71" s="496"/>
      <c r="AH71" s="496"/>
      <c r="AI71" s="496"/>
      <c r="AJ71" s="496"/>
      <c r="AK71" s="496"/>
      <c r="AL71" s="496"/>
      <c r="AM71" s="611"/>
      <c r="AN71" s="496"/>
      <c r="AO71" s="497"/>
    </row>
    <row r="72" spans="1:42">
      <c r="A72" s="362" t="s">
        <v>870</v>
      </c>
      <c r="B72" s="358"/>
      <c r="C72" s="382"/>
      <c r="D72" s="186"/>
      <c r="E72" s="186"/>
      <c r="F72" s="186"/>
      <c r="G72" s="375"/>
      <c r="H72" s="186"/>
      <c r="I72" s="216"/>
      <c r="J72" s="2558"/>
      <c r="K72" s="382"/>
      <c r="L72" s="360"/>
      <c r="M72" s="44"/>
      <c r="N72" s="44"/>
      <c r="O72" s="44"/>
      <c r="P72" s="44"/>
      <c r="Q72" s="376"/>
      <c r="R72" s="44"/>
      <c r="S72" s="41"/>
      <c r="T72" s="2557"/>
      <c r="U72" s="383"/>
      <c r="V72" s="493"/>
      <c r="W72" s="494"/>
      <c r="X72" s="511"/>
      <c r="Y72" s="511"/>
      <c r="Z72" s="511"/>
      <c r="AA72" s="599"/>
      <c r="AB72" s="511"/>
      <c r="AC72" s="532"/>
      <c r="AD72" s="2791"/>
      <c r="AE72" s="494"/>
      <c r="AF72" s="607"/>
      <c r="AG72" s="465"/>
      <c r="AH72" s="465"/>
      <c r="AI72" s="465"/>
      <c r="AJ72" s="465"/>
      <c r="AK72" s="608"/>
      <c r="AL72" s="465"/>
      <c r="AM72" s="464"/>
      <c r="AN72" s="2793"/>
      <c r="AO72" s="497"/>
    </row>
    <row r="73" spans="1:42" ht="3" customHeight="1">
      <c r="A73" s="362"/>
      <c r="B73" s="358"/>
      <c r="C73" s="382"/>
      <c r="D73" s="186"/>
      <c r="E73" s="186"/>
      <c r="F73" s="186"/>
      <c r="G73" s="375"/>
      <c r="H73" s="186"/>
      <c r="I73" s="216"/>
      <c r="J73" s="2558"/>
      <c r="K73" s="382"/>
      <c r="L73" s="360"/>
      <c r="M73" s="44"/>
      <c r="N73" s="44"/>
      <c r="O73" s="44"/>
      <c r="P73" s="44"/>
      <c r="Q73" s="376"/>
      <c r="R73" s="44"/>
      <c r="S73" s="41"/>
      <c r="T73" s="2557"/>
      <c r="U73" s="383"/>
      <c r="V73" s="493"/>
      <c r="W73" s="494"/>
      <c r="X73" s="511"/>
      <c r="Y73" s="511"/>
      <c r="Z73" s="511"/>
      <c r="AA73" s="599"/>
      <c r="AB73" s="511"/>
      <c r="AC73" s="532"/>
      <c r="AD73" s="2791"/>
      <c r="AE73" s="494"/>
      <c r="AF73" s="607"/>
      <c r="AG73" s="465"/>
      <c r="AH73" s="465"/>
      <c r="AI73" s="465"/>
      <c r="AJ73" s="465"/>
      <c r="AK73" s="608"/>
      <c r="AL73" s="465"/>
      <c r="AM73" s="464"/>
      <c r="AN73" s="2793"/>
      <c r="AO73" s="497"/>
    </row>
    <row r="74" spans="1:42">
      <c r="A74" s="362"/>
      <c r="B74" s="358"/>
      <c r="C74" s="382"/>
      <c r="D74" s="186"/>
      <c r="E74" s="186"/>
      <c r="F74" s="186"/>
      <c r="G74" s="375"/>
      <c r="H74" s="186"/>
      <c r="I74" s="216"/>
      <c r="J74" s="2558"/>
      <c r="K74" s="382"/>
      <c r="L74" s="360"/>
      <c r="M74" s="44"/>
      <c r="N74" s="44"/>
      <c r="O74" s="44"/>
      <c r="P74" s="44"/>
      <c r="Q74" s="376"/>
      <c r="R74" s="44"/>
      <c r="S74" s="41"/>
      <c r="T74" s="2557"/>
      <c r="U74" s="383"/>
      <c r="V74" s="493"/>
      <c r="W74" s="494"/>
      <c r="X74" s="511"/>
      <c r="Y74" s="511"/>
      <c r="Z74" s="511"/>
      <c r="AA74" s="599"/>
      <c r="AB74" s="511"/>
      <c r="AC74" s="532"/>
      <c r="AD74" s="2791"/>
      <c r="AE74" s="494"/>
      <c r="AF74" s="607"/>
      <c r="AG74" s="465"/>
      <c r="AH74" s="465"/>
      <c r="AI74" s="465"/>
      <c r="AJ74" s="465"/>
      <c r="AK74" s="608"/>
      <c r="AL74" s="465"/>
      <c r="AM74" s="464"/>
      <c r="AN74" s="2793"/>
      <c r="AO74" s="497"/>
    </row>
    <row r="75" spans="1:42" ht="5.25" customHeight="1">
      <c r="A75" s="361"/>
      <c r="B75" s="498"/>
      <c r="C75" s="499"/>
      <c r="D75" s="499"/>
      <c r="E75" s="499"/>
      <c r="F75" s="499"/>
      <c r="G75" s="499"/>
      <c r="H75" s="499"/>
      <c r="I75" s="825"/>
      <c r="J75" s="499"/>
      <c r="K75" s="499"/>
      <c r="L75" s="500"/>
      <c r="M75" s="501"/>
      <c r="N75" s="501"/>
      <c r="O75" s="501"/>
      <c r="P75" s="501"/>
      <c r="Q75" s="501"/>
      <c r="R75" s="501"/>
      <c r="S75" s="110"/>
      <c r="T75" s="501"/>
      <c r="U75" s="648"/>
      <c r="V75" s="502"/>
      <c r="W75" s="503"/>
      <c r="X75" s="503"/>
      <c r="Y75" s="503"/>
      <c r="Z75" s="503"/>
      <c r="AA75" s="503"/>
      <c r="AB75" s="503"/>
      <c r="AC75" s="963"/>
      <c r="AD75" s="503"/>
      <c r="AE75" s="503"/>
      <c r="AF75" s="917"/>
      <c r="AG75" s="505"/>
      <c r="AH75" s="505"/>
      <c r="AI75" s="505"/>
      <c r="AJ75" s="505"/>
      <c r="AK75" s="505"/>
      <c r="AL75" s="505"/>
      <c r="AM75" s="968"/>
      <c r="AN75" s="505"/>
      <c r="AO75" s="506"/>
    </row>
    <row r="76" spans="1:42" ht="6" customHeight="1">
      <c r="A76" s="209"/>
      <c r="B76" s="358"/>
      <c r="C76" s="382"/>
      <c r="D76" s="382"/>
      <c r="E76" s="382"/>
      <c r="F76" s="382"/>
      <c r="G76" s="382"/>
      <c r="H76" s="382"/>
      <c r="I76" s="372"/>
      <c r="J76" s="382"/>
      <c r="K76" s="382"/>
      <c r="L76" s="360"/>
      <c r="M76" s="96"/>
      <c r="N76" s="96"/>
      <c r="O76" s="96"/>
      <c r="P76" s="96"/>
      <c r="Q76" s="96"/>
      <c r="R76" s="96"/>
      <c r="S76" s="109"/>
      <c r="T76" s="96"/>
      <c r="U76" s="383"/>
      <c r="V76" s="493"/>
      <c r="W76" s="494"/>
      <c r="X76" s="494"/>
      <c r="Y76" s="494"/>
      <c r="Z76" s="494"/>
      <c r="AA76" s="494"/>
      <c r="AB76" s="494"/>
      <c r="AC76" s="603"/>
      <c r="AD76" s="494"/>
      <c r="AE76" s="494"/>
      <c r="AF76" s="607"/>
      <c r="AG76" s="496"/>
      <c r="AH76" s="496"/>
      <c r="AI76" s="496"/>
      <c r="AJ76" s="496"/>
      <c r="AK76" s="496"/>
      <c r="AL76" s="496"/>
      <c r="AM76" s="611"/>
      <c r="AN76" s="496"/>
      <c r="AO76" s="497"/>
    </row>
    <row r="77" spans="1:42">
      <c r="A77" s="362" t="s">
        <v>798</v>
      </c>
      <c r="B77" s="358"/>
      <c r="C77" s="186" t="s">
        <v>118</v>
      </c>
      <c r="D77" s="186"/>
      <c r="E77" s="186"/>
      <c r="F77" s="186"/>
      <c r="G77" s="375"/>
      <c r="H77" s="186"/>
      <c r="I77" s="216"/>
      <c r="J77" s="2345"/>
      <c r="K77" s="382"/>
      <c r="L77" s="360"/>
      <c r="M77" s="44" t="s">
        <v>118</v>
      </c>
      <c r="N77" s="44"/>
      <c r="O77" s="44"/>
      <c r="P77" s="44"/>
      <c r="Q77" s="376"/>
      <c r="R77" s="44"/>
      <c r="S77" s="41"/>
      <c r="T77" s="2344"/>
      <c r="U77" s="383"/>
      <c r="V77" s="493"/>
      <c r="W77" s="511" t="s">
        <v>118</v>
      </c>
      <c r="X77" s="511"/>
      <c r="Y77" s="511"/>
      <c r="Z77" s="511"/>
      <c r="AA77" s="599"/>
      <c r="AB77" s="511"/>
      <c r="AC77" s="532"/>
      <c r="AD77" s="2791"/>
      <c r="AE77" s="494"/>
      <c r="AF77" s="607"/>
      <c r="AG77" s="465" t="s">
        <v>118</v>
      </c>
      <c r="AH77" s="465"/>
      <c r="AI77" s="465"/>
      <c r="AJ77" s="465"/>
      <c r="AK77" s="608"/>
      <c r="AL77" s="465"/>
      <c r="AM77" s="464"/>
      <c r="AN77" s="2793"/>
      <c r="AO77" s="497"/>
    </row>
    <row r="78" spans="1:42">
      <c r="A78" s="208" t="s">
        <v>702</v>
      </c>
      <c r="B78" s="358"/>
      <c r="C78" s="382"/>
      <c r="D78" s="4469">
        <v>0.42</v>
      </c>
      <c r="E78" s="4470"/>
      <c r="F78" s="2389"/>
      <c r="G78" s="365"/>
      <c r="H78" s="2349"/>
      <c r="I78" s="371"/>
      <c r="J78" s="377"/>
      <c r="K78" s="382"/>
      <c r="L78" s="360"/>
      <c r="M78" s="104"/>
      <c r="N78" s="4469">
        <v>0.42</v>
      </c>
      <c r="O78" s="4470"/>
      <c r="P78" s="2530"/>
      <c r="Q78" s="104"/>
      <c r="R78" s="104"/>
      <c r="S78" s="374"/>
      <c r="T78" s="377"/>
      <c r="U78" s="383"/>
      <c r="V78" s="493"/>
      <c r="W78" s="494"/>
      <c r="X78" s="4469">
        <v>0.5</v>
      </c>
      <c r="Y78" s="4470"/>
      <c r="Z78" s="2795"/>
      <c r="AA78" s="601"/>
      <c r="AB78" s="2795"/>
      <c r="AC78" s="602"/>
      <c r="AD78" s="377"/>
      <c r="AE78" s="494"/>
      <c r="AF78" s="607"/>
      <c r="AG78" s="593"/>
      <c r="AH78" s="4469">
        <v>0.5</v>
      </c>
      <c r="AI78" s="4470"/>
      <c r="AJ78" s="2798"/>
      <c r="AK78" s="593"/>
      <c r="AL78" s="593"/>
      <c r="AM78" s="610"/>
      <c r="AN78" s="377"/>
      <c r="AO78" s="497"/>
    </row>
    <row r="79" spans="1:42" ht="2.25" customHeight="1">
      <c r="A79" s="209"/>
      <c r="B79" s="358"/>
      <c r="C79" s="382"/>
      <c r="D79" s="199"/>
      <c r="E79" s="2349"/>
      <c r="F79" s="2389"/>
      <c r="G79" s="186"/>
      <c r="H79" s="200"/>
      <c r="I79" s="370"/>
      <c r="J79" s="382"/>
      <c r="K79" s="382"/>
      <c r="L79" s="360"/>
      <c r="M79" s="104"/>
      <c r="N79" s="72"/>
      <c r="O79" s="72"/>
      <c r="P79" s="2530"/>
      <c r="Q79" s="104"/>
      <c r="R79" s="104"/>
      <c r="S79" s="373"/>
      <c r="T79" s="96"/>
      <c r="U79" s="383"/>
      <c r="V79" s="493"/>
      <c r="W79" s="494"/>
      <c r="X79" s="525"/>
      <c r="Y79" s="2795"/>
      <c r="Z79" s="2795"/>
      <c r="AA79" s="511"/>
      <c r="AB79" s="526"/>
      <c r="AC79" s="600"/>
      <c r="AD79" s="494"/>
      <c r="AE79" s="494"/>
      <c r="AF79" s="607"/>
      <c r="AG79" s="593"/>
      <c r="AH79" s="476"/>
      <c r="AI79" s="476"/>
      <c r="AJ79" s="2798"/>
      <c r="AK79" s="593"/>
      <c r="AL79" s="593"/>
      <c r="AM79" s="609"/>
      <c r="AN79" s="496"/>
      <c r="AO79" s="497"/>
    </row>
    <row r="80" spans="1:42">
      <c r="A80" s="208" t="s">
        <v>631</v>
      </c>
      <c r="B80" s="358"/>
      <c r="C80" s="382"/>
      <c r="D80" s="4473">
        <f>Defaults!B78</f>
        <v>0.25</v>
      </c>
      <c r="E80" s="4474"/>
      <c r="F80" s="2389"/>
      <c r="G80" s="365"/>
      <c r="H80" s="2349"/>
      <c r="I80" s="2551"/>
      <c r="J80" s="378"/>
      <c r="K80" s="382"/>
      <c r="L80" s="360"/>
      <c r="M80" s="104"/>
      <c r="N80" s="4457">
        <f>Defaults!$B$78</f>
        <v>0.25</v>
      </c>
      <c r="O80" s="4458"/>
      <c r="P80" s="2530"/>
      <c r="Q80" s="104"/>
      <c r="R80" s="104"/>
      <c r="S80" s="374"/>
      <c r="T80" s="379"/>
      <c r="U80" s="383"/>
      <c r="V80" s="493"/>
      <c r="W80" s="494"/>
      <c r="X80" s="4518">
        <f>Defaults!$B$78</f>
        <v>0.25</v>
      </c>
      <c r="Y80" s="4519"/>
      <c r="Z80" s="2795"/>
      <c r="AA80" s="601"/>
      <c r="AB80" s="2795"/>
      <c r="AC80" s="2846"/>
      <c r="AD80" s="1021"/>
      <c r="AE80" s="494"/>
      <c r="AF80" s="607"/>
      <c r="AG80" s="593"/>
      <c r="AH80" s="4520">
        <f>Defaults!$B$78</f>
        <v>0.25</v>
      </c>
      <c r="AI80" s="4521"/>
      <c r="AJ80" s="2798"/>
      <c r="AK80" s="593"/>
      <c r="AL80" s="593"/>
      <c r="AM80" s="610"/>
      <c r="AN80" s="1020"/>
      <c r="AO80" s="497"/>
      <c r="AP80" s="21"/>
    </row>
    <row r="81" spans="1:42" s="6" customFormat="1" ht="6" customHeight="1">
      <c r="A81" s="361"/>
      <c r="B81" s="498"/>
      <c r="C81" s="499"/>
      <c r="D81" s="499"/>
      <c r="E81" s="499"/>
      <c r="F81" s="499"/>
      <c r="G81" s="499"/>
      <c r="H81" s="499"/>
      <c r="I81" s="825"/>
      <c r="J81" s="499"/>
      <c r="K81" s="499"/>
      <c r="L81" s="500"/>
      <c r="M81" s="501"/>
      <c r="N81" s="501"/>
      <c r="O81" s="501"/>
      <c r="P81" s="501"/>
      <c r="Q81" s="501"/>
      <c r="R81" s="501"/>
      <c r="S81" s="110"/>
      <c r="T81" s="501"/>
      <c r="U81" s="648"/>
      <c r="V81" s="502"/>
      <c r="W81" s="503"/>
      <c r="X81" s="503"/>
      <c r="Y81" s="503"/>
      <c r="Z81" s="503"/>
      <c r="AA81" s="503"/>
      <c r="AB81" s="503"/>
      <c r="AC81" s="963"/>
      <c r="AD81" s="503"/>
      <c r="AE81" s="503"/>
      <c r="AF81" s="917"/>
      <c r="AG81" s="505"/>
      <c r="AH81" s="505"/>
      <c r="AI81" s="505"/>
      <c r="AJ81" s="505"/>
      <c r="AK81" s="505"/>
      <c r="AL81" s="505"/>
      <c r="AM81" s="968"/>
      <c r="AN81" s="505"/>
      <c r="AO81" s="506"/>
    </row>
    <row r="82" spans="1:42" ht="6" customHeight="1">
      <c r="A82" s="209"/>
      <c r="B82" s="358"/>
      <c r="C82" s="382"/>
      <c r="D82" s="382"/>
      <c r="E82" s="382"/>
      <c r="F82" s="382"/>
      <c r="G82" s="382"/>
      <c r="H82" s="382"/>
      <c r="I82" s="372"/>
      <c r="J82" s="382"/>
      <c r="K82" s="382"/>
      <c r="L82" s="360"/>
      <c r="M82" s="96"/>
      <c r="N82" s="96"/>
      <c r="O82" s="96"/>
      <c r="P82" s="96"/>
      <c r="Q82" s="96"/>
      <c r="R82" s="96"/>
      <c r="S82" s="109"/>
      <c r="T82" s="96"/>
      <c r="U82" s="383"/>
      <c r="V82" s="493"/>
      <c r="W82" s="494"/>
      <c r="X82" s="494"/>
      <c r="Y82" s="494"/>
      <c r="Z82" s="494"/>
      <c r="AA82" s="494"/>
      <c r="AB82" s="494"/>
      <c r="AC82" s="603"/>
      <c r="AD82" s="494"/>
      <c r="AE82" s="494"/>
      <c r="AF82" s="607"/>
      <c r="AG82" s="496"/>
      <c r="AH82" s="496"/>
      <c r="AI82" s="496"/>
      <c r="AJ82" s="496"/>
      <c r="AK82" s="496"/>
      <c r="AL82" s="496"/>
      <c r="AM82" s="611"/>
      <c r="AN82" s="496"/>
      <c r="AO82" s="497"/>
    </row>
    <row r="83" spans="1:42">
      <c r="A83" s="362" t="s">
        <v>799</v>
      </c>
      <c r="B83" s="358"/>
      <c r="C83" s="186" t="s">
        <v>118</v>
      </c>
      <c r="D83" s="186"/>
      <c r="E83" s="186"/>
      <c r="F83" s="186"/>
      <c r="G83" s="375"/>
      <c r="H83" s="186"/>
      <c r="I83" s="216"/>
      <c r="J83" s="2587"/>
      <c r="K83" s="382"/>
      <c r="L83" s="360"/>
      <c r="M83" s="44" t="s">
        <v>118</v>
      </c>
      <c r="N83" s="44"/>
      <c r="O83" s="44"/>
      <c r="P83" s="44"/>
      <c r="Q83" s="376"/>
      <c r="R83" s="44"/>
      <c r="S83" s="41"/>
      <c r="T83" s="2588"/>
      <c r="U83" s="383"/>
      <c r="V83" s="493"/>
      <c r="W83" s="511" t="s">
        <v>118</v>
      </c>
      <c r="X83" s="511"/>
      <c r="Y83" s="511"/>
      <c r="Z83" s="511"/>
      <c r="AA83" s="599"/>
      <c r="AB83" s="511"/>
      <c r="AC83" s="532"/>
      <c r="AD83" s="2791"/>
      <c r="AE83" s="494"/>
      <c r="AF83" s="607"/>
      <c r="AG83" s="465" t="s">
        <v>118</v>
      </c>
      <c r="AH83" s="465"/>
      <c r="AI83" s="465"/>
      <c r="AJ83" s="465"/>
      <c r="AK83" s="608"/>
      <c r="AL83" s="465"/>
      <c r="AM83" s="464"/>
      <c r="AN83" s="2793"/>
      <c r="AO83" s="497"/>
    </row>
    <row r="84" spans="1:42">
      <c r="A84" s="208" t="s">
        <v>702</v>
      </c>
      <c r="B84" s="358"/>
      <c r="C84" s="382"/>
      <c r="D84" s="4469">
        <v>0</v>
      </c>
      <c r="E84" s="4470"/>
      <c r="F84" s="2592"/>
      <c r="G84" s="365"/>
      <c r="H84" s="2592"/>
      <c r="I84" s="371"/>
      <c r="J84" s="377"/>
      <c r="K84" s="382"/>
      <c r="L84" s="360"/>
      <c r="M84" s="104"/>
      <c r="N84" s="4469">
        <v>0</v>
      </c>
      <c r="O84" s="4470"/>
      <c r="P84" s="2594"/>
      <c r="Q84" s="104"/>
      <c r="R84" s="104"/>
      <c r="S84" s="374"/>
      <c r="T84" s="377"/>
      <c r="U84" s="383"/>
      <c r="V84" s="493"/>
      <c r="W84" s="494"/>
      <c r="X84" s="4469">
        <v>1.3</v>
      </c>
      <c r="Y84" s="4470"/>
      <c r="Z84" s="2795"/>
      <c r="AA84" s="601"/>
      <c r="AB84" s="2795"/>
      <c r="AC84" s="602"/>
      <c r="AD84" s="377"/>
      <c r="AE84" s="494"/>
      <c r="AF84" s="607"/>
      <c r="AG84" s="593"/>
      <c r="AH84" s="4469">
        <v>1.3</v>
      </c>
      <c r="AI84" s="4470"/>
      <c r="AJ84" s="2798"/>
      <c r="AK84" s="593"/>
      <c r="AL84" s="593"/>
      <c r="AM84" s="610"/>
      <c r="AN84" s="377"/>
      <c r="AO84" s="497"/>
    </row>
    <row r="85" spans="1:42" ht="2.25" customHeight="1">
      <c r="A85" s="209"/>
      <c r="B85" s="358"/>
      <c r="C85" s="382"/>
      <c r="D85" s="199"/>
      <c r="E85" s="2592"/>
      <c r="F85" s="2592"/>
      <c r="G85" s="186"/>
      <c r="H85" s="200"/>
      <c r="I85" s="370"/>
      <c r="J85" s="382"/>
      <c r="K85" s="382"/>
      <c r="L85" s="360"/>
      <c r="M85" s="104"/>
      <c r="N85" s="72"/>
      <c r="O85" s="72"/>
      <c r="P85" s="2594"/>
      <c r="Q85" s="104"/>
      <c r="R85" s="104"/>
      <c r="S85" s="373"/>
      <c r="T85" s="96"/>
      <c r="U85" s="383"/>
      <c r="V85" s="493"/>
      <c r="W85" s="494"/>
      <c r="X85" s="525"/>
      <c r="Y85" s="2795"/>
      <c r="Z85" s="2795"/>
      <c r="AA85" s="511"/>
      <c r="AB85" s="526"/>
      <c r="AC85" s="600"/>
      <c r="AD85" s="494"/>
      <c r="AE85" s="494"/>
      <c r="AF85" s="607"/>
      <c r="AG85" s="593"/>
      <c r="AH85" s="476"/>
      <c r="AI85" s="476"/>
      <c r="AJ85" s="2798"/>
      <c r="AK85" s="593"/>
      <c r="AL85" s="593"/>
      <c r="AM85" s="609"/>
      <c r="AN85" s="496"/>
      <c r="AO85" s="497"/>
    </row>
    <row r="86" spans="1:42">
      <c r="A86" s="208" t="s">
        <v>631</v>
      </c>
      <c r="B86" s="358"/>
      <c r="C86" s="382"/>
      <c r="D86" s="4473">
        <f>Defaults!$B$79</f>
        <v>0.85</v>
      </c>
      <c r="E86" s="4474"/>
      <c r="F86" s="2592"/>
      <c r="G86" s="365"/>
      <c r="H86" s="2592"/>
      <c r="I86" s="2551"/>
      <c r="J86" s="378"/>
      <c r="K86" s="382"/>
      <c r="L86" s="360"/>
      <c r="M86" s="104"/>
      <c r="N86" s="4457">
        <f>Defaults!B79</f>
        <v>0.85</v>
      </c>
      <c r="O86" s="4458"/>
      <c r="P86" s="2594"/>
      <c r="Q86" s="104"/>
      <c r="R86" s="104"/>
      <c r="S86" s="374"/>
      <c r="T86" s="379"/>
      <c r="U86" s="383"/>
      <c r="V86" s="493"/>
      <c r="W86" s="494"/>
      <c r="X86" s="4518">
        <f>Defaults!$B$79</f>
        <v>0.85</v>
      </c>
      <c r="Y86" s="4519"/>
      <c r="Z86" s="2795"/>
      <c r="AA86" s="601"/>
      <c r="AB86" s="2795"/>
      <c r="AC86" s="2846"/>
      <c r="AD86" s="1021"/>
      <c r="AE86" s="494"/>
      <c r="AF86" s="607"/>
      <c r="AG86" s="593"/>
      <c r="AH86" s="4520">
        <f>Defaults!$B$79</f>
        <v>0.85</v>
      </c>
      <c r="AI86" s="4521"/>
      <c r="AJ86" s="2798"/>
      <c r="AK86" s="593"/>
      <c r="AL86" s="593"/>
      <c r="AM86" s="610"/>
      <c r="AN86" s="1020"/>
      <c r="AO86" s="497"/>
      <c r="AP86" s="21"/>
    </row>
    <row r="87" spans="1:42" s="6" customFormat="1" ht="6" customHeight="1">
      <c r="A87" s="361"/>
      <c r="B87" s="498"/>
      <c r="C87" s="499"/>
      <c r="D87" s="499"/>
      <c r="E87" s="499"/>
      <c r="F87" s="499"/>
      <c r="G87" s="499"/>
      <c r="H87" s="499"/>
      <c r="I87" s="825"/>
      <c r="J87" s="499"/>
      <c r="K87" s="499"/>
      <c r="L87" s="500"/>
      <c r="M87" s="501"/>
      <c r="N87" s="501"/>
      <c r="O87" s="501"/>
      <c r="P87" s="501"/>
      <c r="Q87" s="501"/>
      <c r="R87" s="501"/>
      <c r="S87" s="110"/>
      <c r="T87" s="501"/>
      <c r="U87" s="648"/>
      <c r="V87" s="502"/>
      <c r="W87" s="503"/>
      <c r="X87" s="503"/>
      <c r="Y87" s="503"/>
      <c r="Z87" s="503"/>
      <c r="AA87" s="503"/>
      <c r="AB87" s="503"/>
      <c r="AC87" s="963"/>
      <c r="AD87" s="503"/>
      <c r="AE87" s="503"/>
      <c r="AF87" s="917"/>
      <c r="AG87" s="505"/>
      <c r="AH87" s="505"/>
      <c r="AI87" s="505"/>
      <c r="AJ87" s="505"/>
      <c r="AK87" s="505"/>
      <c r="AL87" s="505"/>
      <c r="AM87" s="968"/>
      <c r="AN87" s="505"/>
      <c r="AO87" s="506"/>
    </row>
    <row r="88" spans="1:42" s="6" customFormat="1" ht="6" customHeight="1">
      <c r="A88" s="209"/>
      <c r="B88" s="358"/>
      <c r="C88" s="382"/>
      <c r="D88" s="382"/>
      <c r="E88" s="382"/>
      <c r="F88" s="382"/>
      <c r="G88" s="382"/>
      <c r="H88" s="382"/>
      <c r="I88" s="372"/>
      <c r="J88" s="382"/>
      <c r="K88" s="382"/>
      <c r="L88" s="360"/>
      <c r="M88" s="96"/>
      <c r="N88" s="96"/>
      <c r="O88" s="96"/>
      <c r="P88" s="96"/>
      <c r="Q88" s="96"/>
      <c r="R88" s="96"/>
      <c r="S88" s="109"/>
      <c r="T88" s="96"/>
      <c r="U88" s="383"/>
      <c r="V88" s="493"/>
      <c r="W88" s="494"/>
      <c r="X88" s="494"/>
      <c r="Y88" s="494"/>
      <c r="Z88" s="494"/>
      <c r="AA88" s="494"/>
      <c r="AB88" s="494"/>
      <c r="AC88" s="603"/>
      <c r="AD88" s="494"/>
      <c r="AE88" s="494"/>
      <c r="AF88" s="607"/>
      <c r="AG88" s="496"/>
      <c r="AH88" s="496"/>
      <c r="AI88" s="496"/>
      <c r="AJ88" s="496"/>
      <c r="AK88" s="496"/>
      <c r="AL88" s="496"/>
      <c r="AM88" s="611"/>
      <c r="AN88" s="496"/>
      <c r="AO88" s="497"/>
    </row>
    <row r="89" spans="1:42" ht="12.75" customHeight="1">
      <c r="A89" s="1571" t="s">
        <v>692</v>
      </c>
      <c r="B89" s="358"/>
      <c r="C89" s="382"/>
      <c r="D89" s="322"/>
      <c r="E89" s="322"/>
      <c r="F89" s="382"/>
      <c r="G89" s="382"/>
      <c r="H89" s="382"/>
      <c r="I89" s="372"/>
      <c r="J89" s="382"/>
      <c r="K89" s="382"/>
      <c r="L89" s="360"/>
      <c r="M89" s="104"/>
      <c r="N89" s="104"/>
      <c r="O89" s="104"/>
      <c r="P89" s="104"/>
      <c r="Q89" s="104"/>
      <c r="R89" s="96"/>
      <c r="S89" s="109"/>
      <c r="T89" s="104"/>
      <c r="U89" s="383"/>
      <c r="V89" s="493"/>
      <c r="W89" s="494"/>
      <c r="X89" s="591"/>
      <c r="Y89" s="591"/>
      <c r="Z89" s="494"/>
      <c r="AA89" s="494"/>
      <c r="AB89" s="494"/>
      <c r="AC89" s="603"/>
      <c r="AD89" s="494"/>
      <c r="AE89" s="494"/>
      <c r="AF89" s="607"/>
      <c r="AG89" s="593"/>
      <c r="AH89" s="593"/>
      <c r="AI89" s="593"/>
      <c r="AJ89" s="593"/>
      <c r="AK89" s="593"/>
      <c r="AL89" s="496"/>
      <c r="AM89" s="611"/>
      <c r="AN89" s="593"/>
      <c r="AO89" s="497"/>
    </row>
    <row r="90" spans="1:42" ht="12.75" customHeight="1">
      <c r="A90" s="1067" t="s">
        <v>778</v>
      </c>
      <c r="B90" s="358"/>
      <c r="C90" s="382"/>
      <c r="D90" s="4530">
        <f>F1_Meat_Price_Cow*F1_Pounds_Available_for_Slaughter/F1_Age_at_EOL</f>
        <v>112.68324987748076</v>
      </c>
      <c r="E90" s="4531"/>
      <c r="F90" s="2833" t="s">
        <v>851</v>
      </c>
      <c r="G90" s="382"/>
      <c r="H90" s="382"/>
      <c r="I90" s="372"/>
      <c r="J90" s="2417">
        <v>5</v>
      </c>
      <c r="K90" s="382"/>
      <c r="L90" s="360"/>
      <c r="M90" s="104"/>
      <c r="N90" s="4441">
        <f>F2_Meat_Price_Cow*F2_Pounds_Available_for_Slaughter/F2_Age_at_EOL</f>
        <v>108.84109153753555</v>
      </c>
      <c r="O90" s="4442"/>
      <c r="P90" s="2725" t="s">
        <v>851</v>
      </c>
      <c r="Q90" s="104"/>
      <c r="R90" s="96"/>
      <c r="S90" s="109"/>
      <c r="T90" s="2418">
        <v>5</v>
      </c>
      <c r="U90" s="383"/>
      <c r="V90" s="493"/>
      <c r="W90" s="494"/>
      <c r="X90" s="4538">
        <f>F3_Meat_Price_Cow*F3_Pounds_Available_for_Slaughter/F3_Age_at_EOL</f>
        <v>100.58840453552497</v>
      </c>
      <c r="Y90" s="4539"/>
      <c r="Z90" s="2834" t="s">
        <v>851</v>
      </c>
      <c r="AA90" s="494"/>
      <c r="AB90" s="494"/>
      <c r="AC90" s="603"/>
      <c r="AD90" s="2839">
        <v>5</v>
      </c>
      <c r="AE90" s="494"/>
      <c r="AF90" s="607"/>
      <c r="AG90" s="593"/>
      <c r="AH90" s="4451">
        <f>F4_Meat_Price_Cow*F4_Pounds_Available_for_Slaughter/F4_Age_at_EOL</f>
        <v>66.985428679067184</v>
      </c>
      <c r="AI90" s="4452"/>
      <c r="AJ90" s="2798" t="s">
        <v>851</v>
      </c>
      <c r="AK90" s="593"/>
      <c r="AL90" s="496"/>
      <c r="AM90" s="611"/>
      <c r="AN90" s="2850">
        <v>5</v>
      </c>
      <c r="AO90" s="497"/>
    </row>
    <row r="91" spans="1:42" ht="3" customHeight="1">
      <c r="A91" s="1571"/>
      <c r="B91" s="358"/>
      <c r="C91" s="382"/>
      <c r="D91" s="2382"/>
      <c r="E91" s="2382"/>
      <c r="F91" s="382"/>
      <c r="G91" s="382"/>
      <c r="H91" s="382"/>
      <c r="I91" s="372"/>
      <c r="J91" s="3140"/>
      <c r="K91" s="382"/>
      <c r="L91" s="360"/>
      <c r="M91" s="104"/>
      <c r="N91" s="2387"/>
      <c r="O91" s="2387"/>
      <c r="P91" s="104"/>
      <c r="Q91" s="104"/>
      <c r="R91" s="96"/>
      <c r="S91" s="109"/>
      <c r="T91" s="3141"/>
      <c r="U91" s="383"/>
      <c r="V91" s="493"/>
      <c r="W91" s="494"/>
      <c r="X91" s="2845"/>
      <c r="Y91" s="2845"/>
      <c r="Z91" s="494"/>
      <c r="AA91" s="494"/>
      <c r="AB91" s="494"/>
      <c r="AC91" s="603"/>
      <c r="AD91" s="3142"/>
      <c r="AE91" s="494"/>
      <c r="AF91" s="607"/>
      <c r="AG91" s="593"/>
      <c r="AH91" s="2856"/>
      <c r="AI91" s="2856"/>
      <c r="AJ91" s="593"/>
      <c r="AK91" s="593"/>
      <c r="AL91" s="496"/>
      <c r="AM91" s="611"/>
      <c r="AN91" s="3143"/>
      <c r="AO91" s="497"/>
    </row>
    <row r="92" spans="1:42" ht="12.75" customHeight="1">
      <c r="A92" s="1067" t="s">
        <v>871</v>
      </c>
      <c r="B92" s="358"/>
      <c r="C92" s="382"/>
      <c r="D92" s="4530">
        <f>F1_Meat_Price_Cow*F1_Grown_Calf_Weight_lb*F1_Heifer_Units*F1_Heifer_Failure_to_Breed_Rate/F1_Age_at_EOL</f>
        <v>11.156197769797229</v>
      </c>
      <c r="E92" s="4531"/>
      <c r="F92" s="2833" t="s">
        <v>851</v>
      </c>
      <c r="G92" s="382"/>
      <c r="H92" s="382"/>
      <c r="I92" s="372"/>
      <c r="J92" s="2417">
        <v>6</v>
      </c>
      <c r="K92" s="382"/>
      <c r="L92" s="360"/>
      <c r="M92" s="104"/>
      <c r="N92" s="4441">
        <f>F2_Meat_Price_Cow*F2_Grown_Calf_Weight_lb*F2_Heifer_Units*F2_Heifer_Failure_to_Breed_Rate/F2_Age_at_EOL</f>
        <v>8.9028552564718844</v>
      </c>
      <c r="O92" s="4442"/>
      <c r="P92" s="2725" t="s">
        <v>851</v>
      </c>
      <c r="Q92" s="104"/>
      <c r="R92" s="96"/>
      <c r="S92" s="109"/>
      <c r="T92" s="2418">
        <v>6</v>
      </c>
      <c r="U92" s="383"/>
      <c r="V92" s="493"/>
      <c r="W92" s="494"/>
      <c r="X92" s="4538">
        <f>F3_Meat_Price_Cow*F3_Grown_Calf_Weight_lb*F3_Heifer_Units*F3_Heifer_Failure_to_Breed_Rate/F3_Age_at_EOL</f>
        <v>6.1788728773626307</v>
      </c>
      <c r="Y92" s="4539"/>
      <c r="Z92" s="2834" t="s">
        <v>851</v>
      </c>
      <c r="AA92" s="494"/>
      <c r="AB92" s="494"/>
      <c r="AC92" s="603"/>
      <c r="AD92" s="2839">
        <v>6</v>
      </c>
      <c r="AE92" s="494"/>
      <c r="AF92" s="607"/>
      <c r="AG92" s="593"/>
      <c r="AH92" s="4451">
        <f>F4_Meat_Price_Cow*F4_Grown_Calf_Weight_lb*F4_Heifer_Units*F4_Heifer_Failure_to_Breed_Rate/F4_Age_at_EOL</f>
        <v>2.6280045607842699</v>
      </c>
      <c r="AI92" s="4452"/>
      <c r="AJ92" s="2798" t="s">
        <v>851</v>
      </c>
      <c r="AK92" s="593"/>
      <c r="AL92" s="496"/>
      <c r="AM92" s="611"/>
      <c r="AN92" s="2850">
        <v>6</v>
      </c>
      <c r="AO92" s="497"/>
    </row>
    <row r="93" spans="1:42" ht="3" customHeight="1">
      <c r="A93" s="1571"/>
      <c r="B93" s="358"/>
      <c r="C93" s="382"/>
      <c r="D93" s="2382"/>
      <c r="E93" s="2382"/>
      <c r="F93" s="382"/>
      <c r="G93" s="382"/>
      <c r="H93" s="382"/>
      <c r="I93" s="372"/>
      <c r="J93" s="3140"/>
      <c r="K93" s="382"/>
      <c r="L93" s="360"/>
      <c r="M93" s="104"/>
      <c r="N93" s="2387"/>
      <c r="O93" s="2387"/>
      <c r="P93" s="104"/>
      <c r="Q93" s="104"/>
      <c r="R93" s="96"/>
      <c r="S93" s="109"/>
      <c r="T93" s="3141"/>
      <c r="U93" s="383"/>
      <c r="V93" s="493"/>
      <c r="W93" s="494"/>
      <c r="X93" s="2845"/>
      <c r="Y93" s="2845"/>
      <c r="Z93" s="494"/>
      <c r="AA93" s="494"/>
      <c r="AB93" s="494"/>
      <c r="AC93" s="603"/>
      <c r="AD93" s="3142"/>
      <c r="AE93" s="494"/>
      <c r="AF93" s="607"/>
      <c r="AG93" s="593"/>
      <c r="AH93" s="2856"/>
      <c r="AI93" s="2856"/>
      <c r="AJ93" s="593"/>
      <c r="AK93" s="593"/>
      <c r="AL93" s="496"/>
      <c r="AM93" s="611"/>
      <c r="AN93" s="3143"/>
      <c r="AO93" s="497"/>
    </row>
    <row r="94" spans="1:42" ht="12.75" customHeight="1">
      <c r="A94" s="1067" t="s">
        <v>783</v>
      </c>
      <c r="B94" s="358"/>
      <c r="C94" s="382"/>
      <c r="D94" s="4530">
        <f>F1_Meat_Price_Calf*F1_Grown_Calf_Weight_lb*IF(Options!Y4=1,0,F1_Annual_Total_Calves)</f>
        <v>0</v>
      </c>
      <c r="E94" s="4531"/>
      <c r="F94" s="2833" t="s">
        <v>851</v>
      </c>
      <c r="G94" s="382"/>
      <c r="H94" s="382"/>
      <c r="I94" s="372"/>
      <c r="J94" s="2417">
        <v>7</v>
      </c>
      <c r="K94" s="382"/>
      <c r="L94" s="360"/>
      <c r="M94" s="104"/>
      <c r="N94" s="4441">
        <f>F2_Meat_Price_Calf*F2_Grown_Calf_Weight_lb*IF(Options!Z4=1,0,F2_Annual_Total_Calves)</f>
        <v>0</v>
      </c>
      <c r="O94" s="4442"/>
      <c r="P94" s="2725" t="s">
        <v>851</v>
      </c>
      <c r="Q94" s="104"/>
      <c r="R94" s="96"/>
      <c r="S94" s="109"/>
      <c r="T94" s="2418">
        <v>7</v>
      </c>
      <c r="U94" s="383"/>
      <c r="V94" s="493"/>
      <c r="W94" s="494"/>
      <c r="X94" s="4540">
        <f>F3_Meat_Price_Calf*F3_Grown_Calf_Weight_lb*IF(Options!AA4=1,0,F3_Annual_Total_Calves)</f>
        <v>0</v>
      </c>
      <c r="Y94" s="4541"/>
      <c r="Z94" s="2834" t="s">
        <v>851</v>
      </c>
      <c r="AA94" s="494"/>
      <c r="AB94" s="494"/>
      <c r="AC94" s="603"/>
      <c r="AD94" s="2839">
        <v>7</v>
      </c>
      <c r="AE94" s="494"/>
      <c r="AF94" s="607"/>
      <c r="AG94" s="593"/>
      <c r="AH94" s="4451">
        <f>F4_Meat_Price_Calf*F4_Grown_Calf_Weight_lb*IF(Options!AB4=1,0,F4_Annual_Total_Calves)</f>
        <v>0</v>
      </c>
      <c r="AI94" s="4452"/>
      <c r="AJ94" s="2798" t="s">
        <v>851</v>
      </c>
      <c r="AK94" s="593"/>
      <c r="AL94" s="496"/>
      <c r="AM94" s="611"/>
      <c r="AN94" s="2850">
        <v>7</v>
      </c>
      <c r="AO94" s="497"/>
    </row>
    <row r="95" spans="1:42" ht="6.75" customHeight="1">
      <c r="A95" s="1067"/>
      <c r="B95" s="358"/>
      <c r="C95" s="382"/>
      <c r="D95" s="2382"/>
      <c r="E95" s="2382"/>
      <c r="F95" s="382"/>
      <c r="G95" s="382"/>
      <c r="H95" s="382"/>
      <c r="I95" s="372"/>
      <c r="J95" s="698"/>
      <c r="K95" s="382"/>
      <c r="L95" s="360"/>
      <c r="M95" s="104"/>
      <c r="N95" s="2387"/>
      <c r="O95" s="2387"/>
      <c r="P95" s="104"/>
      <c r="Q95" s="104"/>
      <c r="R95" s="96"/>
      <c r="S95" s="109"/>
      <c r="T95" s="651"/>
      <c r="U95" s="383"/>
      <c r="V95" s="493"/>
      <c r="W95" s="494"/>
      <c r="X95" s="2845"/>
      <c r="Y95" s="2845"/>
      <c r="Z95" s="494"/>
      <c r="AA95" s="494"/>
      <c r="AB95" s="494"/>
      <c r="AC95" s="603"/>
      <c r="AD95" s="732"/>
      <c r="AE95" s="494"/>
      <c r="AF95" s="607"/>
      <c r="AG95" s="593"/>
      <c r="AH95" s="2856"/>
      <c r="AI95" s="2856"/>
      <c r="AJ95" s="593"/>
      <c r="AK95" s="593"/>
      <c r="AL95" s="496"/>
      <c r="AM95" s="611"/>
      <c r="AN95" s="770"/>
      <c r="AO95" s="497"/>
    </row>
    <row r="96" spans="1:42" s="20" customFormat="1" ht="12.75" customHeight="1">
      <c r="A96" s="2598" t="s">
        <v>779</v>
      </c>
      <c r="B96" s="2383"/>
      <c r="C96" s="1032"/>
      <c r="D96" s="4471">
        <f>D90+D92+D94</f>
        <v>123.83944764727799</v>
      </c>
      <c r="E96" s="4472"/>
      <c r="F96" s="2833" t="s">
        <v>851</v>
      </c>
      <c r="G96" s="1032"/>
      <c r="H96" s="1032"/>
      <c r="I96" s="2384"/>
      <c r="J96" s="2599"/>
      <c r="K96" s="1032"/>
      <c r="L96" s="1036"/>
      <c r="M96" s="1425"/>
      <c r="N96" s="4443">
        <f>N90+N92+N94</f>
        <v>117.74394679400743</v>
      </c>
      <c r="O96" s="4444"/>
      <c r="P96" s="2725" t="s">
        <v>851</v>
      </c>
      <c r="Q96" s="1425"/>
      <c r="R96" s="1037"/>
      <c r="S96" s="2385"/>
      <c r="T96" s="2600"/>
      <c r="U96" s="2386"/>
      <c r="V96" s="2053"/>
      <c r="W96" s="1050"/>
      <c r="X96" s="4453">
        <f>X90+X92+X94</f>
        <v>106.76727741288761</v>
      </c>
      <c r="Y96" s="4454"/>
      <c r="Z96" s="2834" t="s">
        <v>851</v>
      </c>
      <c r="AA96" s="1050"/>
      <c r="AB96" s="1050"/>
      <c r="AC96" s="2843"/>
      <c r="AD96" s="2847"/>
      <c r="AE96" s="1050"/>
      <c r="AF96" s="2054"/>
      <c r="AG96" s="1426"/>
      <c r="AH96" s="4455">
        <f>AH90+AH92+AH94</f>
        <v>69.61343323985146</v>
      </c>
      <c r="AI96" s="4456"/>
      <c r="AJ96" s="2798" t="s">
        <v>851</v>
      </c>
      <c r="AK96" s="1426"/>
      <c r="AL96" s="1054"/>
      <c r="AM96" s="2854"/>
      <c r="AN96" s="2857"/>
      <c r="AO96" s="2055"/>
    </row>
    <row r="97" spans="1:41" ht="5.25" customHeight="1">
      <c r="A97" s="1570"/>
      <c r="B97" s="358"/>
      <c r="C97" s="382"/>
      <c r="D97" s="382"/>
      <c r="E97" s="382"/>
      <c r="F97" s="382"/>
      <c r="G97" s="382"/>
      <c r="H97" s="382"/>
      <c r="I97" s="372"/>
      <c r="J97" s="382"/>
      <c r="K97" s="382"/>
      <c r="L97" s="360"/>
      <c r="M97" s="96"/>
      <c r="N97" s="96"/>
      <c r="O97" s="96"/>
      <c r="P97" s="96"/>
      <c r="Q97" s="96"/>
      <c r="R97" s="96"/>
      <c r="S97" s="109"/>
      <c r="T97" s="96"/>
      <c r="U97" s="383"/>
      <c r="V97" s="493"/>
      <c r="W97" s="494"/>
      <c r="X97" s="494"/>
      <c r="Y97" s="494"/>
      <c r="Z97" s="494"/>
      <c r="AA97" s="494"/>
      <c r="AB97" s="494"/>
      <c r="AC97" s="603"/>
      <c r="AD97" s="494"/>
      <c r="AE97" s="494"/>
      <c r="AF97" s="607"/>
      <c r="AG97" s="496"/>
      <c r="AH97" s="496"/>
      <c r="AI97" s="496"/>
      <c r="AJ97" s="496"/>
      <c r="AK97" s="496"/>
      <c r="AL97" s="496"/>
      <c r="AM97" s="611"/>
      <c r="AN97" s="496"/>
      <c r="AO97" s="497"/>
    </row>
    <row r="98" spans="1:41" ht="21" customHeight="1">
      <c r="A98" s="4028" t="s">
        <v>883</v>
      </c>
      <c r="B98" s="4508"/>
      <c r="C98" s="4508"/>
      <c r="D98" s="4508"/>
      <c r="E98" s="4508"/>
      <c r="F98" s="4508"/>
      <c r="G98" s="4508"/>
      <c r="H98" s="4508"/>
      <c r="I98" s="4508"/>
      <c r="J98" s="4508"/>
      <c r="K98" s="4508"/>
      <c r="L98" s="4508"/>
      <c r="M98" s="4508"/>
      <c r="N98" s="4508"/>
      <c r="O98" s="4508"/>
      <c r="P98" s="4508"/>
      <c r="Q98" s="4508"/>
      <c r="R98" s="4508"/>
      <c r="S98" s="4508"/>
      <c r="T98" s="4508"/>
      <c r="U98" s="4508"/>
      <c r="V98" s="4508"/>
      <c r="W98" s="4508"/>
      <c r="X98" s="4508"/>
      <c r="Y98" s="4508"/>
      <c r="Z98" s="4508"/>
      <c r="AA98" s="4508"/>
      <c r="AB98" s="4508"/>
      <c r="AC98" s="4508"/>
      <c r="AD98" s="4508"/>
      <c r="AE98" s="4508"/>
      <c r="AF98" s="4508"/>
      <c r="AG98" s="4508"/>
      <c r="AH98" s="4508"/>
      <c r="AI98" s="4508"/>
      <c r="AJ98" s="4508"/>
      <c r="AK98" s="4508"/>
      <c r="AL98" s="4508"/>
      <c r="AM98" s="4508"/>
      <c r="AN98" s="4508"/>
      <c r="AO98" s="4509"/>
    </row>
    <row r="99" spans="1:41" ht="5.25" customHeight="1">
      <c r="A99" s="209"/>
      <c r="B99" s="358"/>
      <c r="C99" s="382"/>
      <c r="D99" s="382"/>
      <c r="E99" s="382"/>
      <c r="F99" s="382"/>
      <c r="G99" s="382"/>
      <c r="H99" s="382"/>
      <c r="I99" s="372"/>
      <c r="J99" s="382"/>
      <c r="K99" s="382"/>
      <c r="L99" s="360"/>
      <c r="M99" s="96"/>
      <c r="N99" s="96"/>
      <c r="O99" s="96"/>
      <c r="P99" s="96"/>
      <c r="Q99" s="96"/>
      <c r="R99" s="96"/>
      <c r="S99" s="109"/>
      <c r="T99" s="96"/>
      <c r="U99" s="383"/>
      <c r="V99" s="493"/>
      <c r="W99" s="494"/>
      <c r="X99" s="494"/>
      <c r="Y99" s="494"/>
      <c r="Z99" s="494"/>
      <c r="AA99" s="494"/>
      <c r="AB99" s="494"/>
      <c r="AC99" s="603"/>
      <c r="AD99" s="494"/>
      <c r="AE99" s="494"/>
      <c r="AF99" s="607"/>
      <c r="AG99" s="496"/>
      <c r="AH99" s="496"/>
      <c r="AI99" s="496"/>
      <c r="AJ99" s="496"/>
      <c r="AK99" s="496"/>
      <c r="AL99" s="496"/>
      <c r="AM99" s="611"/>
      <c r="AN99" s="496"/>
      <c r="AO99" s="497"/>
    </row>
    <row r="100" spans="1:41">
      <c r="A100" s="362" t="s">
        <v>687</v>
      </c>
      <c r="B100" s="358"/>
      <c r="C100" s="186" t="s">
        <v>118</v>
      </c>
      <c r="D100" s="186"/>
      <c r="E100" s="186"/>
      <c r="F100" s="186"/>
      <c r="G100" s="375"/>
      <c r="H100" s="186"/>
      <c r="I100" s="216"/>
      <c r="J100" s="2345"/>
      <c r="K100" s="382"/>
      <c r="L100" s="360"/>
      <c r="M100" s="44" t="s">
        <v>118</v>
      </c>
      <c r="N100" s="44"/>
      <c r="O100" s="44"/>
      <c r="P100" s="44"/>
      <c r="Q100" s="376"/>
      <c r="R100" s="44"/>
      <c r="S100" s="41"/>
      <c r="T100" s="2344"/>
      <c r="U100" s="383"/>
      <c r="V100" s="493"/>
      <c r="W100" s="511" t="s">
        <v>118</v>
      </c>
      <c r="X100" s="511"/>
      <c r="Y100" s="511"/>
      <c r="Z100" s="511"/>
      <c r="AA100" s="599"/>
      <c r="AB100" s="511"/>
      <c r="AC100" s="532"/>
      <c r="AD100" s="2791"/>
      <c r="AE100" s="494"/>
      <c r="AF100" s="607"/>
      <c r="AG100" s="465" t="s">
        <v>118</v>
      </c>
      <c r="AH100" s="465"/>
      <c r="AI100" s="465"/>
      <c r="AJ100" s="465"/>
      <c r="AK100" s="608"/>
      <c r="AL100" s="465"/>
      <c r="AM100" s="464"/>
      <c r="AN100" s="2793"/>
      <c r="AO100" s="497"/>
    </row>
    <row r="101" spans="1:41">
      <c r="A101" s="208" t="s">
        <v>702</v>
      </c>
      <c r="B101" s="358"/>
      <c r="C101" s="382"/>
      <c r="D101" s="4469">
        <v>250</v>
      </c>
      <c r="E101" s="4470"/>
      <c r="F101" s="2389"/>
      <c r="G101" s="365"/>
      <c r="H101" s="2349"/>
      <c r="I101" s="371"/>
      <c r="J101" s="377"/>
      <c r="K101" s="382"/>
      <c r="L101" s="360"/>
      <c r="M101" s="104"/>
      <c r="N101" s="4469">
        <v>250</v>
      </c>
      <c r="O101" s="4470"/>
      <c r="P101" s="104"/>
      <c r="Q101" s="104"/>
      <c r="R101" s="2530"/>
      <c r="S101" s="374"/>
      <c r="T101" s="377"/>
      <c r="U101" s="383"/>
      <c r="V101" s="493"/>
      <c r="W101" s="494"/>
      <c r="X101" s="4469">
        <v>250</v>
      </c>
      <c r="Y101" s="4470"/>
      <c r="Z101" s="2795"/>
      <c r="AA101" s="601"/>
      <c r="AB101" s="2795"/>
      <c r="AC101" s="602"/>
      <c r="AD101" s="377"/>
      <c r="AE101" s="494"/>
      <c r="AF101" s="607"/>
      <c r="AG101" s="593"/>
      <c r="AH101" s="4469">
        <v>250</v>
      </c>
      <c r="AI101" s="4470"/>
      <c r="AJ101" s="593"/>
      <c r="AK101" s="593"/>
      <c r="AL101" s="2798"/>
      <c r="AM101" s="610"/>
      <c r="AN101" s="377"/>
      <c r="AO101" s="497"/>
    </row>
    <row r="102" spans="1:41" ht="2.25" customHeight="1">
      <c r="A102" s="209"/>
      <c r="B102" s="358"/>
      <c r="C102" s="382"/>
      <c r="D102" s="199"/>
      <c r="E102" s="2349"/>
      <c r="F102" s="2389"/>
      <c r="G102" s="186"/>
      <c r="H102" s="200"/>
      <c r="I102" s="370"/>
      <c r="J102" s="382"/>
      <c r="K102" s="382"/>
      <c r="L102" s="360"/>
      <c r="M102" s="104"/>
      <c r="N102" s="72"/>
      <c r="O102" s="72"/>
      <c r="P102" s="104"/>
      <c r="Q102" s="104"/>
      <c r="R102" s="65"/>
      <c r="S102" s="373"/>
      <c r="T102" s="96"/>
      <c r="U102" s="383"/>
      <c r="V102" s="493"/>
      <c r="W102" s="494"/>
      <c r="X102" s="525"/>
      <c r="Y102" s="2795"/>
      <c r="Z102" s="2795"/>
      <c r="AA102" s="511"/>
      <c r="AB102" s="526"/>
      <c r="AC102" s="600"/>
      <c r="AD102" s="494"/>
      <c r="AE102" s="494"/>
      <c r="AF102" s="607"/>
      <c r="AG102" s="593"/>
      <c r="AH102" s="476"/>
      <c r="AI102" s="476"/>
      <c r="AJ102" s="593"/>
      <c r="AK102" s="593"/>
      <c r="AL102" s="477"/>
      <c r="AM102" s="609"/>
      <c r="AN102" s="496"/>
      <c r="AO102" s="497"/>
    </row>
    <row r="103" spans="1:41">
      <c r="A103" s="208" t="s">
        <v>631</v>
      </c>
      <c r="B103" s="358"/>
      <c r="C103" s="382"/>
      <c r="D103" s="4473">
        <f>Defaults!$B$80</f>
        <v>150</v>
      </c>
      <c r="E103" s="4474"/>
      <c r="F103" s="2389"/>
      <c r="G103" s="365"/>
      <c r="H103" s="2349"/>
      <c r="I103" s="371"/>
      <c r="J103" s="378"/>
      <c r="K103" s="382"/>
      <c r="L103" s="360"/>
      <c r="M103" s="104"/>
      <c r="N103" s="4457">
        <f>Defaults!$B$80</f>
        <v>150</v>
      </c>
      <c r="O103" s="4458"/>
      <c r="P103" s="104"/>
      <c r="Q103" s="104"/>
      <c r="R103" s="2530"/>
      <c r="S103" s="374"/>
      <c r="T103" s="379"/>
      <c r="U103" s="383"/>
      <c r="V103" s="493"/>
      <c r="W103" s="494"/>
      <c r="X103" s="4518">
        <f>Defaults!$B$80</f>
        <v>150</v>
      </c>
      <c r="Y103" s="4519"/>
      <c r="Z103" s="2795"/>
      <c r="AA103" s="601"/>
      <c r="AB103" s="2795"/>
      <c r="AC103" s="602"/>
      <c r="AD103" s="1021"/>
      <c r="AE103" s="494"/>
      <c r="AF103" s="607"/>
      <c r="AG103" s="593"/>
      <c r="AH103" s="4520">
        <f>Defaults!$B$80</f>
        <v>150</v>
      </c>
      <c r="AI103" s="4521"/>
      <c r="AJ103" s="593"/>
      <c r="AK103" s="593"/>
      <c r="AL103" s="2798"/>
      <c r="AM103" s="610"/>
      <c r="AN103" s="1020"/>
      <c r="AO103" s="497"/>
    </row>
    <row r="104" spans="1:41" ht="5.25" customHeight="1">
      <c r="A104" s="361"/>
      <c r="B104" s="498"/>
      <c r="C104" s="499"/>
      <c r="D104" s="499"/>
      <c r="E104" s="499"/>
      <c r="F104" s="499"/>
      <c r="G104" s="499"/>
      <c r="H104" s="499"/>
      <c r="I104" s="825"/>
      <c r="J104" s="499"/>
      <c r="K104" s="499"/>
      <c r="L104" s="500"/>
      <c r="M104" s="501"/>
      <c r="N104" s="501"/>
      <c r="O104" s="501"/>
      <c r="P104" s="501"/>
      <c r="Q104" s="501"/>
      <c r="R104" s="501"/>
      <c r="S104" s="110"/>
      <c r="T104" s="501"/>
      <c r="U104" s="648"/>
      <c r="V104" s="502"/>
      <c r="W104" s="503"/>
      <c r="X104" s="503"/>
      <c r="Y104" s="503"/>
      <c r="Z104" s="503"/>
      <c r="AA104" s="503"/>
      <c r="AB104" s="503"/>
      <c r="AC104" s="963"/>
      <c r="AD104" s="503"/>
      <c r="AE104" s="503"/>
      <c r="AF104" s="917"/>
      <c r="AG104" s="505"/>
      <c r="AH104" s="505"/>
      <c r="AI104" s="505"/>
      <c r="AJ104" s="505"/>
      <c r="AK104" s="505"/>
      <c r="AL104" s="505"/>
      <c r="AM104" s="968"/>
      <c r="AN104" s="505"/>
      <c r="AO104" s="506"/>
    </row>
    <row r="105" spans="1:41" ht="5.25" customHeight="1">
      <c r="A105" s="209"/>
      <c r="B105" s="358"/>
      <c r="C105" s="382"/>
      <c r="D105" s="382"/>
      <c r="E105" s="382"/>
      <c r="F105" s="382"/>
      <c r="G105" s="382"/>
      <c r="H105" s="382"/>
      <c r="I105" s="372"/>
      <c r="J105" s="382"/>
      <c r="K105" s="382"/>
      <c r="L105" s="360"/>
      <c r="M105" s="104"/>
      <c r="N105" s="96"/>
      <c r="O105" s="96"/>
      <c r="P105" s="104"/>
      <c r="Q105" s="104"/>
      <c r="R105" s="96"/>
      <c r="S105" s="109"/>
      <c r="T105" s="96"/>
      <c r="U105" s="383"/>
      <c r="V105" s="493"/>
      <c r="W105" s="494"/>
      <c r="X105" s="494"/>
      <c r="Y105" s="494"/>
      <c r="Z105" s="494"/>
      <c r="AA105" s="494"/>
      <c r="AB105" s="494"/>
      <c r="AC105" s="603"/>
      <c r="AD105" s="494"/>
      <c r="AE105" s="494"/>
      <c r="AF105" s="607"/>
      <c r="AG105" s="593"/>
      <c r="AH105" s="496"/>
      <c r="AI105" s="496"/>
      <c r="AJ105" s="593"/>
      <c r="AK105" s="593"/>
      <c r="AL105" s="496"/>
      <c r="AM105" s="611"/>
      <c r="AN105" s="496"/>
      <c r="AO105" s="497"/>
    </row>
    <row r="106" spans="1:41">
      <c r="A106" s="362" t="s">
        <v>686</v>
      </c>
      <c r="B106" s="358"/>
      <c r="C106" s="186" t="s">
        <v>118</v>
      </c>
      <c r="D106" s="186"/>
      <c r="E106" s="186"/>
      <c r="F106" s="186"/>
      <c r="G106" s="375"/>
      <c r="H106" s="186"/>
      <c r="I106" s="216"/>
      <c r="J106" s="2345"/>
      <c r="K106" s="382"/>
      <c r="L106" s="360"/>
      <c r="M106" s="44" t="s">
        <v>118</v>
      </c>
      <c r="N106" s="44"/>
      <c r="O106" s="44"/>
      <c r="P106" s="104"/>
      <c r="Q106" s="104"/>
      <c r="R106" s="44"/>
      <c r="S106" s="41"/>
      <c r="T106" s="2344"/>
      <c r="U106" s="383"/>
      <c r="V106" s="493"/>
      <c r="W106" s="511" t="s">
        <v>118</v>
      </c>
      <c r="X106" s="511"/>
      <c r="Y106" s="511"/>
      <c r="Z106" s="511"/>
      <c r="AA106" s="599"/>
      <c r="AB106" s="511"/>
      <c r="AC106" s="532"/>
      <c r="AD106" s="2791"/>
      <c r="AE106" s="494"/>
      <c r="AF106" s="607"/>
      <c r="AG106" s="465" t="s">
        <v>118</v>
      </c>
      <c r="AH106" s="465"/>
      <c r="AI106" s="465"/>
      <c r="AJ106" s="593"/>
      <c r="AK106" s="593"/>
      <c r="AL106" s="465"/>
      <c r="AM106" s="464"/>
      <c r="AN106" s="2793"/>
      <c r="AO106" s="497"/>
    </row>
    <row r="107" spans="1:41">
      <c r="A107" s="208" t="s">
        <v>702</v>
      </c>
      <c r="B107" s="358"/>
      <c r="C107" s="382"/>
      <c r="D107" s="4469">
        <v>40</v>
      </c>
      <c r="E107" s="4470"/>
      <c r="F107" s="2389"/>
      <c r="G107" s="365"/>
      <c r="H107" s="2349"/>
      <c r="I107" s="371"/>
      <c r="J107" s="377"/>
      <c r="K107" s="382"/>
      <c r="L107" s="360"/>
      <c r="M107" s="104"/>
      <c r="N107" s="4469">
        <v>40</v>
      </c>
      <c r="O107" s="4470"/>
      <c r="P107" s="104"/>
      <c r="Q107" s="104"/>
      <c r="R107" s="2530"/>
      <c r="S107" s="374"/>
      <c r="T107" s="377"/>
      <c r="U107" s="383"/>
      <c r="V107" s="493"/>
      <c r="W107" s="494"/>
      <c r="X107" s="4469">
        <v>40</v>
      </c>
      <c r="Y107" s="4470"/>
      <c r="Z107" s="2795"/>
      <c r="AA107" s="601"/>
      <c r="AB107" s="2795"/>
      <c r="AC107" s="602"/>
      <c r="AD107" s="377"/>
      <c r="AE107" s="494"/>
      <c r="AF107" s="607"/>
      <c r="AG107" s="593"/>
      <c r="AH107" s="4469">
        <v>40</v>
      </c>
      <c r="AI107" s="4470"/>
      <c r="AJ107" s="593"/>
      <c r="AK107" s="593"/>
      <c r="AL107" s="2798"/>
      <c r="AM107" s="610"/>
      <c r="AN107" s="377"/>
      <c r="AO107" s="497"/>
    </row>
    <row r="108" spans="1:41" ht="2.25" customHeight="1">
      <c r="A108" s="209"/>
      <c r="B108" s="358"/>
      <c r="C108" s="382"/>
      <c r="D108" s="199"/>
      <c r="E108" s="2349"/>
      <c r="F108" s="2389"/>
      <c r="G108" s="186"/>
      <c r="H108" s="200"/>
      <c r="I108" s="370"/>
      <c r="J108" s="382"/>
      <c r="K108" s="382"/>
      <c r="L108" s="360"/>
      <c r="M108" s="104"/>
      <c r="N108" s="72"/>
      <c r="O108" s="72"/>
      <c r="P108" s="104"/>
      <c r="Q108" s="104"/>
      <c r="R108" s="65"/>
      <c r="S108" s="373"/>
      <c r="T108" s="96"/>
      <c r="U108" s="383"/>
      <c r="V108" s="493"/>
      <c r="W108" s="494"/>
      <c r="X108" s="525"/>
      <c r="Y108" s="2795"/>
      <c r="Z108" s="2795"/>
      <c r="AA108" s="511"/>
      <c r="AB108" s="526"/>
      <c r="AC108" s="600"/>
      <c r="AD108" s="494"/>
      <c r="AE108" s="494"/>
      <c r="AF108" s="607"/>
      <c r="AG108" s="593"/>
      <c r="AH108" s="476"/>
      <c r="AI108" s="476"/>
      <c r="AJ108" s="593"/>
      <c r="AK108" s="593"/>
      <c r="AL108" s="477"/>
      <c r="AM108" s="609"/>
      <c r="AN108" s="496"/>
      <c r="AO108" s="497"/>
    </row>
    <row r="109" spans="1:41">
      <c r="A109" s="208" t="s">
        <v>631</v>
      </c>
      <c r="B109" s="358"/>
      <c r="C109" s="382"/>
      <c r="D109" s="4473">
        <f>Defaults!$B$81</f>
        <v>75</v>
      </c>
      <c r="E109" s="4474"/>
      <c r="F109" s="2389"/>
      <c r="G109" s="365"/>
      <c r="H109" s="2349"/>
      <c r="I109" s="371"/>
      <c r="J109" s="378"/>
      <c r="K109" s="382"/>
      <c r="L109" s="360"/>
      <c r="M109" s="104"/>
      <c r="N109" s="4457">
        <f>Defaults!$B$81</f>
        <v>75</v>
      </c>
      <c r="O109" s="4458"/>
      <c r="P109" s="104"/>
      <c r="Q109" s="104"/>
      <c r="R109" s="2530"/>
      <c r="S109" s="374"/>
      <c r="T109" s="379"/>
      <c r="U109" s="383"/>
      <c r="V109" s="493"/>
      <c r="W109" s="494"/>
      <c r="X109" s="4518">
        <f>Defaults!$B$81</f>
        <v>75</v>
      </c>
      <c r="Y109" s="4519"/>
      <c r="Z109" s="2795"/>
      <c r="AA109" s="601"/>
      <c r="AB109" s="2795"/>
      <c r="AC109" s="602"/>
      <c r="AD109" s="1021"/>
      <c r="AE109" s="494"/>
      <c r="AF109" s="607"/>
      <c r="AG109" s="593"/>
      <c r="AH109" s="4520">
        <f>Defaults!$B$81</f>
        <v>75</v>
      </c>
      <c r="AI109" s="4521"/>
      <c r="AJ109" s="593"/>
      <c r="AK109" s="593"/>
      <c r="AL109" s="2798"/>
      <c r="AM109" s="610"/>
      <c r="AN109" s="1020"/>
      <c r="AO109" s="497"/>
    </row>
    <row r="110" spans="1:41" ht="5.25" customHeight="1">
      <c r="A110" s="361"/>
      <c r="B110" s="498"/>
      <c r="C110" s="499"/>
      <c r="D110" s="499"/>
      <c r="E110" s="499"/>
      <c r="F110" s="499"/>
      <c r="G110" s="499"/>
      <c r="H110" s="499"/>
      <c r="I110" s="825"/>
      <c r="J110" s="499"/>
      <c r="K110" s="499"/>
      <c r="L110" s="500"/>
      <c r="M110" s="501"/>
      <c r="N110" s="501"/>
      <c r="O110" s="501"/>
      <c r="P110" s="501"/>
      <c r="Q110" s="501"/>
      <c r="R110" s="501"/>
      <c r="S110" s="110"/>
      <c r="T110" s="501"/>
      <c r="U110" s="648"/>
      <c r="V110" s="502"/>
      <c r="W110" s="503"/>
      <c r="X110" s="503"/>
      <c r="Y110" s="503"/>
      <c r="Z110" s="503"/>
      <c r="AA110" s="503"/>
      <c r="AB110" s="503"/>
      <c r="AC110" s="963"/>
      <c r="AD110" s="503"/>
      <c r="AE110" s="503"/>
      <c r="AF110" s="917"/>
      <c r="AG110" s="505"/>
      <c r="AH110" s="505"/>
      <c r="AI110" s="505"/>
      <c r="AJ110" s="505"/>
      <c r="AK110" s="505"/>
      <c r="AL110" s="505"/>
      <c r="AM110" s="968"/>
      <c r="AN110" s="505"/>
      <c r="AO110" s="506"/>
    </row>
    <row r="111" spans="1:41" ht="5.25" customHeight="1">
      <c r="A111" s="368"/>
      <c r="B111" s="357"/>
      <c r="C111" s="366"/>
      <c r="D111" s="366"/>
      <c r="E111" s="366"/>
      <c r="F111" s="366"/>
      <c r="G111" s="366"/>
      <c r="H111" s="366"/>
      <c r="I111" s="369"/>
      <c r="J111" s="366"/>
      <c r="K111" s="366"/>
      <c r="L111" s="359"/>
      <c r="M111" s="126"/>
      <c r="N111" s="126"/>
      <c r="O111" s="126"/>
      <c r="P111" s="126"/>
      <c r="Q111" s="126"/>
      <c r="R111" s="1003"/>
      <c r="S111" s="126"/>
      <c r="T111" s="126"/>
      <c r="U111" s="384"/>
      <c r="V111" s="597"/>
      <c r="W111" s="604"/>
      <c r="X111" s="604"/>
      <c r="Y111" s="604"/>
      <c r="Z111" s="604"/>
      <c r="AA111" s="604"/>
      <c r="AB111" s="604"/>
      <c r="AC111" s="598"/>
      <c r="AD111" s="604"/>
      <c r="AE111" s="604"/>
      <c r="AF111" s="612"/>
      <c r="AG111" s="595"/>
      <c r="AH111" s="595"/>
      <c r="AI111" s="595"/>
      <c r="AJ111" s="595"/>
      <c r="AK111" s="595"/>
      <c r="AL111" s="1026"/>
      <c r="AM111" s="595"/>
      <c r="AN111" s="595"/>
      <c r="AO111" s="614"/>
    </row>
    <row r="112" spans="1:41">
      <c r="A112" s="619" t="s">
        <v>1638</v>
      </c>
      <c r="B112" s="358"/>
      <c r="C112" s="1132"/>
      <c r="D112" s="698"/>
      <c r="E112" s="876"/>
      <c r="F112" s="876"/>
      <c r="G112" s="3366"/>
      <c r="H112" s="876"/>
      <c r="I112" s="878"/>
      <c r="J112" s="380"/>
      <c r="K112" s="1132"/>
      <c r="L112" s="2070"/>
      <c r="M112" s="651"/>
      <c r="N112" s="651"/>
      <c r="O112" s="651"/>
      <c r="P112" s="880"/>
      <c r="Q112" s="3367"/>
      <c r="R112" s="3314"/>
      <c r="S112" s="1159"/>
      <c r="T112" s="381"/>
      <c r="U112" s="1186"/>
      <c r="V112" s="2071"/>
      <c r="W112" s="1070"/>
      <c r="X112" s="732"/>
      <c r="Y112" s="922"/>
      <c r="Z112" s="922"/>
      <c r="AA112" s="3368"/>
      <c r="AB112" s="922"/>
      <c r="AC112" s="924"/>
      <c r="AD112" s="605"/>
      <c r="AE112" s="1070"/>
      <c r="AF112" s="2058"/>
      <c r="AG112" s="770"/>
      <c r="AH112" s="770"/>
      <c r="AI112" s="770"/>
      <c r="AJ112" s="909"/>
      <c r="AK112" s="3369"/>
      <c r="AL112" s="3321"/>
      <c r="AM112" s="1072"/>
      <c r="AN112" s="615"/>
      <c r="AO112" s="497"/>
    </row>
    <row r="113" spans="1:42" ht="2.25" customHeight="1">
      <c r="A113" s="619"/>
      <c r="B113" s="358"/>
      <c r="C113" s="1132"/>
      <c r="D113" s="698"/>
      <c r="E113" s="876"/>
      <c r="F113" s="876"/>
      <c r="G113" s="3366"/>
      <c r="H113" s="876"/>
      <c r="I113" s="878"/>
      <c r="J113" s="380"/>
      <c r="K113" s="1132"/>
      <c r="L113" s="2070"/>
      <c r="M113" s="651"/>
      <c r="N113" s="651"/>
      <c r="O113" s="651"/>
      <c r="P113" s="880"/>
      <c r="Q113" s="3367"/>
      <c r="R113" s="3314"/>
      <c r="S113" s="1159"/>
      <c r="T113" s="381"/>
      <c r="U113" s="1186"/>
      <c r="V113" s="2071"/>
      <c r="W113" s="1070"/>
      <c r="X113" s="732"/>
      <c r="Y113" s="922"/>
      <c r="Z113" s="922"/>
      <c r="AA113" s="3368"/>
      <c r="AB113" s="922"/>
      <c r="AC113" s="924"/>
      <c r="AD113" s="605"/>
      <c r="AE113" s="1070"/>
      <c r="AF113" s="2058"/>
      <c r="AG113" s="770"/>
      <c r="AH113" s="770"/>
      <c r="AI113" s="770"/>
      <c r="AJ113" s="909"/>
      <c r="AK113" s="3369"/>
      <c r="AL113" s="3321"/>
      <c r="AM113" s="1072"/>
      <c r="AN113" s="615"/>
      <c r="AO113" s="497"/>
    </row>
    <row r="114" spans="1:42" ht="12" customHeight="1">
      <c r="A114" s="2380" t="s">
        <v>688</v>
      </c>
      <c r="B114" s="358"/>
      <c r="C114" s="1132"/>
      <c r="D114" s="4534">
        <f>IF(Options!Y4=1,F1_Annual_Heifer_Calves*F1_Market_Value_Heifer_Calf,0)</f>
        <v>43.91720858708544</v>
      </c>
      <c r="E114" s="4535"/>
      <c r="F114" s="319" t="s">
        <v>144</v>
      </c>
      <c r="G114" s="3366"/>
      <c r="H114" s="319"/>
      <c r="I114" s="878"/>
      <c r="J114" s="3370">
        <v>8</v>
      </c>
      <c r="K114" s="3371"/>
      <c r="L114" s="3372"/>
      <c r="M114" s="3373"/>
      <c r="N114" s="4457">
        <f>IF(Options!Z4=1,F2_Annual_Heifer_Calves*F2_Market_Value_Heifer_Calf,0)</f>
        <v>48.864158438989762</v>
      </c>
      <c r="O114" s="4458"/>
      <c r="P114" s="3581" t="s">
        <v>144</v>
      </c>
      <c r="Q114" s="2122"/>
      <c r="R114" s="3373"/>
      <c r="S114" s="1159"/>
      <c r="T114" s="2418">
        <v>8</v>
      </c>
      <c r="U114" s="1186"/>
      <c r="V114" s="2071"/>
      <c r="W114" s="1070"/>
      <c r="X114" s="4528">
        <f>IF(Options!AA4=1,F3_Annual_Heifer_Calves*F3_Market_Value_Heifer_Calf,0)</f>
        <v>70.854507715791513</v>
      </c>
      <c r="Y114" s="4529"/>
      <c r="Z114" s="572" t="s">
        <v>144</v>
      </c>
      <c r="AA114" s="3368"/>
      <c r="AB114" s="572"/>
      <c r="AC114" s="924"/>
      <c r="AD114" s="3374">
        <v>8</v>
      </c>
      <c r="AE114" s="3375"/>
      <c r="AF114" s="3376"/>
      <c r="AG114" s="3377"/>
      <c r="AH114" s="4520">
        <f>IF(Options!AB4=1,F4_Annual_Heifer_Calves*F4_Market_Value_Heifer_Calf,0)</f>
        <v>77.651793107575713</v>
      </c>
      <c r="AI114" s="4521"/>
      <c r="AJ114" s="3580" t="s">
        <v>144</v>
      </c>
      <c r="AK114" s="2059"/>
      <c r="AL114" s="3377"/>
      <c r="AM114" s="1072"/>
      <c r="AN114" s="2850">
        <v>8</v>
      </c>
      <c r="AO114" s="497"/>
      <c r="AP114" s="21"/>
    </row>
    <row r="115" spans="1:42" ht="2.25" customHeight="1">
      <c r="A115" s="619"/>
      <c r="B115" s="358"/>
      <c r="C115" s="1132"/>
      <c r="D115" s="2381"/>
      <c r="E115" s="2121"/>
      <c r="F115" s="876"/>
      <c r="G115" s="3366"/>
      <c r="H115" s="876"/>
      <c r="I115" s="878"/>
      <c r="J115" s="380"/>
      <c r="K115" s="1132"/>
      <c r="L115" s="2070"/>
      <c r="M115" s="2122"/>
      <c r="N115" s="3378"/>
      <c r="O115" s="3379"/>
      <c r="P115" s="880"/>
      <c r="Q115" s="2122"/>
      <c r="R115" s="3373"/>
      <c r="S115" s="1159"/>
      <c r="T115" s="381"/>
      <c r="U115" s="1186"/>
      <c r="V115" s="2071"/>
      <c r="W115" s="1070"/>
      <c r="X115" s="2848"/>
      <c r="Y115" s="2123"/>
      <c r="Z115" s="922"/>
      <c r="AA115" s="3368"/>
      <c r="AB115" s="922"/>
      <c r="AC115" s="924"/>
      <c r="AD115" s="605"/>
      <c r="AE115" s="1070"/>
      <c r="AF115" s="2058"/>
      <c r="AG115" s="2059"/>
      <c r="AH115" s="3380"/>
      <c r="AI115" s="3381"/>
      <c r="AJ115" s="909"/>
      <c r="AK115" s="2059"/>
      <c r="AL115" s="3377"/>
      <c r="AM115" s="1072"/>
      <c r="AN115" s="615"/>
      <c r="AO115" s="497"/>
    </row>
    <row r="116" spans="1:42" ht="12" customHeight="1">
      <c r="A116" s="2380" t="s">
        <v>689</v>
      </c>
      <c r="B116" s="358"/>
      <c r="C116" s="1132"/>
      <c r="D116" s="4534">
        <f>IF(Options!Y4=1,F1_Annual_Bull_Calves*F1_Market_Value_Bull_Calf,0)</f>
        <v>6.8054383070381217</v>
      </c>
      <c r="E116" s="4535"/>
      <c r="F116" s="876" t="s">
        <v>145</v>
      </c>
      <c r="G116" s="3366"/>
      <c r="H116" s="876"/>
      <c r="I116" s="878"/>
      <c r="J116" s="2417">
        <v>8</v>
      </c>
      <c r="K116" s="1132"/>
      <c r="L116" s="2070"/>
      <c r="M116" s="2122"/>
      <c r="N116" s="4457">
        <f>IF(Options!Z4=1,F2_Annual_Bull_Calves*F2_Market_Value_Bull_Calf,0)</f>
        <v>7.5720207722780986</v>
      </c>
      <c r="O116" s="4458"/>
      <c r="P116" s="880" t="s">
        <v>145</v>
      </c>
      <c r="Q116" s="2122"/>
      <c r="R116" s="3373"/>
      <c r="S116" s="1159"/>
      <c r="T116" s="2418">
        <v>8</v>
      </c>
      <c r="U116" s="1186"/>
      <c r="V116" s="2071"/>
      <c r="W116" s="1070"/>
      <c r="X116" s="4528">
        <f>IF(Options!AA4=1,F3_Annual_Bull_Calves*F3_Market_Value_Bull_Calf,0)</f>
        <v>10.979659148399818</v>
      </c>
      <c r="Y116" s="4529"/>
      <c r="Z116" s="922" t="s">
        <v>145</v>
      </c>
      <c r="AA116" s="3368"/>
      <c r="AB116" s="922"/>
      <c r="AC116" s="924"/>
      <c r="AD116" s="3401">
        <v>8</v>
      </c>
      <c r="AE116" s="1070"/>
      <c r="AF116" s="2058"/>
      <c r="AG116" s="2059"/>
      <c r="AH116" s="4520">
        <f>IF(Options!AB4=1,F4_Annual_Bull_Calves*F4_Market_Value_Bull_Calf,0)</f>
        <v>12.032970774465275</v>
      </c>
      <c r="AI116" s="4521"/>
      <c r="AJ116" s="909" t="s">
        <v>145</v>
      </c>
      <c r="AK116" s="2059"/>
      <c r="AL116" s="3377"/>
      <c r="AM116" s="1072"/>
      <c r="AN116" s="2850">
        <v>8</v>
      </c>
      <c r="AO116" s="497"/>
      <c r="AP116" s="2597"/>
    </row>
    <row r="117" spans="1:42" ht="9" customHeight="1">
      <c r="A117" s="220"/>
      <c r="B117" s="358"/>
      <c r="C117" s="1132"/>
      <c r="D117" s="2198"/>
      <c r="E117" s="2121"/>
      <c r="F117" s="1132"/>
      <c r="G117" s="1132"/>
      <c r="H117" s="1132"/>
      <c r="I117" s="3382"/>
      <c r="J117" s="1132"/>
      <c r="K117" s="1132"/>
      <c r="L117" s="2070"/>
      <c r="M117" s="2122"/>
      <c r="N117" s="1159"/>
      <c r="O117" s="1159"/>
      <c r="P117" s="1159"/>
      <c r="Q117" s="2122"/>
      <c r="R117" s="2122"/>
      <c r="S117" s="3383"/>
      <c r="T117" s="1159"/>
      <c r="U117" s="1186"/>
      <c r="V117" s="2071"/>
      <c r="W117" s="1070"/>
      <c r="X117" s="3384"/>
      <c r="Y117" s="2123"/>
      <c r="Z117" s="1070"/>
      <c r="AA117" s="1070"/>
      <c r="AB117" s="1070"/>
      <c r="AC117" s="3385"/>
      <c r="AD117" s="1070"/>
      <c r="AE117" s="1070"/>
      <c r="AF117" s="2058"/>
      <c r="AG117" s="2059"/>
      <c r="AH117" s="1072"/>
      <c r="AI117" s="1072"/>
      <c r="AJ117" s="1072"/>
      <c r="AK117" s="2059"/>
      <c r="AL117" s="2059"/>
      <c r="AM117" s="3386"/>
      <c r="AN117" s="1072"/>
      <c r="AO117" s="497"/>
    </row>
    <row r="118" spans="1:42">
      <c r="A118" s="3637" t="s">
        <v>1187</v>
      </c>
      <c r="B118" s="358"/>
      <c r="C118" s="1132"/>
      <c r="D118" s="4536">
        <f>D114+D116</f>
        <v>50.722646894123564</v>
      </c>
      <c r="E118" s="4537"/>
      <c r="F118" s="876" t="s">
        <v>143</v>
      </c>
      <c r="G118" s="1132"/>
      <c r="H118" s="876"/>
      <c r="I118" s="878"/>
      <c r="J118" s="380"/>
      <c r="K118" s="1132"/>
      <c r="L118" s="2070"/>
      <c r="M118" s="2122"/>
      <c r="N118" s="4459">
        <f>N114+N116</f>
        <v>56.436179211267863</v>
      </c>
      <c r="O118" s="4460"/>
      <c r="P118" s="880" t="s">
        <v>143</v>
      </c>
      <c r="Q118" s="2122"/>
      <c r="R118" s="2122"/>
      <c r="S118" s="3383"/>
      <c r="T118" s="381"/>
      <c r="U118" s="1186"/>
      <c r="V118" s="2071"/>
      <c r="W118" s="1070"/>
      <c r="X118" s="4461">
        <f>X114+X116</f>
        <v>81.834166864191332</v>
      </c>
      <c r="Y118" s="4462"/>
      <c r="Z118" s="922" t="s">
        <v>143</v>
      </c>
      <c r="AA118" s="1070"/>
      <c r="AB118" s="922"/>
      <c r="AC118" s="924"/>
      <c r="AD118" s="605"/>
      <c r="AE118" s="1070"/>
      <c r="AF118" s="2058"/>
      <c r="AG118" s="2059"/>
      <c r="AH118" s="4463">
        <f>AH114+AH116</f>
        <v>89.684763882040983</v>
      </c>
      <c r="AI118" s="4464"/>
      <c r="AJ118" s="909" t="s">
        <v>143</v>
      </c>
      <c r="AK118" s="2059"/>
      <c r="AL118" s="2059"/>
      <c r="AM118" s="3386"/>
      <c r="AN118" s="615"/>
      <c r="AO118" s="497"/>
    </row>
    <row r="119" spans="1:42" ht="5.25" customHeight="1">
      <c r="A119" s="361"/>
      <c r="B119" s="498"/>
      <c r="C119" s="899"/>
      <c r="D119" s="899"/>
      <c r="E119" s="899"/>
      <c r="F119" s="899"/>
      <c r="G119" s="899"/>
      <c r="H119" s="899"/>
      <c r="I119" s="3387"/>
      <c r="J119" s="899"/>
      <c r="K119" s="899"/>
      <c r="L119" s="903"/>
      <c r="M119" s="906"/>
      <c r="N119" s="906"/>
      <c r="O119" s="906"/>
      <c r="P119" s="906"/>
      <c r="Q119" s="906"/>
      <c r="R119" s="906"/>
      <c r="S119" s="3388"/>
      <c r="T119" s="906"/>
      <c r="U119" s="908"/>
      <c r="V119" s="2083"/>
      <c r="W119" s="932"/>
      <c r="X119" s="932"/>
      <c r="Y119" s="932"/>
      <c r="Z119" s="932"/>
      <c r="AA119" s="932"/>
      <c r="AB119" s="932"/>
      <c r="AC119" s="3389"/>
      <c r="AD119" s="932"/>
      <c r="AE119" s="932"/>
      <c r="AF119" s="944"/>
      <c r="AG119" s="918"/>
      <c r="AH119" s="918"/>
      <c r="AI119" s="918"/>
      <c r="AJ119" s="918"/>
      <c r="AK119" s="918"/>
      <c r="AL119" s="918"/>
      <c r="AM119" s="3390"/>
      <c r="AN119" s="918"/>
      <c r="AO119" s="506"/>
    </row>
    <row r="120" spans="1:42" s="6" customFormat="1" ht="9" customHeight="1">
      <c r="A120" s="209"/>
      <c r="B120" s="358"/>
      <c r="C120" s="1132"/>
      <c r="D120" s="1132"/>
      <c r="E120" s="1132"/>
      <c r="F120" s="1132"/>
      <c r="G120" s="1132"/>
      <c r="H120" s="1132"/>
      <c r="I120" s="3382"/>
      <c r="J120" s="1132"/>
      <c r="K120" s="1132"/>
      <c r="L120" s="2070"/>
      <c r="M120" s="1159"/>
      <c r="N120" s="1159"/>
      <c r="O120" s="1159"/>
      <c r="P120" s="1159"/>
      <c r="Q120" s="1159"/>
      <c r="R120" s="1159"/>
      <c r="S120" s="3383"/>
      <c r="T120" s="1159"/>
      <c r="U120" s="1186"/>
      <c r="V120" s="2071"/>
      <c r="W120" s="1070"/>
      <c r="X120" s="1070"/>
      <c r="Y120" s="1070"/>
      <c r="Z120" s="1070"/>
      <c r="AA120" s="1070"/>
      <c r="AB120" s="1070"/>
      <c r="AC120" s="3385"/>
      <c r="AD120" s="1070"/>
      <c r="AE120" s="1070"/>
      <c r="AF120" s="2058"/>
      <c r="AG120" s="1072"/>
      <c r="AH120" s="1072"/>
      <c r="AI120" s="1072"/>
      <c r="AJ120" s="1072"/>
      <c r="AK120" s="1072"/>
      <c r="AL120" s="1072"/>
      <c r="AM120" s="3386"/>
      <c r="AN120" s="1072"/>
      <c r="AO120" s="497"/>
    </row>
    <row r="121" spans="1:42" s="20" customFormat="1" ht="12.75" customHeight="1">
      <c r="A121" s="3128" t="s">
        <v>959</v>
      </c>
      <c r="B121" s="2383"/>
      <c r="C121" s="1139"/>
      <c r="D121" s="4467">
        <f>F1_Revenue_from_Unadjusted_Milk_year_of_life_lb+F1_Revenue_from_Meat_year_of_life+F1_Revenue_from_Calf_Sales_year_of_life</f>
        <v>2074.6460589495086</v>
      </c>
      <c r="E121" s="4468"/>
      <c r="F121" s="1139"/>
      <c r="G121" s="1139"/>
      <c r="H121" s="1139"/>
      <c r="I121" s="3391"/>
      <c r="J121" s="3392"/>
      <c r="K121" s="1139"/>
      <c r="L121" s="3393"/>
      <c r="M121" s="3394"/>
      <c r="N121" s="4532">
        <f>F2_Milk_Unadjusted_Revenue_year_of_life_lb+F2_Revenue_from_Meat_year_of_life+F2_Revenue_from_Calf_Sales_year_of_life</f>
        <v>1938.8970882868741</v>
      </c>
      <c r="O121" s="4533"/>
      <c r="P121" s="1166"/>
      <c r="Q121" s="3394"/>
      <c r="R121" s="3394"/>
      <c r="S121" s="3395"/>
      <c r="T121" s="381"/>
      <c r="U121" s="1187"/>
      <c r="V121" s="3396"/>
      <c r="W121" s="1323"/>
      <c r="X121" s="4465">
        <f>F3_Revenue_from_Unadjusted_Milk_year_of_life_lb+F3_Revenue_from_Meat_year_of_life+F3_Revenue_from_Calf_Sales_year_of_life</f>
        <v>3533.2630757475663</v>
      </c>
      <c r="Y121" s="4466"/>
      <c r="Z121" s="1323"/>
      <c r="AA121" s="1323"/>
      <c r="AB121" s="1323"/>
      <c r="AC121" s="3397"/>
      <c r="AD121" s="605"/>
      <c r="AE121" s="1323"/>
      <c r="AF121" s="3398"/>
      <c r="AG121" s="3399"/>
      <c r="AH121" s="4526">
        <f>F4_Revenue_from_Unadjusted_Milk_year_of_life_lb+F4_Revenue_from_Meat_year_of_Life+F4_Revenue_from_Calf_Sales_year_of_Life</f>
        <v>3002.2176107323858</v>
      </c>
      <c r="AI121" s="4527"/>
      <c r="AJ121" s="1349"/>
      <c r="AK121" s="3399"/>
      <c r="AL121" s="3399"/>
      <c r="AM121" s="3400"/>
      <c r="AN121" s="615"/>
      <c r="AO121" s="2055"/>
    </row>
    <row r="122" spans="1:42" ht="9" customHeight="1" thickBot="1">
      <c r="A122" s="1570"/>
      <c r="B122" s="358"/>
      <c r="C122" s="382"/>
      <c r="D122" s="382"/>
      <c r="E122" s="382"/>
      <c r="F122" s="382"/>
      <c r="G122" s="382"/>
      <c r="H122" s="382"/>
      <c r="I122" s="372"/>
      <c r="J122" s="382"/>
      <c r="K122" s="382"/>
      <c r="L122" s="360"/>
      <c r="M122" s="96"/>
      <c r="N122" s="96"/>
      <c r="O122" s="96"/>
      <c r="P122" s="96"/>
      <c r="Q122" s="96"/>
      <c r="R122" s="96"/>
      <c r="S122" s="109"/>
      <c r="T122" s="96"/>
      <c r="U122" s="383"/>
      <c r="V122" s="493"/>
      <c r="W122" s="494"/>
      <c r="X122" s="494"/>
      <c r="Y122" s="494"/>
      <c r="Z122" s="494"/>
      <c r="AA122" s="494"/>
      <c r="AB122" s="494"/>
      <c r="AC122" s="603"/>
      <c r="AD122" s="494"/>
      <c r="AE122" s="494"/>
      <c r="AF122" s="607"/>
      <c r="AG122" s="496"/>
      <c r="AH122" s="496"/>
      <c r="AI122" s="496"/>
      <c r="AJ122" s="496"/>
      <c r="AK122" s="496"/>
      <c r="AL122" s="496"/>
      <c r="AM122" s="611"/>
      <c r="AN122" s="496"/>
      <c r="AO122" s="497"/>
    </row>
    <row r="123" spans="1:42" ht="30" customHeight="1">
      <c r="A123" s="4445" t="s">
        <v>20</v>
      </c>
      <c r="B123" s="4446"/>
      <c r="C123" s="4446"/>
      <c r="D123" s="4446"/>
      <c r="E123" s="4446"/>
      <c r="F123" s="4446"/>
      <c r="G123" s="4446"/>
      <c r="H123" s="4446"/>
      <c r="I123" s="4446"/>
      <c r="J123" s="4446"/>
      <c r="K123" s="4446"/>
      <c r="L123" s="4446"/>
      <c r="M123" s="4446"/>
      <c r="N123" s="4446"/>
      <c r="O123" s="4446"/>
      <c r="P123" s="4446"/>
      <c r="Q123" s="4446"/>
      <c r="R123" s="4446"/>
      <c r="S123" s="4446"/>
      <c r="T123" s="4446"/>
      <c r="U123" s="4446"/>
      <c r="V123" s="4446"/>
      <c r="W123" s="4446"/>
      <c r="X123" s="4446"/>
      <c r="Y123" s="4446"/>
      <c r="Z123" s="4446"/>
      <c r="AA123" s="4446"/>
      <c r="AB123" s="4446"/>
      <c r="AC123" s="4446"/>
      <c r="AD123" s="4446"/>
      <c r="AE123" s="4446"/>
      <c r="AF123" s="4446"/>
      <c r="AG123" s="4446"/>
      <c r="AH123" s="4446"/>
      <c r="AI123" s="4446"/>
      <c r="AJ123" s="4446"/>
      <c r="AK123" s="4446"/>
      <c r="AL123" s="4446"/>
      <c r="AM123" s="4446"/>
      <c r="AN123" s="4446"/>
      <c r="AO123" s="4447"/>
    </row>
    <row r="124" spans="1:42">
      <c r="A124" s="4432" t="s">
        <v>146</v>
      </c>
      <c r="B124" s="4433"/>
      <c r="C124" s="4433"/>
      <c r="D124" s="4433"/>
      <c r="E124" s="4433"/>
      <c r="F124" s="4433"/>
      <c r="G124" s="4433"/>
      <c r="H124" s="4433"/>
      <c r="I124" s="4433"/>
      <c r="J124" s="4433"/>
      <c r="K124" s="4433"/>
      <c r="L124" s="4433"/>
      <c r="M124" s="4433"/>
      <c r="N124" s="4433"/>
      <c r="O124" s="4433"/>
      <c r="P124" s="4433"/>
      <c r="Q124" s="4433"/>
      <c r="R124" s="4433"/>
      <c r="S124" s="4433"/>
      <c r="T124" s="4433"/>
      <c r="U124" s="4433"/>
      <c r="V124" s="4433"/>
      <c r="W124" s="4433"/>
      <c r="X124" s="4433"/>
      <c r="Y124" s="4433"/>
      <c r="Z124" s="4433"/>
      <c r="AA124" s="4433"/>
      <c r="AB124" s="4433"/>
      <c r="AC124" s="4433"/>
      <c r="AD124" s="4433"/>
      <c r="AE124" s="4433"/>
      <c r="AF124" s="4433"/>
      <c r="AG124" s="4433"/>
      <c r="AH124" s="4433"/>
      <c r="AI124" s="4433"/>
      <c r="AJ124" s="4433"/>
      <c r="AK124" s="4433"/>
      <c r="AL124" s="4433"/>
      <c r="AM124" s="4433"/>
      <c r="AN124" s="4433"/>
      <c r="AO124" s="4434"/>
    </row>
    <row r="125" spans="1:42">
      <c r="A125" s="4448" t="s">
        <v>147</v>
      </c>
      <c r="B125" s="4449"/>
      <c r="C125" s="4449"/>
      <c r="D125" s="4449"/>
      <c r="E125" s="4449"/>
      <c r="F125" s="4449"/>
      <c r="G125" s="4449"/>
      <c r="H125" s="4449"/>
      <c r="I125" s="4449"/>
      <c r="J125" s="4449"/>
      <c r="K125" s="4449"/>
      <c r="L125" s="4449"/>
      <c r="M125" s="4449"/>
      <c r="N125" s="4449"/>
      <c r="O125" s="4449"/>
      <c r="P125" s="4449"/>
      <c r="Q125" s="4449"/>
      <c r="R125" s="4449"/>
      <c r="S125" s="4449"/>
      <c r="T125" s="4449"/>
      <c r="U125" s="4449"/>
      <c r="V125" s="4449"/>
      <c r="W125" s="4449"/>
      <c r="X125" s="4449"/>
      <c r="Y125" s="4449"/>
      <c r="Z125" s="4449"/>
      <c r="AA125" s="4449"/>
      <c r="AB125" s="4449"/>
      <c r="AC125" s="4449"/>
      <c r="AD125" s="4449"/>
      <c r="AE125" s="4449"/>
      <c r="AF125" s="4449"/>
      <c r="AG125" s="4449"/>
      <c r="AH125" s="4449"/>
      <c r="AI125" s="4449"/>
      <c r="AJ125" s="4449"/>
      <c r="AK125" s="4449"/>
      <c r="AL125" s="4449"/>
      <c r="AM125" s="4449"/>
      <c r="AN125" s="4449"/>
      <c r="AO125" s="4450"/>
    </row>
    <row r="126" spans="1:42">
      <c r="A126" s="4432" t="s">
        <v>148</v>
      </c>
      <c r="B126" s="4433"/>
      <c r="C126" s="4433"/>
      <c r="D126" s="4433"/>
      <c r="E126" s="4433"/>
      <c r="F126" s="4433"/>
      <c r="G126" s="4433"/>
      <c r="H126" s="4433"/>
      <c r="I126" s="4433"/>
      <c r="J126" s="4433"/>
      <c r="K126" s="4433"/>
      <c r="L126" s="4433"/>
      <c r="M126" s="4433"/>
      <c r="N126" s="4433"/>
      <c r="O126" s="4433"/>
      <c r="P126" s="4433"/>
      <c r="Q126" s="4433"/>
      <c r="R126" s="4433"/>
      <c r="S126" s="4433"/>
      <c r="T126" s="4433"/>
      <c r="U126" s="4433"/>
      <c r="V126" s="4433"/>
      <c r="W126" s="4433"/>
      <c r="X126" s="4433"/>
      <c r="Y126" s="4433"/>
      <c r="Z126" s="4433"/>
      <c r="AA126" s="4433"/>
      <c r="AB126" s="4433"/>
      <c r="AC126" s="4433"/>
      <c r="AD126" s="4433"/>
      <c r="AE126" s="4433"/>
      <c r="AF126" s="4433"/>
      <c r="AG126" s="4433"/>
      <c r="AH126" s="4433"/>
      <c r="AI126" s="4433"/>
      <c r="AJ126" s="4433"/>
      <c r="AK126" s="4433"/>
      <c r="AL126" s="4433"/>
      <c r="AM126" s="4433"/>
      <c r="AN126" s="4433"/>
      <c r="AO126" s="4434"/>
    </row>
    <row r="127" spans="1:42">
      <c r="A127" s="4448" t="s">
        <v>1190</v>
      </c>
      <c r="B127" s="4449"/>
      <c r="C127" s="4449"/>
      <c r="D127" s="4449"/>
      <c r="E127" s="4449"/>
      <c r="F127" s="4449"/>
      <c r="G127" s="4449"/>
      <c r="H127" s="4449"/>
      <c r="I127" s="4449"/>
      <c r="J127" s="4449"/>
      <c r="K127" s="4449"/>
      <c r="L127" s="4449"/>
      <c r="M127" s="4449"/>
      <c r="N127" s="4449"/>
      <c r="O127" s="4449"/>
      <c r="P127" s="4449"/>
      <c r="Q127" s="4449"/>
      <c r="R127" s="4449"/>
      <c r="S127" s="4449"/>
      <c r="T127" s="4449"/>
      <c r="U127" s="4449"/>
      <c r="V127" s="4449"/>
      <c r="W127" s="4449"/>
      <c r="X127" s="4449"/>
      <c r="Y127" s="4449"/>
      <c r="Z127" s="4449"/>
      <c r="AA127" s="4449"/>
      <c r="AB127" s="4449"/>
      <c r="AC127" s="4449"/>
      <c r="AD127" s="4449"/>
      <c r="AE127" s="4449"/>
      <c r="AF127" s="4449"/>
      <c r="AG127" s="4449"/>
      <c r="AH127" s="4449"/>
      <c r="AI127" s="4449"/>
      <c r="AJ127" s="4449"/>
      <c r="AK127" s="4449"/>
      <c r="AL127" s="4449"/>
      <c r="AM127" s="4449"/>
      <c r="AN127" s="4449"/>
      <c r="AO127" s="4450"/>
    </row>
    <row r="128" spans="1:42">
      <c r="A128" s="4432" t="s">
        <v>1494</v>
      </c>
      <c r="B128" s="4433"/>
      <c r="C128" s="4433"/>
      <c r="D128" s="4433"/>
      <c r="E128" s="4433"/>
      <c r="F128" s="4433"/>
      <c r="G128" s="4433"/>
      <c r="H128" s="4433"/>
      <c r="I128" s="4433"/>
      <c r="J128" s="4433"/>
      <c r="K128" s="4433"/>
      <c r="L128" s="4433"/>
      <c r="M128" s="4433"/>
      <c r="N128" s="4433"/>
      <c r="O128" s="4433"/>
      <c r="P128" s="4433"/>
      <c r="Q128" s="4433"/>
      <c r="R128" s="4433"/>
      <c r="S128" s="4433"/>
      <c r="T128" s="4433"/>
      <c r="U128" s="4433"/>
      <c r="V128" s="4433"/>
      <c r="W128" s="4433"/>
      <c r="X128" s="4433"/>
      <c r="Y128" s="4433"/>
      <c r="Z128" s="4433"/>
      <c r="AA128" s="4433"/>
      <c r="AB128" s="4433"/>
      <c r="AC128" s="4433"/>
      <c r="AD128" s="4433"/>
      <c r="AE128" s="4433"/>
      <c r="AF128" s="4433"/>
      <c r="AG128" s="4433"/>
      <c r="AH128" s="4433"/>
      <c r="AI128" s="4433"/>
      <c r="AJ128" s="4433"/>
      <c r="AK128" s="4433"/>
      <c r="AL128" s="4433"/>
      <c r="AM128" s="4433"/>
      <c r="AN128" s="4433"/>
      <c r="AO128" s="4434"/>
    </row>
    <row r="129" spans="1:41">
      <c r="A129" s="4432" t="s">
        <v>1495</v>
      </c>
      <c r="B129" s="4433"/>
      <c r="C129" s="4433"/>
      <c r="D129" s="4433"/>
      <c r="E129" s="4433"/>
      <c r="F129" s="4433"/>
      <c r="G129" s="4433"/>
      <c r="H129" s="4433"/>
      <c r="I129" s="4433"/>
      <c r="J129" s="4433"/>
      <c r="K129" s="4433"/>
      <c r="L129" s="4433"/>
      <c r="M129" s="4433"/>
      <c r="N129" s="4433"/>
      <c r="O129" s="4433"/>
      <c r="P129" s="4433"/>
      <c r="Q129" s="4433"/>
      <c r="R129" s="4433"/>
      <c r="S129" s="4433"/>
      <c r="T129" s="4433"/>
      <c r="U129" s="4433"/>
      <c r="V129" s="4433"/>
      <c r="W129" s="4433"/>
      <c r="X129" s="4433"/>
      <c r="Y129" s="4433"/>
      <c r="Z129" s="4433"/>
      <c r="AA129" s="4433"/>
      <c r="AB129" s="4433"/>
      <c r="AC129" s="4433"/>
      <c r="AD129" s="4433"/>
      <c r="AE129" s="4433"/>
      <c r="AF129" s="4433"/>
      <c r="AG129" s="4433"/>
      <c r="AH129" s="4433"/>
      <c r="AI129" s="4433"/>
      <c r="AJ129" s="4433"/>
      <c r="AK129" s="4433"/>
      <c r="AL129" s="4433"/>
      <c r="AM129" s="4433"/>
      <c r="AN129" s="4433"/>
      <c r="AO129" s="4434"/>
    </row>
    <row r="130" spans="1:41">
      <c r="A130" s="4432" t="s">
        <v>998</v>
      </c>
      <c r="B130" s="4433"/>
      <c r="C130" s="4433"/>
      <c r="D130" s="4433"/>
      <c r="E130" s="4433"/>
      <c r="F130" s="4433"/>
      <c r="G130" s="4433"/>
      <c r="H130" s="4433"/>
      <c r="I130" s="4433"/>
      <c r="J130" s="4433"/>
      <c r="K130" s="4433"/>
      <c r="L130" s="4433"/>
      <c r="M130" s="4433"/>
      <c r="N130" s="4433"/>
      <c r="O130" s="4433"/>
      <c r="P130" s="4433"/>
      <c r="Q130" s="4433"/>
      <c r="R130" s="4433"/>
      <c r="S130" s="4433"/>
      <c r="T130" s="4433"/>
      <c r="U130" s="4433"/>
      <c r="V130" s="4433"/>
      <c r="W130" s="4433"/>
      <c r="X130" s="4433"/>
      <c r="Y130" s="4433"/>
      <c r="Z130" s="4433"/>
      <c r="AA130" s="4433"/>
      <c r="AB130" s="4433"/>
      <c r="AC130" s="4433"/>
      <c r="AD130" s="4433"/>
      <c r="AE130" s="4433"/>
      <c r="AF130" s="4433"/>
      <c r="AG130" s="4433"/>
      <c r="AH130" s="4433"/>
      <c r="AI130" s="4433"/>
      <c r="AJ130" s="4433"/>
      <c r="AK130" s="4433"/>
      <c r="AL130" s="4433"/>
      <c r="AM130" s="4433"/>
      <c r="AN130" s="4433"/>
      <c r="AO130" s="4434"/>
    </row>
    <row r="131" spans="1:41">
      <c r="A131" s="4432" t="s">
        <v>999</v>
      </c>
      <c r="B131" s="4433"/>
      <c r="C131" s="4433"/>
      <c r="D131" s="4433"/>
      <c r="E131" s="4433"/>
      <c r="F131" s="4433"/>
      <c r="G131" s="4433"/>
      <c r="H131" s="4433"/>
      <c r="I131" s="4433"/>
      <c r="J131" s="4433"/>
      <c r="K131" s="4433"/>
      <c r="L131" s="4433"/>
      <c r="M131" s="4433"/>
      <c r="N131" s="4433"/>
      <c r="O131" s="4433"/>
      <c r="P131" s="4433"/>
      <c r="Q131" s="4433"/>
      <c r="R131" s="4433"/>
      <c r="S131" s="4433"/>
      <c r="T131" s="4433"/>
      <c r="U131" s="4433"/>
      <c r="V131" s="4433"/>
      <c r="W131" s="4433"/>
      <c r="X131" s="4433"/>
      <c r="Y131" s="4433"/>
      <c r="Z131" s="4433"/>
      <c r="AA131" s="4433"/>
      <c r="AB131" s="4433"/>
      <c r="AC131" s="4433"/>
      <c r="AD131" s="4433"/>
      <c r="AE131" s="4433"/>
      <c r="AF131" s="4433"/>
      <c r="AG131" s="4433"/>
      <c r="AH131" s="4433"/>
      <c r="AI131" s="4433"/>
      <c r="AJ131" s="4433"/>
      <c r="AK131" s="4433"/>
      <c r="AL131" s="4433"/>
      <c r="AM131" s="4433"/>
      <c r="AN131" s="4433"/>
      <c r="AO131" s="4434"/>
    </row>
    <row r="132" spans="1:41">
      <c r="A132" s="4435" t="s">
        <v>1534</v>
      </c>
      <c r="B132" s="4436"/>
      <c r="C132" s="4436"/>
      <c r="D132" s="4436"/>
      <c r="E132" s="4436"/>
      <c r="F132" s="4436"/>
      <c r="G132" s="4436"/>
      <c r="H132" s="4436"/>
      <c r="I132" s="4436"/>
      <c r="J132" s="4436"/>
      <c r="K132" s="4436"/>
      <c r="L132" s="4436"/>
      <c r="M132" s="4436"/>
      <c r="N132" s="4436"/>
      <c r="O132" s="4436"/>
      <c r="P132" s="4436"/>
      <c r="Q132" s="4436"/>
      <c r="R132" s="4436"/>
      <c r="S132" s="4436"/>
      <c r="T132" s="4436"/>
      <c r="U132" s="4436"/>
      <c r="V132" s="4436"/>
      <c r="W132" s="4436"/>
      <c r="X132" s="4436"/>
      <c r="Y132" s="4436"/>
      <c r="Z132" s="4436"/>
      <c r="AA132" s="4436"/>
      <c r="AB132" s="4436"/>
      <c r="AC132" s="4436"/>
      <c r="AD132" s="4436"/>
      <c r="AE132" s="4436"/>
      <c r="AF132" s="4436"/>
      <c r="AG132" s="4436"/>
      <c r="AH132" s="4436"/>
      <c r="AI132" s="4436"/>
      <c r="AJ132" s="4436"/>
      <c r="AK132" s="4436"/>
      <c r="AL132" s="4436"/>
      <c r="AM132" s="4436"/>
      <c r="AN132" s="4436"/>
      <c r="AO132" s="4437"/>
    </row>
    <row r="133" spans="1:41">
      <c r="A133" s="4435" t="s">
        <v>577</v>
      </c>
      <c r="B133" s="4436"/>
      <c r="C133" s="4436"/>
      <c r="D133" s="4436"/>
      <c r="E133" s="4436"/>
      <c r="F133" s="4436"/>
      <c r="G133" s="4436"/>
      <c r="H133" s="4436"/>
      <c r="I133" s="4436"/>
      <c r="J133" s="4436"/>
      <c r="K133" s="4436"/>
      <c r="L133" s="4436"/>
      <c r="M133" s="4436"/>
      <c r="N133" s="4436"/>
      <c r="O133" s="4436"/>
      <c r="P133" s="4436"/>
      <c r="Q133" s="4436"/>
      <c r="R133" s="4436"/>
      <c r="S133" s="4436"/>
      <c r="T133" s="4436"/>
      <c r="U133" s="4436"/>
      <c r="V133" s="4436"/>
      <c r="W133" s="4436"/>
      <c r="X133" s="4436"/>
      <c r="Y133" s="4436"/>
      <c r="Z133" s="4436"/>
      <c r="AA133" s="4436"/>
      <c r="AB133" s="4436"/>
      <c r="AC133" s="4436"/>
      <c r="AD133" s="4436"/>
      <c r="AE133" s="4436"/>
      <c r="AF133" s="4436"/>
      <c r="AG133" s="4436"/>
      <c r="AH133" s="4436"/>
      <c r="AI133" s="4436"/>
      <c r="AJ133" s="4436"/>
      <c r="AK133" s="4436"/>
      <c r="AL133" s="4436"/>
      <c r="AM133" s="4436"/>
      <c r="AN133" s="4436"/>
      <c r="AO133" s="4437"/>
    </row>
    <row r="134" spans="1:41">
      <c r="A134" s="4435" t="s">
        <v>825</v>
      </c>
      <c r="B134" s="4436"/>
      <c r="C134" s="4436"/>
      <c r="D134" s="4436"/>
      <c r="E134" s="4436"/>
      <c r="F134" s="4436"/>
      <c r="G134" s="4436"/>
      <c r="H134" s="4436"/>
      <c r="I134" s="4436"/>
      <c r="J134" s="4436"/>
      <c r="K134" s="4436"/>
      <c r="L134" s="4436"/>
      <c r="M134" s="4436"/>
      <c r="N134" s="4436"/>
      <c r="O134" s="4436"/>
      <c r="P134" s="4436"/>
      <c r="Q134" s="4436"/>
      <c r="R134" s="4436"/>
      <c r="S134" s="4436"/>
      <c r="T134" s="4436"/>
      <c r="U134" s="4436"/>
      <c r="V134" s="4436"/>
      <c r="W134" s="4436"/>
      <c r="X134" s="4436"/>
      <c r="Y134" s="4436"/>
      <c r="Z134" s="4436"/>
      <c r="AA134" s="4436"/>
      <c r="AB134" s="4436"/>
      <c r="AC134" s="4436"/>
      <c r="AD134" s="4436"/>
      <c r="AE134" s="4436"/>
      <c r="AF134" s="4436"/>
      <c r="AG134" s="4436"/>
      <c r="AH134" s="4436"/>
      <c r="AI134" s="4436"/>
      <c r="AJ134" s="4436"/>
      <c r="AK134" s="4436"/>
      <c r="AL134" s="4436"/>
      <c r="AM134" s="4436"/>
      <c r="AN134" s="4436"/>
      <c r="AO134" s="4437"/>
    </row>
    <row r="135" spans="1:41" ht="13.5" thickBot="1">
      <c r="A135" s="4438" t="s">
        <v>826</v>
      </c>
      <c r="B135" s="4439"/>
      <c r="C135" s="4439"/>
      <c r="D135" s="4439"/>
      <c r="E135" s="4439"/>
      <c r="F135" s="4439"/>
      <c r="G135" s="4439"/>
      <c r="H135" s="4439"/>
      <c r="I135" s="4439"/>
      <c r="J135" s="4439"/>
      <c r="K135" s="4439"/>
      <c r="L135" s="4439"/>
      <c r="M135" s="4439"/>
      <c r="N135" s="4439"/>
      <c r="O135" s="4439"/>
      <c r="P135" s="4439"/>
      <c r="Q135" s="4439"/>
      <c r="R135" s="4439"/>
      <c r="S135" s="4439"/>
      <c r="T135" s="4439"/>
      <c r="U135" s="4439"/>
      <c r="V135" s="4439"/>
      <c r="W135" s="4439"/>
      <c r="X135" s="4439"/>
      <c r="Y135" s="4439"/>
      <c r="Z135" s="4439"/>
      <c r="AA135" s="4439"/>
      <c r="AB135" s="4439"/>
      <c r="AC135" s="4439"/>
      <c r="AD135" s="4439"/>
      <c r="AE135" s="4439"/>
      <c r="AF135" s="4439"/>
      <c r="AG135" s="4439"/>
      <c r="AH135" s="4439"/>
      <c r="AI135" s="4439"/>
      <c r="AJ135" s="4439"/>
      <c r="AK135" s="4439"/>
      <c r="AL135" s="4439"/>
      <c r="AM135" s="4439"/>
      <c r="AN135" s="4439"/>
      <c r="AO135" s="4440"/>
    </row>
  </sheetData>
  <sheetProtection password="E0BE" sheet="1" objects="1" scenarios="1"/>
  <mergeCells count="174">
    <mergeCell ref="A1:AO1"/>
    <mergeCell ref="A2:AO2"/>
    <mergeCell ref="A5:AO5"/>
    <mergeCell ref="A23:AO23"/>
    <mergeCell ref="A56:AO56"/>
    <mergeCell ref="AG29:AH29"/>
    <mergeCell ref="M42:N42"/>
    <mergeCell ref="M47:N47"/>
    <mergeCell ref="W31:X31"/>
    <mergeCell ref="C9:D9"/>
    <mergeCell ref="C11:D11"/>
    <mergeCell ref="C14:D14"/>
    <mergeCell ref="C19:D19"/>
    <mergeCell ref="W42:X42"/>
    <mergeCell ref="AG42:AH42"/>
    <mergeCell ref="W43:X43"/>
    <mergeCell ref="W47:X47"/>
    <mergeCell ref="AG47:AH47"/>
    <mergeCell ref="C21:D21"/>
    <mergeCell ref="C27:D27"/>
    <mergeCell ref="C29:D29"/>
    <mergeCell ref="C31:D31"/>
    <mergeCell ref="AG31:AH31"/>
    <mergeCell ref="W38:X38"/>
    <mergeCell ref="X109:Y109"/>
    <mergeCell ref="AH109:AI109"/>
    <mergeCell ref="X114:Y114"/>
    <mergeCell ref="AH114:AI114"/>
    <mergeCell ref="X101:Y101"/>
    <mergeCell ref="AH101:AI101"/>
    <mergeCell ref="X103:Y103"/>
    <mergeCell ref="AH103:AI103"/>
    <mergeCell ref="X107:Y107"/>
    <mergeCell ref="AH107:AI107"/>
    <mergeCell ref="X92:Y92"/>
    <mergeCell ref="AH92:AI92"/>
    <mergeCell ref="X94:Y94"/>
    <mergeCell ref="X84:Y84"/>
    <mergeCell ref="AH84:AI84"/>
    <mergeCell ref="X86:Y86"/>
    <mergeCell ref="AH86:AI86"/>
    <mergeCell ref="X90:Y90"/>
    <mergeCell ref="AH90:AI90"/>
    <mergeCell ref="AH121:AI121"/>
    <mergeCell ref="X116:Y116"/>
    <mergeCell ref="AH116:AI116"/>
    <mergeCell ref="W68:X68"/>
    <mergeCell ref="AG68:AH68"/>
    <mergeCell ref="X78:Y78"/>
    <mergeCell ref="AH78:AI78"/>
    <mergeCell ref="X80:Y80"/>
    <mergeCell ref="AH80:AI80"/>
    <mergeCell ref="A98:AO98"/>
    <mergeCell ref="D109:E109"/>
    <mergeCell ref="D78:E78"/>
    <mergeCell ref="D80:E80"/>
    <mergeCell ref="D90:E90"/>
    <mergeCell ref="D92:E92"/>
    <mergeCell ref="D94:E94"/>
    <mergeCell ref="D86:E86"/>
    <mergeCell ref="N86:O86"/>
    <mergeCell ref="N121:O121"/>
    <mergeCell ref="N109:O109"/>
    <mergeCell ref="N114:O114"/>
    <mergeCell ref="D114:E114"/>
    <mergeCell ref="D116:E116"/>
    <mergeCell ref="D118:E118"/>
    <mergeCell ref="A70:AO70"/>
    <mergeCell ref="W49:X49"/>
    <mergeCell ref="AG49:AH49"/>
    <mergeCell ref="W51:X51"/>
    <mergeCell ref="AG51:AH51"/>
    <mergeCell ref="W54:X54"/>
    <mergeCell ref="AG54:AH54"/>
    <mergeCell ref="M51:N51"/>
    <mergeCell ref="M54:N54"/>
    <mergeCell ref="M49:N49"/>
    <mergeCell ref="N59:O59"/>
    <mergeCell ref="N61:O61"/>
    <mergeCell ref="D59:E59"/>
    <mergeCell ref="D61:E61"/>
    <mergeCell ref="C66:D66"/>
    <mergeCell ref="C68:D68"/>
    <mergeCell ref="X59:Y59"/>
    <mergeCell ref="AH59:AI59"/>
    <mergeCell ref="X61:Y61"/>
    <mergeCell ref="AH61:AI61"/>
    <mergeCell ref="W66:X66"/>
    <mergeCell ref="AG66:AH66"/>
    <mergeCell ref="M68:N68"/>
    <mergeCell ref="AG38:AH38"/>
    <mergeCell ref="W40:X40"/>
    <mergeCell ref="AG40:AH40"/>
    <mergeCell ref="W21:X21"/>
    <mergeCell ref="AG21:AH21"/>
    <mergeCell ref="W27:X27"/>
    <mergeCell ref="AG27:AH27"/>
    <mergeCell ref="W29:X29"/>
    <mergeCell ref="C36:D36"/>
    <mergeCell ref="M36:N36"/>
    <mergeCell ref="W36:X36"/>
    <mergeCell ref="AG36:AH36"/>
    <mergeCell ref="C47:D47"/>
    <mergeCell ref="C49:D49"/>
    <mergeCell ref="C51:D51"/>
    <mergeCell ref="C42:D42"/>
    <mergeCell ref="C43:D43"/>
    <mergeCell ref="AF4:AO4"/>
    <mergeCell ref="W9:X9"/>
    <mergeCell ref="AG9:AH9"/>
    <mergeCell ref="A127:AO127"/>
    <mergeCell ref="M9:N9"/>
    <mergeCell ref="M11:N11"/>
    <mergeCell ref="M14:N14"/>
    <mergeCell ref="M19:N19"/>
    <mergeCell ref="M21:N21"/>
    <mergeCell ref="M27:N27"/>
    <mergeCell ref="M29:N29"/>
    <mergeCell ref="M31:N31"/>
    <mergeCell ref="M38:N38"/>
    <mergeCell ref="M40:N40"/>
    <mergeCell ref="N101:O101"/>
    <mergeCell ref="N107:O107"/>
    <mergeCell ref="M66:N66"/>
    <mergeCell ref="N80:O80"/>
    <mergeCell ref="N103:O103"/>
    <mergeCell ref="D101:E101"/>
    <mergeCell ref="D107:E107"/>
    <mergeCell ref="D96:E96"/>
    <mergeCell ref="D103:E103"/>
    <mergeCell ref="D84:E84"/>
    <mergeCell ref="N84:O84"/>
    <mergeCell ref="N78:O78"/>
    <mergeCell ref="A130:AO130"/>
    <mergeCell ref="B3:K3"/>
    <mergeCell ref="L3:U3"/>
    <mergeCell ref="B4:K4"/>
    <mergeCell ref="L4:U4"/>
    <mergeCell ref="C38:D38"/>
    <mergeCell ref="C40:D40"/>
    <mergeCell ref="C54:D54"/>
    <mergeCell ref="W11:X11"/>
    <mergeCell ref="AG11:AH11"/>
    <mergeCell ref="W14:X14"/>
    <mergeCell ref="AG14:AH14"/>
    <mergeCell ref="W19:X19"/>
    <mergeCell ref="AG19:AH19"/>
    <mergeCell ref="V3:AE3"/>
    <mergeCell ref="AF3:AO3"/>
    <mergeCell ref="V4:AE4"/>
    <mergeCell ref="A131:AO131"/>
    <mergeCell ref="A132:AO132"/>
    <mergeCell ref="A133:AO133"/>
    <mergeCell ref="A134:AO134"/>
    <mergeCell ref="A135:AO135"/>
    <mergeCell ref="N90:O90"/>
    <mergeCell ref="N92:O92"/>
    <mergeCell ref="N94:O94"/>
    <mergeCell ref="N96:O96"/>
    <mergeCell ref="A128:AO128"/>
    <mergeCell ref="A129:AO129"/>
    <mergeCell ref="A123:AO123"/>
    <mergeCell ref="A124:AO124"/>
    <mergeCell ref="A125:AO125"/>
    <mergeCell ref="A126:AO126"/>
    <mergeCell ref="AH94:AI94"/>
    <mergeCell ref="X96:Y96"/>
    <mergeCell ref="AH96:AI96"/>
    <mergeCell ref="N116:O116"/>
    <mergeCell ref="N118:O118"/>
    <mergeCell ref="X118:Y118"/>
    <mergeCell ref="AH118:AI118"/>
    <mergeCell ref="X121:Y121"/>
    <mergeCell ref="D121:E121"/>
  </mergeCells>
  <printOptions horizontalCentered="1" gridLines="1"/>
  <pageMargins left="0.7" right="0.7" top="0.75" bottom="0.75" header="0.3" footer="0.3"/>
  <pageSetup scale="48" fitToHeight="2" orientation="landscape" r:id="rId1"/>
  <headerFooter>
    <oddFooter>&amp;L&amp;A&amp;C&amp;F&amp;R&amp;D</oddFooter>
  </headerFooter>
  <rowBreaks count="1" manualBreakCount="1">
    <brk id="69" max="40" man="1"/>
  </rowBreaks>
  <legacyDrawing r:id="rId2"/>
</worksheet>
</file>

<file path=xl/worksheets/sheet16.xml><?xml version="1.0" encoding="utf-8"?>
<worksheet xmlns="http://schemas.openxmlformats.org/spreadsheetml/2006/main" xmlns:r="http://schemas.openxmlformats.org/officeDocument/2006/relationships">
  <sheetPr codeName="Sheet30">
    <pageSetUpPr fitToPage="1"/>
  </sheetPr>
  <dimension ref="A1:AR260"/>
  <sheetViews>
    <sheetView zoomScale="85" zoomScaleNormal="85" workbookViewId="0">
      <selection activeCell="G48" sqref="G48"/>
    </sheetView>
  </sheetViews>
  <sheetFormatPr defaultRowHeight="12.75"/>
  <cols>
    <col min="1" max="1" width="53.5703125" style="2" customWidth="1"/>
    <col min="2" max="2" width="1.28515625" customWidth="1"/>
    <col min="3" max="5" width="4.7109375" customWidth="1"/>
    <col min="6" max="6" width="6.7109375" customWidth="1"/>
    <col min="7" max="7" width="7.7109375" customWidth="1"/>
    <col min="8" max="8" width="10" customWidth="1"/>
    <col min="9" max="9" width="1.28515625" style="21" customWidth="1"/>
    <col min="10" max="10" width="7.7109375" style="21" customWidth="1"/>
    <col min="11" max="12" width="1.28515625" customWidth="1"/>
    <col min="13" max="15" width="4.7109375" customWidth="1"/>
    <col min="16" max="16" width="6.85546875" customWidth="1"/>
    <col min="17" max="17" width="7.7109375" customWidth="1"/>
    <col min="18" max="18" width="10" customWidth="1"/>
    <col min="19" max="19" width="1.28515625" style="21" customWidth="1"/>
    <col min="20" max="20" width="7.7109375" style="21" customWidth="1"/>
    <col min="21" max="22" width="1.28515625" customWidth="1"/>
    <col min="23" max="25" width="4.7109375" customWidth="1"/>
    <col min="26" max="26" width="6.85546875" customWidth="1"/>
    <col min="27" max="27" width="7.7109375" customWidth="1"/>
    <col min="28" max="28" width="9.7109375" customWidth="1"/>
    <col min="29" max="29" width="1.28515625" style="21" customWidth="1"/>
    <col min="30" max="30" width="7.7109375" style="21" customWidth="1"/>
    <col min="31" max="32" width="1.28515625" customWidth="1"/>
    <col min="33" max="35" width="4.7109375" customWidth="1"/>
    <col min="36" max="36" width="6.85546875" customWidth="1"/>
    <col min="37" max="37" width="7.7109375" customWidth="1"/>
    <col min="38" max="38" width="9.7109375" customWidth="1"/>
    <col min="39" max="39" width="1.28515625" style="21" customWidth="1"/>
    <col min="40" max="40" width="7.7109375" style="21" customWidth="1"/>
    <col min="41" max="41" width="1.28515625" customWidth="1"/>
    <col min="43" max="43" width="11.28515625" customWidth="1"/>
  </cols>
  <sheetData>
    <row r="1" spans="1:44" s="23"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7"/>
      <c r="AD1" s="3997"/>
      <c r="AE1" s="3997"/>
      <c r="AF1" s="3997"/>
      <c r="AG1" s="3997"/>
      <c r="AH1" s="3997"/>
      <c r="AI1" s="3997"/>
      <c r="AJ1" s="3997"/>
      <c r="AK1" s="3997"/>
      <c r="AL1" s="3997"/>
      <c r="AM1" s="3997"/>
      <c r="AN1" s="3997"/>
      <c r="AO1" s="3998"/>
    </row>
    <row r="2" spans="1:44" ht="30" customHeight="1">
      <c r="A2" s="4567" t="s">
        <v>1226</v>
      </c>
      <c r="B2" s="4568"/>
      <c r="C2" s="4568"/>
      <c r="D2" s="4568"/>
      <c r="E2" s="4568"/>
      <c r="F2" s="4568"/>
      <c r="G2" s="4568"/>
      <c r="H2" s="4568"/>
      <c r="I2" s="4568"/>
      <c r="J2" s="4568"/>
      <c r="K2" s="4568"/>
      <c r="L2" s="4568"/>
      <c r="M2" s="4568"/>
      <c r="N2" s="4568"/>
      <c r="O2" s="4568"/>
      <c r="P2" s="4568"/>
      <c r="Q2" s="4568"/>
      <c r="R2" s="4568"/>
      <c r="S2" s="4568"/>
      <c r="T2" s="4568"/>
      <c r="U2" s="4568"/>
      <c r="V2" s="4568"/>
      <c r="W2" s="4568"/>
      <c r="X2" s="4568"/>
      <c r="Y2" s="4568"/>
      <c r="Z2" s="4568"/>
      <c r="AA2" s="4568"/>
      <c r="AB2" s="4568"/>
      <c r="AC2" s="4568"/>
      <c r="AD2" s="4568"/>
      <c r="AE2" s="4568"/>
      <c r="AF2" s="4568"/>
      <c r="AG2" s="4568"/>
      <c r="AH2" s="4568"/>
      <c r="AI2" s="4568"/>
      <c r="AJ2" s="4568"/>
      <c r="AK2" s="4568"/>
      <c r="AL2" s="4568"/>
      <c r="AM2" s="4568"/>
      <c r="AN2" s="4568"/>
      <c r="AO2" s="4569"/>
    </row>
    <row r="3" spans="1:44" s="4" customFormat="1" ht="21" customHeight="1">
      <c r="A3" s="644"/>
      <c r="B3" s="4000" t="str">
        <f>'Chosen Parameters-Part I'!B4</f>
        <v>Scenario 1</v>
      </c>
      <c r="C3" s="4000"/>
      <c r="D3" s="4000"/>
      <c r="E3" s="4000"/>
      <c r="F3" s="4000"/>
      <c r="G3" s="4000"/>
      <c r="H3" s="4000"/>
      <c r="I3" s="4000"/>
      <c r="J3" s="4000"/>
      <c r="K3" s="4001"/>
      <c r="L3" s="4002" t="str">
        <f>'Chosen Parameters-Part I'!C4</f>
        <v>Scenario 2</v>
      </c>
      <c r="M3" s="4003"/>
      <c r="N3" s="4003"/>
      <c r="O3" s="4003"/>
      <c r="P3" s="4003"/>
      <c r="Q3" s="4003"/>
      <c r="R3" s="4003"/>
      <c r="S3" s="4003"/>
      <c r="T3" s="4003"/>
      <c r="U3" s="4004"/>
      <c r="V3" s="4006" t="str">
        <f>'Chosen Parameters-Part I'!D4</f>
        <v>Scenario 3</v>
      </c>
      <c r="W3" s="4006"/>
      <c r="X3" s="4006"/>
      <c r="Y3" s="4006"/>
      <c r="Z3" s="4006"/>
      <c r="AA3" s="4006"/>
      <c r="AB3" s="4006"/>
      <c r="AC3" s="4006"/>
      <c r="AD3" s="4006"/>
      <c r="AE3" s="4111"/>
      <c r="AF3" s="4112" t="str">
        <f>'Chosen Parameters-Part I'!E4</f>
        <v>Scenario 4</v>
      </c>
      <c r="AG3" s="4113"/>
      <c r="AH3" s="4113"/>
      <c r="AI3" s="4113"/>
      <c r="AJ3" s="4113"/>
      <c r="AK3" s="4113"/>
      <c r="AL3" s="4113"/>
      <c r="AM3" s="4113"/>
      <c r="AN3" s="4113"/>
      <c r="AO3" s="4114"/>
    </row>
    <row r="4" spans="1:44" s="4" customFormat="1" ht="36" customHeight="1">
      <c r="A4" s="645"/>
      <c r="B4" s="4119" t="str">
        <f>'Step 1 -- Herd Profile'!B4</f>
        <v>Intensive Conventional Management with Holsteins and rbST</v>
      </c>
      <c r="C4" s="4119"/>
      <c r="D4" s="4119"/>
      <c r="E4" s="4119"/>
      <c r="F4" s="4119"/>
      <c r="G4" s="4119"/>
      <c r="H4" s="4119"/>
      <c r="I4" s="4119"/>
      <c r="J4" s="4119"/>
      <c r="K4" s="4120"/>
      <c r="L4" s="4121" t="str">
        <f>'Step 1 -- Herd Profile'!M4</f>
        <v>Conventional Management, Holsteins</v>
      </c>
      <c r="M4" s="4122"/>
      <c r="N4" s="4122"/>
      <c r="O4" s="4122"/>
      <c r="P4" s="4122"/>
      <c r="Q4" s="4122"/>
      <c r="R4" s="4122"/>
      <c r="S4" s="4122"/>
      <c r="T4" s="4122"/>
      <c r="U4" s="4123"/>
      <c r="V4" s="4041" t="str">
        <f>'Application Setup'!B6</f>
        <v>Intensive Organic Management, Holsteins</v>
      </c>
      <c r="W4" s="4041"/>
      <c r="X4" s="4041"/>
      <c r="Y4" s="4041"/>
      <c r="Z4" s="4041"/>
      <c r="AA4" s="4041"/>
      <c r="AB4" s="4041"/>
      <c r="AC4" s="4041"/>
      <c r="AD4" s="4041"/>
      <c r="AE4" s="4042"/>
      <c r="AF4" s="4115" t="str">
        <f>'Application Setup'!B7</f>
        <v>Pasture-Based Organic, Jersey Cows</v>
      </c>
      <c r="AG4" s="4116"/>
      <c r="AH4" s="4116"/>
      <c r="AI4" s="4116"/>
      <c r="AJ4" s="4116"/>
      <c r="AK4" s="4116"/>
      <c r="AL4" s="4116"/>
      <c r="AM4" s="4116"/>
      <c r="AN4" s="4116"/>
      <c r="AO4" s="4117"/>
    </row>
    <row r="5" spans="1:44" s="21" customFormat="1" ht="16.5" customHeight="1">
      <c r="A5" s="221" t="s">
        <v>206</v>
      </c>
      <c r="B5" s="194"/>
      <c r="C5" s="876"/>
      <c r="D5" s="876"/>
      <c r="E5" s="876"/>
      <c r="F5" s="320"/>
      <c r="G5" s="877" t="s">
        <v>94</v>
      </c>
      <c r="H5" s="876"/>
      <c r="I5" s="878"/>
      <c r="J5" s="879" t="s">
        <v>83</v>
      </c>
      <c r="K5" s="280"/>
      <c r="L5" s="880"/>
      <c r="M5" s="880"/>
      <c r="N5" s="880"/>
      <c r="O5" s="880"/>
      <c r="P5" s="321"/>
      <c r="Q5" s="881" t="s">
        <v>94</v>
      </c>
      <c r="R5" s="880"/>
      <c r="S5" s="4574" t="s">
        <v>83</v>
      </c>
      <c r="T5" s="4575"/>
      <c r="U5" s="4576"/>
      <c r="V5" s="514"/>
      <c r="W5" s="922"/>
      <c r="X5" s="922"/>
      <c r="Y5" s="922"/>
      <c r="Z5" s="581"/>
      <c r="AA5" s="923" t="s">
        <v>94</v>
      </c>
      <c r="AB5" s="922"/>
      <c r="AC5" s="924"/>
      <c r="AD5" s="936" t="s">
        <v>83</v>
      </c>
      <c r="AE5" s="574"/>
      <c r="AF5" s="909"/>
      <c r="AG5" s="909"/>
      <c r="AH5" s="909"/>
      <c r="AI5" s="909"/>
      <c r="AJ5" s="563"/>
      <c r="AK5" s="940" t="s">
        <v>94</v>
      </c>
      <c r="AL5" s="909"/>
      <c r="AM5" s="4578" t="s">
        <v>83</v>
      </c>
      <c r="AN5" s="4579"/>
      <c r="AO5" s="4580"/>
      <c r="AP5" s="39"/>
    </row>
    <row r="6" spans="1:44" s="39" customFormat="1" ht="2.25" customHeight="1">
      <c r="A6" s="208"/>
      <c r="B6" s="198"/>
      <c r="C6" s="882"/>
      <c r="D6" s="319"/>
      <c r="E6" s="319"/>
      <c r="F6" s="320"/>
      <c r="G6" s="876"/>
      <c r="H6" s="883"/>
      <c r="I6" s="884"/>
      <c r="J6" s="874"/>
      <c r="K6" s="885"/>
      <c r="L6" s="875"/>
      <c r="M6" s="886"/>
      <c r="N6" s="886"/>
      <c r="O6" s="835"/>
      <c r="P6" s="321"/>
      <c r="Q6" s="880"/>
      <c r="R6" s="887"/>
      <c r="S6" s="888"/>
      <c r="T6" s="875"/>
      <c r="U6" s="889"/>
      <c r="V6" s="524"/>
      <c r="W6" s="925"/>
      <c r="X6" s="572"/>
      <c r="Y6" s="572"/>
      <c r="Z6" s="581"/>
      <c r="AA6" s="922"/>
      <c r="AB6" s="926"/>
      <c r="AC6" s="927"/>
      <c r="AD6" s="937"/>
      <c r="AE6" s="938"/>
      <c r="AF6" s="941"/>
      <c r="AG6" s="942"/>
      <c r="AH6" s="942"/>
      <c r="AI6" s="2797"/>
      <c r="AJ6" s="563"/>
      <c r="AK6" s="909"/>
      <c r="AL6" s="910"/>
      <c r="AM6" s="911"/>
      <c r="AN6" s="941"/>
      <c r="AO6" s="943"/>
    </row>
    <row r="7" spans="1:44" s="21" customFormat="1">
      <c r="A7" s="208" t="s">
        <v>205</v>
      </c>
      <c r="B7" s="195"/>
      <c r="C7" s="4564">
        <f>F1_Unadjusted_Milk_Production_lb_day</f>
        <v>75</v>
      </c>
      <c r="D7" s="4564"/>
      <c r="E7" s="333" t="s">
        <v>215</v>
      </c>
      <c r="F7" s="320"/>
      <c r="G7" s="890">
        <f>C7*Defaults!$D$9</f>
        <v>34.019421914767285</v>
      </c>
      <c r="H7" s="319" t="s">
        <v>165</v>
      </c>
      <c r="I7" s="891"/>
      <c r="J7" s="874" t="s">
        <v>207</v>
      </c>
      <c r="K7" s="885"/>
      <c r="L7" s="875"/>
      <c r="M7" s="4577">
        <f>F2_Unadjusted_Milk_Production_lb_day</f>
        <v>65</v>
      </c>
      <c r="N7" s="4577"/>
      <c r="O7" s="892" t="s">
        <v>215</v>
      </c>
      <c r="P7" s="321"/>
      <c r="Q7" s="893">
        <f>M7*Defaults!$D$9</f>
        <v>29.483498992798314</v>
      </c>
      <c r="R7" s="1672" t="s">
        <v>165</v>
      </c>
      <c r="S7" s="894"/>
      <c r="T7" s="875" t="s">
        <v>207</v>
      </c>
      <c r="U7" s="889"/>
      <c r="V7" s="534"/>
      <c r="W7" s="4581">
        <f>F3_Unadjusted_Milk_Production_lb_day</f>
        <v>60</v>
      </c>
      <c r="X7" s="4581"/>
      <c r="Y7" s="582" t="s">
        <v>215</v>
      </c>
      <c r="Z7" s="581"/>
      <c r="AA7" s="928">
        <f>W7*Defaults!$D$9</f>
        <v>27.215537531813826</v>
      </c>
      <c r="AB7" s="572" t="s">
        <v>165</v>
      </c>
      <c r="AC7" s="929"/>
      <c r="AD7" s="937" t="s">
        <v>207</v>
      </c>
      <c r="AE7" s="938"/>
      <c r="AF7" s="941"/>
      <c r="AG7" s="4582">
        <f>F4_Unadjusted_Milk_Production_lb_day</f>
        <v>50</v>
      </c>
      <c r="AH7" s="4582"/>
      <c r="AI7" s="912" t="s">
        <v>215</v>
      </c>
      <c r="AJ7" s="563"/>
      <c r="AK7" s="913">
        <f>AG7*Defaults!$D$9</f>
        <v>22.679614609844855</v>
      </c>
      <c r="AL7" s="2797" t="s">
        <v>165</v>
      </c>
      <c r="AM7" s="914"/>
      <c r="AN7" s="941" t="s">
        <v>207</v>
      </c>
      <c r="AO7" s="943"/>
      <c r="AP7" s="39"/>
    </row>
    <row r="8" spans="1:44" s="39" customFormat="1" ht="2.25" customHeight="1">
      <c r="A8" s="208"/>
      <c r="B8" s="198"/>
      <c r="C8" s="895"/>
      <c r="D8" s="896"/>
      <c r="E8" s="319"/>
      <c r="F8" s="320"/>
      <c r="G8" s="876"/>
      <c r="H8" s="883"/>
      <c r="I8" s="884"/>
      <c r="J8" s="874"/>
      <c r="K8" s="885"/>
      <c r="L8" s="875"/>
      <c r="M8" s="897"/>
      <c r="N8" s="898"/>
      <c r="O8" s="886"/>
      <c r="P8" s="321"/>
      <c r="Q8" s="880"/>
      <c r="R8" s="887"/>
      <c r="S8" s="888"/>
      <c r="T8" s="875"/>
      <c r="U8" s="889"/>
      <c r="V8" s="524"/>
      <c r="W8" s="930"/>
      <c r="X8" s="931"/>
      <c r="Y8" s="572"/>
      <c r="Z8" s="581"/>
      <c r="AA8" s="922"/>
      <c r="AB8" s="926"/>
      <c r="AC8" s="927"/>
      <c r="AD8" s="937"/>
      <c r="AE8" s="938"/>
      <c r="AF8" s="941"/>
      <c r="AG8" s="915"/>
      <c r="AH8" s="916"/>
      <c r="AI8" s="942"/>
      <c r="AJ8" s="563"/>
      <c r="AK8" s="909"/>
      <c r="AL8" s="910"/>
      <c r="AM8" s="911"/>
      <c r="AN8" s="941"/>
      <c r="AO8" s="943"/>
    </row>
    <row r="9" spans="1:44" s="21" customFormat="1">
      <c r="A9" s="208" t="s">
        <v>1398</v>
      </c>
      <c r="B9" s="195"/>
      <c r="C9" s="4564">
        <f>F1_ECM_Production_lb_day</f>
        <v>73.92</v>
      </c>
      <c r="D9" s="4564"/>
      <c r="E9" s="333" t="s">
        <v>215</v>
      </c>
      <c r="F9" s="320"/>
      <c r="G9" s="890">
        <f>C9*Defaults!$D$9</f>
        <v>33.529542239194633</v>
      </c>
      <c r="H9" s="319" t="s">
        <v>165</v>
      </c>
      <c r="I9" s="884"/>
      <c r="J9" s="874" t="s">
        <v>207</v>
      </c>
      <c r="K9" s="885"/>
      <c r="L9" s="875"/>
      <c r="M9" s="4577">
        <f>F2_ECM_Production_lb_day</f>
        <v>66.074190000000002</v>
      </c>
      <c r="N9" s="4577"/>
      <c r="O9" s="892" t="s">
        <v>215</v>
      </c>
      <c r="P9" s="321"/>
      <c r="Q9" s="893">
        <f>M9*Defaults!$D$9</f>
        <v>29.970743297153298</v>
      </c>
      <c r="R9" s="1672" t="s">
        <v>165</v>
      </c>
      <c r="S9" s="888"/>
      <c r="T9" s="875" t="s">
        <v>207</v>
      </c>
      <c r="U9" s="889"/>
      <c r="V9" s="534"/>
      <c r="W9" s="4583">
        <f>F3_ECM_Production_lb_day</f>
        <v>62.726999999999997</v>
      </c>
      <c r="X9" s="4583"/>
      <c r="Y9" s="582" t="s">
        <v>215</v>
      </c>
      <c r="Z9" s="581"/>
      <c r="AA9" s="928">
        <f>W9*Defaults!$D$9</f>
        <v>28.452483712634763</v>
      </c>
      <c r="AB9" s="572" t="s">
        <v>165</v>
      </c>
      <c r="AC9" s="927"/>
      <c r="AD9" s="937" t="s">
        <v>207</v>
      </c>
      <c r="AE9" s="938"/>
      <c r="AF9" s="941"/>
      <c r="AG9" s="4582">
        <f>F4_ECM_Production_lb_day</f>
        <v>60.393000000000001</v>
      </c>
      <c r="AH9" s="4582"/>
      <c r="AI9" s="912" t="s">
        <v>215</v>
      </c>
      <c r="AJ9" s="563"/>
      <c r="AK9" s="913">
        <f>AG9*Defaults!$D$9</f>
        <v>27.393799302647206</v>
      </c>
      <c r="AL9" s="2797" t="s">
        <v>165</v>
      </c>
      <c r="AM9" s="911"/>
      <c r="AN9" s="941" t="s">
        <v>207</v>
      </c>
      <c r="AO9" s="943"/>
      <c r="AP9" s="39"/>
      <c r="AQ9" s="39"/>
      <c r="AR9" s="39"/>
    </row>
    <row r="10" spans="1:44" ht="5.25" customHeight="1">
      <c r="A10" s="638"/>
      <c r="B10" s="498"/>
      <c r="C10" s="899"/>
      <c r="D10" s="899"/>
      <c r="E10" s="900"/>
      <c r="F10" s="899"/>
      <c r="G10" s="899"/>
      <c r="H10" s="899"/>
      <c r="I10" s="901"/>
      <c r="J10" s="275"/>
      <c r="K10" s="902"/>
      <c r="L10" s="903"/>
      <c r="M10" s="904"/>
      <c r="N10" s="904"/>
      <c r="O10" s="905"/>
      <c r="P10" s="906"/>
      <c r="Q10" s="906"/>
      <c r="R10" s="906"/>
      <c r="S10" s="907"/>
      <c r="T10" s="276"/>
      <c r="U10" s="908"/>
      <c r="V10" s="502"/>
      <c r="W10" s="932"/>
      <c r="X10" s="932"/>
      <c r="Y10" s="933"/>
      <c r="Z10" s="932"/>
      <c r="AA10" s="932"/>
      <c r="AB10" s="932"/>
      <c r="AC10" s="934"/>
      <c r="AD10" s="592"/>
      <c r="AE10" s="939"/>
      <c r="AF10" s="944"/>
      <c r="AG10" s="945"/>
      <c r="AH10" s="945"/>
      <c r="AI10" s="919"/>
      <c r="AJ10" s="918"/>
      <c r="AK10" s="918"/>
      <c r="AL10" s="918"/>
      <c r="AM10" s="920"/>
      <c r="AN10" s="596"/>
      <c r="AO10" s="946"/>
      <c r="AQ10" s="39"/>
      <c r="AR10" s="39"/>
    </row>
    <row r="11" spans="1:44" ht="20.25" customHeight="1">
      <c r="A11" s="4552" t="s">
        <v>884</v>
      </c>
      <c r="B11" s="4553"/>
      <c r="C11" s="4553"/>
      <c r="D11" s="4553"/>
      <c r="E11" s="4553"/>
      <c r="F11" s="4553"/>
      <c r="G11" s="4553"/>
      <c r="H11" s="4553"/>
      <c r="I11" s="4553"/>
      <c r="J11" s="4553"/>
      <c r="K11" s="4553"/>
      <c r="L11" s="4553"/>
      <c r="M11" s="4553"/>
      <c r="N11" s="4553"/>
      <c r="O11" s="4553"/>
      <c r="P11" s="4553"/>
      <c r="Q11" s="4553"/>
      <c r="R11" s="4553"/>
      <c r="S11" s="4553"/>
      <c r="T11" s="4553"/>
      <c r="U11" s="4553"/>
      <c r="V11" s="4553"/>
      <c r="W11" s="4553"/>
      <c r="X11" s="4553"/>
      <c r="Y11" s="4553"/>
      <c r="Z11" s="4553"/>
      <c r="AA11" s="4553"/>
      <c r="AB11" s="4553"/>
      <c r="AC11" s="4553"/>
      <c r="AD11" s="4553"/>
      <c r="AE11" s="4553"/>
      <c r="AF11" s="4553"/>
      <c r="AG11" s="4553"/>
      <c r="AH11" s="4553"/>
      <c r="AI11" s="4553"/>
      <c r="AJ11" s="4553"/>
      <c r="AK11" s="4553"/>
      <c r="AL11" s="4553"/>
      <c r="AM11" s="4553"/>
      <c r="AN11" s="4553"/>
      <c r="AO11" s="4554"/>
      <c r="AQ11" s="39"/>
      <c r="AR11" s="39"/>
    </row>
    <row r="12" spans="1:44" ht="6" customHeight="1">
      <c r="A12" s="635"/>
      <c r="B12" s="357"/>
      <c r="C12" s="366"/>
      <c r="D12" s="366"/>
      <c r="E12" s="228"/>
      <c r="F12" s="366"/>
      <c r="G12" s="366"/>
      <c r="H12" s="366"/>
      <c r="I12" s="187"/>
      <c r="J12" s="228"/>
      <c r="K12" s="366"/>
      <c r="L12" s="359"/>
      <c r="M12" s="636"/>
      <c r="N12" s="636"/>
      <c r="O12" s="53"/>
      <c r="P12" s="126"/>
      <c r="Q12" s="126"/>
      <c r="R12" s="126"/>
      <c r="S12" s="136"/>
      <c r="T12" s="53"/>
      <c r="U12" s="384"/>
      <c r="V12" s="597"/>
      <c r="W12" s="604"/>
      <c r="X12" s="604"/>
      <c r="Y12" s="564"/>
      <c r="Z12" s="604"/>
      <c r="AA12" s="604"/>
      <c r="AB12" s="604"/>
      <c r="AC12" s="512"/>
      <c r="AD12" s="564"/>
      <c r="AE12" s="604"/>
      <c r="AF12" s="612"/>
      <c r="AG12" s="637"/>
      <c r="AH12" s="637"/>
      <c r="AI12" s="556"/>
      <c r="AJ12" s="595"/>
      <c r="AK12" s="595"/>
      <c r="AL12" s="595"/>
      <c r="AM12" s="550"/>
      <c r="AN12" s="556"/>
      <c r="AO12" s="614"/>
    </row>
    <row r="13" spans="1:44" ht="12" customHeight="1">
      <c r="A13" s="632" t="s">
        <v>1607</v>
      </c>
      <c r="B13" s="358"/>
      <c r="C13" s="382"/>
      <c r="D13" s="322"/>
      <c r="E13" s="322"/>
      <c r="F13" s="382"/>
      <c r="G13" s="322"/>
      <c r="H13" s="382"/>
      <c r="I13" s="216"/>
      <c r="J13" s="186"/>
      <c r="K13" s="382"/>
      <c r="L13" s="360"/>
      <c r="M13" s="622"/>
      <c r="N13" s="622"/>
      <c r="O13" s="44"/>
      <c r="P13" s="96"/>
      <c r="Q13" s="96"/>
      <c r="R13" s="96"/>
      <c r="S13" s="41"/>
      <c r="T13" s="44"/>
      <c r="U13" s="383"/>
      <c r="V13" s="493"/>
      <c r="W13" s="494"/>
      <c r="X13" s="494"/>
      <c r="Y13" s="511"/>
      <c r="Z13" s="494"/>
      <c r="AA13" s="494"/>
      <c r="AB13" s="494"/>
      <c r="AC13" s="532"/>
      <c r="AD13" s="511"/>
      <c r="AE13" s="494"/>
      <c r="AF13" s="607"/>
      <c r="AG13" s="623"/>
      <c r="AH13" s="623"/>
      <c r="AI13" s="465"/>
      <c r="AJ13" s="496"/>
      <c r="AK13" s="496"/>
      <c r="AL13" s="496"/>
      <c r="AM13" s="464"/>
      <c r="AN13" s="465"/>
      <c r="AO13" s="497"/>
    </row>
    <row r="14" spans="1:44" ht="12" customHeight="1">
      <c r="A14" s="632" t="s">
        <v>1608</v>
      </c>
      <c r="B14" s="358"/>
      <c r="C14" s="382"/>
      <c r="D14" s="382"/>
      <c r="E14" s="186"/>
      <c r="F14" s="382"/>
      <c r="G14" s="382"/>
      <c r="H14" s="382"/>
      <c r="I14" s="216"/>
      <c r="J14" s="186"/>
      <c r="K14" s="382"/>
      <c r="L14" s="360"/>
      <c r="M14" s="104"/>
      <c r="N14" s="104"/>
      <c r="O14" s="892"/>
      <c r="P14" s="96"/>
      <c r="Q14" s="104"/>
      <c r="R14" s="44"/>
      <c r="S14" s="41"/>
      <c r="T14" s="44"/>
      <c r="U14" s="383"/>
      <c r="V14" s="493"/>
      <c r="W14" s="494"/>
      <c r="X14" s="494"/>
      <c r="Y14" s="511"/>
      <c r="Z14" s="494"/>
      <c r="AA14" s="494"/>
      <c r="AB14" s="494"/>
      <c r="AC14" s="532"/>
      <c r="AD14" s="511"/>
      <c r="AE14" s="494"/>
      <c r="AF14" s="607"/>
      <c r="AG14" s="623"/>
      <c r="AH14" s="623"/>
      <c r="AI14" s="465"/>
      <c r="AJ14" s="496"/>
      <c r="AK14" s="496"/>
      <c r="AL14" s="496"/>
      <c r="AM14" s="464"/>
      <c r="AN14" s="465"/>
      <c r="AO14" s="497"/>
    </row>
    <row r="15" spans="1:44" ht="2.25" customHeight="1">
      <c r="A15" s="633"/>
      <c r="B15" s="358"/>
      <c r="C15" s="382"/>
      <c r="D15" s="382"/>
      <c r="E15" s="186"/>
      <c r="F15" s="382"/>
      <c r="G15" s="382"/>
      <c r="H15" s="382"/>
      <c r="I15" s="216"/>
      <c r="J15" s="186"/>
      <c r="K15" s="382"/>
      <c r="L15" s="360"/>
      <c r="M15" s="622"/>
      <c r="N15" s="622"/>
      <c r="O15" s="44"/>
      <c r="P15" s="96"/>
      <c r="Q15" s="96"/>
      <c r="R15" s="96"/>
      <c r="S15" s="41"/>
      <c r="T15" s="44"/>
      <c r="U15" s="383"/>
      <c r="V15" s="493"/>
      <c r="W15" s="494"/>
      <c r="X15" s="494"/>
      <c r="Y15" s="511"/>
      <c r="Z15" s="494"/>
      <c r="AA15" s="494"/>
      <c r="AB15" s="494"/>
      <c r="AC15" s="532"/>
      <c r="AD15" s="511"/>
      <c r="AE15" s="494"/>
      <c r="AF15" s="607"/>
      <c r="AG15" s="623"/>
      <c r="AH15" s="623"/>
      <c r="AI15" s="465"/>
      <c r="AJ15" s="496"/>
      <c r="AK15" s="496"/>
      <c r="AL15" s="496"/>
      <c r="AM15" s="464"/>
      <c r="AN15" s="465"/>
      <c r="AO15" s="497"/>
    </row>
    <row r="16" spans="1:44" ht="12" customHeight="1">
      <c r="A16" s="3732" t="s">
        <v>1395</v>
      </c>
      <c r="B16" s="358"/>
      <c r="C16" s="186" t="s">
        <v>118</v>
      </c>
      <c r="D16" s="382"/>
      <c r="E16" s="186"/>
      <c r="F16" s="382"/>
      <c r="G16" s="382"/>
      <c r="H16" s="382"/>
      <c r="I16" s="216"/>
      <c r="J16" s="186"/>
      <c r="K16" s="382"/>
      <c r="L16" s="360"/>
      <c r="M16" s="622" t="s">
        <v>118</v>
      </c>
      <c r="N16" s="622"/>
      <c r="O16" s="44"/>
      <c r="P16" s="96"/>
      <c r="Q16" s="96"/>
      <c r="R16" s="96"/>
      <c r="S16" s="41"/>
      <c r="T16" s="44"/>
      <c r="U16" s="383"/>
      <c r="V16" s="493"/>
      <c r="W16" s="3735" t="s">
        <v>118</v>
      </c>
      <c r="X16" s="3735"/>
      <c r="Y16" s="511"/>
      <c r="Z16" s="494"/>
      <c r="AA16" s="494"/>
      <c r="AB16" s="494"/>
      <c r="AC16" s="532"/>
      <c r="AD16" s="511"/>
      <c r="AE16" s="494"/>
      <c r="AF16" s="607"/>
      <c r="AG16" s="623" t="s">
        <v>118</v>
      </c>
      <c r="AH16" s="623"/>
      <c r="AI16" s="465"/>
      <c r="AJ16" s="496"/>
      <c r="AK16" s="496"/>
      <c r="AL16" s="496"/>
      <c r="AM16" s="464"/>
      <c r="AN16" s="465"/>
      <c r="AO16" s="497"/>
    </row>
    <row r="17" spans="1:44">
      <c r="A17" s="3731" t="s">
        <v>1394</v>
      </c>
      <c r="B17" s="358"/>
      <c r="C17" s="322"/>
      <c r="D17" s="4164">
        <v>50.27</v>
      </c>
      <c r="E17" s="4165"/>
      <c r="F17" s="186" t="s">
        <v>215</v>
      </c>
      <c r="G17" s="624">
        <f>D17*Defaults!$D$9</f>
        <v>22.802084528738021</v>
      </c>
      <c r="H17" s="186" t="s">
        <v>165</v>
      </c>
      <c r="I17" s="216"/>
      <c r="J17" s="3772"/>
      <c r="K17" s="382"/>
      <c r="L17" s="360"/>
      <c r="M17" s="104"/>
      <c r="N17" s="4164">
        <v>48.4</v>
      </c>
      <c r="O17" s="4165"/>
      <c r="P17" s="96" t="s">
        <v>215</v>
      </c>
      <c r="Q17" s="626">
        <f>N17*Defaults!$D$9</f>
        <v>21.953866942329821</v>
      </c>
      <c r="R17" s="44" t="s">
        <v>165</v>
      </c>
      <c r="S17" s="41"/>
      <c r="T17" s="3772"/>
      <c r="U17" s="383"/>
      <c r="V17" s="493"/>
      <c r="W17" s="591"/>
      <c r="X17" s="4164">
        <v>47.3</v>
      </c>
      <c r="Y17" s="4165"/>
      <c r="Z17" s="494" t="s">
        <v>215</v>
      </c>
      <c r="AA17" s="627">
        <f>X17*Defaults!$D$9</f>
        <v>21.454915420913231</v>
      </c>
      <c r="AB17" s="511" t="s">
        <v>165</v>
      </c>
      <c r="AC17" s="532"/>
      <c r="AD17" s="3772"/>
      <c r="AE17" s="494"/>
      <c r="AF17" s="607"/>
      <c r="AG17" s="593"/>
      <c r="AH17" s="4164">
        <v>39.049999999999997</v>
      </c>
      <c r="AI17" s="4165"/>
      <c r="AJ17" s="496" t="s">
        <v>215</v>
      </c>
      <c r="AK17" s="625">
        <f>AH17*Defaults!$D$9</f>
        <v>17.712779010288831</v>
      </c>
      <c r="AL17" s="465" t="s">
        <v>165</v>
      </c>
      <c r="AM17" s="464"/>
      <c r="AN17" s="3772"/>
      <c r="AO17" s="497"/>
    </row>
    <row r="18" spans="1:44" ht="2.25" customHeight="1">
      <c r="A18" s="633"/>
      <c r="B18" s="358"/>
      <c r="C18" s="322"/>
      <c r="D18" s="382"/>
      <c r="E18" s="382"/>
      <c r="F18" s="186"/>
      <c r="G18" s="382"/>
      <c r="H18" s="382"/>
      <c r="I18" s="216"/>
      <c r="J18" s="171"/>
      <c r="K18" s="382"/>
      <c r="L18" s="360"/>
      <c r="M18" s="104"/>
      <c r="N18" s="622"/>
      <c r="O18" s="622"/>
      <c r="P18" s="96"/>
      <c r="Q18" s="96"/>
      <c r="R18" s="96"/>
      <c r="S18" s="41"/>
      <c r="T18" s="42"/>
      <c r="U18" s="383"/>
      <c r="V18" s="493"/>
      <c r="W18" s="591"/>
      <c r="X18" s="3735"/>
      <c r="Y18" s="3735"/>
      <c r="Z18" s="494"/>
      <c r="AA18" s="494"/>
      <c r="AB18" s="494"/>
      <c r="AC18" s="532"/>
      <c r="AD18" s="419"/>
      <c r="AE18" s="494"/>
      <c r="AF18" s="607"/>
      <c r="AG18" s="593"/>
      <c r="AH18" s="623"/>
      <c r="AI18" s="623"/>
      <c r="AJ18" s="496"/>
      <c r="AK18" s="496"/>
      <c r="AL18" s="496"/>
      <c r="AM18" s="464"/>
      <c r="AN18" s="449"/>
      <c r="AO18" s="497"/>
    </row>
    <row r="19" spans="1:44">
      <c r="A19" s="836" t="s">
        <v>631</v>
      </c>
      <c r="B19" s="358"/>
      <c r="C19" s="322"/>
      <c r="D19" s="4570">
        <f>Defaults!$I$5</f>
        <v>45</v>
      </c>
      <c r="E19" s="4571"/>
      <c r="F19" s="186" t="s">
        <v>215</v>
      </c>
      <c r="G19" s="624">
        <f>D19*Defaults!$D$9</f>
        <v>20.411653148860371</v>
      </c>
      <c r="H19" s="186" t="s">
        <v>165</v>
      </c>
      <c r="I19" s="216"/>
      <c r="J19" s="330">
        <v>1</v>
      </c>
      <c r="K19" s="382"/>
      <c r="L19" s="360"/>
      <c r="M19" s="104"/>
      <c r="N19" s="4572">
        <f>Defaults!$I$5</f>
        <v>45</v>
      </c>
      <c r="O19" s="4573"/>
      <c r="P19" s="96" t="s">
        <v>215</v>
      </c>
      <c r="Q19" s="626">
        <f>D19*Defaults!$D$9</f>
        <v>20.411653148860371</v>
      </c>
      <c r="R19" s="44" t="s">
        <v>165</v>
      </c>
      <c r="S19" s="41"/>
      <c r="T19" s="2057">
        <v>1</v>
      </c>
      <c r="U19" s="383"/>
      <c r="V19" s="493"/>
      <c r="W19" s="591"/>
      <c r="X19" s="4565">
        <f>Defaults!$I$5</f>
        <v>45</v>
      </c>
      <c r="Y19" s="4566"/>
      <c r="Z19" s="494" t="s">
        <v>215</v>
      </c>
      <c r="AA19" s="627">
        <f>D19*Defaults!$D$9</f>
        <v>20.411653148860371</v>
      </c>
      <c r="AB19" s="511" t="s">
        <v>165</v>
      </c>
      <c r="AC19" s="532"/>
      <c r="AD19" s="2646">
        <v>1</v>
      </c>
      <c r="AE19" s="494"/>
      <c r="AF19" s="607"/>
      <c r="AG19" s="593"/>
      <c r="AH19" s="4186">
        <f>Defaults!$I$5</f>
        <v>45</v>
      </c>
      <c r="AI19" s="4187"/>
      <c r="AJ19" s="496" t="s">
        <v>215</v>
      </c>
      <c r="AK19" s="625">
        <f>D19*Defaults!$D$9</f>
        <v>20.411653148860371</v>
      </c>
      <c r="AL19" s="465" t="s">
        <v>165</v>
      </c>
      <c r="AM19" s="464"/>
      <c r="AN19" s="649">
        <v>1</v>
      </c>
      <c r="AO19" s="497"/>
    </row>
    <row r="20" spans="1:44" ht="5.25" customHeight="1">
      <c r="A20" s="638"/>
      <c r="B20" s="498"/>
      <c r="C20" s="499"/>
      <c r="D20" s="499"/>
      <c r="E20" s="190"/>
      <c r="F20" s="499"/>
      <c r="G20" s="499"/>
      <c r="H20" s="499"/>
      <c r="I20" s="215"/>
      <c r="J20" s="161"/>
      <c r="K20" s="499"/>
      <c r="L20" s="500"/>
      <c r="M20" s="639"/>
      <c r="N20" s="639"/>
      <c r="O20" s="67"/>
      <c r="P20" s="501"/>
      <c r="Q20" s="501"/>
      <c r="R20" s="501"/>
      <c r="S20" s="66"/>
      <c r="T20" s="85"/>
      <c r="U20" s="648"/>
      <c r="V20" s="502"/>
      <c r="W20" s="503"/>
      <c r="X20" s="503"/>
      <c r="Y20" s="516"/>
      <c r="Z20" s="503"/>
      <c r="AA20" s="503"/>
      <c r="AB20" s="503"/>
      <c r="AC20" s="569"/>
      <c r="AD20" s="568"/>
      <c r="AE20" s="503"/>
      <c r="AF20" s="917"/>
      <c r="AG20" s="640"/>
      <c r="AH20" s="640"/>
      <c r="AI20" s="469"/>
      <c r="AJ20" s="505"/>
      <c r="AK20" s="505"/>
      <c r="AL20" s="505"/>
      <c r="AM20" s="554"/>
      <c r="AN20" s="553"/>
      <c r="AO20" s="506"/>
    </row>
    <row r="21" spans="1:44" ht="5.25" customHeight="1">
      <c r="A21" s="635"/>
      <c r="B21" s="357"/>
      <c r="C21" s="366"/>
      <c r="D21" s="366"/>
      <c r="E21" s="228"/>
      <c r="F21" s="366"/>
      <c r="G21" s="366"/>
      <c r="H21" s="366"/>
      <c r="I21" s="187"/>
      <c r="J21" s="228"/>
      <c r="K21" s="839"/>
      <c r="L21" s="359"/>
      <c r="M21" s="636"/>
      <c r="N21" s="636"/>
      <c r="O21" s="53"/>
      <c r="P21" s="126"/>
      <c r="Q21" s="126"/>
      <c r="R21" s="126"/>
      <c r="S21" s="136"/>
      <c r="T21" s="53"/>
      <c r="U21" s="384"/>
      <c r="V21" s="597"/>
      <c r="W21" s="604"/>
      <c r="X21" s="604"/>
      <c r="Y21" s="564"/>
      <c r="Z21" s="604"/>
      <c r="AA21" s="604"/>
      <c r="AB21" s="604"/>
      <c r="AC21" s="512"/>
      <c r="AD21" s="564"/>
      <c r="AE21" s="634"/>
      <c r="AF21" s="612"/>
      <c r="AG21" s="637"/>
      <c r="AH21" s="637"/>
      <c r="AI21" s="556"/>
      <c r="AJ21" s="595"/>
      <c r="AK21" s="595"/>
      <c r="AL21" s="595"/>
      <c r="AM21" s="550"/>
      <c r="AN21" s="556"/>
      <c r="AO21" s="614"/>
      <c r="AQ21" s="39"/>
      <c r="AR21" s="39"/>
    </row>
    <row r="22" spans="1:44" s="4" customFormat="1" ht="12" customHeight="1">
      <c r="A22" s="2394" t="s">
        <v>1603</v>
      </c>
      <c r="B22" s="358"/>
      <c r="C22" s="3882"/>
      <c r="D22" s="3882"/>
      <c r="E22" s="333"/>
      <c r="F22" s="382"/>
      <c r="G22" s="3882"/>
      <c r="H22" s="2469"/>
      <c r="I22" s="3882"/>
      <c r="J22" s="382"/>
      <c r="K22" s="382"/>
      <c r="L22" s="360"/>
      <c r="M22" s="3881"/>
      <c r="N22" s="3881"/>
      <c r="O22" s="892"/>
      <c r="P22" s="96"/>
      <c r="Q22" s="3881"/>
      <c r="R22" s="44"/>
      <c r="S22" s="41"/>
      <c r="T22" s="3881"/>
      <c r="U22" s="383"/>
      <c r="V22" s="493"/>
      <c r="W22" s="3880"/>
      <c r="X22" s="3880"/>
      <c r="Y22" s="582"/>
      <c r="Z22" s="494"/>
      <c r="AA22" s="3880"/>
      <c r="AB22" s="511"/>
      <c r="AC22" s="532"/>
      <c r="AD22" s="3880"/>
      <c r="AE22" s="494"/>
      <c r="AF22" s="607"/>
      <c r="AG22" s="3879"/>
      <c r="AH22" s="3879"/>
      <c r="AI22" s="912"/>
      <c r="AJ22" s="496"/>
      <c r="AK22" s="3879"/>
      <c r="AL22" s="465"/>
      <c r="AM22" s="464"/>
      <c r="AN22" s="3879"/>
      <c r="AO22" s="497"/>
    </row>
    <row r="23" spans="1:44" s="39" customFormat="1" ht="2.25" customHeight="1">
      <c r="A23" s="208"/>
      <c r="B23" s="198"/>
      <c r="C23" s="882"/>
      <c r="D23" s="319"/>
      <c r="E23" s="319"/>
      <c r="F23" s="320"/>
      <c r="G23" s="876"/>
      <c r="H23" s="883"/>
      <c r="I23" s="876"/>
      <c r="J23" s="874"/>
      <c r="K23" s="885"/>
      <c r="L23" s="875"/>
      <c r="M23" s="886"/>
      <c r="N23" s="886"/>
      <c r="O23" s="3837"/>
      <c r="P23" s="321"/>
      <c r="Q23" s="880"/>
      <c r="R23" s="887"/>
      <c r="S23" s="888"/>
      <c r="T23" s="875"/>
      <c r="U23" s="889"/>
      <c r="V23" s="524"/>
      <c r="W23" s="925"/>
      <c r="X23" s="572"/>
      <c r="Y23" s="572"/>
      <c r="Z23" s="581"/>
      <c r="AA23" s="922"/>
      <c r="AB23" s="926"/>
      <c r="AC23" s="927"/>
      <c r="AD23" s="937"/>
      <c r="AE23" s="938"/>
      <c r="AF23" s="941"/>
      <c r="AG23" s="942"/>
      <c r="AH23" s="942"/>
      <c r="AI23" s="3836"/>
      <c r="AJ23" s="563"/>
      <c r="AK23" s="909"/>
      <c r="AL23" s="910"/>
      <c r="AM23" s="911"/>
      <c r="AN23" s="941"/>
      <c r="AO23" s="943"/>
    </row>
    <row r="24" spans="1:44" s="21" customFormat="1">
      <c r="A24" s="208" t="s">
        <v>205</v>
      </c>
      <c r="B24" s="195"/>
      <c r="C24" s="4555">
        <f>F1_DMI_Lact_Cow_lb/F1_Unadjusted_Milk_Production_lb_day</f>
        <v>0.67026666666666668</v>
      </c>
      <c r="D24" s="4556"/>
      <c r="E24" s="333" t="s">
        <v>215</v>
      </c>
      <c r="F24" s="320"/>
      <c r="G24" s="624">
        <f>C24*Defaults!$D$9</f>
        <v>0.3040277937165069</v>
      </c>
      <c r="H24" s="319" t="s">
        <v>165</v>
      </c>
      <c r="I24" s="891"/>
      <c r="J24" s="330">
        <v>2</v>
      </c>
      <c r="K24" s="885"/>
      <c r="L24" s="875"/>
      <c r="M24" s="4557">
        <f>F2_DMI_Lact_Cow_lb/F2_Unadjusted_Milk_Production_lb_day</f>
        <v>0.74461538461538457</v>
      </c>
      <c r="N24" s="4558"/>
      <c r="O24" s="892" t="s">
        <v>215</v>
      </c>
      <c r="P24" s="321"/>
      <c r="Q24" s="626">
        <f>M24*Defaults!$D$9</f>
        <v>0.33775179911276643</v>
      </c>
      <c r="R24" s="3837" t="s">
        <v>165</v>
      </c>
      <c r="S24" s="894"/>
      <c r="T24" s="2057">
        <v>2</v>
      </c>
      <c r="U24" s="889"/>
      <c r="V24" s="534"/>
      <c r="W24" s="4559">
        <f>F3_DMI_Lact_Cow_lb/F3_Unadjusted_Milk_Production_lb_day</f>
        <v>0.78833333333333333</v>
      </c>
      <c r="X24" s="4560"/>
      <c r="Y24" s="582" t="s">
        <v>215</v>
      </c>
      <c r="Z24" s="581"/>
      <c r="AA24" s="627">
        <f>W24*Defaults!$D$9</f>
        <v>0.35758192368188724</v>
      </c>
      <c r="AB24" s="572" t="s">
        <v>165</v>
      </c>
      <c r="AC24" s="929"/>
      <c r="AD24" s="2646">
        <v>2</v>
      </c>
      <c r="AE24" s="938"/>
      <c r="AF24" s="941"/>
      <c r="AG24" s="4184">
        <f>F4_DMI_Lact_Cow_lb/F4_Unadjusted_Milk_Production_lb_day</f>
        <v>0.78099999999999992</v>
      </c>
      <c r="AH24" s="4185"/>
      <c r="AI24" s="912" t="s">
        <v>215</v>
      </c>
      <c r="AJ24" s="563"/>
      <c r="AK24" s="625">
        <f>AG24*Defaults!$D$9</f>
        <v>0.35425558020577663</v>
      </c>
      <c r="AL24" s="3836" t="s">
        <v>165</v>
      </c>
      <c r="AM24" s="914"/>
      <c r="AN24" s="649">
        <v>2</v>
      </c>
      <c r="AO24" s="943"/>
      <c r="AP24" s="39"/>
    </row>
    <row r="25" spans="1:44" s="39" customFormat="1" ht="2.25" customHeight="1">
      <c r="A25" s="208"/>
      <c r="B25" s="198"/>
      <c r="C25" s="895"/>
      <c r="D25" s="896"/>
      <c r="E25" s="319"/>
      <c r="F25" s="320"/>
      <c r="G25" s="876"/>
      <c r="H25" s="883"/>
      <c r="I25" s="884"/>
      <c r="J25" s="874"/>
      <c r="K25" s="885"/>
      <c r="L25" s="875"/>
      <c r="M25" s="897"/>
      <c r="N25" s="898"/>
      <c r="O25" s="886"/>
      <c r="P25" s="321"/>
      <c r="Q25" s="880"/>
      <c r="R25" s="887"/>
      <c r="S25" s="888"/>
      <c r="T25" s="875"/>
      <c r="U25" s="889"/>
      <c r="V25" s="524"/>
      <c r="W25" s="930"/>
      <c r="X25" s="931"/>
      <c r="Y25" s="572"/>
      <c r="Z25" s="581"/>
      <c r="AA25" s="922"/>
      <c r="AB25" s="926"/>
      <c r="AC25" s="927"/>
      <c r="AD25" s="937"/>
      <c r="AE25" s="938"/>
      <c r="AF25" s="941"/>
      <c r="AG25" s="915"/>
      <c r="AH25" s="916"/>
      <c r="AI25" s="942"/>
      <c r="AJ25" s="563"/>
      <c r="AK25" s="909"/>
      <c r="AL25" s="910"/>
      <c r="AM25" s="911"/>
      <c r="AN25" s="941"/>
      <c r="AO25" s="943"/>
    </row>
    <row r="26" spans="1:44" s="21" customFormat="1">
      <c r="A26" s="208" t="s">
        <v>1398</v>
      </c>
      <c r="B26" s="195"/>
      <c r="C26" s="4555">
        <f>F1_DMI_Lact_Cow_lb/F1_ECM_Production_lb_day</f>
        <v>0.68005952380952384</v>
      </c>
      <c r="D26" s="4556"/>
      <c r="E26" s="333" t="s">
        <v>215</v>
      </c>
      <c r="F26" s="320"/>
      <c r="G26" s="890">
        <f>C26*Defaults!$D$9</f>
        <v>0.30846975823509226</v>
      </c>
      <c r="H26" s="319" t="s">
        <v>165</v>
      </c>
      <c r="I26" s="884"/>
      <c r="J26" s="330">
        <v>2</v>
      </c>
      <c r="K26" s="885"/>
      <c r="L26" s="875"/>
      <c r="M26" s="4557">
        <f>F2_DMI_Lact_Cow_lb/F2_ECM_Production_lb_day</f>
        <v>0.73250992558516415</v>
      </c>
      <c r="N26" s="4558"/>
      <c r="O26" s="892" t="s">
        <v>215</v>
      </c>
      <c r="P26" s="321"/>
      <c r="Q26" s="893">
        <f>M26*Defaults!$D$9</f>
        <v>0.33226085620315315</v>
      </c>
      <c r="R26" s="3837" t="s">
        <v>165</v>
      </c>
      <c r="S26" s="888"/>
      <c r="T26" s="2057">
        <v>2</v>
      </c>
      <c r="U26" s="889"/>
      <c r="V26" s="534"/>
      <c r="W26" s="4559">
        <f>F3_DMI_Lact_Cow_lb/F3_ECM_Production_lb_day</f>
        <v>0.75406124954166465</v>
      </c>
      <c r="X26" s="4560"/>
      <c r="Y26" s="582" t="s">
        <v>215</v>
      </c>
      <c r="Z26" s="581"/>
      <c r="AA26" s="928">
        <f>W26*Defaults!$D$9</f>
        <v>0.34203637063646009</v>
      </c>
      <c r="AB26" s="572" t="s">
        <v>165</v>
      </c>
      <c r="AC26" s="927"/>
      <c r="AD26" s="2646">
        <v>2</v>
      </c>
      <c r="AE26" s="938"/>
      <c r="AF26" s="941"/>
      <c r="AG26" s="4184">
        <f>F4_DMI_Lact_Cow_lb/F4_ECM_Production_lb_day</f>
        <v>0.64659811567565773</v>
      </c>
      <c r="AH26" s="4185"/>
      <c r="AI26" s="912" t="s">
        <v>215</v>
      </c>
      <c r="AJ26" s="563"/>
      <c r="AK26" s="625">
        <f>AG26*Defaults!$D$9</f>
        <v>0.29329192141951604</v>
      </c>
      <c r="AL26" s="3836" t="s">
        <v>165</v>
      </c>
      <c r="AM26" s="911"/>
      <c r="AN26" s="649">
        <v>2</v>
      </c>
      <c r="AO26" s="943"/>
      <c r="AP26" s="39"/>
      <c r="AQ26" s="39"/>
      <c r="AR26" s="39"/>
    </row>
    <row r="27" spans="1:44" ht="5.25" customHeight="1">
      <c r="A27" s="633"/>
      <c r="B27" s="358"/>
      <c r="C27" s="382"/>
      <c r="D27" s="382"/>
      <c r="E27" s="186"/>
      <c r="F27" s="382"/>
      <c r="G27" s="382"/>
      <c r="H27" s="382"/>
      <c r="I27" s="215"/>
      <c r="J27" s="161"/>
      <c r="K27" s="382"/>
      <c r="L27" s="360"/>
      <c r="M27" s="622"/>
      <c r="N27" s="622"/>
      <c r="O27" s="44"/>
      <c r="P27" s="96"/>
      <c r="Q27" s="96"/>
      <c r="R27" s="96"/>
      <c r="S27" s="66"/>
      <c r="T27" s="85"/>
      <c r="U27" s="383"/>
      <c r="V27" s="493"/>
      <c r="W27" s="494"/>
      <c r="X27" s="494"/>
      <c r="Y27" s="511"/>
      <c r="Z27" s="494"/>
      <c r="AA27" s="494"/>
      <c r="AB27" s="494"/>
      <c r="AC27" s="569"/>
      <c r="AD27" s="568"/>
      <c r="AE27" s="494"/>
      <c r="AF27" s="607"/>
      <c r="AG27" s="623"/>
      <c r="AH27" s="623"/>
      <c r="AI27" s="465"/>
      <c r="AJ27" s="496"/>
      <c r="AK27" s="496"/>
      <c r="AL27" s="496"/>
      <c r="AM27" s="554"/>
      <c r="AN27" s="553"/>
      <c r="AO27" s="497"/>
    </row>
    <row r="28" spans="1:44" ht="5.25" customHeight="1">
      <c r="A28" s="635"/>
      <c r="B28" s="357"/>
      <c r="C28" s="366"/>
      <c r="D28" s="366"/>
      <c r="E28" s="228"/>
      <c r="F28" s="366"/>
      <c r="G28" s="366"/>
      <c r="H28" s="366"/>
      <c r="I28" s="216"/>
      <c r="J28" s="171"/>
      <c r="K28" s="366"/>
      <c r="L28" s="359"/>
      <c r="M28" s="636"/>
      <c r="N28" s="636"/>
      <c r="O28" s="53"/>
      <c r="P28" s="126"/>
      <c r="Q28" s="126"/>
      <c r="R28" s="126"/>
      <c r="S28" s="41"/>
      <c r="T28" s="42"/>
      <c r="U28" s="384"/>
      <c r="V28" s="597"/>
      <c r="W28" s="604"/>
      <c r="X28" s="604"/>
      <c r="Y28" s="564"/>
      <c r="Z28" s="604"/>
      <c r="AA28" s="604"/>
      <c r="AB28" s="604"/>
      <c r="AC28" s="532"/>
      <c r="AD28" s="419"/>
      <c r="AE28" s="604"/>
      <c r="AF28" s="612"/>
      <c r="AG28" s="637"/>
      <c r="AH28" s="637"/>
      <c r="AI28" s="556"/>
      <c r="AJ28" s="595"/>
      <c r="AK28" s="595"/>
      <c r="AL28" s="595"/>
      <c r="AM28" s="464"/>
      <c r="AN28" s="449"/>
      <c r="AO28" s="614"/>
    </row>
    <row r="29" spans="1:44">
      <c r="A29" s="632" t="s">
        <v>1609</v>
      </c>
      <c r="B29" s="358"/>
      <c r="C29" s="322"/>
      <c r="D29" s="322"/>
      <c r="E29" s="186"/>
      <c r="F29" s="382"/>
      <c r="G29" s="322"/>
      <c r="H29" s="186"/>
      <c r="I29" s="216"/>
      <c r="J29" s="225"/>
      <c r="K29" s="382"/>
      <c r="L29" s="360"/>
      <c r="M29" s="104"/>
      <c r="N29" s="104"/>
      <c r="O29" s="44"/>
      <c r="P29" s="96"/>
      <c r="Q29" s="104"/>
      <c r="R29" s="44"/>
      <c r="S29" s="41"/>
      <c r="T29" s="226"/>
      <c r="U29" s="383"/>
      <c r="V29" s="493"/>
      <c r="W29" s="591"/>
      <c r="X29" s="591"/>
      <c r="Y29" s="511"/>
      <c r="Z29" s="494"/>
      <c r="AA29" s="591"/>
      <c r="AB29" s="3883"/>
      <c r="AC29" s="431"/>
      <c r="AD29" s="431"/>
      <c r="AE29" s="494"/>
      <c r="AF29" s="607"/>
      <c r="AG29" s="593"/>
      <c r="AH29" s="593"/>
      <c r="AI29" s="593"/>
      <c r="AJ29" s="593"/>
      <c r="AK29" s="593"/>
      <c r="AL29" s="1025"/>
      <c r="AM29" s="434"/>
      <c r="AN29" s="434"/>
      <c r="AO29" s="497"/>
    </row>
    <row r="30" spans="1:44" ht="2.25" customHeight="1">
      <c r="A30" s="633"/>
      <c r="B30" s="358"/>
      <c r="C30" s="382"/>
      <c r="D30" s="382"/>
      <c r="E30" s="186"/>
      <c r="F30" s="382"/>
      <c r="G30" s="382"/>
      <c r="H30" s="382"/>
      <c r="I30" s="216"/>
      <c r="J30" s="171"/>
      <c r="K30" s="382"/>
      <c r="L30" s="360"/>
      <c r="M30" s="96"/>
      <c r="N30" s="96"/>
      <c r="O30" s="44"/>
      <c r="P30" s="96"/>
      <c r="Q30" s="96"/>
      <c r="R30" s="96"/>
      <c r="S30" s="41"/>
      <c r="T30" s="42"/>
      <c r="U30" s="383"/>
      <c r="V30" s="493"/>
      <c r="W30" s="494"/>
      <c r="X30" s="494"/>
      <c r="Y30" s="511"/>
      <c r="Z30" s="494"/>
      <c r="AA30" s="494"/>
      <c r="AB30" s="494"/>
      <c r="AC30" s="532"/>
      <c r="AD30" s="419"/>
      <c r="AE30" s="494"/>
      <c r="AF30" s="607"/>
      <c r="AG30" s="496"/>
      <c r="AH30" s="496"/>
      <c r="AI30" s="465"/>
      <c r="AJ30" s="496"/>
      <c r="AK30" s="496"/>
      <c r="AL30" s="496"/>
      <c r="AM30" s="464"/>
      <c r="AN30" s="449"/>
      <c r="AO30" s="497"/>
    </row>
    <row r="31" spans="1:44" s="21" customFormat="1">
      <c r="A31" s="208" t="s">
        <v>205</v>
      </c>
      <c r="B31" s="195"/>
      <c r="C31" s="4555">
        <f>F1_Unadjusted_Milk_Production_lb_day/F1_DMI_Lact_Cow_lb</f>
        <v>1.4919435050726078</v>
      </c>
      <c r="D31" s="4556"/>
      <c r="E31" s="333" t="s">
        <v>215</v>
      </c>
      <c r="F31" s="320"/>
      <c r="G31" s="624">
        <f>C31*Defaults!$D$9</f>
        <v>0.67673407429415711</v>
      </c>
      <c r="H31" s="319" t="s">
        <v>165</v>
      </c>
      <c r="I31" s="891"/>
      <c r="J31" s="330">
        <v>3</v>
      </c>
      <c r="K31" s="885"/>
      <c r="L31" s="875"/>
      <c r="M31" s="4557">
        <f>F2_Unadjusted_Milk_Production_lb_day/F2_DMI_Lact_Cow_lb</f>
        <v>1.3429752066115703</v>
      </c>
      <c r="N31" s="4558"/>
      <c r="O31" s="892" t="s">
        <v>215</v>
      </c>
      <c r="P31" s="321"/>
      <c r="Q31" s="626">
        <f>M31*Defaults!$D$9</f>
        <v>0.60916320233054366</v>
      </c>
      <c r="R31" s="3837" t="s">
        <v>165</v>
      </c>
      <c r="S31" s="894"/>
      <c r="T31" s="2057">
        <v>3</v>
      </c>
      <c r="U31" s="889"/>
      <c r="V31" s="534"/>
      <c r="W31" s="4559">
        <f>F3_Unadjusted_Milk_Production_lb_day/F3_DMI_Lact_Cow_lb</f>
        <v>1.2684989429175477</v>
      </c>
      <c r="X31" s="4560"/>
      <c r="Y31" s="582" t="s">
        <v>215</v>
      </c>
      <c r="Z31" s="581"/>
      <c r="AA31" s="627">
        <f>W31*Defaults!$D$9</f>
        <v>0.57538134316731138</v>
      </c>
      <c r="AB31" s="511" t="s">
        <v>166</v>
      </c>
      <c r="AC31" s="532"/>
      <c r="AD31" s="2646">
        <v>3</v>
      </c>
      <c r="AE31" s="938"/>
      <c r="AF31" s="941"/>
      <c r="AG31" s="4184">
        <f>F4_Unadjusted_Milk_Production_lb_day/F4_DMI_Lact_Cow_lb</f>
        <v>1.2804097311139566</v>
      </c>
      <c r="AH31" s="4185"/>
      <c r="AI31" s="465" t="s">
        <v>831</v>
      </c>
      <c r="AJ31" s="496"/>
      <c r="AK31" s="625">
        <f>AG31*Defaults!$D$9</f>
        <v>0.58078398488719229</v>
      </c>
      <c r="AL31" s="465" t="s">
        <v>166</v>
      </c>
      <c r="AM31" s="464"/>
      <c r="AN31" s="649">
        <v>3</v>
      </c>
      <c r="AO31" s="943"/>
      <c r="AP31" s="39"/>
    </row>
    <row r="32" spans="1:44" s="39" customFormat="1" ht="2.25" customHeight="1">
      <c r="A32" s="208"/>
      <c r="B32" s="198"/>
      <c r="C32" s="895"/>
      <c r="D32" s="896"/>
      <c r="E32" s="319"/>
      <c r="F32" s="320"/>
      <c r="G32" s="876"/>
      <c r="H32" s="883"/>
      <c r="I32" s="884"/>
      <c r="J32" s="874"/>
      <c r="K32" s="885"/>
      <c r="L32" s="875"/>
      <c r="M32" s="897"/>
      <c r="N32" s="898"/>
      <c r="O32" s="886"/>
      <c r="P32" s="321"/>
      <c r="Q32" s="880"/>
      <c r="R32" s="887"/>
      <c r="S32" s="888"/>
      <c r="T32" s="875"/>
      <c r="U32" s="889"/>
      <c r="V32" s="524"/>
      <c r="W32" s="930"/>
      <c r="X32" s="931"/>
      <c r="Y32" s="572"/>
      <c r="Z32" s="581"/>
      <c r="AA32" s="922"/>
      <c r="AB32" s="926"/>
      <c r="AC32" s="927"/>
      <c r="AD32" s="937"/>
      <c r="AE32" s="938"/>
      <c r="AF32" s="941"/>
      <c r="AG32" s="915"/>
      <c r="AH32" s="916"/>
      <c r="AI32" s="942"/>
      <c r="AJ32" s="563"/>
      <c r="AK32" s="909"/>
      <c r="AL32" s="910"/>
      <c r="AM32" s="911"/>
      <c r="AN32" s="941"/>
      <c r="AO32" s="943"/>
    </row>
    <row r="33" spans="1:44" s="21" customFormat="1">
      <c r="A33" s="208" t="s">
        <v>1398</v>
      </c>
      <c r="B33" s="195"/>
      <c r="C33" s="4555">
        <f>F1_ECM_Production_lb_day/F1_DMI_Lact_Cow_lb</f>
        <v>1.4704595185995624</v>
      </c>
      <c r="D33" s="4556"/>
      <c r="E33" s="333" t="s">
        <v>215</v>
      </c>
      <c r="F33" s="320"/>
      <c r="G33" s="890">
        <f>C33*Defaults!$D$9</f>
        <v>0.6669891036243214</v>
      </c>
      <c r="H33" s="319" t="s">
        <v>165</v>
      </c>
      <c r="I33" s="884"/>
      <c r="J33" s="330">
        <v>3</v>
      </c>
      <c r="K33" s="885"/>
      <c r="L33" s="875"/>
      <c r="M33" s="4557">
        <f>F2_ECM_Production_lb_day/F2_DMI_Lact_Cow_lb</f>
        <v>1.365169214876033</v>
      </c>
      <c r="N33" s="4558"/>
      <c r="O33" s="892" t="s">
        <v>215</v>
      </c>
      <c r="P33" s="321"/>
      <c r="Q33" s="893">
        <f>M33*Defaults!$D$9</f>
        <v>0.61923023341225825</v>
      </c>
      <c r="R33" s="3837" t="s">
        <v>165</v>
      </c>
      <c r="S33" s="888"/>
      <c r="T33" s="2057">
        <v>3</v>
      </c>
      <c r="U33" s="889"/>
      <c r="V33" s="534"/>
      <c r="W33" s="4559">
        <f>F3_ECM_Production_lb_day/F3_DMI_Lact_Cow_lb</f>
        <v>1.3261522198731501</v>
      </c>
      <c r="X33" s="4560"/>
      <c r="Y33" s="582" t="s">
        <v>215</v>
      </c>
      <c r="Z33" s="581"/>
      <c r="AA33" s="928">
        <f>W33*Defaults!$D$9</f>
        <v>0.60153242521426564</v>
      </c>
      <c r="AB33" s="572" t="s">
        <v>165</v>
      </c>
      <c r="AC33" s="927"/>
      <c r="AD33" s="2646">
        <v>3</v>
      </c>
      <c r="AE33" s="938"/>
      <c r="AF33" s="941"/>
      <c r="AG33" s="4184">
        <f>F4_ECM_Production_lb_day/F4_DMI_Lact_Cow_lb</f>
        <v>1.5465556978233035</v>
      </c>
      <c r="AH33" s="4185"/>
      <c r="AI33" s="912" t="s">
        <v>215</v>
      </c>
      <c r="AJ33" s="563"/>
      <c r="AK33" s="625">
        <f>AG33*Defaults!$D$9</f>
        <v>0.70150574398584398</v>
      </c>
      <c r="AL33" s="3836" t="s">
        <v>165</v>
      </c>
      <c r="AM33" s="911"/>
      <c r="AN33" s="649">
        <v>3</v>
      </c>
      <c r="AO33" s="943"/>
      <c r="AP33" s="39"/>
      <c r="AQ33" s="39"/>
      <c r="AR33" s="39"/>
    </row>
    <row r="34" spans="1:44" ht="5.25" customHeight="1">
      <c r="A34" s="633"/>
      <c r="B34" s="358"/>
      <c r="C34" s="382"/>
      <c r="D34" s="382"/>
      <c r="E34" s="186"/>
      <c r="F34" s="382"/>
      <c r="G34" s="382"/>
      <c r="H34" s="382"/>
      <c r="I34" s="215"/>
      <c r="J34" s="161"/>
      <c r="K34" s="382"/>
      <c r="L34" s="360"/>
      <c r="M34" s="622"/>
      <c r="N34" s="622"/>
      <c r="O34" s="44"/>
      <c r="P34" s="96"/>
      <c r="Q34" s="96"/>
      <c r="R34" s="44"/>
      <c r="S34" s="66"/>
      <c r="T34" s="85"/>
      <c r="U34" s="383"/>
      <c r="V34" s="493"/>
      <c r="W34" s="494"/>
      <c r="X34" s="494"/>
      <c r="Y34" s="511"/>
      <c r="Z34" s="494"/>
      <c r="AA34" s="494"/>
      <c r="AB34" s="494"/>
      <c r="AC34" s="569"/>
      <c r="AD34" s="568"/>
      <c r="AE34" s="494"/>
      <c r="AF34" s="607"/>
      <c r="AG34" s="623"/>
      <c r="AH34" s="623"/>
      <c r="AI34" s="465"/>
      <c r="AJ34" s="496"/>
      <c r="AK34" s="496"/>
      <c r="AL34" s="465"/>
      <c r="AM34" s="554"/>
      <c r="AN34" s="553"/>
      <c r="AO34" s="497"/>
    </row>
    <row r="35" spans="1:44" ht="20.25" customHeight="1">
      <c r="A35" s="4552" t="s">
        <v>885</v>
      </c>
      <c r="B35" s="4553"/>
      <c r="C35" s="4553"/>
      <c r="D35" s="4553"/>
      <c r="E35" s="4553"/>
      <c r="F35" s="4553"/>
      <c r="G35" s="4553"/>
      <c r="H35" s="4553"/>
      <c r="I35" s="4553"/>
      <c r="J35" s="4553"/>
      <c r="K35" s="4553"/>
      <c r="L35" s="4553"/>
      <c r="M35" s="4553"/>
      <c r="N35" s="4553"/>
      <c r="O35" s="4553"/>
      <c r="P35" s="4553"/>
      <c r="Q35" s="4553"/>
      <c r="R35" s="4553"/>
      <c r="S35" s="4553"/>
      <c r="T35" s="4553"/>
      <c r="U35" s="4553"/>
      <c r="V35" s="4553"/>
      <c r="W35" s="4553"/>
      <c r="X35" s="4553"/>
      <c r="Y35" s="4553"/>
      <c r="Z35" s="4553"/>
      <c r="AA35" s="4553"/>
      <c r="AB35" s="4553"/>
      <c r="AC35" s="4553"/>
      <c r="AD35" s="4553"/>
      <c r="AE35" s="4553"/>
      <c r="AF35" s="4553"/>
      <c r="AG35" s="4553"/>
      <c r="AH35" s="4553"/>
      <c r="AI35" s="4553"/>
      <c r="AJ35" s="4553"/>
      <c r="AK35" s="4553"/>
      <c r="AL35" s="4553"/>
      <c r="AM35" s="4553"/>
      <c r="AN35" s="4553"/>
      <c r="AO35" s="4554"/>
    </row>
    <row r="36" spans="1:44" ht="5.25" customHeight="1">
      <c r="A36" s="633"/>
      <c r="B36" s="358"/>
      <c r="C36" s="382"/>
      <c r="D36" s="382"/>
      <c r="E36" s="186"/>
      <c r="F36" s="382"/>
      <c r="G36" s="382"/>
      <c r="H36" s="382"/>
      <c r="I36" s="216"/>
      <c r="J36" s="171"/>
      <c r="K36" s="382"/>
      <c r="L36" s="360"/>
      <c r="M36" s="622"/>
      <c r="N36" s="622"/>
      <c r="O36" s="44" t="s">
        <v>832</v>
      </c>
      <c r="P36" s="96"/>
      <c r="Q36" s="96"/>
      <c r="R36" s="96"/>
      <c r="S36" s="41"/>
      <c r="T36" s="42"/>
      <c r="U36" s="383"/>
      <c r="V36" s="493"/>
      <c r="W36" s="494"/>
      <c r="X36" s="494"/>
      <c r="Y36" s="511"/>
      <c r="Z36" s="494"/>
      <c r="AA36" s="494"/>
      <c r="AB36" s="494"/>
      <c r="AC36" s="532"/>
      <c r="AD36" s="419"/>
      <c r="AE36" s="494"/>
      <c r="AF36" s="607"/>
      <c r="AG36" s="623"/>
      <c r="AH36" s="623"/>
      <c r="AI36" s="465" t="s">
        <v>832</v>
      </c>
      <c r="AJ36" s="496"/>
      <c r="AK36" s="496"/>
      <c r="AL36" s="496"/>
      <c r="AM36" s="464"/>
      <c r="AN36" s="449"/>
      <c r="AO36" s="497"/>
    </row>
    <row r="37" spans="1:44">
      <c r="A37" s="619" t="s">
        <v>170</v>
      </c>
      <c r="B37" s="358"/>
      <c r="C37" s="186" t="s">
        <v>118</v>
      </c>
      <c r="D37" s="382"/>
      <c r="E37" s="382"/>
      <c r="F37" s="382"/>
      <c r="G37" s="382"/>
      <c r="H37" s="1132"/>
      <c r="I37" s="878"/>
      <c r="J37" s="316"/>
      <c r="K37" s="1180"/>
      <c r="L37" s="2070"/>
      <c r="M37" s="880" t="s">
        <v>118</v>
      </c>
      <c r="N37" s="880"/>
      <c r="O37" s="1159"/>
      <c r="P37" s="1159"/>
      <c r="Q37" s="1159"/>
      <c r="R37" s="1159"/>
      <c r="S37" s="2133"/>
      <c r="T37" s="317"/>
      <c r="U37" s="383"/>
      <c r="V37" s="493"/>
      <c r="W37" s="511" t="s">
        <v>118</v>
      </c>
      <c r="X37" s="494"/>
      <c r="Y37" s="494"/>
      <c r="Z37" s="494"/>
      <c r="AA37" s="494"/>
      <c r="AB37" s="1070"/>
      <c r="AC37" s="924"/>
      <c r="AD37" s="573"/>
      <c r="AE37" s="1306"/>
      <c r="AF37" s="2058"/>
      <c r="AG37" s="909" t="s">
        <v>118</v>
      </c>
      <c r="AH37" s="909"/>
      <c r="AI37" s="1072"/>
      <c r="AJ37" s="1072"/>
      <c r="AK37" s="1072"/>
      <c r="AL37" s="1072"/>
      <c r="AM37" s="2138"/>
      <c r="AN37" s="558"/>
      <c r="AO37" s="497"/>
    </row>
    <row r="38" spans="1:44" ht="2.25" customHeight="1">
      <c r="A38" s="633"/>
      <c r="B38" s="358"/>
      <c r="C38" s="382"/>
      <c r="D38" s="382"/>
      <c r="E38" s="186"/>
      <c r="F38" s="382"/>
      <c r="G38" s="382"/>
      <c r="H38" s="382"/>
      <c r="I38" s="216"/>
      <c r="J38" s="186"/>
      <c r="K38" s="382"/>
      <c r="L38" s="360"/>
      <c r="M38" s="622"/>
      <c r="N38" s="622"/>
      <c r="O38" s="44"/>
      <c r="P38" s="96"/>
      <c r="Q38" s="96"/>
      <c r="R38" s="96"/>
      <c r="S38" s="41"/>
      <c r="T38" s="44"/>
      <c r="U38" s="383"/>
      <c r="V38" s="493"/>
      <c r="W38" s="494"/>
      <c r="X38" s="494"/>
      <c r="Y38" s="511"/>
      <c r="Z38" s="494"/>
      <c r="AA38" s="494"/>
      <c r="AB38" s="494"/>
      <c r="AC38" s="532"/>
      <c r="AD38" s="511"/>
      <c r="AE38" s="494"/>
      <c r="AF38" s="607"/>
      <c r="AG38" s="623"/>
      <c r="AH38" s="623"/>
      <c r="AI38" s="465"/>
      <c r="AJ38" s="496"/>
      <c r="AK38" s="496"/>
      <c r="AL38" s="496"/>
      <c r="AM38" s="464"/>
      <c r="AN38" s="465"/>
      <c r="AO38" s="497"/>
    </row>
    <row r="39" spans="1:44">
      <c r="A39" s="836" t="s">
        <v>702</v>
      </c>
      <c r="B39" s="358"/>
      <c r="C39" s="382"/>
      <c r="D39" s="4166"/>
      <c r="E39" s="4167"/>
      <c r="F39" s="186" t="s">
        <v>257</v>
      </c>
      <c r="G39" s="624">
        <f>D39*Defaults!$D$9</f>
        <v>0</v>
      </c>
      <c r="H39" s="186" t="s">
        <v>36</v>
      </c>
      <c r="I39" s="216"/>
      <c r="J39" s="802"/>
      <c r="K39" s="382"/>
      <c r="L39" s="360"/>
      <c r="M39" s="96"/>
      <c r="N39" s="4166"/>
      <c r="O39" s="4167"/>
      <c r="P39" s="44" t="s">
        <v>257</v>
      </c>
      <c r="Q39" s="626">
        <f>N39*Defaults!$D$9</f>
        <v>0</v>
      </c>
      <c r="R39" s="44" t="s">
        <v>36</v>
      </c>
      <c r="S39" s="41"/>
      <c r="T39" s="802"/>
      <c r="U39" s="383"/>
      <c r="V39" s="493"/>
      <c r="W39" s="494"/>
      <c r="X39" s="4164"/>
      <c r="Y39" s="4165"/>
      <c r="Z39" s="511" t="s">
        <v>257</v>
      </c>
      <c r="AA39" s="627">
        <f>X39*Defaults!$D$9</f>
        <v>0</v>
      </c>
      <c r="AB39" s="511" t="s">
        <v>36</v>
      </c>
      <c r="AC39" s="532"/>
      <c r="AD39" s="2796"/>
      <c r="AE39" s="494"/>
      <c r="AF39" s="607"/>
      <c r="AG39" s="496"/>
      <c r="AH39" s="4164">
        <v>18</v>
      </c>
      <c r="AI39" s="4165"/>
      <c r="AJ39" s="465" t="s">
        <v>257</v>
      </c>
      <c r="AK39" s="625">
        <f>AH39*Defaults!$D$9</f>
        <v>8.1646612595441486</v>
      </c>
      <c r="AL39" s="465" t="s">
        <v>36</v>
      </c>
      <c r="AM39" s="464"/>
      <c r="AN39" s="2796"/>
      <c r="AO39" s="497"/>
      <c r="AP39" s="2351" t="str">
        <f>IF(AP41=FALSE,"If UR and IC values differ significantly, check accuracy of input parameter values used in the IC formula."," ")</f>
        <v xml:space="preserve"> </v>
      </c>
    </row>
    <row r="40" spans="1:44" ht="2.25" customHeight="1">
      <c r="A40" s="837"/>
      <c r="B40" s="358"/>
      <c r="C40" s="382"/>
      <c r="D40" s="382"/>
      <c r="E40" s="382"/>
      <c r="F40" s="186"/>
      <c r="G40" s="382"/>
      <c r="H40" s="382"/>
      <c r="I40" s="216"/>
      <c r="J40" s="171">
        <v>3</v>
      </c>
      <c r="K40" s="382"/>
      <c r="L40" s="360"/>
      <c r="M40" s="96"/>
      <c r="N40" s="96"/>
      <c r="O40" s="96"/>
      <c r="P40" s="44"/>
      <c r="Q40" s="96"/>
      <c r="R40" s="96"/>
      <c r="S40" s="41"/>
      <c r="T40" s="42"/>
      <c r="U40" s="383"/>
      <c r="V40" s="493"/>
      <c r="W40" s="494"/>
      <c r="X40" s="494"/>
      <c r="Y40" s="494"/>
      <c r="Z40" s="511"/>
      <c r="AA40" s="494"/>
      <c r="AB40" s="494"/>
      <c r="AC40" s="532"/>
      <c r="AD40" s="419">
        <v>3</v>
      </c>
      <c r="AE40" s="494"/>
      <c r="AF40" s="607"/>
      <c r="AG40" s="496"/>
      <c r="AH40" s="496"/>
      <c r="AI40" s="496"/>
      <c r="AJ40" s="465"/>
      <c r="AK40" s="496"/>
      <c r="AL40" s="496"/>
      <c r="AM40" s="464"/>
      <c r="AN40" s="449"/>
      <c r="AO40" s="497"/>
      <c r="AP40" s="21"/>
    </row>
    <row r="41" spans="1:44">
      <c r="A41" s="836" t="s">
        <v>712</v>
      </c>
      <c r="B41" s="358"/>
      <c r="C41" s="382"/>
      <c r="D41" s="4555">
        <f>F1_DMI_Dry_Cow_projected_kg*Defaults!$D$8</f>
        <v>22.928079200000003</v>
      </c>
      <c r="E41" s="4556"/>
      <c r="F41" s="186" t="s">
        <v>257</v>
      </c>
      <c r="G41" s="624">
        <f>Defaults!$L$12/Defaults!$I$12*F1_Dry_Cow_Weight_kg</f>
        <v>10.4</v>
      </c>
      <c r="H41" s="186" t="s">
        <v>36</v>
      </c>
      <c r="I41" s="216"/>
      <c r="J41" s="330">
        <v>4</v>
      </c>
      <c r="K41" s="382"/>
      <c r="L41" s="360"/>
      <c r="M41" s="96"/>
      <c r="N41" s="4557">
        <f>F2_DMI_Dry_Cow_projected_kg*Defaults!$D$8</f>
        <v>22.928079200000003</v>
      </c>
      <c r="O41" s="4558"/>
      <c r="P41" s="44" t="s">
        <v>257</v>
      </c>
      <c r="Q41" s="626">
        <f>Defaults!$L$12/Defaults!$I$12*F2_Dry_Cow_Weight_kg</f>
        <v>10.4</v>
      </c>
      <c r="R41" s="44" t="s">
        <v>36</v>
      </c>
      <c r="S41" s="41"/>
      <c r="T41" s="2057">
        <v>4</v>
      </c>
      <c r="U41" s="383"/>
      <c r="V41" s="493"/>
      <c r="W41" s="494"/>
      <c r="X41" s="4559">
        <f>F3_DMI_Dry_Cow_projected_kg*Defaults!$D$8</f>
        <v>22.928079200000003</v>
      </c>
      <c r="Y41" s="4560"/>
      <c r="Z41" s="511" t="s">
        <v>257</v>
      </c>
      <c r="AA41" s="627">
        <f>Defaults!$L$12/Defaults!$I$12*F3_Dry_Cow_Weight_kg</f>
        <v>10.4</v>
      </c>
      <c r="AB41" s="511" t="s">
        <v>36</v>
      </c>
      <c r="AC41" s="532"/>
      <c r="AD41" s="2646">
        <v>4</v>
      </c>
      <c r="AE41" s="494"/>
      <c r="AF41" s="607"/>
      <c r="AG41" s="496"/>
      <c r="AH41" s="4184">
        <f>F4_DMI_Dry_Cow_projected_kg*Defaults!$D$8</f>
        <v>15.184158410596027</v>
      </c>
      <c r="AI41" s="4185"/>
      <c r="AJ41" s="465" t="s">
        <v>257</v>
      </c>
      <c r="AK41" s="625">
        <f>Defaults!$L$12/Defaults!$I$12*F4_Dry_Cow_Weight_kg</f>
        <v>6.887417218543046</v>
      </c>
      <c r="AL41" s="465" t="s">
        <v>36</v>
      </c>
      <c r="AM41" s="464"/>
      <c r="AN41" s="649">
        <v>4</v>
      </c>
      <c r="AO41" s="497"/>
      <c r="AP41" s="3651" t="str">
        <f>IF(Options!AE9=2,IF(Options!AF9=2,IF(Options!AG9=2,IF(Options!AH9=2," ",FALSE))))</f>
        <v xml:space="preserve"> </v>
      </c>
    </row>
    <row r="42" spans="1:44" ht="5.25" customHeight="1">
      <c r="A42" s="638"/>
      <c r="B42" s="498"/>
      <c r="C42" s="499"/>
      <c r="D42" s="499"/>
      <c r="E42" s="190"/>
      <c r="F42" s="499"/>
      <c r="G42" s="499"/>
      <c r="H42" s="499"/>
      <c r="I42" s="215"/>
      <c r="J42" s="161"/>
      <c r="K42" s="499"/>
      <c r="L42" s="500"/>
      <c r="M42" s="639"/>
      <c r="N42" s="639"/>
      <c r="O42" s="67"/>
      <c r="P42" s="501"/>
      <c r="Q42" s="501"/>
      <c r="R42" s="501"/>
      <c r="S42" s="66"/>
      <c r="T42" s="85"/>
      <c r="U42" s="648"/>
      <c r="V42" s="502"/>
      <c r="W42" s="503"/>
      <c r="X42" s="503"/>
      <c r="Y42" s="516"/>
      <c r="Z42" s="503"/>
      <c r="AA42" s="503"/>
      <c r="AB42" s="503"/>
      <c r="AC42" s="569"/>
      <c r="AD42" s="568"/>
      <c r="AE42" s="503"/>
      <c r="AF42" s="917"/>
      <c r="AG42" s="640"/>
      <c r="AH42" s="640"/>
      <c r="AI42" s="469"/>
      <c r="AJ42" s="505"/>
      <c r="AK42" s="505"/>
      <c r="AL42" s="505"/>
      <c r="AM42" s="554"/>
      <c r="AN42" s="553"/>
      <c r="AO42" s="506"/>
    </row>
    <row r="43" spans="1:44" ht="5.25" customHeight="1">
      <c r="A43" s="633"/>
      <c r="B43" s="358"/>
      <c r="C43" s="382"/>
      <c r="D43" s="382"/>
      <c r="E43" s="186"/>
      <c r="F43" s="382"/>
      <c r="G43" s="382"/>
      <c r="H43" s="382"/>
      <c r="I43" s="216"/>
      <c r="J43" s="171"/>
      <c r="K43" s="382"/>
      <c r="L43" s="360"/>
      <c r="M43" s="622"/>
      <c r="N43" s="622"/>
      <c r="O43" s="44"/>
      <c r="P43" s="96"/>
      <c r="Q43" s="96"/>
      <c r="R43" s="96"/>
      <c r="S43" s="41"/>
      <c r="T43" s="42"/>
      <c r="U43" s="383"/>
      <c r="V43" s="493"/>
      <c r="W43" s="494"/>
      <c r="X43" s="494"/>
      <c r="Y43" s="511"/>
      <c r="Z43" s="494"/>
      <c r="AA43" s="494"/>
      <c r="AB43" s="494"/>
      <c r="AC43" s="532"/>
      <c r="AD43" s="419"/>
      <c r="AE43" s="494"/>
      <c r="AF43" s="607"/>
      <c r="AG43" s="623"/>
      <c r="AH43" s="623"/>
      <c r="AI43" s="465"/>
      <c r="AJ43" s="496"/>
      <c r="AK43" s="496"/>
      <c r="AL43" s="496"/>
      <c r="AM43" s="464"/>
      <c r="AN43" s="449"/>
      <c r="AO43" s="497"/>
    </row>
    <row r="44" spans="1:44">
      <c r="A44" s="619" t="s">
        <v>191</v>
      </c>
      <c r="B44" s="358"/>
      <c r="C44" s="186" t="s">
        <v>118</v>
      </c>
      <c r="D44" s="382"/>
      <c r="E44" s="382"/>
      <c r="F44" s="382"/>
      <c r="G44" s="382"/>
      <c r="H44" s="1132"/>
      <c r="I44" s="878"/>
      <c r="J44" s="316"/>
      <c r="K44" s="1180"/>
      <c r="L44" s="2070"/>
      <c r="M44" s="880" t="s">
        <v>118</v>
      </c>
      <c r="N44" s="880"/>
      <c r="O44" s="1159"/>
      <c r="P44" s="1159"/>
      <c r="Q44" s="1159"/>
      <c r="R44" s="1159"/>
      <c r="S44" s="2133"/>
      <c r="T44" s="317"/>
      <c r="U44" s="383"/>
      <c r="V44" s="493"/>
      <c r="W44" s="511" t="s">
        <v>118</v>
      </c>
      <c r="X44" s="494"/>
      <c r="Y44" s="494"/>
      <c r="Z44" s="494"/>
      <c r="AA44" s="494"/>
      <c r="AB44" s="1070"/>
      <c r="AC44" s="924"/>
      <c r="AD44" s="573"/>
      <c r="AE44" s="1306"/>
      <c r="AF44" s="2058"/>
      <c r="AG44" s="909" t="s">
        <v>118</v>
      </c>
      <c r="AH44" s="909"/>
      <c r="AI44" s="1072"/>
      <c r="AJ44" s="1072"/>
      <c r="AK44" s="1072"/>
      <c r="AL44" s="1072"/>
      <c r="AM44" s="2138"/>
      <c r="AN44" s="558"/>
      <c r="AO44" s="497"/>
    </row>
    <row r="45" spans="1:44" ht="2.25" customHeight="1">
      <c r="A45" s="633"/>
      <c r="B45" s="358"/>
      <c r="C45" s="382"/>
      <c r="D45" s="382"/>
      <c r="E45" s="186"/>
      <c r="F45" s="382"/>
      <c r="G45" s="382"/>
      <c r="H45" s="382"/>
      <c r="I45" s="216"/>
      <c r="J45" s="186"/>
      <c r="K45" s="382"/>
      <c r="L45" s="360"/>
      <c r="M45" s="622"/>
      <c r="N45" s="622"/>
      <c r="O45" s="44"/>
      <c r="P45" s="96"/>
      <c r="Q45" s="96"/>
      <c r="R45" s="96"/>
      <c r="S45" s="41"/>
      <c r="T45" s="44"/>
      <c r="U45" s="383"/>
      <c r="V45" s="493"/>
      <c r="W45" s="494"/>
      <c r="X45" s="494"/>
      <c r="Y45" s="511"/>
      <c r="Z45" s="494"/>
      <c r="AA45" s="494"/>
      <c r="AB45" s="494"/>
      <c r="AC45" s="532"/>
      <c r="AD45" s="511"/>
      <c r="AE45" s="494"/>
      <c r="AF45" s="607"/>
      <c r="AG45" s="623"/>
      <c r="AH45" s="623"/>
      <c r="AI45" s="465"/>
      <c r="AJ45" s="496"/>
      <c r="AK45" s="496"/>
      <c r="AL45" s="496"/>
      <c r="AM45" s="464"/>
      <c r="AN45" s="465"/>
      <c r="AO45" s="497"/>
    </row>
    <row r="46" spans="1:44">
      <c r="A46" s="836" t="s">
        <v>702</v>
      </c>
      <c r="B46" s="358"/>
      <c r="C46" s="382"/>
      <c r="D46" s="4166"/>
      <c r="E46" s="4167"/>
      <c r="F46" s="186" t="s">
        <v>257</v>
      </c>
      <c r="G46" s="624">
        <f>D46*Defaults!$D$9</f>
        <v>0</v>
      </c>
      <c r="H46" s="186" t="s">
        <v>36</v>
      </c>
      <c r="I46" s="216"/>
      <c r="J46" s="802"/>
      <c r="K46" s="382"/>
      <c r="L46" s="360"/>
      <c r="M46" s="96"/>
      <c r="N46" s="4166"/>
      <c r="O46" s="4167"/>
      <c r="P46" s="44" t="s">
        <v>257</v>
      </c>
      <c r="Q46" s="626">
        <f>N46*Defaults!$D$9</f>
        <v>0</v>
      </c>
      <c r="R46" s="44" t="s">
        <v>36</v>
      </c>
      <c r="S46" s="41"/>
      <c r="T46" s="802"/>
      <c r="U46" s="383"/>
      <c r="V46" s="493"/>
      <c r="W46" s="494"/>
      <c r="X46" s="4164"/>
      <c r="Y46" s="4165"/>
      <c r="Z46" s="511" t="s">
        <v>257</v>
      </c>
      <c r="AA46" s="627">
        <f>X46*Defaults!$D$9</f>
        <v>0</v>
      </c>
      <c r="AB46" s="511" t="s">
        <v>36</v>
      </c>
      <c r="AC46" s="532"/>
      <c r="AD46" s="2796"/>
      <c r="AE46" s="494"/>
      <c r="AF46" s="607"/>
      <c r="AG46" s="496"/>
      <c r="AH46" s="4164">
        <v>15</v>
      </c>
      <c r="AI46" s="4165"/>
      <c r="AJ46" s="465" t="s">
        <v>257</v>
      </c>
      <c r="AK46" s="625">
        <f>AH46*Defaults!$D$9</f>
        <v>6.8038843829534565</v>
      </c>
      <c r="AL46" s="465" t="s">
        <v>36</v>
      </c>
      <c r="AM46" s="464"/>
      <c r="AN46" s="2796"/>
      <c r="AO46" s="497"/>
      <c r="AP46" s="2351" t="str">
        <f>IF(AP48=FALSE,"If UR and IC values differ significantly, check accuracy of input parameter values used in the IC formula."," ")</f>
        <v xml:space="preserve"> </v>
      </c>
    </row>
    <row r="47" spans="1:44" ht="2.25" customHeight="1">
      <c r="A47" s="837"/>
      <c r="B47" s="358"/>
      <c r="C47" s="382"/>
      <c r="D47" s="382"/>
      <c r="E47" s="382"/>
      <c r="F47" s="186"/>
      <c r="G47" s="382"/>
      <c r="H47" s="382"/>
      <c r="I47" s="216"/>
      <c r="J47" s="171"/>
      <c r="K47" s="382"/>
      <c r="L47" s="360"/>
      <c r="M47" s="96"/>
      <c r="N47" s="96"/>
      <c r="O47" s="96"/>
      <c r="P47" s="44"/>
      <c r="Q47" s="96"/>
      <c r="R47" s="96"/>
      <c r="S47" s="41"/>
      <c r="T47" s="42"/>
      <c r="U47" s="383"/>
      <c r="V47" s="493"/>
      <c r="W47" s="494"/>
      <c r="X47" s="494"/>
      <c r="Y47" s="494"/>
      <c r="Z47" s="511"/>
      <c r="AA47" s="494"/>
      <c r="AB47" s="494"/>
      <c r="AC47" s="532"/>
      <c r="AD47" s="419"/>
      <c r="AE47" s="494"/>
      <c r="AF47" s="607"/>
      <c r="AG47" s="496"/>
      <c r="AH47" s="496"/>
      <c r="AI47" s="496"/>
      <c r="AJ47" s="465"/>
      <c r="AK47" s="496"/>
      <c r="AL47" s="496"/>
      <c r="AM47" s="464"/>
      <c r="AN47" s="449"/>
      <c r="AO47" s="497"/>
      <c r="AP47" s="21"/>
    </row>
    <row r="48" spans="1:44">
      <c r="A48" s="836" t="s">
        <v>712</v>
      </c>
      <c r="B48" s="358"/>
      <c r="C48" s="382"/>
      <c r="D48" s="4555">
        <f>F1_DMI_Heifer_projected_kg*Defaults!$D$8</f>
        <v>18.386555820000002</v>
      </c>
      <c r="E48" s="4556"/>
      <c r="F48" s="186" t="s">
        <v>257</v>
      </c>
      <c r="G48" s="624">
        <f>Defaults!$L$13/Defaults!$I$13*F1_Heifer_Weight_kg</f>
        <v>8.34</v>
      </c>
      <c r="H48" s="186" t="s">
        <v>36</v>
      </c>
      <c r="I48" s="216"/>
      <c r="J48" s="330">
        <v>4</v>
      </c>
      <c r="K48" s="382"/>
      <c r="L48" s="360"/>
      <c r="M48" s="96"/>
      <c r="N48" s="4557">
        <f>F2_DMI_Heifer_projected_kg*Defaults!$D$8</f>
        <v>18.386555820000002</v>
      </c>
      <c r="O48" s="4558"/>
      <c r="P48" s="44" t="s">
        <v>257</v>
      </c>
      <c r="Q48" s="626">
        <f>Defaults!$L$13/Defaults!$I$13*F2_Heifer_Weight_kg</f>
        <v>8.34</v>
      </c>
      <c r="R48" s="44" t="s">
        <v>36</v>
      </c>
      <c r="S48" s="41"/>
      <c r="T48" s="2057">
        <v>4</v>
      </c>
      <c r="U48" s="383"/>
      <c r="V48" s="493"/>
      <c r="W48" s="494"/>
      <c r="X48" s="4559">
        <f>F3_DMI_Heifer_projected_kg*Defaults!$D$8</f>
        <v>18.386555820000002</v>
      </c>
      <c r="Y48" s="4560"/>
      <c r="Z48" s="511" t="s">
        <v>257</v>
      </c>
      <c r="AA48" s="627">
        <f>Defaults!$L$13/Defaults!$I$13*F3_Heifer_Weight_kg</f>
        <v>8.34</v>
      </c>
      <c r="AB48" s="511" t="s">
        <v>36</v>
      </c>
      <c r="AC48" s="532"/>
      <c r="AD48" s="2646">
        <v>4</v>
      </c>
      <c r="AE48" s="494"/>
      <c r="AF48" s="607"/>
      <c r="AG48" s="496"/>
      <c r="AH48" s="4184">
        <f>F4_DMI_Heifer_projected_kg*Defaults!$D$8</f>
        <v>11.570487072082381</v>
      </c>
      <c r="AI48" s="4185"/>
      <c r="AJ48" s="465" t="s">
        <v>257</v>
      </c>
      <c r="AK48" s="625">
        <f>Defaults!$L$13/Defaults!$I$13*F4_Heifer_Weight_kg</f>
        <v>5.248283752860412</v>
      </c>
      <c r="AL48" s="465" t="s">
        <v>36</v>
      </c>
      <c r="AM48" s="464"/>
      <c r="AN48" s="649">
        <v>4</v>
      </c>
      <c r="AO48" s="497"/>
      <c r="AP48" s="3651" t="str">
        <f>IF(Options!AE14=2,IF(Options!AF14=2,IF(Options!AG14=2,IF(Options!AH14=2," ",FALSE))))</f>
        <v xml:space="preserve"> </v>
      </c>
    </row>
    <row r="49" spans="1:43" ht="5.25" customHeight="1">
      <c r="A49" s="638"/>
      <c r="B49" s="498"/>
      <c r="C49" s="499"/>
      <c r="D49" s="499"/>
      <c r="E49" s="190"/>
      <c r="F49" s="499"/>
      <c r="G49" s="499"/>
      <c r="H49" s="499"/>
      <c r="I49" s="215"/>
      <c r="J49" s="161"/>
      <c r="K49" s="499"/>
      <c r="L49" s="500"/>
      <c r="M49" s="639"/>
      <c r="N49" s="639"/>
      <c r="O49" s="67"/>
      <c r="P49" s="501"/>
      <c r="Q49" s="501"/>
      <c r="R49" s="501"/>
      <c r="S49" s="66"/>
      <c r="T49" s="85"/>
      <c r="U49" s="648"/>
      <c r="V49" s="502"/>
      <c r="W49" s="503"/>
      <c r="X49" s="503"/>
      <c r="Y49" s="516"/>
      <c r="Z49" s="503"/>
      <c r="AA49" s="503"/>
      <c r="AB49" s="503"/>
      <c r="AC49" s="569"/>
      <c r="AD49" s="568"/>
      <c r="AE49" s="503"/>
      <c r="AF49" s="917"/>
      <c r="AG49" s="640"/>
      <c r="AH49" s="640"/>
      <c r="AI49" s="469"/>
      <c r="AJ49" s="505"/>
      <c r="AK49" s="505"/>
      <c r="AL49" s="505"/>
      <c r="AM49" s="554"/>
      <c r="AN49" s="553"/>
      <c r="AO49" s="506"/>
    </row>
    <row r="50" spans="1:43" ht="5.25" customHeight="1">
      <c r="A50" s="633"/>
      <c r="B50" s="358"/>
      <c r="C50" s="382"/>
      <c r="D50" s="382"/>
      <c r="E50" s="186"/>
      <c r="F50" s="382"/>
      <c r="G50" s="382"/>
      <c r="H50" s="382"/>
      <c r="I50" s="216"/>
      <c r="J50" s="171"/>
      <c r="K50" s="382"/>
      <c r="L50" s="360"/>
      <c r="M50" s="622"/>
      <c r="N50" s="622"/>
      <c r="O50" s="44"/>
      <c r="P50" s="96"/>
      <c r="Q50" s="96"/>
      <c r="R50" s="96"/>
      <c r="S50" s="41"/>
      <c r="T50" s="42"/>
      <c r="U50" s="383"/>
      <c r="V50" s="493"/>
      <c r="W50" s="494"/>
      <c r="X50" s="494"/>
      <c r="Y50" s="511"/>
      <c r="Z50" s="494"/>
      <c r="AA50" s="494"/>
      <c r="AB50" s="494"/>
      <c r="AC50" s="532"/>
      <c r="AD50" s="419"/>
      <c r="AE50" s="494"/>
      <c r="AF50" s="607"/>
      <c r="AG50" s="623"/>
      <c r="AH50" s="623"/>
      <c r="AI50" s="465"/>
      <c r="AJ50" s="496"/>
      <c r="AK50" s="496"/>
      <c r="AL50" s="496"/>
      <c r="AM50" s="464"/>
      <c r="AN50" s="449"/>
      <c r="AO50" s="497"/>
    </row>
    <row r="51" spans="1:43">
      <c r="A51" s="619" t="s">
        <v>780</v>
      </c>
      <c r="B51" s="358"/>
      <c r="C51" s="186" t="s">
        <v>118</v>
      </c>
      <c r="D51" s="382"/>
      <c r="E51" s="382"/>
      <c r="F51" s="382"/>
      <c r="G51" s="1132"/>
      <c r="H51" s="1132"/>
      <c r="I51" s="878"/>
      <c r="J51" s="316"/>
      <c r="K51" s="1180"/>
      <c r="L51" s="2070"/>
      <c r="M51" s="880" t="s">
        <v>118</v>
      </c>
      <c r="N51" s="880"/>
      <c r="O51" s="1159"/>
      <c r="P51" s="1159"/>
      <c r="Q51" s="1159"/>
      <c r="R51" s="1159"/>
      <c r="S51" s="2133"/>
      <c r="T51" s="317"/>
      <c r="U51" s="383"/>
      <c r="V51" s="493"/>
      <c r="W51" s="511" t="s">
        <v>118</v>
      </c>
      <c r="X51" s="494"/>
      <c r="Y51" s="494"/>
      <c r="Z51" s="494"/>
      <c r="AA51" s="1070"/>
      <c r="AB51" s="1070"/>
      <c r="AC51" s="924"/>
      <c r="AD51" s="573"/>
      <c r="AE51" s="1306"/>
      <c r="AF51" s="2058"/>
      <c r="AG51" s="909" t="s">
        <v>118</v>
      </c>
      <c r="AH51" s="909"/>
      <c r="AI51" s="1072"/>
      <c r="AJ51" s="1072"/>
      <c r="AK51" s="1072"/>
      <c r="AL51" s="1072"/>
      <c r="AM51" s="2138"/>
      <c r="AN51" s="558"/>
      <c r="AO51" s="497"/>
    </row>
    <row r="52" spans="1:43" ht="2.25" customHeight="1">
      <c r="A52" s="633"/>
      <c r="B52" s="358"/>
      <c r="C52" s="382"/>
      <c r="D52" s="382"/>
      <c r="E52" s="186"/>
      <c r="F52" s="382"/>
      <c r="G52" s="382"/>
      <c r="H52" s="382"/>
      <c r="I52" s="216"/>
      <c r="J52" s="186"/>
      <c r="K52" s="382"/>
      <c r="L52" s="360"/>
      <c r="M52" s="622"/>
      <c r="N52" s="622"/>
      <c r="O52" s="44"/>
      <c r="P52" s="96"/>
      <c r="Q52" s="96"/>
      <c r="R52" s="96"/>
      <c r="S52" s="41"/>
      <c r="T52" s="44"/>
      <c r="U52" s="383"/>
      <c r="V52" s="493"/>
      <c r="W52" s="494"/>
      <c r="X52" s="494"/>
      <c r="Y52" s="511"/>
      <c r="Z52" s="494"/>
      <c r="AA52" s="494"/>
      <c r="AB52" s="494"/>
      <c r="AC52" s="532"/>
      <c r="AD52" s="511"/>
      <c r="AE52" s="494"/>
      <c r="AF52" s="607"/>
      <c r="AG52" s="623"/>
      <c r="AH52" s="623"/>
      <c r="AI52" s="465"/>
      <c r="AJ52" s="496"/>
      <c r="AK52" s="496"/>
      <c r="AL52" s="496"/>
      <c r="AM52" s="464"/>
      <c r="AN52" s="465"/>
      <c r="AO52" s="497"/>
    </row>
    <row r="53" spans="1:43">
      <c r="A53" s="836" t="s">
        <v>702</v>
      </c>
      <c r="B53" s="358"/>
      <c r="C53" s="382"/>
      <c r="D53" s="4164"/>
      <c r="E53" s="4165"/>
      <c r="F53" s="186" t="s">
        <v>257</v>
      </c>
      <c r="G53" s="624">
        <f>D53*Defaults!$D$9</f>
        <v>0</v>
      </c>
      <c r="H53" s="186" t="s">
        <v>36</v>
      </c>
      <c r="I53" s="216"/>
      <c r="J53" s="802"/>
      <c r="K53" s="382"/>
      <c r="L53" s="360"/>
      <c r="M53" s="96"/>
      <c r="N53" s="4164"/>
      <c r="O53" s="4165"/>
      <c r="P53" s="44" t="s">
        <v>257</v>
      </c>
      <c r="Q53" s="626">
        <f>N53*Defaults!$D$9</f>
        <v>0</v>
      </c>
      <c r="R53" s="44" t="s">
        <v>36</v>
      </c>
      <c r="S53" s="41"/>
      <c r="T53" s="802"/>
      <c r="U53" s="383"/>
      <c r="V53" s="493"/>
      <c r="W53" s="494"/>
      <c r="X53" s="4164"/>
      <c r="Y53" s="4165"/>
      <c r="Z53" s="511" t="s">
        <v>257</v>
      </c>
      <c r="AA53" s="627">
        <f>X53*Defaults!$D$9</f>
        <v>0</v>
      </c>
      <c r="AB53" s="511" t="s">
        <v>36</v>
      </c>
      <c r="AC53" s="532"/>
      <c r="AD53" s="2796"/>
      <c r="AE53" s="494"/>
      <c r="AF53" s="607"/>
      <c r="AG53" s="496"/>
      <c r="AH53" s="4164">
        <v>5</v>
      </c>
      <c r="AI53" s="4165"/>
      <c r="AJ53" s="465" t="s">
        <v>257</v>
      </c>
      <c r="AK53" s="625">
        <f>AH53*Defaults!$D$9</f>
        <v>2.2679614609844858</v>
      </c>
      <c r="AL53" s="465" t="s">
        <v>36</v>
      </c>
      <c r="AM53" s="464"/>
      <c r="AN53" s="2796"/>
      <c r="AO53" s="497"/>
      <c r="AP53" s="2351" t="str">
        <f>IF(AP55=FALSE,"If UR and IC values differ significantly, check accuracy of input parameter values used in the IC formula."," ")</f>
        <v xml:space="preserve"> </v>
      </c>
    </row>
    <row r="54" spans="1:43" ht="2.25" customHeight="1">
      <c r="A54" s="837"/>
      <c r="B54" s="358"/>
      <c r="C54" s="382"/>
      <c r="D54" s="382"/>
      <c r="E54" s="382"/>
      <c r="F54" s="186"/>
      <c r="G54" s="382"/>
      <c r="H54" s="382"/>
      <c r="I54" s="216"/>
      <c r="J54" s="171"/>
      <c r="K54" s="382"/>
      <c r="L54" s="360"/>
      <c r="M54" s="96"/>
      <c r="N54" s="96"/>
      <c r="O54" s="96"/>
      <c r="P54" s="44"/>
      <c r="Q54" s="96"/>
      <c r="R54" s="96"/>
      <c r="S54" s="41"/>
      <c r="T54" s="42"/>
      <c r="U54" s="383"/>
      <c r="V54" s="493"/>
      <c r="W54" s="494"/>
      <c r="X54" s="494"/>
      <c r="Y54" s="494"/>
      <c r="Z54" s="511"/>
      <c r="AA54" s="494"/>
      <c r="AB54" s="494"/>
      <c r="AC54" s="532"/>
      <c r="AD54" s="419"/>
      <c r="AE54" s="494"/>
      <c r="AF54" s="607"/>
      <c r="AG54" s="496"/>
      <c r="AH54" s="496"/>
      <c r="AI54" s="496"/>
      <c r="AJ54" s="465"/>
      <c r="AK54" s="496"/>
      <c r="AL54" s="496"/>
      <c r="AM54" s="464"/>
      <c r="AN54" s="449"/>
      <c r="AO54" s="497"/>
      <c r="AP54" s="21"/>
    </row>
    <row r="55" spans="1:43">
      <c r="A55" s="836" t="s">
        <v>712</v>
      </c>
      <c r="B55" s="358"/>
      <c r="C55" s="382"/>
      <c r="D55" s="4555">
        <f>F1_DMI_Heifer_Calf_projected_kg*Defaults!$D$8</f>
        <v>7.439304090510471</v>
      </c>
      <c r="E55" s="4556"/>
      <c r="F55" s="186" t="s">
        <v>257</v>
      </c>
      <c r="G55" s="624">
        <f>Defaults!$L$14/Defaults!$I$14*F1_Calf_Weight_kg</f>
        <v>3.3744109947643977</v>
      </c>
      <c r="H55" s="186" t="s">
        <v>36</v>
      </c>
      <c r="I55" s="216"/>
      <c r="J55" s="330">
        <v>4</v>
      </c>
      <c r="K55" s="382"/>
      <c r="L55" s="360"/>
      <c r="M55" s="96"/>
      <c r="N55" s="4557">
        <f>F2_DMI_Heifer_Calf_projected_kg*Defaults!$D$8</f>
        <v>7.439304090510471</v>
      </c>
      <c r="O55" s="4558"/>
      <c r="P55" s="44" t="s">
        <v>257</v>
      </c>
      <c r="Q55" s="626">
        <f>Defaults!$L$14/Defaults!$I$14*F2_Calf_Weight_kg</f>
        <v>3.3744109947643977</v>
      </c>
      <c r="R55" s="44" t="s">
        <v>36</v>
      </c>
      <c r="S55" s="41"/>
      <c r="T55" s="2057">
        <v>4</v>
      </c>
      <c r="U55" s="383"/>
      <c r="V55" s="493"/>
      <c r="W55" s="494"/>
      <c r="X55" s="4559">
        <f>F3_DMI_Heifer_Calf_projected_kg*Defaults!$D$8</f>
        <v>7.439304090510471</v>
      </c>
      <c r="Y55" s="4560"/>
      <c r="Z55" s="511" t="s">
        <v>257</v>
      </c>
      <c r="AA55" s="627">
        <f>Defaults!$L$14/Defaults!$I$14*F3_Calf_Weight_kg</f>
        <v>3.3744109947643977</v>
      </c>
      <c r="AB55" s="511" t="s">
        <v>36</v>
      </c>
      <c r="AC55" s="532"/>
      <c r="AD55" s="2646">
        <v>4</v>
      </c>
      <c r="AE55" s="494"/>
      <c r="AF55" s="607"/>
      <c r="AG55" s="496"/>
      <c r="AH55" s="4184">
        <f>F4_DMI_Heifer_Calf_projected_kg*Defaults!$D$8</f>
        <v>4.8622902552356022</v>
      </c>
      <c r="AI55" s="4185"/>
      <c r="AJ55" s="465" t="s">
        <v>257</v>
      </c>
      <c r="AK55" s="625">
        <f>Defaults!$L$14/Defaults!$I$14*F4_Calf_Weight_kg</f>
        <v>2.2054973821989527</v>
      </c>
      <c r="AL55" s="465" t="s">
        <v>36</v>
      </c>
      <c r="AM55" s="464"/>
      <c r="AN55" s="649">
        <v>4</v>
      </c>
      <c r="AO55" s="497"/>
      <c r="AP55" s="3651" t="str">
        <f>IF(Options!AE19=2,IF(Options!AF19=2,IF(Options!AG19=2,IF(Options!AH19=2," ",FALSE))))</f>
        <v xml:space="preserve"> </v>
      </c>
    </row>
    <row r="56" spans="1:43" ht="5.25" customHeight="1" thickBot="1">
      <c r="A56" s="633"/>
      <c r="B56" s="358"/>
      <c r="C56" s="382"/>
      <c r="D56" s="382"/>
      <c r="E56" s="186"/>
      <c r="F56" s="382"/>
      <c r="G56" s="382"/>
      <c r="H56" s="382"/>
      <c r="I56" s="216"/>
      <c r="J56" s="171"/>
      <c r="K56" s="382"/>
      <c r="L56" s="360"/>
      <c r="M56" s="622"/>
      <c r="N56" s="622"/>
      <c r="O56" s="44"/>
      <c r="P56" s="96"/>
      <c r="Q56" s="96"/>
      <c r="R56" s="96"/>
      <c r="S56" s="41"/>
      <c r="T56" s="42"/>
      <c r="U56" s="383"/>
      <c r="V56" s="493"/>
      <c r="W56" s="494"/>
      <c r="X56" s="494"/>
      <c r="Y56" s="511"/>
      <c r="Z56" s="494"/>
      <c r="AA56" s="494"/>
      <c r="AB56" s="494"/>
      <c r="AC56" s="532"/>
      <c r="AD56" s="419"/>
      <c r="AE56" s="494"/>
      <c r="AF56" s="607"/>
      <c r="AG56" s="623"/>
      <c r="AH56" s="623"/>
      <c r="AI56" s="465"/>
      <c r="AJ56" s="496"/>
      <c r="AK56" s="496"/>
      <c r="AL56" s="496"/>
      <c r="AM56" s="464"/>
      <c r="AN56" s="449"/>
      <c r="AO56" s="497"/>
    </row>
    <row r="57" spans="1:43" ht="30" customHeight="1">
      <c r="A57" s="4561" t="s">
        <v>20</v>
      </c>
      <c r="B57" s="4562"/>
      <c r="C57" s="4562"/>
      <c r="D57" s="4562"/>
      <c r="E57" s="4562"/>
      <c r="F57" s="4562"/>
      <c r="G57" s="4562"/>
      <c r="H57" s="4562"/>
      <c r="I57" s="4562"/>
      <c r="J57" s="4562"/>
      <c r="K57" s="4562"/>
      <c r="L57" s="4562"/>
      <c r="M57" s="4562"/>
      <c r="N57" s="4562"/>
      <c r="O57" s="4562"/>
      <c r="P57" s="4562"/>
      <c r="Q57" s="4562"/>
      <c r="R57" s="4562"/>
      <c r="S57" s="4562"/>
      <c r="T57" s="4562"/>
      <c r="U57" s="4562"/>
      <c r="V57" s="4562"/>
      <c r="W57" s="4562"/>
      <c r="X57" s="4562"/>
      <c r="Y57" s="4562"/>
      <c r="Z57" s="4562"/>
      <c r="AA57" s="4562"/>
      <c r="AB57" s="4562"/>
      <c r="AC57" s="4562"/>
      <c r="AD57" s="4562"/>
      <c r="AE57" s="4562"/>
      <c r="AF57" s="4562"/>
      <c r="AG57" s="4562"/>
      <c r="AH57" s="4562"/>
      <c r="AI57" s="4562"/>
      <c r="AJ57" s="4562"/>
      <c r="AK57" s="4562"/>
      <c r="AL57" s="4562"/>
      <c r="AM57" s="4562"/>
      <c r="AN57" s="4562"/>
      <c r="AO57" s="4563"/>
    </row>
    <row r="58" spans="1:43">
      <c r="A58" s="4058" t="s">
        <v>1620</v>
      </c>
      <c r="B58" s="4059"/>
      <c r="C58" s="4059"/>
      <c r="D58" s="4059"/>
      <c r="E58" s="4059"/>
      <c r="F58" s="4059"/>
      <c r="G58" s="4059"/>
      <c r="H58" s="4059"/>
      <c r="I58" s="4059"/>
      <c r="J58" s="4059"/>
      <c r="K58" s="4059"/>
      <c r="L58" s="4059"/>
      <c r="M58" s="4059"/>
      <c r="N58" s="4059"/>
      <c r="O58" s="4059"/>
      <c r="P58" s="4059"/>
      <c r="Q58" s="4059"/>
      <c r="R58" s="4059"/>
      <c r="S58" s="4059"/>
      <c r="T58" s="4059"/>
      <c r="U58" s="4059"/>
      <c r="V58" s="4059"/>
      <c r="W58" s="4059"/>
      <c r="X58" s="4059"/>
      <c r="Y58" s="4059"/>
      <c r="Z58" s="4059"/>
      <c r="AA58" s="4059"/>
      <c r="AB58" s="4059"/>
      <c r="AC58" s="4059"/>
      <c r="AD58" s="4059"/>
      <c r="AE58" s="4059"/>
      <c r="AF58" s="4059"/>
      <c r="AG58" s="4059"/>
      <c r="AH58" s="4059"/>
      <c r="AI58" s="4059"/>
      <c r="AJ58" s="4059"/>
      <c r="AK58" s="4059"/>
      <c r="AL58" s="4059"/>
      <c r="AM58" s="4059"/>
      <c r="AN58" s="4059"/>
      <c r="AO58" s="4060"/>
      <c r="AQ58" s="868"/>
    </row>
    <row r="59" spans="1:43">
      <c r="A59" s="4242" t="s">
        <v>1619</v>
      </c>
      <c r="B59" s="4243"/>
      <c r="C59" s="4243"/>
      <c r="D59" s="4243"/>
      <c r="E59" s="4243"/>
      <c r="F59" s="4243"/>
      <c r="G59" s="4243"/>
      <c r="H59" s="4243"/>
      <c r="I59" s="4243"/>
      <c r="J59" s="4243"/>
      <c r="K59" s="4243"/>
      <c r="L59" s="4243"/>
      <c r="M59" s="4243"/>
      <c r="N59" s="4243"/>
      <c r="O59" s="4243"/>
      <c r="P59" s="4243"/>
      <c r="Q59" s="4243"/>
      <c r="R59" s="4243"/>
      <c r="S59" s="4243"/>
      <c r="T59" s="4243"/>
      <c r="U59" s="4243"/>
      <c r="V59" s="4243"/>
      <c r="W59" s="4243"/>
      <c r="X59" s="4243"/>
      <c r="Y59" s="4243"/>
      <c r="Z59" s="4243"/>
      <c r="AA59" s="4243"/>
      <c r="AB59" s="4243"/>
      <c r="AC59" s="4243"/>
      <c r="AD59" s="4243"/>
      <c r="AE59" s="4243"/>
      <c r="AF59" s="4243"/>
      <c r="AG59" s="4243"/>
      <c r="AH59" s="4243"/>
      <c r="AI59" s="4243"/>
      <c r="AJ59" s="4243"/>
      <c r="AK59" s="4243"/>
      <c r="AL59" s="4243"/>
      <c r="AM59" s="4243"/>
      <c r="AN59" s="4243"/>
      <c r="AO59" s="4244"/>
      <c r="AQ59" s="868"/>
    </row>
    <row r="60" spans="1:43">
      <c r="A60" s="4058" t="s">
        <v>1622</v>
      </c>
      <c r="B60" s="4059"/>
      <c r="C60" s="4059"/>
      <c r="D60" s="4059"/>
      <c r="E60" s="4059"/>
      <c r="F60" s="4059"/>
      <c r="G60" s="4059"/>
      <c r="H60" s="4059"/>
      <c r="I60" s="4059"/>
      <c r="J60" s="4059"/>
      <c r="K60" s="4059"/>
      <c r="L60" s="4059"/>
      <c r="M60" s="4059"/>
      <c r="N60" s="4059"/>
      <c r="O60" s="4059"/>
      <c r="P60" s="4059"/>
      <c r="Q60" s="4059"/>
      <c r="R60" s="4059"/>
      <c r="S60" s="4059"/>
      <c r="T60" s="4059"/>
      <c r="U60" s="4059"/>
      <c r="V60" s="4059"/>
      <c r="W60" s="4059"/>
      <c r="X60" s="4059"/>
      <c r="Y60" s="4059"/>
      <c r="Z60" s="4059"/>
      <c r="AA60" s="4059"/>
      <c r="AB60" s="4059"/>
      <c r="AC60" s="4059"/>
      <c r="AD60" s="4059"/>
      <c r="AE60" s="4059"/>
      <c r="AF60" s="4059"/>
      <c r="AG60" s="4059"/>
      <c r="AH60" s="4059"/>
      <c r="AI60" s="4059"/>
      <c r="AJ60" s="4059"/>
      <c r="AK60" s="4059"/>
      <c r="AL60" s="4059"/>
      <c r="AM60" s="4059"/>
      <c r="AN60" s="4059"/>
      <c r="AO60" s="4060"/>
      <c r="AQ60" s="868"/>
    </row>
    <row r="61" spans="1:43">
      <c r="A61" s="4242" t="s">
        <v>1621</v>
      </c>
      <c r="B61" s="4243"/>
      <c r="C61" s="4243"/>
      <c r="D61" s="4243"/>
      <c r="E61" s="4243"/>
      <c r="F61" s="4243"/>
      <c r="G61" s="4243"/>
      <c r="H61" s="4243"/>
      <c r="I61" s="4243"/>
      <c r="J61" s="4243"/>
      <c r="K61" s="4243"/>
      <c r="L61" s="4243"/>
      <c r="M61" s="4243"/>
      <c r="N61" s="4243"/>
      <c r="O61" s="4243"/>
      <c r="P61" s="4243"/>
      <c r="Q61" s="4243"/>
      <c r="R61" s="4243"/>
      <c r="S61" s="4243"/>
      <c r="T61" s="4243"/>
      <c r="U61" s="4243"/>
      <c r="V61" s="4243"/>
      <c r="W61" s="4243"/>
      <c r="X61" s="4243"/>
      <c r="Y61" s="4243"/>
      <c r="Z61" s="4243"/>
      <c r="AA61" s="4243"/>
      <c r="AB61" s="4243"/>
      <c r="AC61" s="4243"/>
      <c r="AD61" s="4243"/>
      <c r="AE61" s="4243"/>
      <c r="AF61" s="4243"/>
      <c r="AG61" s="4243"/>
      <c r="AH61" s="4243"/>
      <c r="AI61" s="4243"/>
      <c r="AJ61" s="4243"/>
      <c r="AK61" s="4243"/>
      <c r="AL61" s="4243"/>
      <c r="AM61" s="4243"/>
      <c r="AN61" s="4243"/>
      <c r="AO61" s="4244"/>
    </row>
    <row r="62" spans="1:43">
      <c r="A62" s="4074" t="s">
        <v>187</v>
      </c>
      <c r="B62" s="4075"/>
      <c r="C62" s="4075"/>
      <c r="D62" s="4075"/>
      <c r="E62" s="4075"/>
      <c r="F62" s="4075"/>
      <c r="G62" s="4075"/>
      <c r="H62" s="4075"/>
      <c r="I62" s="4075"/>
      <c r="J62" s="4075"/>
      <c r="K62" s="4075"/>
      <c r="L62" s="4075"/>
      <c r="M62" s="4075"/>
      <c r="N62" s="4075"/>
      <c r="O62" s="4075"/>
      <c r="P62" s="4075"/>
      <c r="Q62" s="4075"/>
      <c r="R62" s="4075"/>
      <c r="S62" s="4075"/>
      <c r="T62" s="4075"/>
      <c r="U62" s="4075"/>
      <c r="V62" s="4075"/>
      <c r="W62" s="4075"/>
      <c r="X62" s="4075"/>
      <c r="Y62" s="4075"/>
      <c r="Z62" s="4075"/>
      <c r="AA62" s="4075"/>
      <c r="AB62" s="4075"/>
      <c r="AC62" s="4075"/>
      <c r="AD62" s="4075"/>
      <c r="AE62" s="4075"/>
      <c r="AF62" s="4075"/>
      <c r="AG62" s="4075"/>
      <c r="AH62" s="4075"/>
      <c r="AI62" s="4075"/>
      <c r="AJ62" s="4075"/>
      <c r="AK62" s="4075"/>
      <c r="AL62" s="4075"/>
      <c r="AM62" s="4075"/>
      <c r="AN62" s="4075"/>
      <c r="AO62" s="4076"/>
    </row>
    <row r="63" spans="1:43">
      <c r="A63" s="4584" t="s">
        <v>188</v>
      </c>
      <c r="B63" s="4585"/>
      <c r="C63" s="4585"/>
      <c r="D63" s="4585"/>
      <c r="E63" s="4585"/>
      <c r="F63" s="4585"/>
      <c r="G63" s="4585"/>
      <c r="H63" s="4585"/>
      <c r="I63" s="4585"/>
      <c r="J63" s="4585"/>
      <c r="K63" s="4585"/>
      <c r="L63" s="4585"/>
      <c r="M63" s="4585"/>
      <c r="N63" s="4585"/>
      <c r="O63" s="4585"/>
      <c r="P63" s="4585"/>
      <c r="Q63" s="4585"/>
      <c r="R63" s="4585"/>
      <c r="S63" s="4585"/>
      <c r="T63" s="4585"/>
      <c r="U63" s="4585"/>
      <c r="V63" s="4585"/>
      <c r="W63" s="4585"/>
      <c r="X63" s="4585"/>
      <c r="Y63" s="4585"/>
      <c r="Z63" s="4585"/>
      <c r="AA63" s="4585"/>
      <c r="AB63" s="4585"/>
      <c r="AC63" s="4585"/>
      <c r="AD63" s="4585"/>
      <c r="AE63" s="4585"/>
      <c r="AF63" s="4585"/>
      <c r="AG63" s="4585"/>
      <c r="AH63" s="4585"/>
      <c r="AI63" s="4585"/>
      <c r="AJ63" s="4585"/>
      <c r="AK63" s="4585"/>
      <c r="AL63" s="4585"/>
      <c r="AM63" s="4585"/>
      <c r="AN63" s="4585"/>
      <c r="AO63" s="4586"/>
    </row>
    <row r="64" spans="1:43">
      <c r="A64" s="4074" t="s">
        <v>189</v>
      </c>
      <c r="B64" s="4075"/>
      <c r="C64" s="4075"/>
      <c r="D64" s="4075"/>
      <c r="E64" s="4075"/>
      <c r="F64" s="4075"/>
      <c r="G64" s="4075"/>
      <c r="H64" s="4075"/>
      <c r="I64" s="4075"/>
      <c r="J64" s="4075"/>
      <c r="K64" s="4075"/>
      <c r="L64" s="4075"/>
      <c r="M64" s="4075"/>
      <c r="N64" s="4075"/>
      <c r="O64" s="4075"/>
      <c r="P64" s="4075"/>
      <c r="Q64" s="4075"/>
      <c r="R64" s="4075"/>
      <c r="S64" s="4075"/>
      <c r="T64" s="4075"/>
      <c r="U64" s="4075"/>
      <c r="V64" s="4075"/>
      <c r="W64" s="4075"/>
      <c r="X64" s="4075"/>
      <c r="Y64" s="4075"/>
      <c r="Z64" s="4075"/>
      <c r="AA64" s="4075"/>
      <c r="AB64" s="4075"/>
      <c r="AC64" s="4075"/>
      <c r="AD64" s="4075"/>
      <c r="AE64" s="4075"/>
      <c r="AF64" s="4075"/>
      <c r="AG64" s="4075"/>
      <c r="AH64" s="4075"/>
      <c r="AI64" s="4075"/>
      <c r="AJ64" s="4075"/>
      <c r="AK64" s="4075"/>
      <c r="AL64" s="4075"/>
      <c r="AM64" s="4075"/>
      <c r="AN64" s="4075"/>
      <c r="AO64" s="4076"/>
    </row>
    <row r="65" spans="1:43">
      <c r="A65" s="4074" t="s">
        <v>121</v>
      </c>
      <c r="B65" s="4075"/>
      <c r="C65" s="4075"/>
      <c r="D65" s="4075"/>
      <c r="E65" s="4075"/>
      <c r="F65" s="4075"/>
      <c r="G65" s="4075"/>
      <c r="H65" s="4075"/>
      <c r="I65" s="4075"/>
      <c r="J65" s="4075"/>
      <c r="K65" s="4075"/>
      <c r="L65" s="4075"/>
      <c r="M65" s="4075"/>
      <c r="N65" s="4075"/>
      <c r="O65" s="4075"/>
      <c r="P65" s="4075"/>
      <c r="Q65" s="4075"/>
      <c r="R65" s="4075"/>
      <c r="S65" s="4075"/>
      <c r="T65" s="4075"/>
      <c r="U65" s="4075"/>
      <c r="V65" s="4075"/>
      <c r="W65" s="4075"/>
      <c r="X65" s="4075"/>
      <c r="Y65" s="4075"/>
      <c r="Z65" s="4075"/>
      <c r="AA65" s="4075"/>
      <c r="AB65" s="4075"/>
      <c r="AC65" s="4075"/>
      <c r="AD65" s="4075"/>
      <c r="AE65" s="4075"/>
      <c r="AF65" s="4075"/>
      <c r="AG65" s="4075"/>
      <c r="AH65" s="4075"/>
      <c r="AI65" s="4075"/>
      <c r="AJ65" s="4075"/>
      <c r="AK65" s="4075"/>
      <c r="AL65" s="4075"/>
      <c r="AM65" s="4075"/>
      <c r="AN65" s="4075"/>
      <c r="AO65" s="4076"/>
    </row>
    <row r="66" spans="1:43">
      <c r="A66" s="4549" t="s">
        <v>824</v>
      </c>
      <c r="B66" s="4550"/>
      <c r="C66" s="4550"/>
      <c r="D66" s="4550"/>
      <c r="E66" s="4550"/>
      <c r="F66" s="4550"/>
      <c r="G66" s="4550"/>
      <c r="H66" s="4550"/>
      <c r="I66" s="4550"/>
      <c r="J66" s="4550"/>
      <c r="K66" s="4550"/>
      <c r="L66" s="4550"/>
      <c r="M66" s="4550"/>
      <c r="N66" s="4550"/>
      <c r="O66" s="4550"/>
      <c r="P66" s="4550"/>
      <c r="Q66" s="4550"/>
      <c r="R66" s="4550"/>
      <c r="S66" s="4550"/>
      <c r="T66" s="4550"/>
      <c r="U66" s="4550"/>
      <c r="V66" s="4550"/>
      <c r="W66" s="4550"/>
      <c r="X66" s="4550"/>
      <c r="Y66" s="4550"/>
      <c r="Z66" s="4550"/>
      <c r="AA66" s="4550"/>
      <c r="AB66" s="4550"/>
      <c r="AC66" s="4550"/>
      <c r="AD66" s="4550"/>
      <c r="AE66" s="4550"/>
      <c r="AF66" s="4550"/>
      <c r="AG66" s="4550"/>
      <c r="AH66" s="4550"/>
      <c r="AI66" s="4550"/>
      <c r="AJ66" s="4550"/>
      <c r="AK66" s="4550"/>
      <c r="AL66" s="4550"/>
      <c r="AM66" s="4550"/>
      <c r="AN66" s="4550"/>
      <c r="AO66" s="4551"/>
      <c r="AP66" s="2136"/>
      <c r="AQ66" s="2136"/>
    </row>
    <row r="67" spans="1:43">
      <c r="A67" s="4435" t="s">
        <v>577</v>
      </c>
      <c r="B67" s="4436"/>
      <c r="C67" s="4436"/>
      <c r="D67" s="4436"/>
      <c r="E67" s="4436"/>
      <c r="F67" s="4436"/>
      <c r="G67" s="4436"/>
      <c r="H67" s="4436"/>
      <c r="I67" s="4436"/>
      <c r="J67" s="4436"/>
      <c r="K67" s="4436"/>
      <c r="L67" s="4436"/>
      <c r="M67" s="4436"/>
      <c r="N67" s="4436"/>
      <c r="O67" s="4436"/>
      <c r="P67" s="4436"/>
      <c r="Q67" s="4436"/>
      <c r="R67" s="4436"/>
      <c r="S67" s="4436"/>
      <c r="T67" s="4436"/>
      <c r="U67" s="4436"/>
      <c r="V67" s="4436"/>
      <c r="W67" s="4436"/>
      <c r="X67" s="4436"/>
      <c r="Y67" s="4436"/>
      <c r="Z67" s="4436"/>
      <c r="AA67" s="4436"/>
      <c r="AB67" s="4436"/>
      <c r="AC67" s="4436"/>
      <c r="AD67" s="4436"/>
      <c r="AE67" s="4436"/>
      <c r="AF67" s="4436"/>
      <c r="AG67" s="4436"/>
      <c r="AH67" s="4436"/>
      <c r="AI67" s="4436"/>
      <c r="AJ67" s="4436"/>
      <c r="AK67" s="4436"/>
      <c r="AL67" s="4436"/>
      <c r="AM67" s="4436"/>
      <c r="AN67" s="4436"/>
      <c r="AO67" s="4437"/>
      <c r="AP67" s="2136"/>
      <c r="AQ67" s="2136"/>
    </row>
    <row r="68" spans="1:43">
      <c r="A68" s="4435" t="s">
        <v>825</v>
      </c>
      <c r="B68" s="4436"/>
      <c r="C68" s="4436"/>
      <c r="D68" s="4436"/>
      <c r="E68" s="4436"/>
      <c r="F68" s="4436"/>
      <c r="G68" s="4436"/>
      <c r="H68" s="4436"/>
      <c r="I68" s="4436"/>
      <c r="J68" s="4436"/>
      <c r="K68" s="4436"/>
      <c r="L68" s="4436"/>
      <c r="M68" s="4436"/>
      <c r="N68" s="4436"/>
      <c r="O68" s="4436"/>
      <c r="P68" s="4436"/>
      <c r="Q68" s="4436"/>
      <c r="R68" s="4436"/>
      <c r="S68" s="4436"/>
      <c r="T68" s="4436"/>
      <c r="U68" s="4436"/>
      <c r="V68" s="4436"/>
      <c r="W68" s="4436"/>
      <c r="X68" s="4436"/>
      <c r="Y68" s="4436"/>
      <c r="Z68" s="4436"/>
      <c r="AA68" s="4436"/>
      <c r="AB68" s="4436"/>
      <c r="AC68" s="4436"/>
      <c r="AD68" s="4436"/>
      <c r="AE68" s="4436"/>
      <c r="AF68" s="4436"/>
      <c r="AG68" s="4436"/>
      <c r="AH68" s="4436"/>
      <c r="AI68" s="4436"/>
      <c r="AJ68" s="4436"/>
      <c r="AK68" s="4436"/>
      <c r="AL68" s="4436"/>
      <c r="AM68" s="4436"/>
      <c r="AN68" s="4436"/>
      <c r="AO68" s="4437"/>
      <c r="AP68" s="2136"/>
      <c r="AQ68" s="2136"/>
    </row>
    <row r="69" spans="1:43" ht="13.5" thickBot="1">
      <c r="A69" s="4438" t="s">
        <v>826</v>
      </c>
      <c r="B69" s="4439"/>
      <c r="C69" s="4439"/>
      <c r="D69" s="4439"/>
      <c r="E69" s="4439"/>
      <c r="F69" s="4439"/>
      <c r="G69" s="4439"/>
      <c r="H69" s="4439"/>
      <c r="I69" s="4439"/>
      <c r="J69" s="4439"/>
      <c r="K69" s="4439"/>
      <c r="L69" s="4439"/>
      <c r="M69" s="4439"/>
      <c r="N69" s="4439"/>
      <c r="O69" s="4439"/>
      <c r="P69" s="4439"/>
      <c r="Q69" s="4439"/>
      <c r="R69" s="4439"/>
      <c r="S69" s="4439"/>
      <c r="T69" s="4439"/>
      <c r="U69" s="4439"/>
      <c r="V69" s="4439"/>
      <c r="W69" s="4439"/>
      <c r="X69" s="4439"/>
      <c r="Y69" s="4439"/>
      <c r="Z69" s="4439"/>
      <c r="AA69" s="4439"/>
      <c r="AB69" s="4439"/>
      <c r="AC69" s="4439"/>
      <c r="AD69" s="4439"/>
      <c r="AE69" s="4439"/>
      <c r="AF69" s="4439"/>
      <c r="AG69" s="4439"/>
      <c r="AH69" s="4439"/>
      <c r="AI69" s="4439"/>
      <c r="AJ69" s="4439"/>
      <c r="AK69" s="4439"/>
      <c r="AL69" s="4439"/>
      <c r="AM69" s="4439"/>
      <c r="AN69" s="4439"/>
      <c r="AO69" s="4440"/>
      <c r="AP69" s="2136"/>
      <c r="AQ69" s="2136"/>
    </row>
    <row r="70" spans="1:43">
      <c r="F70" s="2136"/>
      <c r="G70" s="2136"/>
      <c r="H70" s="2136"/>
      <c r="I70" s="1527"/>
      <c r="J70" s="2137"/>
      <c r="K70" s="2136"/>
      <c r="L70" s="2136"/>
      <c r="M70" s="2136"/>
      <c r="N70" s="2136"/>
      <c r="O70" s="2136"/>
      <c r="P70" s="2136"/>
      <c r="Q70" s="2136"/>
      <c r="R70" s="2136"/>
      <c r="S70" s="1527"/>
      <c r="T70" s="2137"/>
      <c r="U70" s="2136"/>
      <c r="Z70" s="2136"/>
      <c r="AA70" s="2136"/>
      <c r="AB70" s="2136"/>
      <c r="AC70" s="1527"/>
      <c r="AD70" s="2137"/>
      <c r="AE70" s="2136"/>
      <c r="AF70" s="2136"/>
      <c r="AG70" s="2136"/>
      <c r="AH70" s="2136"/>
      <c r="AI70" s="2136"/>
      <c r="AJ70" s="2136"/>
      <c r="AK70" s="2136"/>
      <c r="AL70" s="2136"/>
      <c r="AM70" s="1527"/>
      <c r="AN70" s="2137"/>
      <c r="AO70" s="2136"/>
      <c r="AP70" s="2136"/>
      <c r="AQ70" s="2136"/>
    </row>
    <row r="71" spans="1:43">
      <c r="F71" s="2136"/>
      <c r="G71" s="2136"/>
      <c r="H71" s="2136"/>
      <c r="I71" s="1527"/>
      <c r="J71" s="2137"/>
      <c r="K71" s="2136"/>
      <c r="L71" s="2136"/>
      <c r="M71" s="2136"/>
      <c r="N71" s="2136"/>
      <c r="O71" s="2136"/>
      <c r="P71" s="2136"/>
      <c r="Q71" s="2136"/>
      <c r="R71" s="2136"/>
      <c r="S71" s="1527"/>
      <c r="T71" s="2137"/>
      <c r="U71" s="2136"/>
      <c r="Z71" s="2136"/>
      <c r="AA71" s="2136"/>
      <c r="AB71" s="2136"/>
      <c r="AC71" s="1527"/>
      <c r="AD71" s="2137"/>
      <c r="AE71" s="2136"/>
      <c r="AF71" s="2136"/>
      <c r="AG71" s="2136"/>
      <c r="AH71" s="2136"/>
      <c r="AI71" s="2136"/>
      <c r="AJ71" s="2136"/>
      <c r="AK71" s="2136"/>
      <c r="AL71" s="2136"/>
      <c r="AM71" s="1527"/>
      <c r="AN71" s="2137"/>
      <c r="AO71" s="2136"/>
      <c r="AP71" s="2136"/>
      <c r="AQ71" s="2136"/>
    </row>
    <row r="72" spans="1:43">
      <c r="F72" s="2136"/>
      <c r="G72" s="2136"/>
      <c r="H72" s="2136"/>
      <c r="I72" s="1527"/>
      <c r="J72" s="2137"/>
      <c r="K72" s="2136"/>
      <c r="L72" s="2136"/>
      <c r="M72" s="2136"/>
      <c r="N72" s="2136"/>
      <c r="O72" s="2136"/>
      <c r="P72" s="2136"/>
      <c r="Q72" s="2136"/>
      <c r="R72" s="2136"/>
      <c r="S72" s="1527"/>
      <c r="T72" s="2137"/>
      <c r="U72" s="2136"/>
      <c r="Z72" s="2136"/>
      <c r="AA72" s="2136"/>
      <c r="AB72" s="2136"/>
      <c r="AC72" s="1527"/>
      <c r="AD72" s="2137"/>
      <c r="AE72" s="2136"/>
      <c r="AF72" s="2136"/>
      <c r="AG72" s="2136"/>
      <c r="AH72" s="2136"/>
      <c r="AI72" s="2136"/>
      <c r="AJ72" s="2136"/>
      <c r="AK72" s="2136"/>
      <c r="AL72" s="2136"/>
      <c r="AM72" s="1527"/>
      <c r="AN72" s="2137"/>
      <c r="AO72" s="2136"/>
      <c r="AP72" s="2136"/>
      <c r="AQ72" s="2136"/>
    </row>
    <row r="73" spans="1:43">
      <c r="F73" s="2136"/>
      <c r="G73" s="2136"/>
      <c r="H73" s="2136"/>
      <c r="I73" s="1527"/>
      <c r="J73" s="2137"/>
      <c r="K73" s="2136"/>
      <c r="L73" s="2136"/>
      <c r="M73" s="2136"/>
      <c r="N73" s="2136"/>
      <c r="O73" s="2136"/>
      <c r="P73" s="2136"/>
      <c r="Q73" s="2136"/>
      <c r="R73" s="2136"/>
      <c r="S73" s="1527"/>
      <c r="T73" s="2137"/>
      <c r="U73" s="2136"/>
      <c r="Z73" s="2136"/>
      <c r="AA73" s="2136"/>
      <c r="AB73" s="2136"/>
      <c r="AC73" s="1527"/>
      <c r="AD73" s="2137"/>
      <c r="AE73" s="2136"/>
      <c r="AF73" s="2136"/>
      <c r="AG73" s="2136"/>
      <c r="AH73" s="2136"/>
      <c r="AI73" s="2136"/>
      <c r="AJ73" s="2136"/>
      <c r="AK73" s="2136"/>
      <c r="AL73" s="2136"/>
      <c r="AM73" s="1527"/>
      <c r="AN73" s="2137"/>
      <c r="AO73" s="2136"/>
      <c r="AP73" s="2136"/>
      <c r="AQ73" s="2136"/>
    </row>
    <row r="74" spans="1:43">
      <c r="F74" s="2136"/>
      <c r="G74" s="2136"/>
      <c r="H74" s="2136"/>
      <c r="I74" s="1527"/>
      <c r="J74" s="2137"/>
      <c r="K74" s="2136"/>
      <c r="L74" s="2136"/>
      <c r="M74" s="2136"/>
      <c r="N74" s="2136"/>
      <c r="O74" s="2136"/>
      <c r="P74" s="2136"/>
      <c r="Q74" s="2136"/>
      <c r="R74" s="2136"/>
      <c r="S74" s="1527"/>
      <c r="T74" s="2137"/>
      <c r="U74" s="2136"/>
      <c r="Z74" s="2136"/>
      <c r="AA74" s="2136"/>
      <c r="AB74" s="2136"/>
      <c r="AC74" s="1527"/>
      <c r="AD74" s="2137"/>
      <c r="AE74" s="2136"/>
      <c r="AF74" s="2136"/>
      <c r="AG74" s="2136"/>
      <c r="AH74" s="2136"/>
      <c r="AI74" s="2136"/>
      <c r="AJ74" s="2136"/>
      <c r="AK74" s="2136"/>
      <c r="AL74" s="2136"/>
      <c r="AM74" s="1527"/>
      <c r="AN74" s="2137"/>
      <c r="AO74" s="2136"/>
      <c r="AP74" s="2136"/>
      <c r="AQ74" s="2136"/>
    </row>
    <row r="75" spans="1:43">
      <c r="F75" s="2136"/>
      <c r="G75" s="2136"/>
      <c r="H75" s="2136"/>
      <c r="I75" s="1527"/>
      <c r="J75" s="2137"/>
      <c r="K75" s="2136"/>
      <c r="L75" s="2136"/>
      <c r="M75" s="2136"/>
      <c r="N75" s="2136"/>
      <c r="O75" s="2136"/>
      <c r="P75" s="2136"/>
      <c r="Q75" s="2136"/>
      <c r="R75" s="2136"/>
      <c r="S75" s="1527"/>
      <c r="T75" s="2137"/>
      <c r="U75" s="2136"/>
      <c r="Z75" s="2136"/>
      <c r="AA75" s="2136"/>
      <c r="AB75" s="2136"/>
      <c r="AC75" s="1527"/>
      <c r="AD75" s="2137"/>
      <c r="AE75" s="2136"/>
      <c r="AF75" s="2136"/>
      <c r="AG75" s="2136"/>
      <c r="AH75" s="2136"/>
      <c r="AI75" s="2136"/>
      <c r="AJ75" s="2136"/>
      <c r="AK75" s="2136"/>
      <c r="AL75" s="2136"/>
      <c r="AM75" s="1527"/>
      <c r="AN75" s="2137"/>
      <c r="AO75" s="2136"/>
      <c r="AP75" s="2136"/>
      <c r="AQ75" s="2136"/>
    </row>
    <row r="76" spans="1:43">
      <c r="F76" s="2136"/>
      <c r="G76" s="2136"/>
      <c r="H76" s="2136"/>
      <c r="I76" s="1527"/>
      <c r="J76" s="2137"/>
      <c r="K76" s="2136"/>
      <c r="L76" s="2136"/>
      <c r="M76" s="2136"/>
      <c r="N76" s="2136"/>
      <c r="O76" s="2136"/>
      <c r="P76" s="2136"/>
      <c r="Q76" s="2136"/>
      <c r="R76" s="2136"/>
      <c r="S76" s="1527"/>
      <c r="T76" s="2137"/>
      <c r="U76" s="2136"/>
      <c r="Z76" s="2136"/>
      <c r="AA76" s="2136"/>
      <c r="AB76" s="2136"/>
      <c r="AC76" s="1527"/>
      <c r="AD76" s="2137"/>
      <c r="AE76" s="2136"/>
      <c r="AF76" s="2136"/>
      <c r="AG76" s="2136"/>
      <c r="AH76" s="2136"/>
      <c r="AI76" s="2136"/>
      <c r="AJ76" s="2136"/>
      <c r="AK76" s="2136"/>
      <c r="AL76" s="2136"/>
      <c r="AM76" s="1527"/>
      <c r="AN76" s="2137"/>
      <c r="AO76" s="2136"/>
      <c r="AP76" s="2136"/>
      <c r="AQ76" s="2136"/>
    </row>
    <row r="77" spans="1:43">
      <c r="F77" s="2136"/>
      <c r="G77" s="2136"/>
      <c r="H77" s="2136"/>
      <c r="I77" s="1527"/>
      <c r="J77" s="2137"/>
      <c r="K77" s="2136"/>
      <c r="L77" s="2136"/>
      <c r="M77" s="2136"/>
      <c r="N77" s="2136"/>
      <c r="O77" s="2136"/>
      <c r="P77" s="2136"/>
      <c r="Q77" s="2136"/>
      <c r="R77" s="2136"/>
      <c r="S77" s="1527"/>
      <c r="T77" s="2137"/>
      <c r="U77" s="2136"/>
      <c r="Z77" s="2136"/>
      <c r="AA77" s="2136"/>
      <c r="AB77" s="2136"/>
      <c r="AC77" s="1527"/>
      <c r="AD77" s="2137"/>
      <c r="AE77" s="2136"/>
      <c r="AF77" s="2136"/>
      <c r="AG77" s="2136"/>
      <c r="AH77" s="2136"/>
      <c r="AI77" s="2136"/>
      <c r="AJ77" s="2136"/>
      <c r="AK77" s="2136"/>
      <c r="AL77" s="2136"/>
      <c r="AM77" s="1527"/>
      <c r="AN77" s="2137"/>
      <c r="AO77" s="2136"/>
      <c r="AP77" s="2136"/>
      <c r="AQ77" s="2136"/>
    </row>
    <row r="78" spans="1:43">
      <c r="F78" s="2136"/>
      <c r="G78" s="2136"/>
      <c r="H78" s="2136"/>
      <c r="I78" s="1527"/>
      <c r="J78" s="2137"/>
      <c r="K78" s="2136"/>
      <c r="L78" s="2136"/>
      <c r="M78" s="2136"/>
      <c r="N78" s="2136"/>
      <c r="O78" s="2136"/>
      <c r="P78" s="2136"/>
      <c r="Q78" s="2136"/>
      <c r="R78" s="2136"/>
      <c r="S78" s="1527"/>
      <c r="T78" s="2137"/>
      <c r="U78" s="2136"/>
      <c r="Z78" s="2136"/>
      <c r="AA78" s="2136"/>
      <c r="AB78" s="2136"/>
      <c r="AC78" s="1527"/>
      <c r="AD78" s="2137"/>
      <c r="AE78" s="2136"/>
      <c r="AF78" s="2136"/>
      <c r="AG78" s="2136"/>
      <c r="AH78" s="2136"/>
      <c r="AI78" s="2136"/>
      <c r="AJ78" s="2136"/>
      <c r="AK78" s="2136"/>
      <c r="AL78" s="2136"/>
      <c r="AM78" s="1527"/>
      <c r="AN78" s="2137"/>
      <c r="AO78" s="2136"/>
      <c r="AP78" s="2136"/>
      <c r="AQ78" s="2136"/>
    </row>
    <row r="79" spans="1:43">
      <c r="F79" s="2136"/>
      <c r="G79" s="2136"/>
      <c r="H79" s="2136"/>
      <c r="I79" s="1527"/>
      <c r="J79" s="2137"/>
      <c r="K79" s="2136"/>
      <c r="L79" s="2136"/>
      <c r="M79" s="2136"/>
      <c r="N79" s="2136"/>
      <c r="O79" s="2136"/>
      <c r="P79" s="2136"/>
      <c r="Q79" s="2136"/>
      <c r="R79" s="2136"/>
      <c r="S79" s="1527"/>
      <c r="T79" s="2137"/>
      <c r="U79" s="2136"/>
      <c r="Z79" s="2136"/>
      <c r="AA79" s="2136"/>
      <c r="AB79" s="2136"/>
      <c r="AC79" s="1527"/>
      <c r="AD79" s="2137"/>
      <c r="AE79" s="2136"/>
      <c r="AF79" s="2136"/>
      <c r="AG79" s="2136"/>
      <c r="AH79" s="2136"/>
      <c r="AI79" s="2136"/>
      <c r="AJ79" s="2136"/>
      <c r="AK79" s="2136"/>
      <c r="AL79" s="2136"/>
      <c r="AM79" s="1527"/>
      <c r="AN79" s="2137"/>
      <c r="AO79" s="2136"/>
      <c r="AP79" s="2136"/>
      <c r="AQ79" s="2136"/>
    </row>
    <row r="80" spans="1:43">
      <c r="F80" s="2136"/>
      <c r="G80" s="2136"/>
      <c r="H80" s="2136"/>
      <c r="I80" s="1527"/>
      <c r="J80" s="2137"/>
      <c r="K80" s="2136"/>
      <c r="L80" s="2136"/>
      <c r="M80" s="2136"/>
      <c r="N80" s="2136"/>
      <c r="O80" s="2136"/>
      <c r="P80" s="2136"/>
      <c r="Q80" s="2136"/>
      <c r="R80" s="2136"/>
      <c r="S80" s="1527"/>
      <c r="T80" s="2137"/>
      <c r="U80" s="2136"/>
      <c r="Z80" s="2136"/>
      <c r="AA80" s="2136"/>
      <c r="AB80" s="2136"/>
      <c r="AC80" s="1527"/>
      <c r="AD80" s="2137"/>
      <c r="AE80" s="2136"/>
      <c r="AF80" s="2136"/>
      <c r="AG80" s="2136"/>
      <c r="AH80" s="2136"/>
      <c r="AI80" s="2136"/>
      <c r="AJ80" s="2136"/>
      <c r="AK80" s="2136"/>
      <c r="AL80" s="2136"/>
      <c r="AM80" s="1527"/>
      <c r="AN80" s="2137"/>
      <c r="AO80" s="2136"/>
      <c r="AP80" s="2136"/>
      <c r="AQ80" s="2136"/>
    </row>
    <row r="81" spans="6:43">
      <c r="F81" s="2136"/>
      <c r="G81" s="2136"/>
      <c r="H81" s="2136"/>
      <c r="I81" s="1527"/>
      <c r="J81" s="2137"/>
      <c r="K81" s="2136"/>
      <c r="L81" s="2136"/>
      <c r="M81" s="2136"/>
      <c r="N81" s="2136"/>
      <c r="O81" s="2136"/>
      <c r="P81" s="2136"/>
      <c r="Q81" s="2136"/>
      <c r="R81" s="2136"/>
      <c r="S81" s="1527"/>
      <c r="T81" s="2137"/>
      <c r="U81" s="2136"/>
      <c r="Z81" s="2136"/>
      <c r="AA81" s="2136"/>
      <c r="AB81" s="2136"/>
      <c r="AC81" s="1527"/>
      <c r="AD81" s="2137"/>
      <c r="AE81" s="2136"/>
      <c r="AF81" s="2136"/>
      <c r="AG81" s="2136"/>
      <c r="AH81" s="2136"/>
      <c r="AI81" s="2136"/>
      <c r="AJ81" s="2136"/>
      <c r="AK81" s="2136"/>
      <c r="AL81" s="2136"/>
      <c r="AM81" s="1527"/>
      <c r="AN81" s="2137"/>
      <c r="AO81" s="2136"/>
      <c r="AP81" s="2136"/>
      <c r="AQ81" s="2136"/>
    </row>
    <row r="82" spans="6:43">
      <c r="F82" s="2136"/>
      <c r="G82" s="2136"/>
      <c r="H82" s="2136"/>
      <c r="I82" s="1527"/>
      <c r="J82" s="2137"/>
      <c r="K82" s="2136"/>
      <c r="L82" s="2136"/>
      <c r="M82" s="2136"/>
      <c r="N82" s="2136"/>
      <c r="O82" s="2136"/>
      <c r="P82" s="2136"/>
      <c r="Q82" s="2136"/>
      <c r="R82" s="2136"/>
      <c r="S82" s="1527"/>
      <c r="T82" s="2137"/>
      <c r="U82" s="2136"/>
      <c r="Z82" s="2136"/>
      <c r="AA82" s="2136"/>
      <c r="AB82" s="2136"/>
      <c r="AC82" s="1527"/>
      <c r="AD82" s="2137"/>
      <c r="AE82" s="2136"/>
      <c r="AF82" s="2136"/>
      <c r="AG82" s="2136"/>
      <c r="AH82" s="2136"/>
      <c r="AI82" s="2136"/>
      <c r="AJ82" s="2136"/>
      <c r="AK82" s="2136"/>
      <c r="AL82" s="2136"/>
      <c r="AM82" s="1527"/>
      <c r="AN82" s="2137"/>
      <c r="AO82" s="2136"/>
      <c r="AP82" s="2136"/>
      <c r="AQ82" s="2136"/>
    </row>
    <row r="83" spans="6:43">
      <c r="F83" s="2136"/>
      <c r="G83" s="2136"/>
      <c r="H83" s="2136"/>
      <c r="I83" s="1527"/>
      <c r="J83" s="2137"/>
      <c r="K83" s="2136"/>
      <c r="L83" s="2136"/>
      <c r="M83" s="2136"/>
      <c r="N83" s="2136"/>
      <c r="O83" s="2136"/>
      <c r="P83" s="2136"/>
      <c r="Q83" s="2136"/>
      <c r="R83" s="2136"/>
      <c r="S83" s="1527"/>
      <c r="T83" s="2137"/>
      <c r="U83" s="2136"/>
      <c r="Z83" s="2136"/>
      <c r="AA83" s="2136"/>
      <c r="AB83" s="2136"/>
      <c r="AC83" s="1527"/>
      <c r="AD83" s="2137"/>
      <c r="AE83" s="2136"/>
      <c r="AF83" s="2136"/>
      <c r="AG83" s="2136"/>
      <c r="AH83" s="2136"/>
      <c r="AI83" s="2136"/>
      <c r="AJ83" s="2136"/>
      <c r="AK83" s="2136"/>
      <c r="AL83" s="2136"/>
      <c r="AM83" s="1527"/>
      <c r="AN83" s="2137"/>
      <c r="AO83" s="2136"/>
      <c r="AP83" s="2136"/>
      <c r="AQ83" s="2136"/>
    </row>
    <row r="84" spans="6:43">
      <c r="F84" s="2136"/>
      <c r="G84" s="2136"/>
      <c r="H84" s="2136"/>
      <c r="I84" s="1527"/>
      <c r="J84" s="1527"/>
      <c r="K84" s="2136"/>
      <c r="L84" s="2136"/>
      <c r="M84" s="2136"/>
      <c r="N84" s="2136"/>
      <c r="O84" s="2136"/>
      <c r="P84" s="2136"/>
      <c r="Q84" s="2136"/>
      <c r="R84" s="2136"/>
      <c r="S84" s="1527"/>
      <c r="T84" s="1527"/>
      <c r="U84" s="2136"/>
      <c r="Z84" s="2136"/>
      <c r="AA84" s="2136"/>
      <c r="AB84" s="2136"/>
      <c r="AC84" s="1527"/>
      <c r="AD84" s="1527"/>
      <c r="AE84" s="2136"/>
      <c r="AF84" s="2136"/>
      <c r="AG84" s="2136"/>
      <c r="AH84" s="2136"/>
      <c r="AI84" s="2136"/>
      <c r="AJ84" s="2136"/>
      <c r="AK84" s="2136"/>
      <c r="AL84" s="2136"/>
      <c r="AM84" s="1527"/>
      <c r="AN84" s="1527"/>
      <c r="AO84" s="2136"/>
      <c r="AP84" s="2136"/>
      <c r="AQ84" s="2136"/>
    </row>
    <row r="85" spans="6:43">
      <c r="F85" s="2136"/>
      <c r="G85" s="2136"/>
      <c r="H85" s="2136"/>
      <c r="I85" s="1524"/>
      <c r="J85" s="1524"/>
      <c r="K85" s="2136"/>
      <c r="L85" s="2136"/>
      <c r="M85" s="2136"/>
      <c r="N85" s="2136"/>
      <c r="O85" s="2136"/>
      <c r="P85" s="2136"/>
      <c r="Q85" s="2136"/>
      <c r="R85" s="2136"/>
      <c r="S85" s="1524"/>
      <c r="T85" s="1524"/>
      <c r="U85" s="2136"/>
      <c r="Z85" s="2136"/>
      <c r="AA85" s="2136"/>
      <c r="AB85" s="2136"/>
      <c r="AC85" s="1524"/>
      <c r="AD85" s="1524"/>
      <c r="AE85" s="2136"/>
      <c r="AF85" s="2136"/>
      <c r="AG85" s="2136"/>
      <c r="AH85" s="2136"/>
      <c r="AI85" s="2136"/>
      <c r="AJ85" s="2136"/>
      <c r="AK85" s="2136"/>
      <c r="AL85" s="2136"/>
      <c r="AM85" s="1524"/>
      <c r="AN85" s="1524"/>
      <c r="AO85" s="2136"/>
      <c r="AP85" s="2136"/>
      <c r="AQ85" s="2136"/>
    </row>
    <row r="86" spans="6:43">
      <c r="F86" s="2136"/>
      <c r="G86" s="2136"/>
      <c r="H86" s="2136"/>
      <c r="I86" s="2136"/>
      <c r="J86" s="2136"/>
      <c r="K86" s="2136"/>
      <c r="L86" s="2136"/>
      <c r="M86" s="2136"/>
      <c r="N86" s="2136"/>
      <c r="O86" s="2136"/>
      <c r="P86" s="2136"/>
      <c r="Q86" s="2136"/>
      <c r="R86" s="2136"/>
      <c r="S86" s="2136"/>
      <c r="T86" s="2136"/>
      <c r="U86" s="2136"/>
      <c r="Z86" s="2136"/>
      <c r="AA86" s="2136"/>
      <c r="AB86" s="2136"/>
      <c r="AC86" s="2136"/>
      <c r="AD86" s="2136"/>
      <c r="AE86" s="2136"/>
      <c r="AF86" s="2136"/>
      <c r="AG86" s="2136"/>
      <c r="AH86" s="2136"/>
      <c r="AI86" s="2136"/>
      <c r="AJ86" s="2136"/>
      <c r="AK86" s="2136"/>
      <c r="AL86" s="2136"/>
      <c r="AM86" s="2136"/>
      <c r="AN86" s="2136"/>
      <c r="AO86" s="2136"/>
      <c r="AP86" s="2136"/>
      <c r="AQ86" s="2136"/>
    </row>
    <row r="87" spans="6:43">
      <c r="F87" s="2136"/>
      <c r="G87" s="2136"/>
      <c r="H87" s="2136"/>
      <c r="I87" s="2136"/>
      <c r="J87" s="2136"/>
      <c r="K87" s="2136"/>
      <c r="L87" s="2136"/>
      <c r="M87" s="2136"/>
      <c r="N87" s="2136"/>
      <c r="O87" s="2136"/>
      <c r="P87" s="2136"/>
      <c r="Q87" s="2136"/>
      <c r="R87" s="2136"/>
      <c r="S87" s="2136"/>
      <c r="T87" s="2136"/>
      <c r="U87" s="2136"/>
      <c r="Z87" s="2136"/>
      <c r="AA87" s="2136"/>
      <c r="AB87" s="2136"/>
      <c r="AC87" s="2136"/>
      <c r="AD87" s="2136"/>
      <c r="AE87" s="2136"/>
      <c r="AF87" s="2136"/>
      <c r="AG87" s="2136"/>
      <c r="AH87" s="2136"/>
      <c r="AI87" s="2136"/>
      <c r="AJ87" s="2136"/>
      <c r="AK87" s="2136"/>
      <c r="AL87" s="2136"/>
      <c r="AM87" s="2136"/>
      <c r="AN87" s="2136"/>
      <c r="AO87" s="2136"/>
      <c r="AP87" s="2136"/>
      <c r="AQ87" s="2136"/>
    </row>
    <row r="88" spans="6:43">
      <c r="F88" s="2136"/>
      <c r="G88" s="2136"/>
      <c r="H88" s="2136"/>
      <c r="I88" s="2136"/>
      <c r="J88" s="2136"/>
      <c r="K88" s="2136"/>
      <c r="L88" s="2136"/>
      <c r="M88" s="2136"/>
      <c r="N88" s="2136"/>
      <c r="O88" s="2136"/>
      <c r="P88" s="2136"/>
      <c r="Q88" s="2136"/>
      <c r="R88" s="2136"/>
      <c r="S88" s="2136"/>
      <c r="T88" s="2136"/>
      <c r="U88" s="2136"/>
      <c r="Z88" s="2136"/>
      <c r="AA88" s="2136"/>
      <c r="AB88" s="2136"/>
      <c r="AC88" s="2136"/>
      <c r="AD88" s="2136"/>
      <c r="AE88" s="2136"/>
      <c r="AF88" s="2136"/>
      <c r="AG88" s="2136"/>
      <c r="AH88" s="2136"/>
      <c r="AI88" s="2136"/>
      <c r="AJ88" s="2136"/>
      <c r="AK88" s="2136"/>
      <c r="AL88" s="2136"/>
      <c r="AM88" s="2136"/>
      <c r="AN88" s="2136"/>
      <c r="AO88" s="2136"/>
      <c r="AP88" s="2136"/>
      <c r="AQ88" s="2136"/>
    </row>
    <row r="89" spans="6:43">
      <c r="F89" s="2136"/>
      <c r="G89" s="2136"/>
      <c r="H89" s="2136"/>
      <c r="I89" s="2136"/>
      <c r="J89" s="2136"/>
      <c r="K89" s="2136"/>
      <c r="L89" s="2136"/>
      <c r="M89" s="2136"/>
      <c r="N89" s="2136"/>
      <c r="O89" s="2136"/>
      <c r="P89" s="2136"/>
      <c r="Q89" s="2136"/>
      <c r="R89" s="2136"/>
      <c r="S89" s="2136"/>
      <c r="T89" s="2136"/>
      <c r="U89" s="2136"/>
      <c r="Z89" s="2136"/>
      <c r="AA89" s="2136"/>
      <c r="AB89" s="2136"/>
      <c r="AC89" s="2136"/>
      <c r="AD89" s="2136"/>
      <c r="AE89" s="2136"/>
      <c r="AF89" s="2136"/>
      <c r="AG89" s="2136"/>
      <c r="AH89" s="2136"/>
      <c r="AI89" s="2136"/>
      <c r="AJ89" s="2136"/>
      <c r="AK89" s="2136"/>
      <c r="AL89" s="2136"/>
      <c r="AM89" s="2136"/>
      <c r="AN89" s="2136"/>
      <c r="AO89" s="2136"/>
      <c r="AP89" s="2136"/>
      <c r="AQ89" s="2136"/>
    </row>
    <row r="90" spans="6:43">
      <c r="F90" s="2136"/>
      <c r="G90" s="2136"/>
      <c r="H90" s="2136"/>
      <c r="I90" s="2136"/>
      <c r="J90" s="2136"/>
      <c r="K90" s="2136"/>
      <c r="L90" s="2136"/>
      <c r="M90" s="2136"/>
      <c r="N90" s="2136"/>
      <c r="O90" s="2136"/>
      <c r="P90" s="2136"/>
      <c r="Q90" s="2136"/>
      <c r="R90" s="2136"/>
      <c r="S90" s="2136"/>
      <c r="T90" s="2136"/>
      <c r="U90" s="2136"/>
      <c r="Z90" s="2136"/>
      <c r="AA90" s="2136"/>
      <c r="AB90" s="2136"/>
      <c r="AC90" s="2136"/>
      <c r="AD90" s="2136"/>
      <c r="AE90" s="2136"/>
      <c r="AF90" s="2136"/>
      <c r="AG90" s="2136"/>
      <c r="AH90" s="2136"/>
      <c r="AI90" s="2136"/>
      <c r="AJ90" s="2136"/>
      <c r="AK90" s="2136"/>
      <c r="AL90" s="2136"/>
      <c r="AM90" s="2136"/>
      <c r="AN90" s="2136"/>
      <c r="AO90" s="2136"/>
      <c r="AP90" s="2136"/>
      <c r="AQ90" s="2136"/>
    </row>
    <row r="91" spans="6:43">
      <c r="F91" s="2136"/>
      <c r="G91" s="2136"/>
      <c r="H91" s="2136"/>
      <c r="I91" s="2136"/>
      <c r="J91" s="2136"/>
      <c r="K91" s="2136"/>
      <c r="L91" s="2136"/>
      <c r="M91" s="2136"/>
      <c r="N91" s="2136"/>
      <c r="O91" s="2136"/>
      <c r="P91" s="2136"/>
      <c r="Q91" s="2136"/>
      <c r="R91" s="2136"/>
      <c r="S91" s="2136"/>
      <c r="T91" s="2136"/>
      <c r="U91" s="2136"/>
      <c r="Z91" s="2136"/>
      <c r="AA91" s="2136"/>
      <c r="AB91" s="2136"/>
      <c r="AC91" s="2136"/>
      <c r="AD91" s="2136"/>
      <c r="AE91" s="2136"/>
      <c r="AF91" s="2136"/>
      <c r="AG91" s="2136"/>
      <c r="AH91" s="2136"/>
      <c r="AI91" s="2136"/>
      <c r="AJ91" s="2136"/>
      <c r="AK91" s="2136"/>
      <c r="AL91" s="2136"/>
      <c r="AM91" s="2136"/>
      <c r="AN91" s="2136"/>
      <c r="AO91" s="2136"/>
      <c r="AP91" s="2136"/>
      <c r="AQ91" s="2136"/>
    </row>
    <row r="92" spans="6:43">
      <c r="F92" s="2136"/>
      <c r="G92" s="2136"/>
      <c r="H92" s="2136"/>
      <c r="I92" s="2136"/>
      <c r="J92" s="2136"/>
      <c r="K92" s="2136"/>
      <c r="L92" s="2136"/>
      <c r="M92" s="2136"/>
      <c r="N92" s="2136"/>
      <c r="O92" s="2136"/>
      <c r="P92" s="2136"/>
      <c r="Q92" s="2136"/>
      <c r="R92" s="2136"/>
      <c r="S92" s="2136"/>
      <c r="T92" s="2136"/>
      <c r="U92" s="2136"/>
      <c r="Z92" s="2136"/>
      <c r="AA92" s="2136"/>
      <c r="AB92" s="2136"/>
      <c r="AC92" s="2136"/>
      <c r="AD92" s="2136"/>
      <c r="AE92" s="2136"/>
      <c r="AF92" s="2136"/>
      <c r="AG92" s="2136"/>
      <c r="AH92" s="2136"/>
      <c r="AI92" s="2136"/>
      <c r="AJ92" s="2136"/>
      <c r="AK92" s="2136"/>
      <c r="AL92" s="2136"/>
      <c r="AM92" s="2136"/>
      <c r="AN92" s="2136"/>
      <c r="AO92" s="2136"/>
      <c r="AP92" s="2136"/>
      <c r="AQ92" s="2136"/>
    </row>
    <row r="93" spans="6:43">
      <c r="F93" s="2136"/>
      <c r="G93" s="2136"/>
      <c r="H93" s="2136"/>
      <c r="I93" s="2136"/>
      <c r="J93" s="2136"/>
      <c r="K93" s="2136"/>
      <c r="L93" s="2136"/>
      <c r="M93" s="2136"/>
      <c r="N93" s="2136"/>
      <c r="O93" s="2136"/>
      <c r="P93" s="2136"/>
      <c r="Q93" s="2136"/>
      <c r="R93" s="2136"/>
      <c r="S93" s="2136"/>
      <c r="T93" s="2136"/>
      <c r="U93" s="2136"/>
      <c r="Z93" s="2136"/>
      <c r="AA93" s="2136"/>
      <c r="AB93" s="2136"/>
      <c r="AC93" s="2136"/>
      <c r="AD93" s="2136"/>
      <c r="AE93" s="2136"/>
      <c r="AF93" s="2136"/>
      <c r="AG93" s="2136"/>
      <c r="AH93" s="2136"/>
      <c r="AI93" s="2136"/>
      <c r="AJ93" s="2136"/>
      <c r="AK93" s="2136"/>
      <c r="AL93" s="2136"/>
      <c r="AM93" s="2136"/>
      <c r="AN93" s="2136"/>
      <c r="AO93" s="2136"/>
      <c r="AP93" s="2136"/>
      <c r="AQ93" s="2136"/>
    </row>
    <row r="94" spans="6:43">
      <c r="F94" s="2136"/>
      <c r="G94" s="2136"/>
      <c r="H94" s="2136"/>
      <c r="I94" s="2127"/>
      <c r="J94" s="2127"/>
      <c r="K94" s="2136"/>
      <c r="L94" s="2136"/>
      <c r="M94" s="2136"/>
      <c r="N94" s="2136"/>
      <c r="O94" s="2136"/>
      <c r="P94" s="2136"/>
      <c r="Q94" s="2136"/>
      <c r="R94" s="2136"/>
      <c r="S94" s="2127"/>
      <c r="T94" s="2127"/>
      <c r="U94" s="2136"/>
      <c r="Z94" s="2136"/>
      <c r="AA94" s="2136"/>
      <c r="AB94" s="2136"/>
      <c r="AC94" s="2127"/>
      <c r="AD94" s="2127"/>
      <c r="AE94" s="2136"/>
      <c r="AF94" s="2136"/>
      <c r="AG94" s="2136"/>
      <c r="AH94" s="2136"/>
      <c r="AI94" s="2136"/>
      <c r="AJ94" s="2136"/>
      <c r="AK94" s="2136"/>
      <c r="AL94" s="2136"/>
      <c r="AM94" s="2127"/>
      <c r="AN94" s="2127"/>
      <c r="AO94" s="2136"/>
      <c r="AP94" s="2136"/>
      <c r="AQ94" s="2136"/>
    </row>
    <row r="95" spans="6:43">
      <c r="F95" s="2136"/>
      <c r="G95" s="2136"/>
      <c r="H95" s="2136"/>
      <c r="I95" s="2127"/>
      <c r="J95" s="2127"/>
      <c r="K95" s="2136"/>
      <c r="L95" s="2136"/>
      <c r="M95" s="2136"/>
      <c r="N95" s="2136"/>
      <c r="O95" s="2136"/>
      <c r="P95" s="2136"/>
      <c r="Q95" s="2136"/>
      <c r="R95" s="2136"/>
      <c r="S95" s="2127"/>
      <c r="T95" s="2127"/>
      <c r="U95" s="2136"/>
      <c r="Z95" s="2136"/>
      <c r="AA95" s="2136"/>
      <c r="AB95" s="2136"/>
      <c r="AC95" s="2127"/>
      <c r="AD95" s="2127"/>
      <c r="AE95" s="2136"/>
      <c r="AF95" s="2136"/>
      <c r="AG95" s="2136"/>
      <c r="AH95" s="2136"/>
      <c r="AI95" s="2136"/>
      <c r="AJ95" s="2136"/>
      <c r="AK95" s="2136"/>
      <c r="AL95" s="2136"/>
      <c r="AM95" s="2127"/>
      <c r="AN95" s="2127"/>
      <c r="AO95" s="2136"/>
      <c r="AP95" s="2136"/>
      <c r="AQ95" s="2136"/>
    </row>
    <row r="96" spans="6:43">
      <c r="F96" s="2136"/>
      <c r="G96" s="2136"/>
      <c r="H96" s="2136"/>
      <c r="I96" s="2127"/>
      <c r="J96" s="2127"/>
      <c r="K96" s="2136"/>
      <c r="L96" s="2136"/>
      <c r="M96" s="2136"/>
      <c r="N96" s="2136"/>
      <c r="O96" s="2136"/>
      <c r="P96" s="2136"/>
      <c r="Q96" s="2136"/>
      <c r="R96" s="2136"/>
      <c r="S96" s="2127"/>
      <c r="T96" s="2127"/>
      <c r="U96" s="2136"/>
      <c r="Z96" s="2136"/>
      <c r="AA96" s="2136"/>
      <c r="AB96" s="2136"/>
      <c r="AC96" s="2127"/>
      <c r="AD96" s="2127"/>
      <c r="AE96" s="2136"/>
      <c r="AF96" s="2136"/>
      <c r="AG96" s="2136"/>
      <c r="AH96" s="2136"/>
      <c r="AI96" s="2136"/>
      <c r="AJ96" s="2136"/>
      <c r="AK96" s="2136"/>
      <c r="AL96" s="2136"/>
      <c r="AM96" s="2127"/>
      <c r="AN96" s="2127"/>
      <c r="AO96" s="2136"/>
      <c r="AP96" s="2136"/>
      <c r="AQ96" s="2136"/>
    </row>
    <row r="97" spans="6:43">
      <c r="F97" s="2136"/>
      <c r="G97" s="2136"/>
      <c r="H97" s="2136"/>
      <c r="I97" s="2127"/>
      <c r="J97" s="2127"/>
      <c r="K97" s="2136"/>
      <c r="L97" s="2136"/>
      <c r="M97" s="2136"/>
      <c r="N97" s="2136"/>
      <c r="O97" s="2136"/>
      <c r="P97" s="2136"/>
      <c r="Q97" s="2136"/>
      <c r="R97" s="2136"/>
      <c r="S97" s="2127"/>
      <c r="T97" s="2127"/>
      <c r="U97" s="2136"/>
      <c r="Z97" s="2136"/>
      <c r="AA97" s="2136"/>
      <c r="AB97" s="2136"/>
      <c r="AC97" s="2127"/>
      <c r="AD97" s="2127"/>
      <c r="AE97" s="2136"/>
      <c r="AF97" s="2136"/>
      <c r="AG97" s="2136"/>
      <c r="AH97" s="2136"/>
      <c r="AI97" s="2136"/>
      <c r="AJ97" s="2136"/>
      <c r="AK97" s="2136"/>
      <c r="AL97" s="2136"/>
      <c r="AM97" s="2127"/>
      <c r="AN97" s="2127"/>
      <c r="AO97" s="2136"/>
      <c r="AP97" s="2136"/>
      <c r="AQ97" s="2136"/>
    </row>
    <row r="98" spans="6:43">
      <c r="F98" s="2136"/>
      <c r="G98" s="2136"/>
      <c r="H98" s="2136"/>
      <c r="I98" s="2127"/>
      <c r="J98" s="2127"/>
      <c r="K98" s="2136"/>
      <c r="L98" s="2136"/>
      <c r="M98" s="2136"/>
      <c r="N98" s="2136"/>
      <c r="O98" s="2136"/>
      <c r="P98" s="2136"/>
      <c r="Q98" s="2136"/>
      <c r="R98" s="2136"/>
      <c r="S98" s="2127"/>
      <c r="T98" s="2127"/>
      <c r="U98" s="2136"/>
      <c r="Z98" s="2136"/>
      <c r="AA98" s="2136"/>
      <c r="AB98" s="2136"/>
      <c r="AC98" s="2127"/>
      <c r="AD98" s="2127"/>
      <c r="AE98" s="2136"/>
      <c r="AF98" s="2136"/>
      <c r="AG98" s="2136"/>
      <c r="AH98" s="2136"/>
      <c r="AI98" s="2136"/>
      <c r="AJ98" s="2136"/>
      <c r="AK98" s="2136"/>
      <c r="AL98" s="2136"/>
      <c r="AM98" s="2127"/>
      <c r="AN98" s="2127"/>
      <c r="AO98" s="2136"/>
      <c r="AP98" s="2136"/>
      <c r="AQ98" s="2136"/>
    </row>
    <row r="99" spans="6:43">
      <c r="F99" s="2136"/>
      <c r="G99" s="2136"/>
      <c r="H99" s="2136"/>
      <c r="I99" s="2127"/>
      <c r="J99" s="2127"/>
      <c r="K99" s="2136"/>
      <c r="L99" s="2136"/>
      <c r="M99" s="2136"/>
      <c r="N99" s="2136"/>
      <c r="O99" s="2136"/>
      <c r="P99" s="2136"/>
      <c r="Q99" s="2136"/>
      <c r="R99" s="2136"/>
      <c r="S99" s="2127"/>
      <c r="T99" s="2127"/>
      <c r="U99" s="2136"/>
      <c r="Z99" s="2136"/>
      <c r="AA99" s="2136"/>
      <c r="AB99" s="2136"/>
      <c r="AC99" s="2127"/>
      <c r="AD99" s="2127"/>
      <c r="AE99" s="2136"/>
      <c r="AF99" s="2136"/>
      <c r="AG99" s="2136"/>
      <c r="AH99" s="2136"/>
      <c r="AI99" s="2136"/>
      <c r="AJ99" s="2136"/>
      <c r="AK99" s="2136"/>
      <c r="AL99" s="2136"/>
      <c r="AM99" s="2127"/>
      <c r="AN99" s="2127"/>
      <c r="AO99" s="2136"/>
      <c r="AP99" s="2136"/>
      <c r="AQ99" s="2136"/>
    </row>
    <row r="100" spans="6:43">
      <c r="F100" s="2136"/>
      <c r="G100" s="2136"/>
      <c r="H100" s="2136"/>
      <c r="I100" s="2127"/>
      <c r="J100" s="2127"/>
      <c r="K100" s="2136"/>
      <c r="L100" s="2136"/>
      <c r="M100" s="2136"/>
      <c r="N100" s="2136"/>
      <c r="O100" s="2136"/>
      <c r="P100" s="2136"/>
      <c r="Q100" s="2136"/>
      <c r="R100" s="2136"/>
      <c r="S100" s="2127"/>
      <c r="T100" s="2127"/>
      <c r="U100" s="2136"/>
      <c r="Z100" s="2136"/>
      <c r="AA100" s="2136"/>
      <c r="AB100" s="2136"/>
      <c r="AC100" s="2127"/>
      <c r="AD100" s="2127"/>
      <c r="AE100" s="2136"/>
      <c r="AF100" s="2136"/>
      <c r="AG100" s="2136"/>
      <c r="AH100" s="2136"/>
      <c r="AI100" s="2136"/>
      <c r="AJ100" s="2136"/>
      <c r="AK100" s="2136"/>
      <c r="AL100" s="2136"/>
      <c r="AM100" s="2127"/>
      <c r="AN100" s="2127"/>
      <c r="AO100" s="2136"/>
      <c r="AP100" s="2136"/>
      <c r="AQ100" s="2136"/>
    </row>
    <row r="101" spans="6:43">
      <c r="F101" s="2136"/>
      <c r="G101" s="2136"/>
      <c r="H101" s="2136"/>
      <c r="I101" s="2127"/>
      <c r="J101" s="2127"/>
      <c r="K101" s="2136"/>
      <c r="L101" s="2136"/>
      <c r="M101" s="2136"/>
      <c r="N101" s="2136"/>
      <c r="O101" s="2136"/>
      <c r="P101" s="2136"/>
      <c r="Q101" s="2136"/>
      <c r="R101" s="2136"/>
      <c r="S101" s="2127"/>
      <c r="T101" s="2127"/>
      <c r="U101" s="2136"/>
      <c r="Z101" s="2136"/>
      <c r="AA101" s="2136"/>
      <c r="AB101" s="2136"/>
      <c r="AC101" s="2127"/>
      <c r="AD101" s="2127"/>
      <c r="AE101" s="2136"/>
      <c r="AF101" s="2136"/>
      <c r="AG101" s="2136"/>
      <c r="AH101" s="2136"/>
      <c r="AI101" s="2136"/>
      <c r="AJ101" s="2136"/>
      <c r="AK101" s="2136"/>
      <c r="AL101" s="2136"/>
      <c r="AM101" s="2127"/>
      <c r="AN101" s="2127"/>
      <c r="AO101" s="2136"/>
      <c r="AP101" s="2136"/>
      <c r="AQ101" s="2136"/>
    </row>
    <row r="102" spans="6:43">
      <c r="F102" s="2136"/>
      <c r="G102" s="2136"/>
      <c r="H102" s="2136"/>
      <c r="I102" s="2127"/>
      <c r="J102" s="2127"/>
      <c r="K102" s="2136"/>
      <c r="L102" s="2136"/>
      <c r="M102" s="2136"/>
      <c r="N102" s="2136"/>
      <c r="O102" s="2136"/>
      <c r="P102" s="2136"/>
      <c r="Q102" s="2136"/>
      <c r="R102" s="2136"/>
      <c r="S102" s="2127"/>
      <c r="T102" s="2127"/>
      <c r="U102" s="2136"/>
      <c r="Z102" s="2136"/>
      <c r="AA102" s="2136"/>
      <c r="AB102" s="2136"/>
      <c r="AC102" s="2127"/>
      <c r="AD102" s="2127"/>
      <c r="AE102" s="2136"/>
      <c r="AF102" s="2136"/>
      <c r="AG102" s="2136"/>
      <c r="AH102" s="2136"/>
      <c r="AI102" s="2136"/>
      <c r="AJ102" s="2136"/>
      <c r="AK102" s="2136"/>
      <c r="AL102" s="2136"/>
      <c r="AM102" s="2127"/>
      <c r="AN102" s="2127"/>
      <c r="AO102" s="2136"/>
      <c r="AP102" s="2136"/>
      <c r="AQ102" s="2136"/>
    </row>
    <row r="103" spans="6:43">
      <c r="F103" s="2136"/>
      <c r="G103" s="2136"/>
      <c r="H103" s="2136"/>
      <c r="I103" s="2127"/>
      <c r="J103" s="2127"/>
      <c r="K103" s="2136"/>
      <c r="L103" s="2136"/>
      <c r="M103" s="2136"/>
      <c r="N103" s="2136"/>
      <c r="O103" s="2136"/>
      <c r="P103" s="2136"/>
      <c r="Q103" s="2136"/>
      <c r="R103" s="2136"/>
      <c r="S103" s="2127"/>
      <c r="T103" s="2127"/>
      <c r="U103" s="2136"/>
      <c r="Z103" s="2136"/>
      <c r="AA103" s="2136"/>
      <c r="AB103" s="2136"/>
      <c r="AC103" s="2127"/>
      <c r="AD103" s="2127"/>
      <c r="AE103" s="2136"/>
      <c r="AF103" s="2136"/>
      <c r="AG103" s="2136"/>
      <c r="AH103" s="2136"/>
      <c r="AI103" s="2136"/>
      <c r="AJ103" s="2136"/>
      <c r="AK103" s="2136"/>
      <c r="AL103" s="2136"/>
      <c r="AM103" s="2127"/>
      <c r="AN103" s="2127"/>
      <c r="AO103" s="2136"/>
      <c r="AP103" s="2136"/>
      <c r="AQ103" s="2136"/>
    </row>
    <row r="104" spans="6:43">
      <c r="F104" s="2136"/>
      <c r="G104" s="2136"/>
      <c r="H104" s="2136"/>
      <c r="I104" s="2127"/>
      <c r="J104" s="2127"/>
      <c r="K104" s="2136"/>
      <c r="L104" s="2136"/>
      <c r="M104" s="2136"/>
      <c r="N104" s="2136"/>
      <c r="O104" s="2136"/>
      <c r="P104" s="2136"/>
      <c r="Q104" s="2136"/>
      <c r="R104" s="2136"/>
      <c r="S104" s="2127"/>
      <c r="T104" s="2127"/>
      <c r="U104" s="2136"/>
      <c r="Z104" s="2136"/>
      <c r="AA104" s="2136"/>
      <c r="AB104" s="2136"/>
      <c r="AC104" s="2127"/>
      <c r="AD104" s="2127"/>
      <c r="AE104" s="2136"/>
      <c r="AF104" s="2136"/>
      <c r="AG104" s="2136"/>
      <c r="AH104" s="2136"/>
      <c r="AI104" s="2136"/>
      <c r="AJ104" s="2136"/>
      <c r="AK104" s="2136"/>
      <c r="AL104" s="2136"/>
      <c r="AM104" s="2127"/>
      <c r="AN104" s="2127"/>
      <c r="AO104" s="2136"/>
      <c r="AP104" s="2136"/>
      <c r="AQ104" s="2136"/>
    </row>
    <row r="105" spans="6:43">
      <c r="F105" s="2136"/>
      <c r="G105" s="2136"/>
      <c r="H105" s="2136"/>
      <c r="I105" s="2127"/>
      <c r="J105" s="2127"/>
      <c r="K105" s="2136"/>
      <c r="L105" s="2136"/>
      <c r="M105" s="2136"/>
      <c r="N105" s="2136"/>
      <c r="O105" s="2136"/>
      <c r="P105" s="2136"/>
      <c r="Q105" s="2136"/>
      <c r="R105" s="2136"/>
      <c r="S105" s="2127"/>
      <c r="T105" s="2127"/>
      <c r="U105" s="2136"/>
      <c r="Z105" s="2136"/>
      <c r="AA105" s="2136"/>
      <c r="AB105" s="2136"/>
      <c r="AC105" s="2127"/>
      <c r="AD105" s="2127"/>
      <c r="AE105" s="2136"/>
      <c r="AF105" s="2136"/>
      <c r="AG105" s="2136"/>
      <c r="AH105" s="2136"/>
      <c r="AI105" s="2136"/>
      <c r="AJ105" s="2136"/>
      <c r="AK105" s="2136"/>
      <c r="AL105" s="2136"/>
      <c r="AM105" s="2127"/>
      <c r="AN105" s="2127"/>
      <c r="AO105" s="2136"/>
      <c r="AP105" s="2136"/>
      <c r="AQ105" s="2136"/>
    </row>
    <row r="106" spans="6:43">
      <c r="F106" s="2136"/>
      <c r="G106" s="2136"/>
      <c r="H106" s="2136"/>
      <c r="I106" s="2127"/>
      <c r="J106" s="2127"/>
      <c r="K106" s="2136"/>
      <c r="L106" s="2136"/>
      <c r="M106" s="2136"/>
      <c r="N106" s="2136"/>
      <c r="O106" s="2136"/>
      <c r="P106" s="2136"/>
      <c r="Q106" s="2136"/>
      <c r="R106" s="2136"/>
      <c r="S106" s="2127"/>
      <c r="T106" s="2127"/>
      <c r="U106" s="2136"/>
      <c r="Z106" s="2136"/>
      <c r="AA106" s="2136"/>
      <c r="AB106" s="2136"/>
      <c r="AC106" s="2127"/>
      <c r="AD106" s="2127"/>
      <c r="AE106" s="2136"/>
      <c r="AF106" s="2136"/>
      <c r="AG106" s="2136"/>
      <c r="AH106" s="2136"/>
      <c r="AI106" s="2136"/>
      <c r="AJ106" s="2136"/>
      <c r="AK106" s="2136"/>
      <c r="AL106" s="2136"/>
      <c r="AM106" s="2127"/>
      <c r="AN106" s="2127"/>
      <c r="AO106" s="2136"/>
      <c r="AP106" s="2136"/>
      <c r="AQ106" s="2136"/>
    </row>
    <row r="107" spans="6:43">
      <c r="F107" s="2136"/>
      <c r="G107" s="2136"/>
      <c r="H107" s="2136"/>
      <c r="I107" s="2127"/>
      <c r="J107" s="2127"/>
      <c r="K107" s="2136"/>
      <c r="L107" s="2136"/>
      <c r="M107" s="2136"/>
      <c r="N107" s="2136"/>
      <c r="O107" s="2136"/>
      <c r="P107" s="2136"/>
      <c r="Q107" s="2136"/>
      <c r="R107" s="2136"/>
      <c r="S107" s="2127"/>
      <c r="T107" s="2127"/>
      <c r="U107" s="2136"/>
      <c r="Z107" s="2136"/>
      <c r="AA107" s="2136"/>
      <c r="AB107" s="2136"/>
      <c r="AC107" s="2127"/>
      <c r="AD107" s="2127"/>
      <c r="AE107" s="2136"/>
      <c r="AF107" s="2136"/>
      <c r="AG107" s="2136"/>
      <c r="AH107" s="2136"/>
      <c r="AI107" s="2136"/>
      <c r="AJ107" s="2136"/>
      <c r="AK107" s="2136"/>
      <c r="AL107" s="2136"/>
      <c r="AM107" s="2127"/>
      <c r="AN107" s="2127"/>
      <c r="AO107" s="2136"/>
      <c r="AP107" s="2136"/>
      <c r="AQ107" s="2136"/>
    </row>
    <row r="108" spans="6:43">
      <c r="F108" s="2136"/>
      <c r="G108" s="2136"/>
      <c r="H108" s="2136"/>
      <c r="I108" s="2127"/>
      <c r="J108" s="2127"/>
      <c r="K108" s="2136"/>
      <c r="L108" s="2136"/>
      <c r="M108" s="2136"/>
      <c r="N108" s="2136"/>
      <c r="O108" s="2136"/>
      <c r="P108" s="2136"/>
      <c r="Q108" s="2136"/>
      <c r="R108" s="2136"/>
      <c r="S108" s="2127"/>
      <c r="T108" s="2127"/>
      <c r="U108" s="2136"/>
      <c r="Z108" s="2136"/>
      <c r="AA108" s="2136"/>
      <c r="AB108" s="2136"/>
      <c r="AC108" s="2127"/>
      <c r="AD108" s="2127"/>
      <c r="AE108" s="2136"/>
      <c r="AF108" s="2136"/>
      <c r="AG108" s="2136"/>
      <c r="AH108" s="2136"/>
      <c r="AI108" s="2136"/>
      <c r="AJ108" s="2136"/>
      <c r="AK108" s="2136"/>
      <c r="AL108" s="2136"/>
      <c r="AM108" s="2127"/>
      <c r="AN108" s="2127"/>
      <c r="AO108" s="2136"/>
      <c r="AP108" s="2136"/>
      <c r="AQ108" s="2136"/>
    </row>
    <row r="109" spans="6:43">
      <c r="F109" s="2136"/>
      <c r="G109" s="2136"/>
      <c r="H109" s="2136"/>
      <c r="I109" s="2127"/>
      <c r="J109" s="2127"/>
      <c r="K109" s="2136"/>
      <c r="L109" s="2136"/>
      <c r="M109" s="2136"/>
      <c r="N109" s="2136"/>
      <c r="O109" s="2136"/>
      <c r="P109" s="2136"/>
      <c r="Q109" s="2136"/>
      <c r="R109" s="2136"/>
      <c r="S109" s="2127"/>
      <c r="T109" s="2127"/>
      <c r="U109" s="2136"/>
      <c r="Z109" s="2136"/>
      <c r="AA109" s="2136"/>
      <c r="AB109" s="2136"/>
      <c r="AC109" s="2127"/>
      <c r="AD109" s="2127"/>
      <c r="AE109" s="2136"/>
      <c r="AF109" s="2136"/>
      <c r="AG109" s="2136"/>
      <c r="AH109" s="2136"/>
      <c r="AI109" s="2136"/>
      <c r="AJ109" s="2136"/>
      <c r="AK109" s="2136"/>
      <c r="AL109" s="2136"/>
      <c r="AM109" s="2127"/>
      <c r="AN109" s="2127"/>
      <c r="AO109" s="2136"/>
      <c r="AP109" s="2136"/>
      <c r="AQ109" s="2136"/>
    </row>
    <row r="110" spans="6:43">
      <c r="F110" s="2136"/>
      <c r="G110" s="2136"/>
      <c r="H110" s="2136"/>
      <c r="I110" s="2127"/>
      <c r="J110" s="2127"/>
      <c r="K110" s="2136"/>
      <c r="L110" s="2136"/>
      <c r="M110" s="2136"/>
      <c r="N110" s="2136"/>
      <c r="O110" s="2136"/>
      <c r="P110" s="2136"/>
      <c r="Q110" s="2136"/>
      <c r="R110" s="2136"/>
      <c r="S110" s="2127"/>
      <c r="T110" s="2127"/>
      <c r="U110" s="2136"/>
      <c r="Z110" s="2136"/>
      <c r="AA110" s="2136"/>
      <c r="AB110" s="2136"/>
      <c r="AC110" s="2127"/>
      <c r="AD110" s="2127"/>
      <c r="AE110" s="2136"/>
      <c r="AF110" s="2136"/>
      <c r="AG110" s="2136"/>
      <c r="AH110" s="2136"/>
      <c r="AI110" s="2136"/>
      <c r="AJ110" s="2136"/>
      <c r="AK110" s="2136"/>
      <c r="AL110" s="2136"/>
      <c r="AM110" s="2127"/>
      <c r="AN110" s="2127"/>
      <c r="AO110" s="2136"/>
      <c r="AP110" s="2136"/>
      <c r="AQ110" s="2136"/>
    </row>
    <row r="111" spans="6:43">
      <c r="F111" s="2136"/>
      <c r="G111" s="2136"/>
      <c r="H111" s="2136"/>
      <c r="I111" s="2127"/>
      <c r="J111" s="2127"/>
      <c r="K111" s="2136"/>
      <c r="L111" s="2136"/>
      <c r="M111" s="2136"/>
      <c r="N111" s="2136"/>
      <c r="O111" s="2136"/>
      <c r="P111" s="2136"/>
      <c r="Q111" s="2136"/>
      <c r="R111" s="2136"/>
      <c r="S111" s="2127"/>
      <c r="T111" s="2127"/>
      <c r="U111" s="2136"/>
      <c r="Z111" s="2136"/>
      <c r="AA111" s="2136"/>
      <c r="AB111" s="2136"/>
      <c r="AC111" s="2127"/>
      <c r="AD111" s="2127"/>
      <c r="AE111" s="2136"/>
      <c r="AF111" s="2136"/>
      <c r="AG111" s="2136"/>
      <c r="AH111" s="2136"/>
      <c r="AI111" s="2136"/>
      <c r="AJ111" s="2136"/>
      <c r="AK111" s="2136"/>
      <c r="AL111" s="2136"/>
      <c r="AM111" s="2127"/>
      <c r="AN111" s="2127"/>
      <c r="AO111" s="2136"/>
      <c r="AP111" s="2136"/>
      <c r="AQ111" s="2136"/>
    </row>
    <row r="112" spans="6:43">
      <c r="F112" s="2136"/>
      <c r="G112" s="2136"/>
      <c r="H112" s="2136"/>
      <c r="I112" s="2127"/>
      <c r="J112" s="2127"/>
      <c r="K112" s="2136"/>
      <c r="L112" s="2136"/>
      <c r="M112" s="2136"/>
      <c r="N112" s="2136"/>
      <c r="O112" s="2136"/>
      <c r="P112" s="2136"/>
      <c r="Q112" s="2136"/>
      <c r="R112" s="2136"/>
      <c r="S112" s="2127"/>
      <c r="T112" s="2127"/>
      <c r="U112" s="2136"/>
      <c r="Z112" s="2136"/>
      <c r="AA112" s="2136"/>
      <c r="AB112" s="2136"/>
      <c r="AC112" s="2127"/>
      <c r="AD112" s="2127"/>
      <c r="AE112" s="2136"/>
      <c r="AF112" s="2136"/>
      <c r="AG112" s="2136"/>
      <c r="AH112" s="2136"/>
      <c r="AI112" s="2136"/>
      <c r="AJ112" s="2136"/>
      <c r="AK112" s="2136"/>
      <c r="AL112" s="2136"/>
      <c r="AM112" s="2127"/>
      <c r="AN112" s="2127"/>
      <c r="AO112" s="2136"/>
      <c r="AP112" s="2136"/>
      <c r="AQ112" s="2136"/>
    </row>
    <row r="113" spans="6:43">
      <c r="F113" s="2136"/>
      <c r="G113" s="2136"/>
      <c r="H113" s="2136"/>
      <c r="I113" s="2127"/>
      <c r="J113" s="2127"/>
      <c r="K113" s="2136"/>
      <c r="L113" s="2136"/>
      <c r="M113" s="2136"/>
      <c r="N113" s="2136"/>
      <c r="O113" s="2136"/>
      <c r="P113" s="2136"/>
      <c r="Q113" s="2136"/>
      <c r="R113" s="2136"/>
      <c r="S113" s="2127"/>
      <c r="T113" s="2127"/>
      <c r="U113" s="2136"/>
      <c r="Z113" s="2136"/>
      <c r="AA113" s="2136"/>
      <c r="AB113" s="2136"/>
      <c r="AC113" s="2127"/>
      <c r="AD113" s="2127"/>
      <c r="AE113" s="2136"/>
      <c r="AF113" s="2136"/>
      <c r="AG113" s="2136"/>
      <c r="AH113" s="2136"/>
      <c r="AI113" s="2136"/>
      <c r="AJ113" s="2136"/>
      <c r="AK113" s="2136"/>
      <c r="AL113" s="2136"/>
      <c r="AM113" s="2127"/>
      <c r="AN113" s="2127"/>
      <c r="AO113" s="2136"/>
      <c r="AP113" s="2136"/>
      <c r="AQ113" s="2136"/>
    </row>
    <row r="114" spans="6:43">
      <c r="F114" s="2136"/>
      <c r="G114" s="2136"/>
      <c r="H114" s="2136"/>
      <c r="I114" s="2127"/>
      <c r="J114" s="2127"/>
      <c r="K114" s="2136"/>
      <c r="L114" s="2136"/>
      <c r="M114" s="2136"/>
      <c r="N114" s="2136"/>
      <c r="O114" s="2136"/>
      <c r="P114" s="2136"/>
      <c r="Q114" s="2136"/>
      <c r="R114" s="2136"/>
      <c r="S114" s="2127"/>
      <c r="T114" s="2127"/>
      <c r="U114" s="2136"/>
      <c r="Z114" s="2136"/>
      <c r="AA114" s="2136"/>
      <c r="AB114" s="2136"/>
      <c r="AC114" s="2127"/>
      <c r="AD114" s="2127"/>
      <c r="AE114" s="2136"/>
      <c r="AF114" s="2136"/>
      <c r="AG114" s="2136"/>
      <c r="AH114" s="2136"/>
      <c r="AI114" s="2136"/>
      <c r="AJ114" s="2136"/>
      <c r="AK114" s="2136"/>
      <c r="AL114" s="2136"/>
      <c r="AM114" s="2127"/>
      <c r="AN114" s="2127"/>
      <c r="AO114" s="2136"/>
      <c r="AP114" s="2136"/>
      <c r="AQ114" s="2136"/>
    </row>
    <row r="115" spans="6:43">
      <c r="F115" s="2136"/>
      <c r="G115" s="2136"/>
      <c r="H115" s="2136"/>
      <c r="I115" s="2127"/>
      <c r="J115" s="2127"/>
      <c r="K115" s="2136"/>
      <c r="L115" s="2136"/>
      <c r="M115" s="2136"/>
      <c r="N115" s="2136"/>
      <c r="O115" s="2136"/>
      <c r="P115" s="2136"/>
      <c r="Q115" s="2136"/>
      <c r="R115" s="2136"/>
      <c r="S115" s="2127"/>
      <c r="T115" s="2127"/>
      <c r="U115" s="2136"/>
      <c r="Z115" s="2136"/>
      <c r="AA115" s="2136"/>
      <c r="AB115" s="2136"/>
      <c r="AC115" s="2127"/>
      <c r="AD115" s="2127"/>
      <c r="AE115" s="2136"/>
      <c r="AF115" s="2136"/>
      <c r="AG115" s="2136"/>
      <c r="AH115" s="2136"/>
      <c r="AI115" s="2136"/>
      <c r="AJ115" s="2136"/>
      <c r="AK115" s="2136"/>
      <c r="AL115" s="2136"/>
      <c r="AM115" s="2127"/>
      <c r="AN115" s="2127"/>
      <c r="AO115" s="2136"/>
      <c r="AP115" s="2136"/>
      <c r="AQ115" s="2136"/>
    </row>
    <row r="116" spans="6:43">
      <c r="F116" s="2136"/>
      <c r="G116" s="2136"/>
      <c r="H116" s="2136"/>
      <c r="I116" s="2127"/>
      <c r="J116" s="2127"/>
      <c r="K116" s="2136"/>
      <c r="L116" s="2136"/>
      <c r="M116" s="2136"/>
      <c r="N116" s="2136"/>
      <c r="O116" s="2136"/>
      <c r="P116" s="2136"/>
      <c r="Q116" s="2136"/>
      <c r="R116" s="2136"/>
      <c r="S116" s="2127"/>
      <c r="T116" s="2127"/>
      <c r="U116" s="2136"/>
      <c r="Z116" s="2136"/>
      <c r="AA116" s="2136"/>
      <c r="AB116" s="2136"/>
      <c r="AC116" s="2127"/>
      <c r="AD116" s="2127"/>
      <c r="AE116" s="2136"/>
      <c r="AF116" s="2136"/>
      <c r="AG116" s="2136"/>
      <c r="AH116" s="2136"/>
      <c r="AI116" s="2136"/>
      <c r="AJ116" s="2136"/>
      <c r="AK116" s="2136"/>
      <c r="AL116" s="2136"/>
      <c r="AM116" s="2127"/>
      <c r="AN116" s="2127"/>
      <c r="AO116" s="2136"/>
      <c r="AP116" s="2136"/>
      <c r="AQ116" s="2136"/>
    </row>
    <row r="117" spans="6:43">
      <c r="F117" s="2136"/>
      <c r="G117" s="2136"/>
      <c r="H117" s="2136"/>
      <c r="I117" s="2127"/>
      <c r="J117" s="2127"/>
      <c r="K117" s="2136"/>
      <c r="L117" s="2136"/>
      <c r="M117" s="2136"/>
      <c r="N117" s="2136"/>
      <c r="O117" s="2136"/>
      <c r="P117" s="2136"/>
      <c r="Q117" s="2136"/>
      <c r="R117" s="2136"/>
      <c r="S117" s="2127"/>
      <c r="T117" s="2127"/>
      <c r="U117" s="2136"/>
      <c r="Z117" s="2136"/>
      <c r="AA117" s="2136"/>
      <c r="AB117" s="2136"/>
      <c r="AC117" s="2127"/>
      <c r="AD117" s="2127"/>
      <c r="AE117" s="2136"/>
      <c r="AF117" s="2136"/>
      <c r="AG117" s="2136"/>
      <c r="AH117" s="2136"/>
      <c r="AI117" s="2136"/>
      <c r="AJ117" s="2136"/>
      <c r="AK117" s="2136"/>
      <c r="AL117" s="2136"/>
      <c r="AM117" s="2127"/>
      <c r="AN117" s="2127"/>
      <c r="AO117" s="2136"/>
      <c r="AP117" s="2136"/>
      <c r="AQ117" s="2136"/>
    </row>
    <row r="118" spans="6:43">
      <c r="F118" s="2136"/>
      <c r="G118" s="2136"/>
      <c r="H118" s="2136"/>
      <c r="I118" s="2127"/>
      <c r="J118" s="2127"/>
      <c r="K118" s="2136"/>
      <c r="L118" s="2136"/>
      <c r="M118" s="2136"/>
      <c r="N118" s="2136"/>
      <c r="O118" s="2136"/>
      <c r="P118" s="2136"/>
      <c r="Q118" s="2136"/>
      <c r="R118" s="2136"/>
      <c r="S118" s="2127"/>
      <c r="T118" s="2127"/>
      <c r="U118" s="2136"/>
      <c r="Z118" s="2136"/>
      <c r="AA118" s="2136"/>
      <c r="AB118" s="2136"/>
      <c r="AC118" s="2127"/>
      <c r="AD118" s="2127"/>
      <c r="AE118" s="2136"/>
      <c r="AF118" s="2136"/>
      <c r="AG118" s="2136"/>
      <c r="AH118" s="2136"/>
      <c r="AI118" s="2136"/>
      <c r="AJ118" s="2136"/>
      <c r="AK118" s="2136"/>
      <c r="AL118" s="2136"/>
      <c r="AM118" s="2127"/>
      <c r="AN118" s="2127"/>
      <c r="AO118" s="2136"/>
      <c r="AP118" s="2136"/>
      <c r="AQ118" s="2136"/>
    </row>
    <row r="119" spans="6:43">
      <c r="F119" s="2136"/>
      <c r="G119" s="2136"/>
      <c r="H119" s="2136"/>
      <c r="I119" s="2127"/>
      <c r="J119" s="2127"/>
      <c r="K119" s="2136"/>
      <c r="L119" s="2136"/>
      <c r="M119" s="2136"/>
      <c r="N119" s="2136"/>
      <c r="O119" s="2136"/>
      <c r="P119" s="2136"/>
      <c r="Q119" s="2136"/>
      <c r="R119" s="2136"/>
      <c r="S119" s="2127"/>
      <c r="T119" s="2127"/>
      <c r="U119" s="2136"/>
      <c r="Z119" s="2136"/>
      <c r="AA119" s="2136"/>
      <c r="AB119" s="2136"/>
      <c r="AC119" s="2127"/>
      <c r="AD119" s="2127"/>
      <c r="AE119" s="2136"/>
      <c r="AF119" s="2136"/>
      <c r="AG119" s="2136"/>
      <c r="AH119" s="2136"/>
      <c r="AI119" s="2136"/>
      <c r="AJ119" s="2136"/>
      <c r="AK119" s="2136"/>
      <c r="AL119" s="2136"/>
      <c r="AM119" s="2127"/>
      <c r="AN119" s="2127"/>
      <c r="AO119" s="2136"/>
      <c r="AP119" s="2136"/>
      <c r="AQ119" s="2136"/>
    </row>
    <row r="120" spans="6:43">
      <c r="F120" s="2136"/>
      <c r="G120" s="2136"/>
      <c r="H120" s="2136"/>
      <c r="I120" s="2127"/>
      <c r="J120" s="2127"/>
      <c r="K120" s="2136"/>
      <c r="L120" s="2136"/>
      <c r="M120" s="2136"/>
      <c r="N120" s="2136"/>
      <c r="O120" s="2136"/>
      <c r="P120" s="2136"/>
      <c r="Q120" s="2136"/>
      <c r="R120" s="2136"/>
      <c r="S120" s="2127"/>
      <c r="T120" s="2127"/>
      <c r="U120" s="2136"/>
      <c r="Z120" s="2136"/>
      <c r="AA120" s="2136"/>
      <c r="AB120" s="2136"/>
      <c r="AC120" s="2127"/>
      <c r="AD120" s="2127"/>
      <c r="AE120" s="2136"/>
      <c r="AF120" s="2136"/>
      <c r="AG120" s="2136"/>
      <c r="AH120" s="2136"/>
      <c r="AI120" s="2136"/>
      <c r="AJ120" s="2136"/>
      <c r="AK120" s="2136"/>
      <c r="AL120" s="2136"/>
      <c r="AM120" s="2127"/>
      <c r="AN120" s="2127"/>
      <c r="AO120" s="2136"/>
      <c r="AP120" s="2136"/>
      <c r="AQ120" s="2136"/>
    </row>
    <row r="121" spans="6:43">
      <c r="F121" s="2136"/>
      <c r="G121" s="2136"/>
      <c r="H121" s="2136"/>
      <c r="I121" s="2127"/>
      <c r="J121" s="2127"/>
      <c r="K121" s="2136"/>
      <c r="L121" s="2136"/>
      <c r="M121" s="2136"/>
      <c r="N121" s="2136"/>
      <c r="O121" s="2136"/>
      <c r="P121" s="2136"/>
      <c r="Q121" s="2136"/>
      <c r="R121" s="2136"/>
      <c r="S121" s="2127"/>
      <c r="T121" s="2127"/>
      <c r="U121" s="2136"/>
      <c r="Z121" s="2136"/>
      <c r="AA121" s="2136"/>
      <c r="AB121" s="2136"/>
      <c r="AC121" s="2127"/>
      <c r="AD121" s="2127"/>
      <c r="AE121" s="2136"/>
      <c r="AF121" s="2136"/>
      <c r="AG121" s="2136"/>
      <c r="AH121" s="2136"/>
      <c r="AI121" s="2136"/>
      <c r="AJ121" s="2136"/>
      <c r="AK121" s="2136"/>
      <c r="AL121" s="2136"/>
      <c r="AM121" s="2127"/>
      <c r="AN121" s="2127"/>
      <c r="AO121" s="2136"/>
      <c r="AP121" s="2136"/>
      <c r="AQ121" s="2136"/>
    </row>
    <row r="122" spans="6:43">
      <c r="F122" s="2136"/>
      <c r="G122" s="2136"/>
      <c r="H122" s="2136"/>
      <c r="I122" s="2127"/>
      <c r="J122" s="2127"/>
      <c r="K122" s="2136"/>
      <c r="L122" s="2136"/>
      <c r="M122" s="2136"/>
      <c r="N122" s="2136"/>
      <c r="O122" s="2136"/>
      <c r="P122" s="2136"/>
      <c r="Q122" s="2136"/>
      <c r="R122" s="2136"/>
      <c r="S122" s="2127"/>
      <c r="T122" s="2127"/>
      <c r="U122" s="2136"/>
      <c r="Z122" s="2136"/>
      <c r="AA122" s="2136"/>
      <c r="AB122" s="2136"/>
      <c r="AC122" s="2127"/>
      <c r="AD122" s="2127"/>
      <c r="AE122" s="2136"/>
      <c r="AF122" s="2136"/>
      <c r="AG122" s="2136"/>
      <c r="AH122" s="2136"/>
      <c r="AI122" s="2136"/>
      <c r="AJ122" s="2136"/>
      <c r="AK122" s="2136"/>
      <c r="AL122" s="2136"/>
      <c r="AM122" s="2127"/>
      <c r="AN122" s="2127"/>
      <c r="AO122" s="2136"/>
      <c r="AP122" s="2136"/>
      <c r="AQ122" s="2136"/>
    </row>
    <row r="123" spans="6:43">
      <c r="F123" s="2136"/>
      <c r="G123" s="2136"/>
      <c r="H123" s="2136"/>
      <c r="I123" s="2127"/>
      <c r="J123" s="2127"/>
      <c r="K123" s="2136"/>
      <c r="L123" s="2136"/>
      <c r="M123" s="2136"/>
      <c r="N123" s="2136"/>
      <c r="O123" s="2136"/>
      <c r="P123" s="2136"/>
      <c r="Q123" s="2136"/>
      <c r="R123" s="2136"/>
      <c r="S123" s="2127"/>
      <c r="T123" s="2127"/>
      <c r="U123" s="2136"/>
      <c r="Z123" s="2136"/>
      <c r="AA123" s="2136"/>
      <c r="AB123" s="2136"/>
      <c r="AC123" s="2127"/>
      <c r="AD123" s="2127"/>
      <c r="AE123" s="2136"/>
      <c r="AF123" s="2136"/>
      <c r="AG123" s="2136"/>
      <c r="AH123" s="2136"/>
      <c r="AI123" s="2136"/>
      <c r="AJ123" s="2136"/>
      <c r="AK123" s="2136"/>
      <c r="AL123" s="2136"/>
      <c r="AM123" s="2127"/>
      <c r="AN123" s="2127"/>
      <c r="AO123" s="2136"/>
      <c r="AP123" s="2136"/>
      <c r="AQ123" s="2136"/>
    </row>
    <row r="124" spans="6:43">
      <c r="F124" s="2136"/>
      <c r="G124" s="2136"/>
      <c r="H124" s="2136"/>
      <c r="I124" s="2127"/>
      <c r="J124" s="2127"/>
      <c r="K124" s="2136"/>
      <c r="L124" s="2136"/>
      <c r="M124" s="2136"/>
      <c r="N124" s="2136"/>
      <c r="O124" s="2136"/>
      <c r="P124" s="2136"/>
      <c r="Q124" s="2136"/>
      <c r="R124" s="2136"/>
      <c r="S124" s="2127"/>
      <c r="T124" s="2127"/>
      <c r="U124" s="2136"/>
      <c r="Z124" s="2136"/>
      <c r="AA124" s="2136"/>
      <c r="AB124" s="2136"/>
      <c r="AC124" s="2127"/>
      <c r="AD124" s="2127"/>
      <c r="AE124" s="2136"/>
      <c r="AF124" s="2136"/>
      <c r="AG124" s="2136"/>
      <c r="AH124" s="2136"/>
      <c r="AI124" s="2136"/>
      <c r="AJ124" s="2136"/>
      <c r="AK124" s="2136"/>
      <c r="AL124" s="2136"/>
      <c r="AM124" s="2127"/>
      <c r="AN124" s="2127"/>
      <c r="AO124" s="2136"/>
      <c r="AP124" s="2136"/>
      <c r="AQ124" s="2136"/>
    </row>
    <row r="125" spans="6:43">
      <c r="F125" s="2136"/>
      <c r="G125" s="2136"/>
      <c r="H125" s="2136"/>
      <c r="I125" s="2127"/>
      <c r="J125" s="2127"/>
      <c r="K125" s="2136"/>
      <c r="L125" s="2136"/>
      <c r="M125" s="2136"/>
      <c r="N125" s="2136"/>
      <c r="O125" s="2136"/>
      <c r="P125" s="2136"/>
      <c r="Q125" s="2136"/>
      <c r="R125" s="2136"/>
      <c r="S125" s="2127"/>
      <c r="T125" s="2127"/>
      <c r="U125" s="2136"/>
      <c r="Z125" s="2136"/>
      <c r="AA125" s="2136"/>
      <c r="AB125" s="2136"/>
      <c r="AC125" s="2127"/>
      <c r="AD125" s="2127"/>
      <c r="AE125" s="2136"/>
      <c r="AF125" s="2136"/>
      <c r="AG125" s="2136"/>
      <c r="AH125" s="2136"/>
      <c r="AI125" s="2136"/>
      <c r="AJ125" s="2136"/>
      <c r="AK125" s="2136"/>
      <c r="AL125" s="2136"/>
      <c r="AM125" s="2127"/>
      <c r="AN125" s="2127"/>
      <c r="AO125" s="2136"/>
      <c r="AP125" s="2136"/>
      <c r="AQ125" s="2136"/>
    </row>
    <row r="126" spans="6:43">
      <c r="F126" s="2136"/>
      <c r="G126" s="2136"/>
      <c r="H126" s="2136"/>
      <c r="I126" s="2127"/>
      <c r="J126" s="2127"/>
      <c r="K126" s="2136"/>
      <c r="L126" s="2136"/>
      <c r="M126" s="2136"/>
      <c r="N126" s="2136"/>
      <c r="O126" s="2136"/>
      <c r="P126" s="2136"/>
      <c r="Q126" s="2136"/>
      <c r="R126" s="2136"/>
      <c r="S126" s="2127"/>
      <c r="T126" s="2127"/>
      <c r="U126" s="2136"/>
      <c r="Z126" s="2136"/>
      <c r="AA126" s="2136"/>
      <c r="AB126" s="2136"/>
      <c r="AC126" s="2127"/>
      <c r="AD126" s="2127"/>
      <c r="AE126" s="2136"/>
      <c r="AF126" s="2136"/>
      <c r="AG126" s="2136"/>
      <c r="AH126" s="2136"/>
      <c r="AI126" s="2136"/>
      <c r="AJ126" s="2136"/>
      <c r="AK126" s="2136"/>
      <c r="AL126" s="2136"/>
      <c r="AM126" s="2127"/>
      <c r="AN126" s="2127"/>
      <c r="AO126" s="2136"/>
      <c r="AP126" s="2136"/>
      <c r="AQ126" s="2136"/>
    </row>
    <row r="127" spans="6:43">
      <c r="F127" s="2136"/>
      <c r="G127" s="2136"/>
      <c r="H127" s="2136"/>
      <c r="I127" s="2127"/>
      <c r="J127" s="2127"/>
      <c r="K127" s="2136"/>
      <c r="L127" s="2136"/>
      <c r="M127" s="2136"/>
      <c r="N127" s="2136"/>
      <c r="O127" s="2136"/>
      <c r="P127" s="2136"/>
      <c r="Q127" s="2136"/>
      <c r="R127" s="2136"/>
      <c r="S127" s="2127"/>
      <c r="T127" s="2127"/>
      <c r="U127" s="2136"/>
      <c r="Z127" s="2136"/>
      <c r="AA127" s="2136"/>
      <c r="AB127" s="2136"/>
      <c r="AC127" s="2127"/>
      <c r="AD127" s="2127"/>
      <c r="AE127" s="2136"/>
      <c r="AF127" s="2136"/>
      <c r="AG127" s="2136"/>
      <c r="AH127" s="2136"/>
      <c r="AI127" s="2136"/>
      <c r="AJ127" s="2136"/>
      <c r="AK127" s="2136"/>
      <c r="AL127" s="2136"/>
      <c r="AM127" s="2127"/>
      <c r="AN127" s="2127"/>
      <c r="AO127" s="2136"/>
      <c r="AP127" s="2136"/>
      <c r="AQ127" s="2136"/>
    </row>
    <row r="128" spans="6:43">
      <c r="F128" s="2136"/>
      <c r="G128" s="2136"/>
      <c r="H128" s="2136"/>
      <c r="I128" s="2127"/>
      <c r="J128" s="2127"/>
      <c r="K128" s="2136"/>
      <c r="L128" s="2136"/>
      <c r="M128" s="2136"/>
      <c r="N128" s="2136"/>
      <c r="O128" s="2136"/>
      <c r="P128" s="2136"/>
      <c r="Q128" s="2136"/>
      <c r="R128" s="2136"/>
      <c r="S128" s="2127"/>
      <c r="T128" s="2127"/>
      <c r="U128" s="2136"/>
      <c r="Z128" s="2136"/>
      <c r="AA128" s="2136"/>
      <c r="AB128" s="2136"/>
      <c r="AC128" s="2127"/>
      <c r="AD128" s="2127"/>
      <c r="AE128" s="2136"/>
      <c r="AF128" s="2136"/>
      <c r="AG128" s="2136"/>
      <c r="AH128" s="2136"/>
      <c r="AI128" s="2136"/>
      <c r="AJ128" s="2136"/>
      <c r="AK128" s="2136"/>
      <c r="AL128" s="2136"/>
      <c r="AM128" s="2127"/>
      <c r="AN128" s="2127"/>
      <c r="AO128" s="2136"/>
      <c r="AP128" s="2136"/>
      <c r="AQ128" s="2136"/>
    </row>
    <row r="129" spans="6:43">
      <c r="F129" s="2136"/>
      <c r="G129" s="2136"/>
      <c r="H129" s="2136"/>
      <c r="I129" s="2127"/>
      <c r="J129" s="2127"/>
      <c r="K129" s="2136"/>
      <c r="L129" s="2136"/>
      <c r="M129" s="2136"/>
      <c r="N129" s="2136"/>
      <c r="O129" s="2136"/>
      <c r="P129" s="2136"/>
      <c r="Q129" s="2136"/>
      <c r="R129" s="2136"/>
      <c r="S129" s="2127"/>
      <c r="T129" s="2127"/>
      <c r="U129" s="2136"/>
      <c r="Z129" s="2136"/>
      <c r="AA129" s="2136"/>
      <c r="AB129" s="2136"/>
      <c r="AC129" s="2127"/>
      <c r="AD129" s="2127"/>
      <c r="AE129" s="2136"/>
      <c r="AF129" s="2136"/>
      <c r="AG129" s="2136"/>
      <c r="AH129" s="2136"/>
      <c r="AI129" s="2136"/>
      <c r="AJ129" s="2136"/>
      <c r="AK129" s="2136"/>
      <c r="AL129" s="2136"/>
      <c r="AM129" s="2127"/>
      <c r="AN129" s="2127"/>
      <c r="AO129" s="2136"/>
      <c r="AP129" s="2136"/>
      <c r="AQ129" s="2136"/>
    </row>
    <row r="130" spans="6:43">
      <c r="F130" s="2136"/>
      <c r="G130" s="2136"/>
      <c r="H130" s="2136"/>
      <c r="I130" s="2127"/>
      <c r="J130" s="2127"/>
      <c r="K130" s="2136"/>
      <c r="L130" s="2136"/>
      <c r="M130" s="2136"/>
      <c r="N130" s="2136"/>
      <c r="O130" s="2136"/>
      <c r="P130" s="2136"/>
      <c r="Q130" s="2136"/>
      <c r="R130" s="2136"/>
      <c r="S130" s="2127"/>
      <c r="T130" s="2127"/>
      <c r="U130" s="2136"/>
      <c r="Z130" s="2136"/>
      <c r="AA130" s="2136"/>
      <c r="AB130" s="2136"/>
      <c r="AC130" s="2127"/>
      <c r="AD130" s="2127"/>
      <c r="AE130" s="2136"/>
      <c r="AF130" s="2136"/>
      <c r="AG130" s="2136"/>
      <c r="AH130" s="2136"/>
      <c r="AI130" s="2136"/>
      <c r="AJ130" s="2136"/>
      <c r="AK130" s="2136"/>
      <c r="AL130" s="2136"/>
      <c r="AM130" s="2127"/>
      <c r="AN130" s="2127"/>
      <c r="AO130" s="2136"/>
      <c r="AP130" s="2136"/>
      <c r="AQ130" s="2136"/>
    </row>
    <row r="131" spans="6:43">
      <c r="F131" s="2136"/>
      <c r="G131" s="2136"/>
      <c r="H131" s="2136"/>
      <c r="I131" s="2127"/>
      <c r="J131" s="2127"/>
      <c r="K131" s="2136"/>
      <c r="L131" s="2136"/>
      <c r="M131" s="2136"/>
      <c r="N131" s="2136"/>
      <c r="O131" s="2136"/>
      <c r="P131" s="2136"/>
      <c r="Q131" s="2136"/>
      <c r="R131" s="2136"/>
      <c r="S131" s="2127"/>
      <c r="T131" s="2127"/>
      <c r="U131" s="2136"/>
      <c r="Z131" s="2136"/>
      <c r="AA131" s="2136"/>
      <c r="AB131" s="2136"/>
      <c r="AC131" s="2127"/>
      <c r="AD131" s="2127"/>
      <c r="AE131" s="2136"/>
      <c r="AF131" s="2136"/>
      <c r="AG131" s="2136"/>
      <c r="AH131" s="2136"/>
      <c r="AI131" s="2136"/>
      <c r="AJ131" s="2136"/>
      <c r="AK131" s="2136"/>
      <c r="AL131" s="2136"/>
      <c r="AM131" s="2127"/>
      <c r="AN131" s="2127"/>
      <c r="AO131" s="2136"/>
      <c r="AP131" s="2136"/>
      <c r="AQ131" s="2136"/>
    </row>
    <row r="132" spans="6:43">
      <c r="F132" s="2136"/>
      <c r="G132" s="2136"/>
      <c r="H132" s="2136"/>
      <c r="I132" s="2127"/>
      <c r="J132" s="2127"/>
      <c r="K132" s="2136"/>
      <c r="L132" s="2136"/>
      <c r="M132" s="2136"/>
      <c r="N132" s="2136"/>
      <c r="O132" s="2136"/>
      <c r="P132" s="2136"/>
      <c r="Q132" s="2136"/>
      <c r="R132" s="2136"/>
      <c r="S132" s="2127"/>
      <c r="T132" s="2127"/>
      <c r="U132" s="2136"/>
      <c r="Z132" s="2136"/>
      <c r="AA132" s="2136"/>
      <c r="AB132" s="2136"/>
      <c r="AC132" s="2127"/>
      <c r="AD132" s="2127"/>
      <c r="AE132" s="2136"/>
      <c r="AF132" s="2136"/>
      <c r="AG132" s="2136"/>
      <c r="AH132" s="2136"/>
      <c r="AI132" s="2136"/>
      <c r="AJ132" s="2136"/>
      <c r="AK132" s="2136"/>
      <c r="AL132" s="2136"/>
      <c r="AM132" s="2127"/>
      <c r="AN132" s="2127"/>
      <c r="AO132" s="2136"/>
      <c r="AP132" s="2136"/>
      <c r="AQ132" s="2136"/>
    </row>
    <row r="133" spans="6:43">
      <c r="F133" s="2136"/>
      <c r="G133" s="2136"/>
      <c r="H133" s="2136"/>
      <c r="I133" s="2127"/>
      <c r="J133" s="2127"/>
      <c r="K133" s="2136"/>
      <c r="L133" s="2136"/>
      <c r="M133" s="2136"/>
      <c r="N133" s="2136"/>
      <c r="O133" s="2136"/>
      <c r="P133" s="2136"/>
      <c r="Q133" s="2136"/>
      <c r="R133" s="2136"/>
      <c r="S133" s="2127"/>
      <c r="T133" s="2127"/>
      <c r="U133" s="2136"/>
      <c r="Z133" s="2136"/>
      <c r="AA133" s="2136"/>
      <c r="AB133" s="2136"/>
      <c r="AC133" s="2127"/>
      <c r="AD133" s="2127"/>
      <c r="AE133" s="2136"/>
      <c r="AF133" s="2136"/>
      <c r="AG133" s="2136"/>
      <c r="AH133" s="2136"/>
      <c r="AI133" s="2136"/>
      <c r="AJ133" s="2136"/>
      <c r="AK133" s="2136"/>
      <c r="AL133" s="2136"/>
      <c r="AM133" s="2127"/>
      <c r="AN133" s="2127"/>
      <c r="AO133" s="2136"/>
      <c r="AP133" s="2136"/>
      <c r="AQ133" s="2136"/>
    </row>
    <row r="134" spans="6:43">
      <c r="F134" s="2136"/>
      <c r="G134" s="2136"/>
      <c r="H134" s="2136"/>
      <c r="I134" s="2127"/>
      <c r="J134" s="2127"/>
      <c r="K134" s="2136"/>
      <c r="L134" s="2136"/>
      <c r="M134" s="2136"/>
      <c r="N134" s="2136"/>
      <c r="O134" s="2136"/>
      <c r="P134" s="2136"/>
      <c r="Q134" s="2136"/>
      <c r="R134" s="2136"/>
      <c r="S134" s="2127"/>
      <c r="T134" s="2127"/>
      <c r="U134" s="2136"/>
      <c r="Z134" s="2136"/>
      <c r="AA134" s="2136"/>
      <c r="AB134" s="2136"/>
      <c r="AC134" s="2127"/>
      <c r="AD134" s="2127"/>
      <c r="AE134" s="2136"/>
      <c r="AF134" s="2136"/>
      <c r="AG134" s="2136"/>
      <c r="AH134" s="2136"/>
      <c r="AI134" s="2136"/>
      <c r="AJ134" s="2136"/>
      <c r="AK134" s="2136"/>
      <c r="AL134" s="2136"/>
      <c r="AM134" s="2127"/>
      <c r="AN134" s="2127"/>
      <c r="AO134" s="2136"/>
      <c r="AP134" s="2136"/>
      <c r="AQ134" s="2136"/>
    </row>
    <row r="135" spans="6:43">
      <c r="F135" s="2136"/>
      <c r="G135" s="2136"/>
      <c r="H135" s="2136"/>
      <c r="I135" s="2127"/>
      <c r="J135" s="2127"/>
      <c r="K135" s="2136"/>
      <c r="L135" s="2136"/>
      <c r="M135" s="2136"/>
      <c r="N135" s="2136"/>
      <c r="O135" s="2136"/>
      <c r="P135" s="2136"/>
      <c r="Q135" s="2136"/>
      <c r="R135" s="2136"/>
      <c r="S135" s="2127"/>
      <c r="T135" s="2127"/>
      <c r="U135" s="2136"/>
      <c r="Z135" s="2136"/>
      <c r="AA135" s="2136"/>
      <c r="AB135" s="2136"/>
      <c r="AC135" s="2127"/>
      <c r="AD135" s="2127"/>
      <c r="AE135" s="2136"/>
      <c r="AF135" s="2136"/>
      <c r="AG135" s="2136"/>
      <c r="AH135" s="2136"/>
      <c r="AI135" s="2136"/>
      <c r="AJ135" s="2136"/>
      <c r="AK135" s="2136"/>
      <c r="AL135" s="2136"/>
      <c r="AM135" s="2127"/>
      <c r="AN135" s="2127"/>
      <c r="AO135" s="2136"/>
      <c r="AP135" s="2136"/>
      <c r="AQ135" s="2136"/>
    </row>
    <row r="136" spans="6:43">
      <c r="F136" s="2136"/>
      <c r="G136" s="2136"/>
      <c r="H136" s="2136"/>
      <c r="I136" s="2127"/>
      <c r="J136" s="2127"/>
      <c r="K136" s="2136"/>
      <c r="L136" s="2136"/>
      <c r="M136" s="2136"/>
      <c r="N136" s="2136"/>
      <c r="O136" s="2136"/>
      <c r="P136" s="2136"/>
      <c r="Q136" s="2136"/>
      <c r="R136" s="2136"/>
      <c r="S136" s="2127"/>
      <c r="T136" s="2127"/>
      <c r="U136" s="2136"/>
      <c r="Z136" s="2136"/>
      <c r="AA136" s="2136"/>
      <c r="AB136" s="2136"/>
      <c r="AC136" s="2127"/>
      <c r="AD136" s="2127"/>
      <c r="AE136" s="2136"/>
      <c r="AF136" s="2136"/>
      <c r="AG136" s="2136"/>
      <c r="AH136" s="2136"/>
      <c r="AI136" s="2136"/>
      <c r="AJ136" s="2136"/>
      <c r="AK136" s="2136"/>
      <c r="AL136" s="2136"/>
      <c r="AM136" s="2127"/>
      <c r="AN136" s="2127"/>
      <c r="AO136" s="2136"/>
      <c r="AP136" s="2136"/>
      <c r="AQ136" s="2136"/>
    </row>
    <row r="137" spans="6:43">
      <c r="F137" s="2136"/>
      <c r="G137" s="2136"/>
      <c r="H137" s="2136"/>
      <c r="I137" s="2127"/>
      <c r="J137" s="2127"/>
      <c r="K137" s="2136"/>
      <c r="L137" s="2136"/>
      <c r="M137" s="2136"/>
      <c r="N137" s="2136"/>
      <c r="O137" s="2136"/>
      <c r="P137" s="2136"/>
      <c r="Q137" s="2136"/>
      <c r="R137" s="2136"/>
      <c r="S137" s="2127"/>
      <c r="T137" s="2127"/>
      <c r="U137" s="2136"/>
      <c r="Z137" s="2136"/>
      <c r="AA137" s="2136"/>
      <c r="AB137" s="2136"/>
      <c r="AC137" s="2127"/>
      <c r="AD137" s="2127"/>
      <c r="AE137" s="2136"/>
      <c r="AF137" s="2136"/>
      <c r="AG137" s="2136"/>
      <c r="AH137" s="2136"/>
      <c r="AI137" s="2136"/>
      <c r="AJ137" s="2136"/>
      <c r="AK137" s="2136"/>
      <c r="AL137" s="2136"/>
      <c r="AM137" s="2127"/>
      <c r="AN137" s="2127"/>
      <c r="AO137" s="2136"/>
      <c r="AP137" s="2136"/>
      <c r="AQ137" s="2136"/>
    </row>
    <row r="138" spans="6:43">
      <c r="F138" s="2136"/>
      <c r="G138" s="2136"/>
      <c r="H138" s="2136"/>
      <c r="I138" s="2127"/>
      <c r="J138" s="2127"/>
      <c r="K138" s="2136"/>
      <c r="L138" s="2136"/>
      <c r="M138" s="2136"/>
      <c r="N138" s="2136"/>
      <c r="O138" s="2136"/>
      <c r="P138" s="2136"/>
      <c r="Q138" s="2136"/>
      <c r="R138" s="2136"/>
      <c r="S138" s="2127"/>
      <c r="T138" s="2127"/>
      <c r="U138" s="2136"/>
      <c r="Z138" s="2136"/>
      <c r="AA138" s="2136"/>
      <c r="AB138" s="2136"/>
      <c r="AC138" s="2127"/>
      <c r="AD138" s="2127"/>
      <c r="AE138" s="2136"/>
      <c r="AF138" s="2136"/>
      <c r="AG138" s="2136"/>
      <c r="AH138" s="2136"/>
      <c r="AI138" s="2136"/>
      <c r="AJ138" s="2136"/>
      <c r="AK138" s="2136"/>
      <c r="AL138" s="2136"/>
      <c r="AM138" s="2127"/>
      <c r="AN138" s="2127"/>
      <c r="AO138" s="2136"/>
      <c r="AP138" s="2136"/>
      <c r="AQ138" s="2136"/>
    </row>
    <row r="139" spans="6:43">
      <c r="F139" s="2136"/>
      <c r="G139" s="2136"/>
      <c r="H139" s="2136"/>
      <c r="I139" s="2127"/>
      <c r="J139" s="2127"/>
      <c r="K139" s="2136"/>
      <c r="L139" s="2136"/>
      <c r="M139" s="2136"/>
      <c r="N139" s="2136"/>
      <c r="O139" s="2136"/>
      <c r="P139" s="2136"/>
      <c r="Q139" s="2136"/>
      <c r="R139" s="2136"/>
      <c r="S139" s="2127"/>
      <c r="T139" s="2127"/>
      <c r="U139" s="2136"/>
      <c r="Z139" s="2136"/>
      <c r="AA139" s="2136"/>
      <c r="AB139" s="2136"/>
      <c r="AC139" s="2127"/>
      <c r="AD139" s="2127"/>
      <c r="AE139" s="2136"/>
      <c r="AF139" s="2136"/>
      <c r="AG139" s="2136"/>
      <c r="AH139" s="2136"/>
      <c r="AI139" s="2136"/>
      <c r="AJ139" s="2136"/>
      <c r="AK139" s="2136"/>
      <c r="AL139" s="2136"/>
      <c r="AM139" s="2127"/>
      <c r="AN139" s="2127"/>
      <c r="AO139" s="2136"/>
      <c r="AP139" s="2136"/>
      <c r="AQ139" s="2136"/>
    </row>
    <row r="140" spans="6:43">
      <c r="F140" s="2136"/>
      <c r="G140" s="2136"/>
      <c r="H140" s="2136"/>
      <c r="I140" s="2127"/>
      <c r="J140" s="2127"/>
      <c r="K140" s="2136"/>
      <c r="L140" s="2136"/>
      <c r="M140" s="2136"/>
      <c r="N140" s="2136"/>
      <c r="O140" s="2136"/>
      <c r="P140" s="2136"/>
      <c r="Q140" s="2136"/>
      <c r="R140" s="2136"/>
      <c r="S140" s="2127"/>
      <c r="T140" s="2127"/>
      <c r="U140" s="2136"/>
      <c r="Z140" s="2136"/>
      <c r="AA140" s="2136"/>
      <c r="AB140" s="2136"/>
      <c r="AC140" s="2127"/>
      <c r="AD140" s="2127"/>
      <c r="AE140" s="2136"/>
      <c r="AF140" s="2136"/>
      <c r="AG140" s="2136"/>
      <c r="AH140" s="2136"/>
      <c r="AI140" s="2136"/>
      <c r="AJ140" s="2136"/>
      <c r="AK140" s="2136"/>
      <c r="AL140" s="2136"/>
      <c r="AM140" s="2127"/>
      <c r="AN140" s="2127"/>
      <c r="AO140" s="2136"/>
      <c r="AP140" s="2136"/>
      <c r="AQ140" s="2136"/>
    </row>
    <row r="141" spans="6:43">
      <c r="F141" s="2136"/>
      <c r="G141" s="2136"/>
      <c r="H141" s="2136"/>
      <c r="I141" s="2127"/>
      <c r="J141" s="2127"/>
      <c r="K141" s="2136"/>
      <c r="L141" s="2136"/>
      <c r="M141" s="2136"/>
      <c r="N141" s="2136"/>
      <c r="O141" s="2136"/>
      <c r="P141" s="2136"/>
      <c r="Q141" s="2136"/>
      <c r="R141" s="2136"/>
      <c r="S141" s="2127"/>
      <c r="T141" s="2127"/>
      <c r="U141" s="2136"/>
      <c r="Z141" s="2136"/>
      <c r="AA141" s="2136"/>
      <c r="AB141" s="2136"/>
      <c r="AC141" s="2127"/>
      <c r="AD141" s="2127"/>
      <c r="AE141" s="2136"/>
      <c r="AF141" s="2136"/>
      <c r="AG141" s="2136"/>
      <c r="AH141" s="2136"/>
      <c r="AI141" s="2136"/>
      <c r="AJ141" s="2136"/>
      <c r="AK141" s="2136"/>
      <c r="AL141" s="2136"/>
      <c r="AM141" s="2127"/>
      <c r="AN141" s="2127"/>
      <c r="AO141" s="2136"/>
      <c r="AP141" s="2136"/>
      <c r="AQ141" s="2136"/>
    </row>
    <row r="142" spans="6:43">
      <c r="F142" s="2136"/>
      <c r="G142" s="2136"/>
      <c r="H142" s="2136"/>
      <c r="I142" s="2127"/>
      <c r="J142" s="2127"/>
      <c r="K142" s="2136"/>
      <c r="L142" s="2136"/>
      <c r="M142" s="2136"/>
      <c r="N142" s="2136"/>
      <c r="O142" s="2136"/>
      <c r="P142" s="2136"/>
      <c r="Q142" s="2136"/>
      <c r="R142" s="2136"/>
      <c r="S142" s="2127"/>
      <c r="T142" s="2127"/>
      <c r="U142" s="2136"/>
      <c r="Z142" s="2136"/>
      <c r="AA142" s="2136"/>
      <c r="AB142" s="2136"/>
      <c r="AC142" s="2127"/>
      <c r="AD142" s="2127"/>
      <c r="AE142" s="2136"/>
      <c r="AF142" s="2136"/>
      <c r="AG142" s="2136"/>
      <c r="AH142" s="2136"/>
      <c r="AI142" s="2136"/>
      <c r="AJ142" s="2136"/>
      <c r="AK142" s="2136"/>
      <c r="AL142" s="2136"/>
      <c r="AM142" s="2127"/>
      <c r="AN142" s="2127"/>
      <c r="AO142" s="2136"/>
      <c r="AP142" s="2136"/>
      <c r="AQ142" s="2136"/>
    </row>
    <row r="143" spans="6:43">
      <c r="F143" s="2136"/>
      <c r="G143" s="2136"/>
      <c r="H143" s="2136"/>
      <c r="I143" s="2127"/>
      <c r="J143" s="2127"/>
      <c r="K143" s="2136"/>
      <c r="L143" s="2136"/>
      <c r="M143" s="2136"/>
      <c r="N143" s="2136"/>
      <c r="O143" s="2136"/>
      <c r="P143" s="2136"/>
      <c r="Q143" s="2136"/>
      <c r="R143" s="2136"/>
      <c r="S143" s="2127"/>
      <c r="T143" s="2127"/>
      <c r="U143" s="2136"/>
      <c r="Z143" s="2136"/>
      <c r="AA143" s="2136"/>
      <c r="AB143" s="2136"/>
      <c r="AC143" s="2127"/>
      <c r="AD143" s="2127"/>
      <c r="AE143" s="2136"/>
      <c r="AF143" s="2136"/>
      <c r="AG143" s="2136"/>
      <c r="AH143" s="2136"/>
      <c r="AI143" s="2136"/>
      <c r="AJ143" s="2136"/>
      <c r="AK143" s="2136"/>
      <c r="AL143" s="2136"/>
      <c r="AM143" s="2127"/>
      <c r="AN143" s="2127"/>
      <c r="AO143" s="2136"/>
      <c r="AP143" s="2136"/>
      <c r="AQ143" s="2136"/>
    </row>
    <row r="144" spans="6:43">
      <c r="F144" s="2136"/>
      <c r="G144" s="2136"/>
      <c r="H144" s="2136"/>
      <c r="I144" s="2127"/>
      <c r="J144" s="2127"/>
      <c r="K144" s="2136"/>
      <c r="L144" s="2136"/>
      <c r="M144" s="2136"/>
      <c r="N144" s="2136"/>
      <c r="O144" s="2136"/>
      <c r="P144" s="2136"/>
      <c r="Q144" s="2136"/>
      <c r="R144" s="2136"/>
      <c r="S144" s="2127"/>
      <c r="T144" s="2127"/>
      <c r="U144" s="2136"/>
      <c r="Z144" s="2136"/>
      <c r="AA144" s="2136"/>
      <c r="AB144" s="2136"/>
      <c r="AC144" s="2127"/>
      <c r="AD144" s="2127"/>
      <c r="AE144" s="2136"/>
      <c r="AF144" s="2136"/>
      <c r="AG144" s="2136"/>
      <c r="AH144" s="2136"/>
      <c r="AI144" s="2136"/>
      <c r="AJ144" s="2136"/>
      <c r="AK144" s="2136"/>
      <c r="AL144" s="2136"/>
      <c r="AM144" s="2127"/>
      <c r="AN144" s="2127"/>
      <c r="AO144" s="2136"/>
      <c r="AP144" s="2136"/>
      <c r="AQ144" s="2136"/>
    </row>
    <row r="145" spans="6:43">
      <c r="F145" s="2136"/>
      <c r="G145" s="2136"/>
      <c r="H145" s="2136"/>
      <c r="I145" s="2127"/>
      <c r="J145" s="2127"/>
      <c r="K145" s="2136"/>
      <c r="L145" s="2136"/>
      <c r="M145" s="2136"/>
      <c r="N145" s="2136"/>
      <c r="O145" s="2136"/>
      <c r="P145" s="2136"/>
      <c r="Q145" s="2136"/>
      <c r="R145" s="2136"/>
      <c r="S145" s="2127"/>
      <c r="T145" s="2127"/>
      <c r="U145" s="2136"/>
      <c r="Z145" s="2136"/>
      <c r="AA145" s="2136"/>
      <c r="AB145" s="2136"/>
      <c r="AC145" s="2127"/>
      <c r="AD145" s="2127"/>
      <c r="AE145" s="2136"/>
      <c r="AF145" s="2136"/>
      <c r="AG145" s="2136"/>
      <c r="AH145" s="2136"/>
      <c r="AI145" s="2136"/>
      <c r="AJ145" s="2136"/>
      <c r="AK145" s="2136"/>
      <c r="AL145" s="2136"/>
      <c r="AM145" s="2127"/>
      <c r="AN145" s="2127"/>
      <c r="AO145" s="2136"/>
      <c r="AP145" s="2136"/>
      <c r="AQ145" s="2136"/>
    </row>
    <row r="146" spans="6:43">
      <c r="F146" s="2136"/>
      <c r="G146" s="2136"/>
      <c r="H146" s="2136"/>
      <c r="I146" s="2127"/>
      <c r="J146" s="2127"/>
      <c r="K146" s="2136"/>
      <c r="L146" s="2136"/>
      <c r="M146" s="2136"/>
      <c r="N146" s="2136"/>
      <c r="O146" s="2136"/>
      <c r="P146" s="2136"/>
      <c r="Q146" s="2136"/>
      <c r="R146" s="2136"/>
      <c r="S146" s="2127"/>
      <c r="T146" s="2127"/>
      <c r="U146" s="2136"/>
      <c r="Z146" s="2136"/>
      <c r="AA146" s="2136"/>
      <c r="AB146" s="2136"/>
      <c r="AC146" s="2127"/>
      <c r="AD146" s="2127"/>
      <c r="AE146" s="2136"/>
      <c r="AF146" s="2136"/>
      <c r="AG146" s="2136"/>
      <c r="AH146" s="2136"/>
      <c r="AI146" s="2136"/>
      <c r="AJ146" s="2136"/>
      <c r="AK146" s="2136"/>
      <c r="AL146" s="2136"/>
      <c r="AM146" s="2127"/>
      <c r="AN146" s="2127"/>
      <c r="AO146" s="2136"/>
      <c r="AP146" s="2136"/>
      <c r="AQ146" s="2136"/>
    </row>
    <row r="147" spans="6:43">
      <c r="F147" s="2136"/>
      <c r="G147" s="2136"/>
      <c r="H147" s="2136"/>
      <c r="I147" s="2127"/>
      <c r="J147" s="2127"/>
      <c r="K147" s="2136"/>
      <c r="L147" s="2136"/>
      <c r="M147" s="2136"/>
      <c r="N147" s="2136"/>
      <c r="O147" s="2136"/>
      <c r="P147" s="2136"/>
      <c r="Q147" s="2136"/>
      <c r="R147" s="2136"/>
      <c r="S147" s="2127"/>
      <c r="T147" s="2127"/>
      <c r="U147" s="2136"/>
      <c r="Z147" s="2136"/>
      <c r="AA147" s="2136"/>
      <c r="AB147" s="2136"/>
      <c r="AC147" s="2127"/>
      <c r="AD147" s="2127"/>
      <c r="AE147" s="2136"/>
      <c r="AF147" s="2136"/>
      <c r="AG147" s="2136"/>
      <c r="AH147" s="2136"/>
      <c r="AI147" s="2136"/>
      <c r="AJ147" s="2136"/>
      <c r="AK147" s="2136"/>
      <c r="AL147" s="2136"/>
      <c r="AM147" s="2127"/>
      <c r="AN147" s="2127"/>
      <c r="AO147" s="2136"/>
      <c r="AP147" s="2136"/>
      <c r="AQ147" s="2136"/>
    </row>
    <row r="148" spans="6:43">
      <c r="F148" s="2136"/>
      <c r="G148" s="2136"/>
      <c r="H148" s="2136"/>
      <c r="I148" s="2127"/>
      <c r="J148" s="2127"/>
      <c r="K148" s="2136"/>
      <c r="L148" s="2136"/>
      <c r="M148" s="2136"/>
      <c r="N148" s="2136"/>
      <c r="O148" s="2136"/>
      <c r="P148" s="2136"/>
      <c r="Q148" s="2136"/>
      <c r="R148" s="2136"/>
      <c r="S148" s="2127"/>
      <c r="T148" s="2127"/>
      <c r="U148" s="2136"/>
      <c r="Z148" s="2136"/>
      <c r="AA148" s="2136"/>
      <c r="AB148" s="2136"/>
      <c r="AC148" s="2127"/>
      <c r="AD148" s="2127"/>
      <c r="AE148" s="2136"/>
      <c r="AF148" s="2136"/>
      <c r="AG148" s="2136"/>
      <c r="AH148" s="2136"/>
      <c r="AI148" s="2136"/>
      <c r="AJ148" s="2136"/>
      <c r="AK148" s="2136"/>
      <c r="AL148" s="2136"/>
      <c r="AM148" s="2127"/>
      <c r="AN148" s="2127"/>
      <c r="AO148" s="2136"/>
      <c r="AP148" s="2136"/>
      <c r="AQ148" s="2136"/>
    </row>
    <row r="149" spans="6:43">
      <c r="F149" s="2136"/>
      <c r="G149" s="2136"/>
      <c r="H149" s="2136"/>
      <c r="I149" s="2127"/>
      <c r="J149" s="2127"/>
      <c r="K149" s="2136"/>
      <c r="L149" s="2136"/>
      <c r="M149" s="2136"/>
      <c r="N149" s="2136"/>
      <c r="O149" s="2136"/>
      <c r="P149" s="2136"/>
      <c r="Q149" s="2136"/>
      <c r="R149" s="2136"/>
      <c r="S149" s="2127"/>
      <c r="T149" s="2127"/>
      <c r="U149" s="2136"/>
      <c r="Z149" s="2136"/>
      <c r="AA149" s="2136"/>
      <c r="AB149" s="2136"/>
      <c r="AC149" s="2127"/>
      <c r="AD149" s="2127"/>
      <c r="AE149" s="2136"/>
      <c r="AF149" s="2136"/>
      <c r="AG149" s="2136"/>
      <c r="AH149" s="2136"/>
      <c r="AI149" s="2136"/>
      <c r="AJ149" s="2136"/>
      <c r="AK149" s="2136"/>
      <c r="AL149" s="2136"/>
      <c r="AM149" s="2127"/>
      <c r="AN149" s="2127"/>
      <c r="AO149" s="2136"/>
      <c r="AP149" s="2136"/>
      <c r="AQ149" s="2136"/>
    </row>
    <row r="150" spans="6:43">
      <c r="F150" s="2136"/>
      <c r="G150" s="2136"/>
      <c r="H150" s="2136"/>
      <c r="I150" s="2127"/>
      <c r="J150" s="2127"/>
      <c r="K150" s="2136"/>
      <c r="L150" s="2136"/>
      <c r="M150" s="2136"/>
      <c r="N150" s="2136"/>
      <c r="O150" s="2136"/>
      <c r="P150" s="2136"/>
      <c r="Q150" s="2136"/>
      <c r="R150" s="2136"/>
      <c r="S150" s="2127"/>
      <c r="T150" s="2127"/>
      <c r="U150" s="2136"/>
      <c r="Z150" s="2136"/>
      <c r="AA150" s="2136"/>
      <c r="AB150" s="2136"/>
      <c r="AC150" s="2127"/>
      <c r="AD150" s="2127"/>
      <c r="AE150" s="2136"/>
      <c r="AF150" s="2136"/>
      <c r="AG150" s="2136"/>
      <c r="AH150" s="2136"/>
      <c r="AI150" s="2136"/>
      <c r="AJ150" s="2136"/>
      <c r="AK150" s="2136"/>
      <c r="AL150" s="2136"/>
      <c r="AM150" s="2127"/>
      <c r="AN150" s="2127"/>
      <c r="AO150" s="2136"/>
      <c r="AP150" s="2136"/>
      <c r="AQ150" s="2136"/>
    </row>
    <row r="151" spans="6:43">
      <c r="F151" s="2136"/>
      <c r="G151" s="2136"/>
      <c r="H151" s="2136"/>
      <c r="I151" s="2127"/>
      <c r="J151" s="2127"/>
      <c r="K151" s="2136"/>
      <c r="L151" s="2136"/>
      <c r="M151" s="2136"/>
      <c r="N151" s="2136"/>
      <c r="O151" s="2136"/>
      <c r="P151" s="2136"/>
      <c r="Q151" s="2136"/>
      <c r="R151" s="2136"/>
      <c r="S151" s="2127"/>
      <c r="T151" s="2127"/>
      <c r="U151" s="2136"/>
      <c r="Z151" s="2136"/>
      <c r="AA151" s="2136"/>
      <c r="AB151" s="2136"/>
      <c r="AC151" s="2127"/>
      <c r="AD151" s="2127"/>
      <c r="AE151" s="2136"/>
      <c r="AF151" s="2136"/>
      <c r="AG151" s="2136"/>
      <c r="AH151" s="2136"/>
      <c r="AI151" s="2136"/>
      <c r="AJ151" s="2136"/>
      <c r="AK151" s="2136"/>
      <c r="AL151" s="2136"/>
      <c r="AM151" s="2127"/>
      <c r="AN151" s="2127"/>
      <c r="AO151" s="2136"/>
      <c r="AP151" s="2136"/>
      <c r="AQ151" s="2136"/>
    </row>
    <row r="152" spans="6:43">
      <c r="F152" s="2136"/>
      <c r="G152" s="2136"/>
      <c r="H152" s="2136"/>
      <c r="I152" s="2127"/>
      <c r="J152" s="2127"/>
      <c r="K152" s="2136"/>
      <c r="L152" s="2136"/>
      <c r="M152" s="2136"/>
      <c r="N152" s="2136"/>
      <c r="O152" s="2136"/>
      <c r="P152" s="2136"/>
      <c r="Q152" s="2136"/>
      <c r="R152" s="2136"/>
      <c r="S152" s="2127"/>
      <c r="T152" s="2127"/>
      <c r="U152" s="2136"/>
      <c r="Z152" s="2136"/>
      <c r="AA152" s="2136"/>
      <c r="AB152" s="2136"/>
      <c r="AC152" s="2127"/>
      <c r="AD152" s="2127"/>
      <c r="AE152" s="2136"/>
      <c r="AF152" s="2136"/>
      <c r="AG152" s="2136"/>
      <c r="AH152" s="2136"/>
      <c r="AI152" s="2136"/>
      <c r="AJ152" s="2136"/>
      <c r="AK152" s="2136"/>
      <c r="AL152" s="2136"/>
      <c r="AM152" s="2127"/>
      <c r="AN152" s="2127"/>
      <c r="AO152" s="2136"/>
      <c r="AP152" s="2136"/>
      <c r="AQ152" s="2136"/>
    </row>
    <row r="153" spans="6:43">
      <c r="F153" s="2136"/>
      <c r="G153" s="2136"/>
      <c r="H153" s="2136"/>
      <c r="I153" s="2127"/>
      <c r="J153" s="2127"/>
      <c r="K153" s="2136"/>
      <c r="L153" s="2136"/>
      <c r="M153" s="2136"/>
      <c r="N153" s="2136"/>
      <c r="O153" s="2136"/>
      <c r="P153" s="2136"/>
      <c r="Q153" s="2136"/>
      <c r="R153" s="2136"/>
      <c r="S153" s="2127"/>
      <c r="T153" s="2127"/>
      <c r="U153" s="2136"/>
      <c r="Z153" s="2136"/>
      <c r="AA153" s="2136"/>
      <c r="AB153" s="2136"/>
      <c r="AC153" s="2127"/>
      <c r="AD153" s="2127"/>
      <c r="AE153" s="2136"/>
      <c r="AF153" s="2136"/>
      <c r="AG153" s="2136"/>
      <c r="AH153" s="2136"/>
      <c r="AI153" s="2136"/>
      <c r="AJ153" s="2136"/>
      <c r="AK153" s="2136"/>
      <c r="AL153" s="2136"/>
      <c r="AM153" s="2127"/>
      <c r="AN153" s="2127"/>
      <c r="AO153" s="2136"/>
      <c r="AP153" s="2136"/>
      <c r="AQ153" s="2136"/>
    </row>
    <row r="154" spans="6:43">
      <c r="F154" s="2136"/>
      <c r="G154" s="2136"/>
      <c r="H154" s="2136"/>
      <c r="I154" s="2127"/>
      <c r="J154" s="2127"/>
      <c r="K154" s="2136"/>
      <c r="L154" s="2136"/>
      <c r="M154" s="2136"/>
      <c r="N154" s="2136"/>
      <c r="O154" s="2136"/>
      <c r="P154" s="2136"/>
      <c r="Q154" s="2136"/>
      <c r="R154" s="2136"/>
      <c r="S154" s="2127"/>
      <c r="T154" s="2127"/>
      <c r="U154" s="2136"/>
      <c r="Z154" s="2136"/>
      <c r="AA154" s="2136"/>
      <c r="AB154" s="2136"/>
      <c r="AC154" s="2127"/>
      <c r="AD154" s="2127"/>
      <c r="AE154" s="2136"/>
      <c r="AF154" s="2136"/>
      <c r="AG154" s="2136"/>
      <c r="AH154" s="2136"/>
      <c r="AI154" s="2136"/>
      <c r="AJ154" s="2136"/>
      <c r="AK154" s="2136"/>
      <c r="AL154" s="2136"/>
      <c r="AM154" s="2127"/>
      <c r="AN154" s="2127"/>
      <c r="AO154" s="2136"/>
      <c r="AP154" s="2136"/>
      <c r="AQ154" s="2136"/>
    </row>
    <row r="155" spans="6:43">
      <c r="F155" s="2136"/>
      <c r="G155" s="2136"/>
      <c r="H155" s="2136"/>
      <c r="I155" s="2127"/>
      <c r="J155" s="2127"/>
      <c r="K155" s="2136"/>
      <c r="L155" s="2136"/>
      <c r="M155" s="2136"/>
      <c r="N155" s="2136"/>
      <c r="O155" s="2136"/>
      <c r="P155" s="2136"/>
      <c r="Q155" s="2136"/>
      <c r="R155" s="2136"/>
      <c r="S155" s="2127"/>
      <c r="T155" s="2127"/>
      <c r="U155" s="2136"/>
      <c r="Z155" s="2136"/>
      <c r="AA155" s="2136"/>
      <c r="AB155" s="2136"/>
      <c r="AC155" s="2127"/>
      <c r="AD155" s="2127"/>
      <c r="AE155" s="2136"/>
      <c r="AF155" s="2136"/>
      <c r="AG155" s="2136"/>
      <c r="AH155" s="2136"/>
      <c r="AI155" s="2136"/>
      <c r="AJ155" s="2136"/>
      <c r="AK155" s="2136"/>
      <c r="AL155" s="2136"/>
      <c r="AM155" s="2127"/>
      <c r="AN155" s="2127"/>
      <c r="AO155" s="2136"/>
      <c r="AP155" s="2136"/>
      <c r="AQ155" s="2136"/>
    </row>
    <row r="156" spans="6:43">
      <c r="F156" s="2136"/>
      <c r="G156" s="2136"/>
      <c r="H156" s="2136"/>
      <c r="I156" s="2127"/>
      <c r="J156" s="2127"/>
      <c r="K156" s="2136"/>
      <c r="L156" s="2136"/>
      <c r="M156" s="2136"/>
      <c r="N156" s="2136"/>
      <c r="O156" s="2136"/>
      <c r="P156" s="2136"/>
      <c r="Q156" s="2136"/>
      <c r="R156" s="2136"/>
      <c r="S156" s="2127"/>
      <c r="T156" s="2127"/>
      <c r="U156" s="2136"/>
      <c r="Z156" s="2136"/>
      <c r="AA156" s="2136"/>
      <c r="AB156" s="2136"/>
      <c r="AC156" s="2127"/>
      <c r="AD156" s="2127"/>
      <c r="AE156" s="2136"/>
      <c r="AF156" s="2136"/>
      <c r="AG156" s="2136"/>
      <c r="AH156" s="2136"/>
      <c r="AI156" s="2136"/>
      <c r="AJ156" s="2136"/>
      <c r="AK156" s="2136"/>
      <c r="AL156" s="2136"/>
      <c r="AM156" s="2127"/>
      <c r="AN156" s="2127"/>
      <c r="AO156" s="2136"/>
      <c r="AP156" s="2136"/>
      <c r="AQ156" s="2136"/>
    </row>
    <row r="157" spans="6:43">
      <c r="F157" s="2136"/>
      <c r="G157" s="2136"/>
      <c r="H157" s="2136"/>
      <c r="I157" s="2127"/>
      <c r="J157" s="2127"/>
      <c r="K157" s="2136"/>
      <c r="L157" s="2136"/>
      <c r="M157" s="2136"/>
      <c r="N157" s="2136"/>
      <c r="O157" s="2136"/>
      <c r="P157" s="2136"/>
      <c r="Q157" s="2136"/>
      <c r="R157" s="2136"/>
      <c r="S157" s="2127"/>
      <c r="T157" s="2127"/>
      <c r="U157" s="2136"/>
      <c r="Z157" s="2136"/>
      <c r="AA157" s="2136"/>
      <c r="AB157" s="2136"/>
      <c r="AC157" s="2127"/>
      <c r="AD157" s="2127"/>
      <c r="AE157" s="2136"/>
      <c r="AF157" s="2136"/>
      <c r="AG157" s="2136"/>
      <c r="AH157" s="2136"/>
      <c r="AI157" s="2136"/>
      <c r="AJ157" s="2136"/>
      <c r="AK157" s="2136"/>
      <c r="AL157" s="2136"/>
      <c r="AM157" s="2127"/>
      <c r="AN157" s="2127"/>
      <c r="AO157" s="2136"/>
      <c r="AP157" s="2136"/>
      <c r="AQ157" s="2136"/>
    </row>
    <row r="158" spans="6:43">
      <c r="F158" s="2136"/>
      <c r="G158" s="2136"/>
      <c r="H158" s="2136"/>
      <c r="I158" s="2127"/>
      <c r="J158" s="2127"/>
      <c r="K158" s="2136"/>
      <c r="L158" s="2136"/>
      <c r="M158" s="2136"/>
      <c r="N158" s="2136"/>
      <c r="O158" s="2136"/>
      <c r="P158" s="2136"/>
      <c r="Q158" s="2136"/>
      <c r="R158" s="2136"/>
      <c r="S158" s="2127"/>
      <c r="T158" s="2127"/>
      <c r="U158" s="2136"/>
      <c r="Z158" s="2136"/>
      <c r="AA158" s="2136"/>
      <c r="AB158" s="2136"/>
      <c r="AC158" s="2127"/>
      <c r="AD158" s="2127"/>
      <c r="AE158" s="2136"/>
      <c r="AF158" s="2136"/>
      <c r="AG158" s="2136"/>
      <c r="AH158" s="2136"/>
      <c r="AI158" s="2136"/>
      <c r="AJ158" s="2136"/>
      <c r="AK158" s="2136"/>
      <c r="AL158" s="2136"/>
      <c r="AM158" s="2127"/>
      <c r="AN158" s="2127"/>
      <c r="AO158" s="2136"/>
      <c r="AP158" s="2136"/>
      <c r="AQ158" s="2136"/>
    </row>
    <row r="159" spans="6:43">
      <c r="F159" s="2136"/>
      <c r="G159" s="2136"/>
      <c r="H159" s="2136"/>
      <c r="I159" s="2127"/>
      <c r="J159" s="2127"/>
      <c r="K159" s="2136"/>
      <c r="L159" s="2136"/>
      <c r="M159" s="2136"/>
      <c r="N159" s="2136"/>
      <c r="O159" s="2136"/>
      <c r="P159" s="2136"/>
      <c r="Q159" s="2136"/>
      <c r="R159" s="2136"/>
      <c r="S159" s="2127"/>
      <c r="T159" s="2127"/>
      <c r="U159" s="2136"/>
      <c r="Z159" s="2136"/>
      <c r="AA159" s="2136"/>
      <c r="AB159" s="2136"/>
      <c r="AC159" s="2127"/>
      <c r="AD159" s="2127"/>
      <c r="AE159" s="2136"/>
      <c r="AF159" s="2136"/>
      <c r="AG159" s="2136"/>
      <c r="AH159" s="2136"/>
      <c r="AI159" s="2136"/>
      <c r="AJ159" s="2136"/>
      <c r="AK159" s="2136"/>
      <c r="AL159" s="2136"/>
      <c r="AM159" s="2127"/>
      <c r="AN159" s="2127"/>
      <c r="AO159" s="2136"/>
      <c r="AP159" s="2136"/>
      <c r="AQ159" s="2136"/>
    </row>
    <row r="160" spans="6:43">
      <c r="F160" s="2136"/>
      <c r="G160" s="2136"/>
      <c r="H160" s="2136"/>
      <c r="I160" s="2127"/>
      <c r="J160" s="2127"/>
      <c r="K160" s="2136"/>
      <c r="L160" s="2136"/>
      <c r="M160" s="2136"/>
      <c r="N160" s="2136"/>
      <c r="O160" s="2136"/>
      <c r="P160" s="2136"/>
      <c r="Q160" s="2136"/>
      <c r="R160" s="2136"/>
      <c r="S160" s="2127"/>
      <c r="T160" s="2127"/>
      <c r="U160" s="2136"/>
      <c r="Z160" s="2136"/>
      <c r="AA160" s="2136"/>
      <c r="AB160" s="2136"/>
      <c r="AC160" s="2127"/>
      <c r="AD160" s="2127"/>
      <c r="AE160" s="2136"/>
      <c r="AF160" s="2136"/>
      <c r="AG160" s="2136"/>
      <c r="AH160" s="2136"/>
      <c r="AI160" s="2136"/>
      <c r="AJ160" s="2136"/>
      <c r="AK160" s="2136"/>
      <c r="AL160" s="2136"/>
      <c r="AM160" s="2127"/>
      <c r="AN160" s="2127"/>
      <c r="AO160" s="2136"/>
      <c r="AP160" s="2136"/>
      <c r="AQ160" s="2136"/>
    </row>
    <row r="161" spans="6:43">
      <c r="F161" s="2136"/>
      <c r="G161" s="2136"/>
      <c r="H161" s="2136"/>
      <c r="I161" s="2127"/>
      <c r="J161" s="2127"/>
      <c r="K161" s="2136"/>
      <c r="L161" s="2136"/>
      <c r="M161" s="2136"/>
      <c r="N161" s="2136"/>
      <c r="O161" s="2136"/>
      <c r="P161" s="2136"/>
      <c r="Q161" s="2136"/>
      <c r="R161" s="2136"/>
      <c r="S161" s="2127"/>
      <c r="T161" s="2127"/>
      <c r="U161" s="2136"/>
      <c r="Z161" s="2136"/>
      <c r="AA161" s="2136"/>
      <c r="AB161" s="2136"/>
      <c r="AC161" s="2127"/>
      <c r="AD161" s="2127"/>
      <c r="AE161" s="2136"/>
      <c r="AF161" s="2136"/>
      <c r="AG161" s="2136"/>
      <c r="AH161" s="2136"/>
      <c r="AI161" s="2136"/>
      <c r="AJ161" s="2136"/>
      <c r="AK161" s="2136"/>
      <c r="AL161" s="2136"/>
      <c r="AM161" s="2127"/>
      <c r="AN161" s="2127"/>
      <c r="AO161" s="2136"/>
      <c r="AP161" s="2136"/>
      <c r="AQ161" s="2136"/>
    </row>
    <row r="162" spans="6:43">
      <c r="F162" s="2136"/>
      <c r="G162" s="2136"/>
      <c r="H162" s="2136"/>
      <c r="I162" s="2127"/>
      <c r="J162" s="2127"/>
      <c r="K162" s="2136"/>
      <c r="L162" s="2136"/>
      <c r="M162" s="2136"/>
      <c r="N162" s="2136"/>
      <c r="O162" s="2136"/>
      <c r="P162" s="2136"/>
      <c r="Q162" s="2136"/>
      <c r="R162" s="2136"/>
      <c r="S162" s="2127"/>
      <c r="T162" s="2127"/>
      <c r="U162" s="2136"/>
      <c r="Z162" s="2136"/>
      <c r="AA162" s="2136"/>
      <c r="AB162" s="2136"/>
      <c r="AC162" s="2127"/>
      <c r="AD162" s="2127"/>
      <c r="AE162" s="2136"/>
      <c r="AF162" s="2136"/>
      <c r="AG162" s="2136"/>
      <c r="AH162" s="2136"/>
      <c r="AI162" s="2136"/>
      <c r="AJ162" s="2136"/>
      <c r="AK162" s="2136"/>
      <c r="AL162" s="2136"/>
      <c r="AM162" s="2127"/>
      <c r="AN162" s="2127"/>
      <c r="AO162" s="2136"/>
      <c r="AP162" s="2136"/>
      <c r="AQ162" s="2136"/>
    </row>
    <row r="163" spans="6:43">
      <c r="F163" s="2136"/>
      <c r="G163" s="2136"/>
      <c r="H163" s="2136"/>
      <c r="I163" s="2127"/>
      <c r="J163" s="2127"/>
      <c r="K163" s="2136"/>
      <c r="L163" s="2136"/>
      <c r="M163" s="2136"/>
      <c r="N163" s="2136"/>
      <c r="O163" s="2136"/>
      <c r="P163" s="2136"/>
      <c r="Q163" s="2136"/>
      <c r="R163" s="2136"/>
      <c r="S163" s="2127"/>
      <c r="T163" s="2127"/>
      <c r="U163" s="2136"/>
      <c r="Z163" s="2136"/>
      <c r="AA163" s="2136"/>
      <c r="AB163" s="2136"/>
      <c r="AC163" s="2127"/>
      <c r="AD163" s="2127"/>
      <c r="AE163" s="2136"/>
      <c r="AF163" s="2136"/>
      <c r="AG163" s="2136"/>
      <c r="AH163" s="2136"/>
      <c r="AI163" s="2136"/>
      <c r="AJ163" s="2136"/>
      <c r="AK163" s="2136"/>
      <c r="AL163" s="2136"/>
      <c r="AM163" s="2127"/>
      <c r="AN163" s="2127"/>
      <c r="AO163" s="2136"/>
      <c r="AP163" s="2136"/>
      <c r="AQ163" s="2136"/>
    </row>
    <row r="164" spans="6:43">
      <c r="F164" s="2136"/>
      <c r="G164" s="2136"/>
      <c r="H164" s="2136"/>
      <c r="I164" s="2127"/>
      <c r="J164" s="2127"/>
      <c r="K164" s="2136"/>
      <c r="L164" s="2136"/>
      <c r="M164" s="2136"/>
      <c r="N164" s="2136"/>
      <c r="O164" s="2136"/>
      <c r="P164" s="2136"/>
      <c r="Q164" s="2136"/>
      <c r="R164" s="2136"/>
      <c r="S164" s="2127"/>
      <c r="T164" s="2127"/>
      <c r="U164" s="2136"/>
      <c r="Z164" s="2136"/>
      <c r="AA164" s="2136"/>
      <c r="AB164" s="2136"/>
      <c r="AC164" s="2127"/>
      <c r="AD164" s="2127"/>
      <c r="AE164" s="2136"/>
      <c r="AF164" s="2136"/>
      <c r="AG164" s="2136"/>
      <c r="AH164" s="2136"/>
      <c r="AI164" s="2136"/>
      <c r="AJ164" s="2136"/>
      <c r="AK164" s="2136"/>
      <c r="AL164" s="2136"/>
      <c r="AM164" s="2127"/>
      <c r="AN164" s="2127"/>
      <c r="AO164" s="2136"/>
      <c r="AP164" s="2136"/>
      <c r="AQ164" s="2136"/>
    </row>
    <row r="165" spans="6:43">
      <c r="F165" s="2136"/>
      <c r="G165" s="2136"/>
      <c r="H165" s="2136"/>
      <c r="I165" s="2127"/>
      <c r="J165" s="2127"/>
      <c r="K165" s="2136"/>
      <c r="L165" s="2136"/>
      <c r="M165" s="2136"/>
      <c r="N165" s="2136"/>
      <c r="O165" s="2136"/>
      <c r="P165" s="2136"/>
      <c r="Q165" s="2136"/>
      <c r="R165" s="2136"/>
      <c r="S165" s="2127"/>
      <c r="T165" s="2127"/>
      <c r="U165" s="2136"/>
      <c r="Z165" s="2136"/>
      <c r="AA165" s="2136"/>
      <c r="AB165" s="2136"/>
      <c r="AC165" s="2127"/>
      <c r="AD165" s="2127"/>
      <c r="AE165" s="2136"/>
      <c r="AF165" s="2136"/>
      <c r="AG165" s="2136"/>
      <c r="AH165" s="2136"/>
      <c r="AI165" s="2136"/>
      <c r="AJ165" s="2136"/>
      <c r="AK165" s="2136"/>
      <c r="AL165" s="2136"/>
      <c r="AM165" s="2127"/>
      <c r="AN165" s="2127"/>
      <c r="AO165" s="2136"/>
      <c r="AP165" s="2136"/>
      <c r="AQ165" s="2136"/>
    </row>
    <row r="166" spans="6:43">
      <c r="F166" s="2136"/>
      <c r="G166" s="2136"/>
      <c r="H166" s="2136"/>
      <c r="I166" s="2127"/>
      <c r="J166" s="2127"/>
      <c r="K166" s="2136"/>
      <c r="L166" s="2136"/>
      <c r="M166" s="2136"/>
      <c r="N166" s="2136"/>
      <c r="O166" s="2136"/>
      <c r="P166" s="2136"/>
      <c r="Q166" s="2136"/>
      <c r="R166" s="2136"/>
      <c r="S166" s="2127"/>
      <c r="T166" s="2127"/>
      <c r="U166" s="2136"/>
      <c r="Z166" s="2136"/>
      <c r="AA166" s="2136"/>
      <c r="AB166" s="2136"/>
      <c r="AC166" s="2127"/>
      <c r="AD166" s="2127"/>
      <c r="AE166" s="2136"/>
      <c r="AF166" s="2136"/>
      <c r="AG166" s="2136"/>
      <c r="AH166" s="2136"/>
      <c r="AI166" s="2136"/>
      <c r="AJ166" s="2136"/>
      <c r="AK166" s="2136"/>
      <c r="AL166" s="2136"/>
      <c r="AM166" s="2127"/>
      <c r="AN166" s="2127"/>
      <c r="AO166" s="2136"/>
      <c r="AP166" s="2136"/>
      <c r="AQ166" s="2136"/>
    </row>
    <row r="167" spans="6:43">
      <c r="F167" s="2136"/>
      <c r="G167" s="2136"/>
      <c r="H167" s="2136"/>
      <c r="I167" s="2127"/>
      <c r="J167" s="2127"/>
      <c r="K167" s="2136"/>
      <c r="L167" s="2136"/>
      <c r="M167" s="2136"/>
      <c r="N167" s="2136"/>
      <c r="O167" s="2136"/>
      <c r="P167" s="2136"/>
      <c r="Q167" s="2136"/>
      <c r="R167" s="2136"/>
      <c r="S167" s="2127"/>
      <c r="T167" s="2127"/>
      <c r="U167" s="2136"/>
      <c r="Z167" s="2136"/>
      <c r="AA167" s="2136"/>
      <c r="AB167" s="2136"/>
      <c r="AC167" s="2127"/>
      <c r="AD167" s="2127"/>
      <c r="AE167" s="2136"/>
      <c r="AF167" s="2136"/>
      <c r="AG167" s="2136"/>
      <c r="AH167" s="2136"/>
      <c r="AI167" s="2136"/>
      <c r="AJ167" s="2136"/>
      <c r="AK167" s="2136"/>
      <c r="AL167" s="2136"/>
      <c r="AM167" s="2127"/>
      <c r="AN167" s="2127"/>
      <c r="AO167" s="2136"/>
      <c r="AP167" s="2136"/>
      <c r="AQ167" s="2136"/>
    </row>
    <row r="168" spans="6:43">
      <c r="F168" s="2136"/>
      <c r="G168" s="2136"/>
      <c r="H168" s="2136"/>
      <c r="I168" s="2127"/>
      <c r="J168" s="2127"/>
      <c r="K168" s="2136"/>
      <c r="L168" s="2136"/>
      <c r="M168" s="2136"/>
      <c r="N168" s="2136"/>
      <c r="O168" s="2136"/>
      <c r="P168" s="2136"/>
      <c r="Q168" s="2136"/>
      <c r="R168" s="2136"/>
      <c r="S168" s="2127"/>
      <c r="T168" s="2127"/>
      <c r="U168" s="2136"/>
      <c r="Z168" s="2136"/>
      <c r="AA168" s="2136"/>
      <c r="AB168" s="2136"/>
      <c r="AC168" s="2127"/>
      <c r="AD168" s="2127"/>
      <c r="AE168" s="2136"/>
      <c r="AF168" s="2136"/>
      <c r="AG168" s="2136"/>
      <c r="AH168" s="2136"/>
      <c r="AI168" s="2136"/>
      <c r="AJ168" s="2136"/>
      <c r="AK168" s="2136"/>
      <c r="AL168" s="2136"/>
      <c r="AM168" s="2127"/>
      <c r="AN168" s="2127"/>
      <c r="AO168" s="2136"/>
      <c r="AP168" s="2136"/>
      <c r="AQ168" s="2136"/>
    </row>
    <row r="169" spans="6:43">
      <c r="F169" s="2136"/>
      <c r="G169" s="2136"/>
      <c r="H169" s="2136"/>
      <c r="I169" s="2127"/>
      <c r="J169" s="2127"/>
      <c r="K169" s="2136"/>
      <c r="L169" s="2136"/>
      <c r="M169" s="2136"/>
      <c r="N169" s="2136"/>
      <c r="O169" s="2136"/>
      <c r="P169" s="2136"/>
      <c r="Q169" s="2136"/>
      <c r="R169" s="2136"/>
      <c r="S169" s="2127"/>
      <c r="T169" s="2127"/>
      <c r="U169" s="2136"/>
      <c r="Z169" s="2136"/>
      <c r="AA169" s="2136"/>
      <c r="AB169" s="2136"/>
      <c r="AC169" s="2127"/>
      <c r="AD169" s="2127"/>
      <c r="AE169" s="2136"/>
      <c r="AF169" s="2136"/>
      <c r="AG169" s="2136"/>
      <c r="AH169" s="2136"/>
      <c r="AI169" s="2136"/>
      <c r="AJ169" s="2136"/>
      <c r="AK169" s="2136"/>
      <c r="AL169" s="2136"/>
      <c r="AM169" s="2127"/>
      <c r="AN169" s="2127"/>
      <c r="AO169" s="2136"/>
      <c r="AP169" s="2136"/>
      <c r="AQ169" s="2136"/>
    </row>
    <row r="170" spans="6:43">
      <c r="F170" s="2136"/>
      <c r="G170" s="2136"/>
      <c r="H170" s="2136"/>
      <c r="I170" s="2127"/>
      <c r="J170" s="2127"/>
      <c r="K170" s="2136"/>
      <c r="L170" s="2136"/>
      <c r="M170" s="2136"/>
      <c r="N170" s="2136"/>
      <c r="O170" s="2136"/>
      <c r="P170" s="2136"/>
      <c r="Q170" s="2136"/>
      <c r="R170" s="2136"/>
      <c r="S170" s="2127"/>
      <c r="T170" s="2127"/>
      <c r="U170" s="2136"/>
      <c r="Z170" s="2136"/>
      <c r="AA170" s="2136"/>
      <c r="AB170" s="2136"/>
      <c r="AC170" s="2127"/>
      <c r="AD170" s="2127"/>
      <c r="AE170" s="2136"/>
      <c r="AF170" s="2136"/>
      <c r="AG170" s="2136"/>
      <c r="AH170" s="2136"/>
      <c r="AI170" s="2136"/>
      <c r="AJ170" s="2136"/>
      <c r="AK170" s="2136"/>
      <c r="AL170" s="2136"/>
      <c r="AM170" s="2127"/>
      <c r="AN170" s="2127"/>
      <c r="AO170" s="2136"/>
      <c r="AP170" s="2136"/>
      <c r="AQ170" s="2136"/>
    </row>
    <row r="171" spans="6:43">
      <c r="F171" s="2136"/>
      <c r="G171" s="2136"/>
      <c r="H171" s="2136"/>
      <c r="I171" s="2127"/>
      <c r="J171" s="2127"/>
      <c r="K171" s="2136"/>
      <c r="L171" s="2136"/>
      <c r="M171" s="2136"/>
      <c r="N171" s="2136"/>
      <c r="O171" s="2136"/>
      <c r="P171" s="2136"/>
      <c r="Q171" s="2136"/>
      <c r="R171" s="2136"/>
      <c r="S171" s="2127"/>
      <c r="T171" s="2127"/>
      <c r="U171" s="2136"/>
      <c r="Z171" s="2136"/>
      <c r="AA171" s="2136"/>
      <c r="AB171" s="2136"/>
      <c r="AC171" s="2127"/>
      <c r="AD171" s="2127"/>
      <c r="AE171" s="2136"/>
      <c r="AF171" s="2136"/>
      <c r="AG171" s="2136"/>
      <c r="AH171" s="2136"/>
      <c r="AI171" s="2136"/>
      <c r="AJ171" s="2136"/>
      <c r="AK171" s="2136"/>
      <c r="AL171" s="2136"/>
      <c r="AM171" s="2127"/>
      <c r="AN171" s="2127"/>
      <c r="AO171" s="2136"/>
      <c r="AP171" s="2136"/>
      <c r="AQ171" s="2136"/>
    </row>
    <row r="172" spans="6:43">
      <c r="F172" s="2136"/>
      <c r="G172" s="2136"/>
      <c r="H172" s="2136"/>
      <c r="I172" s="2127"/>
      <c r="J172" s="2127"/>
      <c r="K172" s="2136"/>
      <c r="L172" s="2136"/>
      <c r="M172" s="2136"/>
      <c r="N172" s="2136"/>
      <c r="O172" s="2136"/>
      <c r="P172" s="2136"/>
      <c r="Q172" s="2136"/>
      <c r="R172" s="2136"/>
      <c r="S172" s="2127"/>
      <c r="T172" s="2127"/>
      <c r="U172" s="2136"/>
      <c r="Z172" s="2136"/>
      <c r="AA172" s="2136"/>
      <c r="AB172" s="2136"/>
      <c r="AC172" s="2127"/>
      <c r="AD172" s="2127"/>
      <c r="AE172" s="2136"/>
      <c r="AF172" s="2136"/>
      <c r="AG172" s="2136"/>
      <c r="AH172" s="2136"/>
      <c r="AI172" s="2136"/>
      <c r="AJ172" s="2136"/>
      <c r="AK172" s="2136"/>
      <c r="AL172" s="2136"/>
      <c r="AM172" s="2127"/>
      <c r="AN172" s="2127"/>
      <c r="AO172" s="2136"/>
      <c r="AP172" s="2136"/>
      <c r="AQ172" s="2136"/>
    </row>
    <row r="173" spans="6:43">
      <c r="F173" s="2136"/>
      <c r="G173" s="2136"/>
      <c r="H173" s="2136"/>
      <c r="I173" s="2127"/>
      <c r="J173" s="2127"/>
      <c r="K173" s="2136"/>
      <c r="L173" s="2136"/>
      <c r="M173" s="2136"/>
      <c r="N173" s="2136"/>
      <c r="O173" s="2136"/>
      <c r="P173" s="2136"/>
      <c r="Q173" s="2136"/>
      <c r="R173" s="2136"/>
      <c r="S173" s="2127"/>
      <c r="T173" s="2127"/>
      <c r="U173" s="2136"/>
      <c r="Z173" s="2136"/>
      <c r="AA173" s="2136"/>
      <c r="AB173" s="2136"/>
      <c r="AC173" s="2127"/>
      <c r="AD173" s="2127"/>
      <c r="AE173" s="2136"/>
      <c r="AF173" s="2136"/>
      <c r="AG173" s="2136"/>
      <c r="AH173" s="2136"/>
      <c r="AI173" s="2136"/>
      <c r="AJ173" s="2136"/>
      <c r="AK173" s="2136"/>
      <c r="AL173" s="2136"/>
      <c r="AM173" s="2127"/>
      <c r="AN173" s="2127"/>
      <c r="AO173" s="2136"/>
      <c r="AP173" s="2136"/>
      <c r="AQ173" s="2136"/>
    </row>
    <row r="174" spans="6:43">
      <c r="F174" s="2136"/>
      <c r="G174" s="2136"/>
      <c r="H174" s="2136"/>
      <c r="I174" s="2127"/>
      <c r="J174" s="2127"/>
      <c r="K174" s="2136"/>
      <c r="L174" s="2136"/>
      <c r="M174" s="2136"/>
      <c r="N174" s="2136"/>
      <c r="O174" s="2136"/>
      <c r="P174" s="2136"/>
      <c r="Q174" s="2136"/>
      <c r="R174" s="2136"/>
      <c r="S174" s="2127"/>
      <c r="T174" s="2127"/>
      <c r="U174" s="2136"/>
      <c r="Z174" s="2136"/>
      <c r="AA174" s="2136"/>
      <c r="AB174" s="2136"/>
      <c r="AC174" s="2127"/>
      <c r="AD174" s="2127"/>
      <c r="AE174" s="2136"/>
      <c r="AF174" s="2136"/>
      <c r="AG174" s="2136"/>
      <c r="AH174" s="2136"/>
      <c r="AI174" s="2136"/>
      <c r="AJ174" s="2136"/>
      <c r="AK174" s="2136"/>
      <c r="AL174" s="2136"/>
      <c r="AM174" s="2127"/>
      <c r="AN174" s="2127"/>
      <c r="AO174" s="2136"/>
      <c r="AP174" s="2136"/>
      <c r="AQ174" s="2136"/>
    </row>
    <row r="175" spans="6:43">
      <c r="F175" s="2136"/>
      <c r="G175" s="2136"/>
      <c r="H175" s="2136"/>
      <c r="I175" s="2127"/>
      <c r="J175" s="2127"/>
      <c r="K175" s="2136"/>
      <c r="L175" s="2136"/>
      <c r="M175" s="2136"/>
      <c r="N175" s="2136"/>
      <c r="O175" s="2136"/>
      <c r="P175" s="2136"/>
      <c r="Q175" s="2136"/>
      <c r="R175" s="2136"/>
      <c r="S175" s="2127"/>
      <c r="T175" s="2127"/>
      <c r="U175" s="2136"/>
      <c r="Z175" s="2136"/>
      <c r="AA175" s="2136"/>
      <c r="AB175" s="2136"/>
      <c r="AC175" s="2127"/>
      <c r="AD175" s="2127"/>
      <c r="AE175" s="2136"/>
      <c r="AF175" s="2136"/>
      <c r="AG175" s="2136"/>
      <c r="AH175" s="2136"/>
      <c r="AI175" s="2136"/>
      <c r="AJ175" s="2136"/>
      <c r="AK175" s="2136"/>
      <c r="AL175" s="2136"/>
      <c r="AM175" s="2127"/>
      <c r="AN175" s="2127"/>
      <c r="AO175" s="2136"/>
      <c r="AP175" s="2136"/>
      <c r="AQ175" s="2136"/>
    </row>
    <row r="176" spans="6:43">
      <c r="F176" s="2136"/>
      <c r="G176" s="2136"/>
      <c r="H176" s="2136"/>
      <c r="I176" s="2127"/>
      <c r="J176" s="2127"/>
      <c r="K176" s="2136"/>
      <c r="L176" s="2136"/>
      <c r="M176" s="2136"/>
      <c r="N176" s="2136"/>
      <c r="O176" s="2136"/>
      <c r="P176" s="2136"/>
      <c r="Q176" s="2136"/>
      <c r="R176" s="2136"/>
      <c r="S176" s="2127"/>
      <c r="T176" s="2127"/>
      <c r="U176" s="2136"/>
      <c r="Z176" s="2136"/>
      <c r="AA176" s="2136"/>
      <c r="AB176" s="2136"/>
      <c r="AC176" s="2127"/>
      <c r="AD176" s="2127"/>
      <c r="AE176" s="2136"/>
      <c r="AF176" s="2136"/>
      <c r="AG176" s="2136"/>
      <c r="AH176" s="2136"/>
      <c r="AI176" s="2136"/>
      <c r="AJ176" s="2136"/>
      <c r="AK176" s="2136"/>
      <c r="AL176" s="2136"/>
      <c r="AM176" s="2127"/>
      <c r="AN176" s="2127"/>
      <c r="AO176" s="2136"/>
      <c r="AP176" s="2136"/>
      <c r="AQ176" s="2136"/>
    </row>
    <row r="177" spans="6:43">
      <c r="F177" s="2136"/>
      <c r="G177" s="2136"/>
      <c r="H177" s="2136"/>
      <c r="I177" s="2127"/>
      <c r="J177" s="2127"/>
      <c r="K177" s="2136"/>
      <c r="L177" s="2136"/>
      <c r="M177" s="2136"/>
      <c r="N177" s="2136"/>
      <c r="O177" s="2136"/>
      <c r="P177" s="2136"/>
      <c r="Q177" s="2136"/>
      <c r="R177" s="2136"/>
      <c r="S177" s="2127"/>
      <c r="T177" s="2127"/>
      <c r="U177" s="2136"/>
      <c r="Z177" s="2136"/>
      <c r="AA177" s="2136"/>
      <c r="AB177" s="2136"/>
      <c r="AC177" s="2127"/>
      <c r="AD177" s="2127"/>
      <c r="AE177" s="2136"/>
      <c r="AF177" s="2136"/>
      <c r="AG177" s="2136"/>
      <c r="AH177" s="2136"/>
      <c r="AI177" s="2136"/>
      <c r="AJ177" s="2136"/>
      <c r="AK177" s="2136"/>
      <c r="AL177" s="2136"/>
      <c r="AM177" s="2127"/>
      <c r="AN177" s="2127"/>
      <c r="AO177" s="2136"/>
      <c r="AP177" s="2136"/>
      <c r="AQ177" s="2136"/>
    </row>
    <row r="178" spans="6:43">
      <c r="F178" s="2136"/>
      <c r="G178" s="2136"/>
      <c r="H178" s="2136"/>
      <c r="I178" s="2127"/>
      <c r="J178" s="2127"/>
      <c r="K178" s="2136"/>
      <c r="L178" s="2136"/>
      <c r="M178" s="2136"/>
      <c r="N178" s="2136"/>
      <c r="O178" s="2136"/>
      <c r="P178" s="2136"/>
      <c r="Q178" s="2136"/>
      <c r="R178" s="2136"/>
      <c r="S178" s="2127"/>
      <c r="T178" s="2127"/>
      <c r="U178" s="2136"/>
      <c r="Z178" s="2136"/>
      <c r="AA178" s="2136"/>
      <c r="AB178" s="2136"/>
      <c r="AC178" s="2127"/>
      <c r="AD178" s="2127"/>
      <c r="AE178" s="2136"/>
      <c r="AF178" s="2136"/>
      <c r="AG178" s="2136"/>
      <c r="AH178" s="2136"/>
      <c r="AI178" s="2136"/>
      <c r="AJ178" s="2136"/>
      <c r="AK178" s="2136"/>
      <c r="AL178" s="2136"/>
      <c r="AM178" s="2127"/>
      <c r="AN178" s="2127"/>
      <c r="AO178" s="2136"/>
      <c r="AP178" s="2136"/>
      <c r="AQ178" s="2136"/>
    </row>
    <row r="179" spans="6:43">
      <c r="F179" s="2136"/>
      <c r="G179" s="2136"/>
      <c r="H179" s="2136"/>
      <c r="I179" s="2127"/>
      <c r="J179" s="2127"/>
      <c r="K179" s="2136"/>
      <c r="L179" s="2136"/>
      <c r="M179" s="2136"/>
      <c r="N179" s="2136"/>
      <c r="O179" s="2136"/>
      <c r="P179" s="2136"/>
      <c r="Q179" s="2136"/>
      <c r="R179" s="2136"/>
      <c r="S179" s="2127"/>
      <c r="T179" s="2127"/>
      <c r="U179" s="2136"/>
      <c r="Z179" s="2136"/>
      <c r="AA179" s="2136"/>
      <c r="AB179" s="2136"/>
      <c r="AC179" s="2127"/>
      <c r="AD179" s="2127"/>
      <c r="AE179" s="2136"/>
      <c r="AF179" s="2136"/>
      <c r="AG179" s="2136"/>
      <c r="AH179" s="2136"/>
      <c r="AI179" s="2136"/>
      <c r="AJ179" s="2136"/>
      <c r="AK179" s="2136"/>
      <c r="AL179" s="2136"/>
      <c r="AM179" s="2127"/>
      <c r="AN179" s="2127"/>
      <c r="AO179" s="2136"/>
      <c r="AP179" s="2136"/>
      <c r="AQ179" s="2136"/>
    </row>
    <row r="180" spans="6:43">
      <c r="F180" s="2136"/>
      <c r="G180" s="2136"/>
      <c r="H180" s="2136"/>
      <c r="I180" s="2127"/>
      <c r="J180" s="2127"/>
      <c r="K180" s="2136"/>
      <c r="L180" s="2136"/>
      <c r="M180" s="2136"/>
      <c r="N180" s="2136"/>
      <c r="O180" s="2136"/>
      <c r="P180" s="2136"/>
      <c r="Q180" s="2136"/>
      <c r="R180" s="2136"/>
      <c r="S180" s="2127"/>
      <c r="T180" s="2127"/>
      <c r="U180" s="2136"/>
      <c r="Z180" s="2136"/>
      <c r="AA180" s="2136"/>
      <c r="AB180" s="2136"/>
      <c r="AC180" s="2127"/>
      <c r="AD180" s="2127"/>
      <c r="AE180" s="2136"/>
      <c r="AF180" s="2136"/>
      <c r="AG180" s="2136"/>
      <c r="AH180" s="2136"/>
      <c r="AI180" s="2136"/>
      <c r="AJ180" s="2136"/>
      <c r="AK180" s="2136"/>
      <c r="AL180" s="2136"/>
      <c r="AM180" s="2127"/>
      <c r="AN180" s="2127"/>
      <c r="AO180" s="2136"/>
      <c r="AP180" s="2136"/>
      <c r="AQ180" s="2136"/>
    </row>
    <row r="181" spans="6:43">
      <c r="F181" s="2136"/>
      <c r="G181" s="2136"/>
      <c r="H181" s="2136"/>
      <c r="I181" s="2127"/>
      <c r="J181" s="2127"/>
      <c r="K181" s="2136"/>
      <c r="L181" s="2136"/>
      <c r="M181" s="2136"/>
      <c r="N181" s="2136"/>
      <c r="O181" s="2136"/>
      <c r="P181" s="2136"/>
      <c r="Q181" s="2136"/>
      <c r="R181" s="2136"/>
      <c r="S181" s="2127"/>
      <c r="T181" s="2127"/>
      <c r="U181" s="2136"/>
      <c r="Z181" s="2136"/>
      <c r="AA181" s="2136"/>
      <c r="AB181" s="2136"/>
      <c r="AC181" s="2127"/>
      <c r="AD181" s="2127"/>
      <c r="AE181" s="2136"/>
      <c r="AF181" s="2136"/>
      <c r="AG181" s="2136"/>
      <c r="AH181" s="2136"/>
      <c r="AI181" s="2136"/>
      <c r="AJ181" s="2136"/>
      <c r="AK181" s="2136"/>
      <c r="AL181" s="2136"/>
      <c r="AM181" s="2127"/>
      <c r="AN181" s="2127"/>
      <c r="AO181" s="2136"/>
      <c r="AP181" s="2136"/>
      <c r="AQ181" s="2136"/>
    </row>
    <row r="182" spans="6:43">
      <c r="F182" s="2136"/>
      <c r="G182" s="2136"/>
      <c r="H182" s="2136"/>
      <c r="I182" s="2127"/>
      <c r="J182" s="2127"/>
      <c r="K182" s="2136"/>
      <c r="L182" s="2136"/>
      <c r="M182" s="2136"/>
      <c r="N182" s="2136"/>
      <c r="O182" s="2136"/>
      <c r="P182" s="2136"/>
      <c r="Q182" s="2136"/>
      <c r="R182" s="2136"/>
      <c r="S182" s="2127"/>
      <c r="T182" s="2127"/>
      <c r="U182" s="2136"/>
      <c r="Z182" s="2136"/>
      <c r="AA182" s="2136"/>
      <c r="AB182" s="2136"/>
      <c r="AC182" s="2127"/>
      <c r="AD182" s="2127"/>
      <c r="AE182" s="2136"/>
      <c r="AF182" s="2136"/>
      <c r="AG182" s="2136"/>
      <c r="AH182" s="2136"/>
      <c r="AI182" s="2136"/>
      <c r="AJ182" s="2136"/>
      <c r="AK182" s="2136"/>
      <c r="AL182" s="2136"/>
      <c r="AM182" s="2127"/>
      <c r="AN182" s="2127"/>
      <c r="AO182" s="2136"/>
      <c r="AP182" s="2136"/>
      <c r="AQ182" s="2136"/>
    </row>
    <row r="183" spans="6:43">
      <c r="F183" s="2136"/>
      <c r="G183" s="2136"/>
      <c r="H183" s="2136"/>
      <c r="I183" s="2127"/>
      <c r="J183" s="2127"/>
      <c r="K183" s="2136"/>
      <c r="L183" s="2136"/>
      <c r="M183" s="2136"/>
      <c r="N183" s="2136"/>
      <c r="O183" s="2136"/>
      <c r="P183" s="2136"/>
      <c r="Q183" s="2136"/>
      <c r="R183" s="2136"/>
      <c r="S183" s="2127"/>
      <c r="T183" s="2127"/>
      <c r="U183" s="2136"/>
      <c r="Z183" s="2136"/>
      <c r="AA183" s="2136"/>
      <c r="AB183" s="2136"/>
      <c r="AC183" s="2127"/>
      <c r="AD183" s="2127"/>
      <c r="AE183" s="2136"/>
      <c r="AF183" s="2136"/>
      <c r="AG183" s="2136"/>
      <c r="AH183" s="2136"/>
      <c r="AI183" s="2136"/>
      <c r="AJ183" s="2136"/>
      <c r="AK183" s="2136"/>
      <c r="AL183" s="2136"/>
      <c r="AM183" s="2127"/>
      <c r="AN183" s="2127"/>
      <c r="AO183" s="2136"/>
      <c r="AP183" s="2136"/>
      <c r="AQ183" s="2136"/>
    </row>
    <row r="184" spans="6:43">
      <c r="F184" s="2136"/>
      <c r="G184" s="2136"/>
      <c r="H184" s="2136"/>
      <c r="I184" s="2127"/>
      <c r="J184" s="2127"/>
      <c r="K184" s="2136"/>
      <c r="L184" s="2136"/>
      <c r="M184" s="2136"/>
      <c r="N184" s="2136"/>
      <c r="O184" s="2136"/>
      <c r="P184" s="2136"/>
      <c r="Q184" s="2136"/>
      <c r="R184" s="2136"/>
      <c r="S184" s="2127"/>
      <c r="T184" s="2127"/>
      <c r="U184" s="2136"/>
      <c r="Z184" s="2136"/>
      <c r="AA184" s="2136"/>
      <c r="AB184" s="2136"/>
      <c r="AC184" s="2127"/>
      <c r="AD184" s="2127"/>
      <c r="AE184" s="2136"/>
      <c r="AF184" s="2136"/>
      <c r="AG184" s="2136"/>
      <c r="AH184" s="2136"/>
      <c r="AI184" s="2136"/>
      <c r="AJ184" s="2136"/>
      <c r="AK184" s="2136"/>
      <c r="AL184" s="2136"/>
      <c r="AM184" s="2127"/>
      <c r="AN184" s="2127"/>
      <c r="AO184" s="2136"/>
      <c r="AP184" s="2136"/>
      <c r="AQ184" s="2136"/>
    </row>
    <row r="185" spans="6:43">
      <c r="F185" s="2136"/>
      <c r="G185" s="2136"/>
      <c r="H185" s="2136"/>
      <c r="I185" s="2127"/>
      <c r="J185" s="2127"/>
      <c r="K185" s="2136"/>
      <c r="L185" s="2136"/>
      <c r="M185" s="2136"/>
      <c r="N185" s="2136"/>
      <c r="O185" s="2136"/>
      <c r="P185" s="2136"/>
      <c r="Q185" s="2136"/>
      <c r="R185" s="2136"/>
      <c r="S185" s="2127"/>
      <c r="T185" s="2127"/>
      <c r="U185" s="2136"/>
      <c r="Z185" s="2136"/>
      <c r="AA185" s="2136"/>
      <c r="AB185" s="2136"/>
      <c r="AC185" s="2127"/>
      <c r="AD185" s="2127"/>
      <c r="AE185" s="2136"/>
      <c r="AF185" s="2136"/>
      <c r="AG185" s="2136"/>
      <c r="AH185" s="2136"/>
      <c r="AI185" s="2136"/>
      <c r="AJ185" s="2136"/>
      <c r="AK185" s="2136"/>
      <c r="AL185" s="2136"/>
      <c r="AM185" s="2127"/>
      <c r="AN185" s="2127"/>
      <c r="AO185" s="2136"/>
      <c r="AP185" s="2136"/>
      <c r="AQ185" s="2136"/>
    </row>
    <row r="186" spans="6:43">
      <c r="F186" s="2136"/>
      <c r="G186" s="2136"/>
      <c r="H186" s="2136"/>
      <c r="I186" s="2127"/>
      <c r="J186" s="2127"/>
      <c r="K186" s="2136"/>
      <c r="L186" s="2136"/>
      <c r="M186" s="2136"/>
      <c r="N186" s="2136"/>
      <c r="O186" s="2136"/>
      <c r="P186" s="2136"/>
      <c r="Q186" s="2136"/>
      <c r="R186" s="2136"/>
      <c r="S186" s="2127"/>
      <c r="T186" s="2127"/>
      <c r="U186" s="2136"/>
      <c r="Z186" s="2136"/>
      <c r="AA186" s="2136"/>
      <c r="AB186" s="2136"/>
      <c r="AC186" s="2127"/>
      <c r="AD186" s="2127"/>
      <c r="AE186" s="2136"/>
      <c r="AF186" s="2136"/>
      <c r="AG186" s="2136"/>
      <c r="AH186" s="2136"/>
      <c r="AI186" s="2136"/>
      <c r="AJ186" s="2136"/>
      <c r="AK186" s="2136"/>
      <c r="AL186" s="2136"/>
      <c r="AM186" s="2127"/>
      <c r="AN186" s="2127"/>
      <c r="AO186" s="2136"/>
      <c r="AP186" s="2136"/>
      <c r="AQ186" s="2136"/>
    </row>
    <row r="187" spans="6:43">
      <c r="F187" s="2136"/>
      <c r="G187" s="2136"/>
      <c r="H187" s="2136"/>
      <c r="I187" s="2127"/>
      <c r="J187" s="2127"/>
      <c r="K187" s="2136"/>
      <c r="L187" s="2136"/>
      <c r="M187" s="2136"/>
      <c r="N187" s="2136"/>
      <c r="O187" s="2136"/>
      <c r="P187" s="2136"/>
      <c r="Q187" s="2136"/>
      <c r="R187" s="2136"/>
      <c r="S187" s="2127"/>
      <c r="T187" s="2127"/>
      <c r="U187" s="2136"/>
      <c r="Z187" s="2136"/>
      <c r="AA187" s="2136"/>
      <c r="AB187" s="2136"/>
      <c r="AC187" s="2127"/>
      <c r="AD187" s="2127"/>
      <c r="AE187" s="2136"/>
      <c r="AF187" s="2136"/>
      <c r="AG187" s="2136"/>
      <c r="AH187" s="2136"/>
      <c r="AI187" s="2136"/>
      <c r="AJ187" s="2136"/>
      <c r="AK187" s="2136"/>
      <c r="AL187" s="2136"/>
      <c r="AM187" s="2127"/>
      <c r="AN187" s="2127"/>
      <c r="AO187" s="2136"/>
      <c r="AP187" s="2136"/>
      <c r="AQ187" s="2136"/>
    </row>
    <row r="188" spans="6:43">
      <c r="F188" s="2136"/>
      <c r="G188" s="2136"/>
      <c r="H188" s="2136"/>
      <c r="I188" s="2127"/>
      <c r="J188" s="2127"/>
      <c r="K188" s="2136"/>
      <c r="L188" s="2136"/>
      <c r="M188" s="2136"/>
      <c r="N188" s="2136"/>
      <c r="O188" s="2136"/>
      <c r="P188" s="2136"/>
      <c r="Q188" s="2136"/>
      <c r="R188" s="2136"/>
      <c r="S188" s="2127"/>
      <c r="T188" s="2127"/>
      <c r="U188" s="2136"/>
      <c r="Z188" s="2136"/>
      <c r="AA188" s="2136"/>
      <c r="AB188" s="2136"/>
      <c r="AC188" s="2127"/>
      <c r="AD188" s="2127"/>
      <c r="AE188" s="2136"/>
      <c r="AF188" s="2136"/>
      <c r="AG188" s="2136"/>
      <c r="AH188" s="2136"/>
      <c r="AI188" s="2136"/>
      <c r="AJ188" s="2136"/>
      <c r="AK188" s="2136"/>
      <c r="AL188" s="2136"/>
      <c r="AM188" s="2127"/>
      <c r="AN188" s="2127"/>
      <c r="AO188" s="2136"/>
      <c r="AP188" s="2136"/>
      <c r="AQ188" s="2136"/>
    </row>
    <row r="189" spans="6:43">
      <c r="F189" s="2136"/>
      <c r="G189" s="2136"/>
      <c r="H189" s="2136"/>
      <c r="I189" s="2127"/>
      <c r="J189" s="2127"/>
      <c r="K189" s="2136"/>
      <c r="L189" s="2136"/>
      <c r="M189" s="2136"/>
      <c r="N189" s="2136"/>
      <c r="O189" s="2136"/>
      <c r="P189" s="2136"/>
      <c r="Q189" s="2136"/>
      <c r="R189" s="2136"/>
      <c r="S189" s="2127"/>
      <c r="T189" s="2127"/>
      <c r="U189" s="2136"/>
      <c r="Z189" s="2136"/>
      <c r="AA189" s="2136"/>
      <c r="AB189" s="2136"/>
      <c r="AC189" s="2127"/>
      <c r="AD189" s="2127"/>
      <c r="AE189" s="2136"/>
      <c r="AF189" s="2136"/>
      <c r="AG189" s="2136"/>
      <c r="AH189" s="2136"/>
      <c r="AI189" s="2136"/>
      <c r="AJ189" s="2136"/>
      <c r="AK189" s="2136"/>
      <c r="AL189" s="2136"/>
      <c r="AM189" s="2127"/>
      <c r="AN189" s="2127"/>
      <c r="AO189" s="2136"/>
      <c r="AP189" s="2136"/>
      <c r="AQ189" s="2136"/>
    </row>
    <row r="190" spans="6:43">
      <c r="F190" s="2136"/>
      <c r="G190" s="2136"/>
      <c r="H190" s="2136"/>
      <c r="I190" s="2127"/>
      <c r="J190" s="2127"/>
      <c r="K190" s="2136"/>
      <c r="L190" s="2136"/>
      <c r="M190" s="2136"/>
      <c r="N190" s="2136"/>
      <c r="O190" s="2136"/>
      <c r="P190" s="2136"/>
      <c r="Q190" s="2136"/>
      <c r="R190" s="2136"/>
      <c r="S190" s="2127"/>
      <c r="T190" s="2127"/>
      <c r="U190" s="2136"/>
      <c r="Z190" s="2136"/>
      <c r="AA190" s="2136"/>
      <c r="AB190" s="2136"/>
      <c r="AC190" s="2127"/>
      <c r="AD190" s="2127"/>
      <c r="AE190" s="2136"/>
      <c r="AF190" s="2136"/>
      <c r="AG190" s="2136"/>
      <c r="AH190" s="2136"/>
      <c r="AI190" s="2136"/>
      <c r="AJ190" s="2136"/>
      <c r="AK190" s="2136"/>
      <c r="AL190" s="2136"/>
      <c r="AM190" s="2127"/>
      <c r="AN190" s="2127"/>
      <c r="AO190" s="2136"/>
      <c r="AP190" s="2136"/>
      <c r="AQ190" s="2136"/>
    </row>
    <row r="191" spans="6:43">
      <c r="F191" s="2136"/>
      <c r="G191" s="2136"/>
      <c r="H191" s="2136"/>
      <c r="I191" s="2127"/>
      <c r="J191" s="2127"/>
      <c r="K191" s="2136"/>
      <c r="L191" s="2136"/>
      <c r="M191" s="2136"/>
      <c r="N191" s="2136"/>
      <c r="O191" s="2136"/>
      <c r="P191" s="2136"/>
      <c r="Q191" s="2136"/>
      <c r="R191" s="2136"/>
      <c r="S191" s="2127"/>
      <c r="T191" s="2127"/>
      <c r="U191" s="2136"/>
      <c r="Z191" s="2136"/>
      <c r="AA191" s="2136"/>
      <c r="AB191" s="2136"/>
      <c r="AC191" s="2127"/>
      <c r="AD191" s="2127"/>
      <c r="AE191" s="2136"/>
      <c r="AF191" s="2136"/>
      <c r="AG191" s="2136"/>
      <c r="AH191" s="2136"/>
      <c r="AI191" s="2136"/>
      <c r="AJ191" s="2136"/>
      <c r="AK191" s="2136"/>
      <c r="AL191" s="2136"/>
      <c r="AM191" s="2127"/>
      <c r="AN191" s="2127"/>
      <c r="AO191" s="2136"/>
      <c r="AP191" s="2136"/>
      <c r="AQ191" s="2136"/>
    </row>
    <row r="192" spans="6:43">
      <c r="F192" s="2136"/>
      <c r="G192" s="2136"/>
      <c r="H192" s="2136"/>
      <c r="I192" s="2127"/>
      <c r="J192" s="2127"/>
      <c r="K192" s="2136"/>
      <c r="L192" s="2136"/>
      <c r="M192" s="2136"/>
      <c r="N192" s="2136"/>
      <c r="O192" s="2136"/>
      <c r="P192" s="2136"/>
      <c r="Q192" s="2136"/>
      <c r="R192" s="2136"/>
      <c r="S192" s="2127"/>
      <c r="T192" s="2127"/>
      <c r="U192" s="2136"/>
      <c r="Z192" s="2136"/>
      <c r="AA192" s="2136"/>
      <c r="AB192" s="2136"/>
      <c r="AC192" s="2127"/>
      <c r="AD192" s="2127"/>
      <c r="AE192" s="2136"/>
      <c r="AF192" s="2136"/>
      <c r="AG192" s="2136"/>
      <c r="AH192" s="2136"/>
      <c r="AI192" s="2136"/>
      <c r="AJ192" s="2136"/>
      <c r="AK192" s="2136"/>
      <c r="AL192" s="2136"/>
      <c r="AM192" s="2127"/>
      <c r="AN192" s="2127"/>
      <c r="AO192" s="2136"/>
      <c r="AP192" s="2136"/>
      <c r="AQ192" s="2136"/>
    </row>
    <row r="193" spans="6:43">
      <c r="F193" s="2136"/>
      <c r="G193" s="2136"/>
      <c r="H193" s="2136"/>
      <c r="I193" s="2127"/>
      <c r="J193" s="2127"/>
      <c r="K193" s="2136"/>
      <c r="L193" s="2136"/>
      <c r="M193" s="2136"/>
      <c r="N193" s="2136"/>
      <c r="O193" s="2136"/>
      <c r="P193" s="2136"/>
      <c r="Q193" s="2136"/>
      <c r="R193" s="2136"/>
      <c r="S193" s="2127"/>
      <c r="T193" s="2127"/>
      <c r="U193" s="2136"/>
      <c r="Z193" s="2136"/>
      <c r="AA193" s="2136"/>
      <c r="AB193" s="2136"/>
      <c r="AC193" s="2127"/>
      <c r="AD193" s="2127"/>
      <c r="AE193" s="2136"/>
      <c r="AF193" s="2136"/>
      <c r="AG193" s="2136"/>
      <c r="AH193" s="2136"/>
      <c r="AI193" s="2136"/>
      <c r="AJ193" s="2136"/>
      <c r="AK193" s="2136"/>
      <c r="AL193" s="2136"/>
      <c r="AM193" s="2127"/>
      <c r="AN193" s="2127"/>
      <c r="AO193" s="2136"/>
      <c r="AP193" s="2136"/>
      <c r="AQ193" s="2136"/>
    </row>
    <row r="194" spans="6:43">
      <c r="F194" s="2136"/>
      <c r="G194" s="2136"/>
      <c r="H194" s="2136"/>
      <c r="I194" s="2127"/>
      <c r="J194" s="2127"/>
      <c r="K194" s="2136"/>
      <c r="L194" s="2136"/>
      <c r="M194" s="2136"/>
      <c r="N194" s="2136"/>
      <c r="O194" s="2136"/>
      <c r="P194" s="2136"/>
      <c r="Q194" s="2136"/>
      <c r="R194" s="2136"/>
      <c r="S194" s="2127"/>
      <c r="T194" s="2127"/>
      <c r="U194" s="2136"/>
      <c r="Z194" s="2136"/>
      <c r="AA194" s="2136"/>
      <c r="AB194" s="2136"/>
      <c r="AC194" s="2127"/>
      <c r="AD194" s="2127"/>
      <c r="AE194" s="2136"/>
      <c r="AF194" s="2136"/>
      <c r="AG194" s="2136"/>
      <c r="AH194" s="2136"/>
      <c r="AI194" s="2136"/>
      <c r="AJ194" s="2136"/>
      <c r="AK194" s="2136"/>
      <c r="AL194" s="2136"/>
      <c r="AM194" s="2127"/>
      <c r="AN194" s="2127"/>
      <c r="AO194" s="2136"/>
      <c r="AP194" s="2136"/>
      <c r="AQ194" s="2136"/>
    </row>
    <row r="195" spans="6:43">
      <c r="F195" s="2136"/>
      <c r="G195" s="2136"/>
      <c r="H195" s="2136"/>
      <c r="I195" s="2127"/>
      <c r="J195" s="2127"/>
      <c r="K195" s="2136"/>
      <c r="L195" s="2136"/>
      <c r="M195" s="2136"/>
      <c r="N195" s="2136"/>
      <c r="O195" s="2136"/>
      <c r="P195" s="2136"/>
      <c r="Q195" s="2136"/>
      <c r="R195" s="2136"/>
      <c r="S195" s="2127"/>
      <c r="T195" s="2127"/>
      <c r="U195" s="2136"/>
      <c r="Z195" s="2136"/>
      <c r="AA195" s="2136"/>
      <c r="AB195" s="2136"/>
      <c r="AC195" s="2127"/>
      <c r="AD195" s="2127"/>
      <c r="AE195" s="2136"/>
      <c r="AF195" s="2136"/>
      <c r="AG195" s="2136"/>
      <c r="AH195" s="2136"/>
      <c r="AI195" s="2136"/>
      <c r="AJ195" s="2136"/>
      <c r="AK195" s="2136"/>
      <c r="AL195" s="2136"/>
      <c r="AM195" s="2127"/>
      <c r="AN195" s="2127"/>
      <c r="AO195" s="2136"/>
      <c r="AP195" s="2136"/>
      <c r="AQ195" s="2136"/>
    </row>
    <row r="196" spans="6:43">
      <c r="F196" s="2136"/>
      <c r="G196" s="2136"/>
      <c r="H196" s="2136"/>
      <c r="I196" s="2127"/>
      <c r="J196" s="2127"/>
      <c r="K196" s="2136"/>
      <c r="L196" s="2136"/>
      <c r="M196" s="2136"/>
      <c r="N196" s="2136"/>
      <c r="O196" s="2136"/>
      <c r="P196" s="2136"/>
      <c r="Q196" s="2136"/>
      <c r="R196" s="2136"/>
      <c r="S196" s="2127"/>
      <c r="T196" s="2127"/>
      <c r="U196" s="2136"/>
      <c r="Z196" s="2136"/>
      <c r="AA196" s="2136"/>
      <c r="AB196" s="2136"/>
      <c r="AC196" s="2127"/>
      <c r="AD196" s="2127"/>
      <c r="AE196" s="2136"/>
      <c r="AF196" s="2136"/>
      <c r="AG196" s="2136"/>
      <c r="AH196" s="2136"/>
      <c r="AI196" s="2136"/>
      <c r="AJ196" s="2136"/>
      <c r="AK196" s="2136"/>
      <c r="AL196" s="2136"/>
      <c r="AM196" s="2127"/>
      <c r="AN196" s="2127"/>
      <c r="AO196" s="2136"/>
      <c r="AP196" s="2136"/>
      <c r="AQ196" s="2136"/>
    </row>
    <row r="197" spans="6:43">
      <c r="F197" s="2136"/>
      <c r="G197" s="2136"/>
      <c r="H197" s="2136"/>
      <c r="I197" s="2127"/>
      <c r="J197" s="2127"/>
      <c r="K197" s="2136"/>
      <c r="L197" s="2136"/>
      <c r="M197" s="2136"/>
      <c r="N197" s="2136"/>
      <c r="O197" s="2136"/>
      <c r="P197" s="2136"/>
      <c r="Q197" s="2136"/>
      <c r="R197" s="2136"/>
      <c r="S197" s="2127"/>
      <c r="T197" s="2127"/>
      <c r="U197" s="2136"/>
      <c r="Z197" s="2136"/>
      <c r="AA197" s="2136"/>
      <c r="AB197" s="2136"/>
      <c r="AC197" s="2127"/>
      <c r="AD197" s="2127"/>
      <c r="AE197" s="2136"/>
      <c r="AF197" s="2136"/>
      <c r="AG197" s="2136"/>
      <c r="AH197" s="2136"/>
      <c r="AI197" s="2136"/>
      <c r="AJ197" s="2136"/>
      <c r="AK197" s="2136"/>
      <c r="AL197" s="2136"/>
      <c r="AM197" s="2127"/>
      <c r="AN197" s="2127"/>
      <c r="AO197" s="2136"/>
      <c r="AP197" s="2136"/>
      <c r="AQ197" s="2136"/>
    </row>
    <row r="198" spans="6:43">
      <c r="F198" s="2136"/>
      <c r="G198" s="2136"/>
      <c r="H198" s="2136"/>
      <c r="I198" s="2127"/>
      <c r="J198" s="2127"/>
      <c r="K198" s="2136"/>
      <c r="L198" s="2136"/>
      <c r="M198" s="2136"/>
      <c r="N198" s="2136"/>
      <c r="O198" s="2136"/>
      <c r="P198" s="2136"/>
      <c r="Q198" s="2136"/>
      <c r="R198" s="2136"/>
      <c r="S198" s="2127"/>
      <c r="T198" s="2127"/>
      <c r="U198" s="2136"/>
      <c r="Z198" s="2136"/>
      <c r="AA198" s="2136"/>
      <c r="AB198" s="2136"/>
      <c r="AC198" s="2127"/>
      <c r="AD198" s="2127"/>
      <c r="AE198" s="2136"/>
      <c r="AF198" s="2136"/>
      <c r="AG198" s="2136"/>
      <c r="AH198" s="2136"/>
      <c r="AI198" s="2136"/>
      <c r="AJ198" s="2136"/>
      <c r="AK198" s="2136"/>
      <c r="AL198" s="2136"/>
      <c r="AM198" s="2127"/>
      <c r="AN198" s="2127"/>
      <c r="AO198" s="2136"/>
      <c r="AP198" s="2136"/>
      <c r="AQ198" s="2136"/>
    </row>
    <row r="199" spans="6:43">
      <c r="F199" s="2136"/>
      <c r="G199" s="2136"/>
      <c r="H199" s="2136"/>
      <c r="I199" s="2127"/>
      <c r="J199" s="2127"/>
      <c r="K199" s="2136"/>
      <c r="L199" s="2136"/>
      <c r="M199" s="2136"/>
      <c r="N199" s="2136"/>
      <c r="O199" s="2136"/>
      <c r="P199" s="2136"/>
      <c r="Q199" s="2136"/>
      <c r="R199" s="2136"/>
      <c r="S199" s="2127"/>
      <c r="T199" s="2127"/>
      <c r="U199" s="2136"/>
      <c r="Z199" s="2136"/>
      <c r="AA199" s="2136"/>
      <c r="AB199" s="2136"/>
      <c r="AC199" s="2127"/>
      <c r="AD199" s="2127"/>
      <c r="AE199" s="2136"/>
      <c r="AF199" s="2136"/>
      <c r="AG199" s="2136"/>
      <c r="AH199" s="2136"/>
      <c r="AI199" s="2136"/>
      <c r="AJ199" s="2136"/>
      <c r="AK199" s="2136"/>
      <c r="AL199" s="2136"/>
      <c r="AM199" s="2127"/>
      <c r="AN199" s="2127"/>
      <c r="AO199" s="2136"/>
      <c r="AP199" s="2136"/>
      <c r="AQ199" s="2136"/>
    </row>
    <row r="200" spans="6:43">
      <c r="F200" s="2136"/>
      <c r="G200" s="2136"/>
      <c r="H200" s="2136"/>
      <c r="I200" s="2127"/>
      <c r="J200" s="2127"/>
      <c r="K200" s="2136"/>
      <c r="L200" s="2136"/>
      <c r="M200" s="2136"/>
      <c r="N200" s="2136"/>
      <c r="O200" s="2136"/>
      <c r="P200" s="2136"/>
      <c r="Q200" s="2136"/>
      <c r="R200" s="2136"/>
      <c r="S200" s="2127"/>
      <c r="T200" s="2127"/>
      <c r="U200" s="2136"/>
      <c r="Z200" s="2136"/>
      <c r="AA200" s="2136"/>
      <c r="AB200" s="2136"/>
      <c r="AC200" s="2127"/>
      <c r="AD200" s="2127"/>
      <c r="AE200" s="2136"/>
      <c r="AF200" s="2136"/>
      <c r="AG200" s="2136"/>
      <c r="AH200" s="2136"/>
      <c r="AI200" s="2136"/>
      <c r="AJ200" s="2136"/>
      <c r="AK200" s="2136"/>
      <c r="AL200" s="2136"/>
      <c r="AM200" s="2127"/>
      <c r="AN200" s="2127"/>
      <c r="AO200" s="2136"/>
      <c r="AP200" s="2136"/>
      <c r="AQ200" s="2136"/>
    </row>
    <row r="201" spans="6:43">
      <c r="F201" s="2136"/>
      <c r="G201" s="2136"/>
      <c r="H201" s="2136"/>
      <c r="I201" s="2127"/>
      <c r="J201" s="2127"/>
      <c r="K201" s="2136"/>
      <c r="L201" s="2136"/>
      <c r="M201" s="2136"/>
      <c r="N201" s="2136"/>
      <c r="O201" s="2136"/>
      <c r="P201" s="2136"/>
      <c r="Q201" s="2136"/>
      <c r="R201" s="2136"/>
      <c r="S201" s="2127"/>
      <c r="T201" s="2127"/>
      <c r="U201" s="2136"/>
      <c r="Z201" s="2136"/>
      <c r="AA201" s="2136"/>
      <c r="AB201" s="2136"/>
      <c r="AC201" s="2127"/>
      <c r="AD201" s="2127"/>
      <c r="AE201" s="2136"/>
      <c r="AF201" s="2136"/>
      <c r="AG201" s="2136"/>
      <c r="AH201" s="2136"/>
      <c r="AI201" s="2136"/>
      <c r="AJ201" s="2136"/>
      <c r="AK201" s="2136"/>
      <c r="AL201" s="2136"/>
      <c r="AM201" s="2127"/>
      <c r="AN201" s="2127"/>
      <c r="AO201" s="2136"/>
      <c r="AP201" s="2136"/>
      <c r="AQ201" s="2136"/>
    </row>
    <row r="202" spans="6:43">
      <c r="F202" s="2136"/>
      <c r="G202" s="2136"/>
      <c r="H202" s="2136"/>
      <c r="I202" s="2127"/>
      <c r="J202" s="2127"/>
      <c r="K202" s="2136"/>
      <c r="L202" s="2136"/>
      <c r="M202" s="2136"/>
      <c r="N202" s="2136"/>
      <c r="O202" s="2136"/>
      <c r="P202" s="2136"/>
      <c r="Q202" s="2136"/>
      <c r="R202" s="2136"/>
      <c r="S202" s="2127"/>
      <c r="T202" s="2127"/>
      <c r="U202" s="2136"/>
      <c r="Z202" s="2136"/>
      <c r="AA202" s="2136"/>
      <c r="AB202" s="2136"/>
      <c r="AC202" s="2127"/>
      <c r="AD202" s="2127"/>
      <c r="AE202" s="2136"/>
      <c r="AF202" s="2136"/>
      <c r="AG202" s="2136"/>
      <c r="AH202" s="2136"/>
      <c r="AI202" s="2136"/>
      <c r="AJ202" s="2136"/>
      <c r="AK202" s="2136"/>
      <c r="AL202" s="2136"/>
      <c r="AM202" s="2127"/>
      <c r="AN202" s="2127"/>
      <c r="AO202" s="2136"/>
      <c r="AP202" s="2136"/>
      <c r="AQ202" s="2136"/>
    </row>
    <row r="203" spans="6:43">
      <c r="F203" s="2136"/>
      <c r="G203" s="2136"/>
      <c r="H203" s="2136"/>
      <c r="I203" s="2127"/>
      <c r="J203" s="2127"/>
      <c r="K203" s="2136"/>
      <c r="L203" s="2136"/>
      <c r="M203" s="2136"/>
      <c r="N203" s="2136"/>
      <c r="O203" s="2136"/>
      <c r="P203" s="2136"/>
      <c r="Q203" s="2136"/>
      <c r="R203" s="2136"/>
      <c r="S203" s="2127"/>
      <c r="T203" s="2127"/>
      <c r="U203" s="2136"/>
      <c r="Z203" s="2136"/>
      <c r="AA203" s="2136"/>
      <c r="AB203" s="2136"/>
      <c r="AC203" s="2127"/>
      <c r="AD203" s="2127"/>
      <c r="AE203" s="2136"/>
      <c r="AF203" s="2136"/>
      <c r="AG203" s="2136"/>
      <c r="AH203" s="2136"/>
      <c r="AI203" s="2136"/>
      <c r="AJ203" s="2136"/>
      <c r="AK203" s="2136"/>
      <c r="AL203" s="2136"/>
      <c r="AM203" s="2127"/>
      <c r="AN203" s="2127"/>
      <c r="AO203" s="2136"/>
      <c r="AP203" s="2136"/>
      <c r="AQ203" s="2136"/>
    </row>
    <row r="204" spans="6:43">
      <c r="F204" s="2136"/>
      <c r="G204" s="2136"/>
      <c r="H204" s="2136"/>
      <c r="I204" s="2127"/>
      <c r="J204" s="2127"/>
      <c r="K204" s="2136"/>
      <c r="L204" s="2136"/>
      <c r="M204" s="2136"/>
      <c r="N204" s="2136"/>
      <c r="O204" s="2136"/>
      <c r="P204" s="2136"/>
      <c r="Q204" s="2136"/>
      <c r="R204" s="2136"/>
      <c r="S204" s="2127"/>
      <c r="T204" s="2127"/>
      <c r="U204" s="2136"/>
      <c r="Z204" s="2136"/>
      <c r="AA204" s="2136"/>
      <c r="AB204" s="2136"/>
      <c r="AC204" s="2127"/>
      <c r="AD204" s="2127"/>
      <c r="AE204" s="2136"/>
      <c r="AF204" s="2136"/>
      <c r="AG204" s="2136"/>
      <c r="AH204" s="2136"/>
      <c r="AI204" s="2136"/>
      <c r="AJ204" s="2136"/>
      <c r="AK204" s="2136"/>
      <c r="AL204" s="2136"/>
      <c r="AM204" s="2127"/>
      <c r="AN204" s="2127"/>
      <c r="AO204" s="2136"/>
      <c r="AP204" s="2136"/>
      <c r="AQ204" s="2136"/>
    </row>
    <row r="205" spans="6:43">
      <c r="F205" s="2136"/>
      <c r="G205" s="2136"/>
      <c r="H205" s="2136"/>
      <c r="I205" s="2127"/>
      <c r="J205" s="2127"/>
      <c r="K205" s="2136"/>
      <c r="L205" s="2136"/>
      <c r="M205" s="2136"/>
      <c r="N205" s="2136"/>
      <c r="O205" s="2136"/>
      <c r="P205" s="2136"/>
      <c r="Q205" s="2136"/>
      <c r="R205" s="2136"/>
      <c r="S205" s="2127"/>
      <c r="T205" s="2127"/>
      <c r="U205" s="2136"/>
      <c r="Z205" s="2136"/>
      <c r="AA205" s="2136"/>
      <c r="AB205" s="2136"/>
      <c r="AC205" s="2127"/>
      <c r="AD205" s="2127"/>
      <c r="AE205" s="2136"/>
      <c r="AF205" s="2136"/>
      <c r="AG205" s="2136"/>
      <c r="AH205" s="2136"/>
      <c r="AI205" s="2136"/>
      <c r="AJ205" s="2136"/>
      <c r="AK205" s="2136"/>
      <c r="AL205" s="2136"/>
      <c r="AM205" s="2127"/>
      <c r="AN205" s="2127"/>
      <c r="AO205" s="2136"/>
      <c r="AP205" s="2136"/>
      <c r="AQ205" s="2136"/>
    </row>
    <row r="206" spans="6:43">
      <c r="F206" s="2136"/>
      <c r="G206" s="2136"/>
      <c r="H206" s="2136"/>
      <c r="I206" s="2127"/>
      <c r="J206" s="2127"/>
      <c r="K206" s="2136"/>
      <c r="L206" s="2136"/>
      <c r="M206" s="2136"/>
      <c r="N206" s="2136"/>
      <c r="O206" s="2136"/>
      <c r="P206" s="2136"/>
      <c r="Q206" s="2136"/>
      <c r="R206" s="2136"/>
      <c r="S206" s="2127"/>
      <c r="T206" s="2127"/>
      <c r="U206" s="2136"/>
      <c r="Z206" s="2136"/>
      <c r="AA206" s="2136"/>
      <c r="AB206" s="2136"/>
      <c r="AC206" s="2127"/>
      <c r="AD206" s="2127"/>
      <c r="AE206" s="2136"/>
      <c r="AF206" s="2136"/>
      <c r="AG206" s="2136"/>
      <c r="AH206" s="2136"/>
      <c r="AI206" s="2136"/>
      <c r="AJ206" s="2136"/>
      <c r="AK206" s="2136"/>
      <c r="AL206" s="2136"/>
      <c r="AM206" s="2127"/>
      <c r="AN206" s="2127"/>
      <c r="AO206" s="2136"/>
      <c r="AP206" s="2136"/>
      <c r="AQ206" s="2136"/>
    </row>
    <row r="207" spans="6:43">
      <c r="F207" s="2136"/>
      <c r="G207" s="2136"/>
      <c r="H207" s="2136"/>
      <c r="I207" s="2127"/>
      <c r="J207" s="2127"/>
      <c r="K207" s="2136"/>
      <c r="L207" s="2136"/>
      <c r="M207" s="2136"/>
      <c r="N207" s="2136"/>
      <c r="O207" s="2136"/>
      <c r="P207" s="2136"/>
      <c r="Q207" s="2136"/>
      <c r="R207" s="2136"/>
      <c r="S207" s="2127"/>
      <c r="T207" s="2127"/>
      <c r="U207" s="2136"/>
      <c r="Z207" s="2136"/>
      <c r="AA207" s="2136"/>
      <c r="AB207" s="2136"/>
      <c r="AC207" s="2127"/>
      <c r="AD207" s="2127"/>
      <c r="AE207" s="2136"/>
      <c r="AF207" s="2136"/>
      <c r="AG207" s="2136"/>
      <c r="AH207" s="2136"/>
      <c r="AI207" s="2136"/>
      <c r="AJ207" s="2136"/>
      <c r="AK207" s="2136"/>
      <c r="AL207" s="2136"/>
      <c r="AM207" s="2127"/>
      <c r="AN207" s="2127"/>
      <c r="AO207" s="2136"/>
      <c r="AP207" s="2136"/>
      <c r="AQ207" s="2136"/>
    </row>
    <row r="208" spans="6:43">
      <c r="F208" s="2136"/>
      <c r="G208" s="2136"/>
      <c r="H208" s="2136"/>
      <c r="I208" s="2127"/>
      <c r="J208" s="2127"/>
      <c r="K208" s="2136"/>
      <c r="L208" s="2136"/>
      <c r="M208" s="2136"/>
      <c r="N208" s="2136"/>
      <c r="O208" s="2136"/>
      <c r="P208" s="2136"/>
      <c r="Q208" s="2136"/>
      <c r="R208" s="2136"/>
      <c r="S208" s="2127"/>
      <c r="T208" s="2127"/>
      <c r="U208" s="2136"/>
      <c r="Z208" s="2136"/>
      <c r="AA208" s="2136"/>
      <c r="AB208" s="2136"/>
      <c r="AC208" s="2127"/>
      <c r="AD208" s="2127"/>
      <c r="AE208" s="2136"/>
      <c r="AF208" s="2136"/>
      <c r="AG208" s="2136"/>
      <c r="AH208" s="2136"/>
      <c r="AI208" s="2136"/>
      <c r="AJ208" s="2136"/>
      <c r="AK208" s="2136"/>
      <c r="AL208" s="2136"/>
      <c r="AM208" s="2127"/>
      <c r="AN208" s="2127"/>
      <c r="AO208" s="2136"/>
      <c r="AP208" s="2136"/>
      <c r="AQ208" s="2136"/>
    </row>
    <row r="209" spans="6:43">
      <c r="F209" s="2136"/>
      <c r="G209" s="2136"/>
      <c r="H209" s="2136"/>
      <c r="I209" s="2127"/>
      <c r="J209" s="2127"/>
      <c r="K209" s="2136"/>
      <c r="L209" s="2136"/>
      <c r="M209" s="2136"/>
      <c r="N209" s="2136"/>
      <c r="O209" s="2136"/>
      <c r="P209" s="2136"/>
      <c r="Q209" s="2136"/>
      <c r="R209" s="2136"/>
      <c r="S209" s="2127"/>
      <c r="T209" s="2127"/>
      <c r="U209" s="2136"/>
      <c r="Z209" s="2136"/>
      <c r="AA209" s="2136"/>
      <c r="AB209" s="2136"/>
      <c r="AC209" s="2127"/>
      <c r="AD209" s="2127"/>
      <c r="AE209" s="2136"/>
      <c r="AF209" s="2136"/>
      <c r="AG209" s="2136"/>
      <c r="AH209" s="2136"/>
      <c r="AI209" s="2136"/>
      <c r="AJ209" s="2136"/>
      <c r="AK209" s="2136"/>
      <c r="AL209" s="2136"/>
      <c r="AM209" s="2127"/>
      <c r="AN209" s="2127"/>
      <c r="AO209" s="2136"/>
      <c r="AP209" s="2136"/>
      <c r="AQ209" s="2136"/>
    </row>
    <row r="210" spans="6:43">
      <c r="F210" s="2136"/>
      <c r="G210" s="2136"/>
      <c r="H210" s="2136"/>
      <c r="I210" s="2127"/>
      <c r="J210" s="2127"/>
      <c r="K210" s="2136"/>
      <c r="L210" s="2136"/>
      <c r="M210" s="2136"/>
      <c r="N210" s="2136"/>
      <c r="O210" s="2136"/>
      <c r="P210" s="2136"/>
      <c r="Q210" s="2136"/>
      <c r="R210" s="2136"/>
      <c r="S210" s="2127"/>
      <c r="T210" s="2127"/>
      <c r="U210" s="2136"/>
      <c r="Z210" s="2136"/>
      <c r="AA210" s="2136"/>
      <c r="AB210" s="2136"/>
      <c r="AC210" s="2127"/>
      <c r="AD210" s="2127"/>
      <c r="AE210" s="2136"/>
      <c r="AF210" s="2136"/>
      <c r="AG210" s="2136"/>
      <c r="AH210" s="2136"/>
      <c r="AI210" s="2136"/>
      <c r="AJ210" s="2136"/>
      <c r="AK210" s="2136"/>
      <c r="AL210" s="2136"/>
      <c r="AM210" s="2127"/>
      <c r="AN210" s="2127"/>
      <c r="AO210" s="2136"/>
      <c r="AP210" s="2136"/>
      <c r="AQ210" s="2136"/>
    </row>
    <row r="211" spans="6:43">
      <c r="F211" s="2136"/>
      <c r="G211" s="2136"/>
      <c r="H211" s="2136"/>
      <c r="I211" s="2127"/>
      <c r="J211" s="2127"/>
      <c r="K211" s="2136"/>
      <c r="L211" s="2136"/>
      <c r="M211" s="2136"/>
      <c r="N211" s="2136"/>
      <c r="O211" s="2136"/>
      <c r="P211" s="2136"/>
      <c r="Q211" s="2136"/>
      <c r="R211" s="2136"/>
      <c r="S211" s="2127"/>
      <c r="T211" s="2127"/>
      <c r="U211" s="2136"/>
      <c r="Z211" s="2136"/>
      <c r="AA211" s="2136"/>
      <c r="AB211" s="2136"/>
      <c r="AC211" s="2127"/>
      <c r="AD211" s="2127"/>
      <c r="AE211" s="2136"/>
      <c r="AF211" s="2136"/>
      <c r="AG211" s="2136"/>
      <c r="AH211" s="2136"/>
      <c r="AI211" s="2136"/>
      <c r="AJ211" s="2136"/>
      <c r="AK211" s="2136"/>
      <c r="AL211" s="2136"/>
      <c r="AM211" s="2127"/>
      <c r="AN211" s="2127"/>
      <c r="AO211" s="2136"/>
      <c r="AP211" s="2136"/>
      <c r="AQ211" s="2136"/>
    </row>
    <row r="212" spans="6:43">
      <c r="F212" s="2136"/>
      <c r="G212" s="2136"/>
      <c r="H212" s="2136"/>
      <c r="I212" s="2127"/>
      <c r="J212" s="2127"/>
      <c r="K212" s="2136"/>
      <c r="L212" s="2136"/>
      <c r="M212" s="2136"/>
      <c r="N212" s="2136"/>
      <c r="O212" s="2136"/>
      <c r="P212" s="2136"/>
      <c r="Q212" s="2136"/>
      <c r="R212" s="2136"/>
      <c r="S212" s="2127"/>
      <c r="T212" s="2127"/>
      <c r="U212" s="2136"/>
      <c r="Z212" s="2136"/>
      <c r="AA212" s="2136"/>
      <c r="AB212" s="2136"/>
      <c r="AC212" s="2127"/>
      <c r="AD212" s="2127"/>
      <c r="AE212" s="2136"/>
      <c r="AF212" s="2136"/>
      <c r="AG212" s="2136"/>
      <c r="AH212" s="2136"/>
      <c r="AI212" s="2136"/>
      <c r="AJ212" s="2136"/>
      <c r="AK212" s="2136"/>
      <c r="AL212" s="2136"/>
      <c r="AM212" s="2127"/>
      <c r="AN212" s="2127"/>
      <c r="AO212" s="2136"/>
      <c r="AP212" s="2136"/>
      <c r="AQ212" s="2136"/>
    </row>
    <row r="213" spans="6:43">
      <c r="F213" s="2136"/>
      <c r="G213" s="2136"/>
      <c r="H213" s="2136"/>
      <c r="I213" s="2127"/>
      <c r="J213" s="2127"/>
      <c r="K213" s="2136"/>
      <c r="L213" s="2136"/>
      <c r="M213" s="2136"/>
      <c r="N213" s="2136"/>
      <c r="O213" s="2136"/>
      <c r="P213" s="2136"/>
      <c r="Q213" s="2136"/>
      <c r="R213" s="2136"/>
      <c r="S213" s="2127"/>
      <c r="T213" s="2127"/>
      <c r="U213" s="2136"/>
      <c r="Z213" s="2136"/>
      <c r="AA213" s="2136"/>
      <c r="AB213" s="2136"/>
      <c r="AC213" s="2127"/>
      <c r="AD213" s="2127"/>
      <c r="AE213" s="2136"/>
      <c r="AF213" s="2136"/>
      <c r="AG213" s="2136"/>
      <c r="AH213" s="2136"/>
      <c r="AI213" s="2136"/>
      <c r="AJ213" s="2136"/>
      <c r="AK213" s="2136"/>
      <c r="AL213" s="2136"/>
      <c r="AM213" s="2127"/>
      <c r="AN213" s="2127"/>
      <c r="AO213" s="2136"/>
      <c r="AP213" s="2136"/>
      <c r="AQ213" s="2136"/>
    </row>
    <row r="214" spans="6:43">
      <c r="F214" s="2136"/>
      <c r="G214" s="2136"/>
      <c r="H214" s="2136"/>
      <c r="I214" s="2127"/>
      <c r="J214" s="2127"/>
      <c r="K214" s="2136"/>
      <c r="L214" s="2136"/>
      <c r="M214" s="2136"/>
      <c r="N214" s="2136"/>
      <c r="O214" s="2136"/>
      <c r="P214" s="2136"/>
      <c r="Q214" s="2136"/>
      <c r="R214" s="2136"/>
      <c r="S214" s="2127"/>
      <c r="T214" s="2127"/>
      <c r="U214" s="2136"/>
      <c r="Z214" s="2136"/>
      <c r="AA214" s="2136"/>
      <c r="AB214" s="2136"/>
      <c r="AC214" s="2127"/>
      <c r="AD214" s="2127"/>
      <c r="AE214" s="2136"/>
      <c r="AF214" s="2136"/>
      <c r="AG214" s="2136"/>
      <c r="AH214" s="2136"/>
      <c r="AI214" s="2136"/>
      <c r="AJ214" s="2136"/>
      <c r="AK214" s="2136"/>
      <c r="AL214" s="2136"/>
      <c r="AM214" s="2127"/>
      <c r="AN214" s="2127"/>
      <c r="AO214" s="2136"/>
      <c r="AP214" s="2136"/>
      <c r="AQ214" s="2136"/>
    </row>
    <row r="215" spans="6:43">
      <c r="F215" s="2136"/>
      <c r="G215" s="2136"/>
      <c r="H215" s="2136"/>
      <c r="I215" s="2127"/>
      <c r="J215" s="2127"/>
      <c r="K215" s="2136"/>
      <c r="L215" s="2136"/>
      <c r="M215" s="2136"/>
      <c r="N215" s="2136"/>
      <c r="O215" s="2136"/>
      <c r="P215" s="2136"/>
      <c r="Q215" s="2136"/>
      <c r="R215" s="2136"/>
      <c r="S215" s="2127"/>
      <c r="T215" s="2127"/>
      <c r="U215" s="2136"/>
      <c r="Z215" s="2136"/>
      <c r="AA215" s="2136"/>
      <c r="AB215" s="2136"/>
      <c r="AC215" s="2127"/>
      <c r="AD215" s="2127"/>
      <c r="AE215" s="2136"/>
      <c r="AF215" s="2136"/>
      <c r="AG215" s="2136"/>
      <c r="AH215" s="2136"/>
      <c r="AI215" s="2136"/>
      <c r="AJ215" s="2136"/>
      <c r="AK215" s="2136"/>
      <c r="AL215" s="2136"/>
      <c r="AM215" s="2127"/>
      <c r="AN215" s="2127"/>
      <c r="AO215" s="2136"/>
      <c r="AP215" s="2136"/>
      <c r="AQ215" s="2136"/>
    </row>
    <row r="216" spans="6:43">
      <c r="F216" s="2136"/>
      <c r="G216" s="2136"/>
      <c r="H216" s="2136"/>
      <c r="I216" s="2127"/>
      <c r="J216" s="2127"/>
      <c r="K216" s="2136"/>
      <c r="L216" s="2136"/>
      <c r="M216" s="2136"/>
      <c r="N216" s="2136"/>
      <c r="O216" s="2136"/>
      <c r="P216" s="2136"/>
      <c r="Q216" s="2136"/>
      <c r="R216" s="2136"/>
      <c r="S216" s="2127"/>
      <c r="T216" s="2127"/>
      <c r="U216" s="2136"/>
      <c r="Z216" s="2136"/>
      <c r="AA216" s="2136"/>
      <c r="AB216" s="2136"/>
      <c r="AC216" s="2127"/>
      <c r="AD216" s="2127"/>
      <c r="AE216" s="2136"/>
      <c r="AF216" s="2136"/>
      <c r="AG216" s="2136"/>
      <c r="AH216" s="2136"/>
      <c r="AI216" s="2136"/>
      <c r="AJ216" s="2136"/>
      <c r="AK216" s="2136"/>
      <c r="AL216" s="2136"/>
      <c r="AM216" s="2127"/>
      <c r="AN216" s="2127"/>
      <c r="AO216" s="2136"/>
      <c r="AP216" s="2136"/>
      <c r="AQ216" s="2136"/>
    </row>
    <row r="217" spans="6:43">
      <c r="F217" s="2136"/>
      <c r="G217" s="2136"/>
      <c r="H217" s="2136"/>
      <c r="I217" s="2127"/>
      <c r="J217" s="2127"/>
      <c r="K217" s="2136"/>
      <c r="L217" s="2136"/>
      <c r="M217" s="2136"/>
      <c r="N217" s="2136"/>
      <c r="O217" s="2136"/>
      <c r="P217" s="2136"/>
      <c r="Q217" s="2136"/>
      <c r="R217" s="2136"/>
      <c r="S217" s="2127"/>
      <c r="T217" s="2127"/>
      <c r="U217" s="2136"/>
      <c r="Z217" s="2136"/>
      <c r="AA217" s="2136"/>
      <c r="AB217" s="2136"/>
      <c r="AC217" s="2127"/>
      <c r="AD217" s="2127"/>
      <c r="AE217" s="2136"/>
      <c r="AF217" s="2136"/>
      <c r="AG217" s="2136"/>
      <c r="AH217" s="2136"/>
      <c r="AI217" s="2136"/>
      <c r="AJ217" s="2136"/>
      <c r="AK217" s="2136"/>
      <c r="AL217" s="2136"/>
      <c r="AM217" s="2127"/>
      <c r="AN217" s="2127"/>
      <c r="AO217" s="2136"/>
      <c r="AP217" s="2136"/>
      <c r="AQ217" s="2136"/>
    </row>
    <row r="218" spans="6:43">
      <c r="F218" s="2136"/>
      <c r="G218" s="2136"/>
      <c r="H218" s="2136"/>
      <c r="I218" s="2127"/>
      <c r="J218" s="2127"/>
      <c r="K218" s="2136"/>
      <c r="L218" s="2136"/>
      <c r="M218" s="2136"/>
      <c r="N218" s="2136"/>
      <c r="O218" s="2136"/>
      <c r="P218" s="2136"/>
      <c r="Q218" s="2136"/>
      <c r="R218" s="2136"/>
      <c r="S218" s="2127"/>
      <c r="T218" s="2127"/>
      <c r="U218" s="2136"/>
      <c r="Z218" s="2136"/>
      <c r="AA218" s="2136"/>
      <c r="AB218" s="2136"/>
      <c r="AC218" s="2127"/>
      <c r="AD218" s="2127"/>
      <c r="AE218" s="2136"/>
      <c r="AF218" s="2136"/>
      <c r="AG218" s="2136"/>
      <c r="AH218" s="2136"/>
      <c r="AI218" s="2136"/>
      <c r="AJ218" s="2136"/>
      <c r="AK218" s="2136"/>
      <c r="AL218" s="2136"/>
      <c r="AM218" s="2127"/>
      <c r="AN218" s="2127"/>
      <c r="AO218" s="2136"/>
      <c r="AP218" s="2136"/>
      <c r="AQ218" s="2136"/>
    </row>
    <row r="219" spans="6:43">
      <c r="F219" s="2136"/>
      <c r="G219" s="2136"/>
      <c r="H219" s="2136"/>
      <c r="I219" s="2127"/>
      <c r="J219" s="2127"/>
      <c r="K219" s="2136"/>
      <c r="L219" s="2136"/>
      <c r="M219" s="2136"/>
      <c r="N219" s="2136"/>
      <c r="O219" s="2136"/>
      <c r="P219" s="2136"/>
      <c r="Q219" s="2136"/>
      <c r="R219" s="2136"/>
      <c r="S219" s="2127"/>
      <c r="T219" s="2127"/>
      <c r="U219" s="2136"/>
      <c r="Z219" s="2136"/>
      <c r="AA219" s="2136"/>
      <c r="AB219" s="2136"/>
      <c r="AC219" s="2127"/>
      <c r="AD219" s="2127"/>
      <c r="AE219" s="2136"/>
      <c r="AF219" s="2136"/>
      <c r="AG219" s="2136"/>
      <c r="AH219" s="2136"/>
      <c r="AI219" s="2136"/>
      <c r="AJ219" s="2136"/>
      <c r="AK219" s="2136"/>
      <c r="AL219" s="2136"/>
      <c r="AM219" s="2127"/>
      <c r="AN219" s="2127"/>
      <c r="AO219" s="2136"/>
      <c r="AP219" s="2136"/>
      <c r="AQ219" s="2136"/>
    </row>
    <row r="220" spans="6:43">
      <c r="F220" s="2136"/>
      <c r="G220" s="2136"/>
      <c r="H220" s="2136"/>
      <c r="I220" s="2127"/>
      <c r="J220" s="2127"/>
      <c r="K220" s="2136"/>
      <c r="L220" s="2136"/>
      <c r="M220" s="2136"/>
      <c r="N220" s="2136"/>
      <c r="O220" s="2136"/>
      <c r="P220" s="2136"/>
      <c r="Q220" s="2136"/>
      <c r="R220" s="2136"/>
      <c r="S220" s="2127"/>
      <c r="T220" s="2127"/>
      <c r="U220" s="2136"/>
      <c r="Z220" s="2136"/>
      <c r="AA220" s="2136"/>
      <c r="AB220" s="2136"/>
      <c r="AC220" s="2127"/>
      <c r="AD220" s="2127"/>
      <c r="AE220" s="2136"/>
      <c r="AF220" s="2136"/>
      <c r="AG220" s="2136"/>
      <c r="AH220" s="2136"/>
      <c r="AI220" s="2136"/>
      <c r="AJ220" s="2136"/>
      <c r="AK220" s="2136"/>
      <c r="AL220" s="2136"/>
      <c r="AM220" s="2127"/>
      <c r="AN220" s="2127"/>
      <c r="AO220" s="2136"/>
      <c r="AP220" s="2136"/>
      <c r="AQ220" s="2136"/>
    </row>
    <row r="221" spans="6:43">
      <c r="F221" s="2136"/>
      <c r="G221" s="2136"/>
      <c r="H221" s="2136"/>
      <c r="I221" s="2127"/>
      <c r="J221" s="2127"/>
      <c r="K221" s="2136"/>
      <c r="L221" s="2136"/>
      <c r="M221" s="2136"/>
      <c r="N221" s="2136"/>
      <c r="O221" s="2136"/>
      <c r="P221" s="2136"/>
      <c r="Q221" s="2136"/>
      <c r="R221" s="2136"/>
      <c r="S221" s="2127"/>
      <c r="T221" s="2127"/>
      <c r="U221" s="2136"/>
      <c r="Z221" s="2136"/>
      <c r="AA221" s="2136"/>
      <c r="AB221" s="2136"/>
      <c r="AC221" s="2127"/>
      <c r="AD221" s="2127"/>
      <c r="AE221" s="2136"/>
      <c r="AF221" s="2136"/>
      <c r="AG221" s="2136"/>
      <c r="AH221" s="2136"/>
      <c r="AI221" s="2136"/>
      <c r="AJ221" s="2136"/>
      <c r="AK221" s="2136"/>
      <c r="AL221" s="2136"/>
      <c r="AM221" s="2127"/>
      <c r="AN221" s="2127"/>
      <c r="AO221" s="2136"/>
      <c r="AP221" s="2136"/>
      <c r="AQ221" s="2136"/>
    </row>
    <row r="222" spans="6:43">
      <c r="F222" s="2136"/>
      <c r="G222" s="2136"/>
      <c r="H222" s="2136"/>
      <c r="I222" s="2127"/>
      <c r="J222" s="2127"/>
      <c r="K222" s="2136"/>
      <c r="L222" s="2136"/>
      <c r="M222" s="2136"/>
      <c r="N222" s="2136"/>
      <c r="O222" s="2136"/>
      <c r="P222" s="2136"/>
      <c r="Q222" s="2136"/>
      <c r="R222" s="2136"/>
      <c r="S222" s="2127"/>
      <c r="T222" s="2127"/>
      <c r="U222" s="2136"/>
      <c r="Z222" s="2136"/>
      <c r="AA222" s="2136"/>
      <c r="AB222" s="2136"/>
      <c r="AC222" s="2127"/>
      <c r="AD222" s="2127"/>
      <c r="AE222" s="2136"/>
      <c r="AF222" s="2136"/>
      <c r="AG222" s="2136"/>
      <c r="AH222" s="2136"/>
      <c r="AI222" s="2136"/>
      <c r="AJ222" s="2136"/>
      <c r="AK222" s="2136"/>
      <c r="AL222" s="2136"/>
      <c r="AM222" s="2127"/>
      <c r="AN222" s="2127"/>
      <c r="AO222" s="2136"/>
      <c r="AP222" s="2136"/>
      <c r="AQ222" s="2136"/>
    </row>
    <row r="223" spans="6:43">
      <c r="F223" s="2136"/>
      <c r="G223" s="2136"/>
      <c r="H223" s="2136"/>
      <c r="I223" s="2127"/>
      <c r="J223" s="2127"/>
      <c r="K223" s="2136"/>
      <c r="L223" s="2136"/>
      <c r="M223" s="2136"/>
      <c r="N223" s="2136"/>
      <c r="O223" s="2136"/>
      <c r="P223" s="2136"/>
      <c r="Q223" s="2136"/>
      <c r="R223" s="2136"/>
      <c r="S223" s="2127"/>
      <c r="T223" s="2127"/>
      <c r="U223" s="2136"/>
      <c r="Z223" s="2136"/>
      <c r="AA223" s="2136"/>
      <c r="AB223" s="2136"/>
      <c r="AC223" s="2127"/>
      <c r="AD223" s="2127"/>
      <c r="AE223" s="2136"/>
      <c r="AF223" s="2136"/>
      <c r="AG223" s="2136"/>
      <c r="AH223" s="2136"/>
      <c r="AI223" s="2136"/>
      <c r="AJ223" s="2136"/>
      <c r="AK223" s="2136"/>
      <c r="AL223" s="2136"/>
      <c r="AM223" s="2127"/>
      <c r="AN223" s="2127"/>
      <c r="AO223" s="2136"/>
      <c r="AP223" s="2136"/>
      <c r="AQ223" s="2136"/>
    </row>
    <row r="224" spans="6:43">
      <c r="F224" s="2136"/>
      <c r="G224" s="2136"/>
      <c r="H224" s="2136"/>
      <c r="I224" s="2127"/>
      <c r="J224" s="2127"/>
      <c r="K224" s="2136"/>
      <c r="L224" s="2136"/>
      <c r="M224" s="2136"/>
      <c r="N224" s="2136"/>
      <c r="O224" s="2136"/>
      <c r="P224" s="2136"/>
      <c r="Q224" s="2136"/>
      <c r="R224" s="2136"/>
      <c r="S224" s="2127"/>
      <c r="T224" s="2127"/>
      <c r="U224" s="2136"/>
      <c r="Z224" s="2136"/>
      <c r="AA224" s="2136"/>
      <c r="AB224" s="2136"/>
      <c r="AC224" s="2127"/>
      <c r="AD224" s="2127"/>
      <c r="AE224" s="2136"/>
      <c r="AF224" s="2136"/>
      <c r="AG224" s="2136"/>
      <c r="AH224" s="2136"/>
      <c r="AI224" s="2136"/>
      <c r="AJ224" s="2136"/>
      <c r="AK224" s="2136"/>
      <c r="AL224" s="2136"/>
      <c r="AM224" s="2127"/>
      <c r="AN224" s="2127"/>
      <c r="AO224" s="2136"/>
      <c r="AP224" s="2136"/>
      <c r="AQ224" s="2136"/>
    </row>
    <row r="225" spans="6:43">
      <c r="F225" s="2136"/>
      <c r="G225" s="2136"/>
      <c r="H225" s="2136"/>
      <c r="I225" s="2127"/>
      <c r="J225" s="2127"/>
      <c r="K225" s="2136"/>
      <c r="L225" s="2136"/>
      <c r="M225" s="2136"/>
      <c r="N225" s="2136"/>
      <c r="O225" s="2136"/>
      <c r="P225" s="2136"/>
      <c r="Q225" s="2136"/>
      <c r="R225" s="2136"/>
      <c r="S225" s="2127"/>
      <c r="T225" s="2127"/>
      <c r="U225" s="2136"/>
      <c r="Z225" s="2136"/>
      <c r="AA225" s="2136"/>
      <c r="AB225" s="2136"/>
      <c r="AC225" s="2127"/>
      <c r="AD225" s="2127"/>
      <c r="AE225" s="2136"/>
      <c r="AF225" s="2136"/>
      <c r="AG225" s="2136"/>
      <c r="AH225" s="2136"/>
      <c r="AI225" s="2136"/>
      <c r="AJ225" s="2136"/>
      <c r="AK225" s="2136"/>
      <c r="AL225" s="2136"/>
      <c r="AM225" s="2127"/>
      <c r="AN225" s="2127"/>
      <c r="AO225" s="2136"/>
      <c r="AP225" s="2136"/>
      <c r="AQ225" s="2136"/>
    </row>
    <row r="226" spans="6:43">
      <c r="F226" s="2136"/>
      <c r="G226" s="2136"/>
      <c r="H226" s="2136"/>
      <c r="I226" s="2127"/>
      <c r="J226" s="2127"/>
      <c r="K226" s="2136"/>
      <c r="L226" s="2136"/>
      <c r="M226" s="2136"/>
      <c r="N226" s="2136"/>
      <c r="O226" s="2136"/>
      <c r="P226" s="2136"/>
      <c r="Q226" s="2136"/>
      <c r="R226" s="2136"/>
      <c r="S226" s="2127"/>
      <c r="T226" s="2127"/>
      <c r="U226" s="2136"/>
      <c r="Z226" s="2136"/>
      <c r="AA226" s="2136"/>
      <c r="AB226" s="2136"/>
      <c r="AC226" s="2127"/>
      <c r="AD226" s="2127"/>
      <c r="AE226" s="2136"/>
      <c r="AF226" s="2136"/>
      <c r="AG226" s="2136"/>
      <c r="AH226" s="2136"/>
      <c r="AI226" s="2136"/>
      <c r="AJ226" s="2136"/>
      <c r="AK226" s="2136"/>
      <c r="AL226" s="2136"/>
      <c r="AM226" s="2127"/>
      <c r="AN226" s="2127"/>
      <c r="AO226" s="2136"/>
      <c r="AP226" s="2136"/>
      <c r="AQ226" s="2136"/>
    </row>
    <row r="227" spans="6:43">
      <c r="F227" s="2136"/>
      <c r="G227" s="2136"/>
      <c r="H227" s="2136"/>
      <c r="I227" s="2127"/>
      <c r="J227" s="2127"/>
      <c r="K227" s="2136"/>
      <c r="L227" s="2136"/>
      <c r="M227" s="2136"/>
      <c r="N227" s="2136"/>
      <c r="O227" s="2136"/>
      <c r="P227" s="2136"/>
      <c r="Q227" s="2136"/>
      <c r="R227" s="2136"/>
      <c r="S227" s="2127"/>
      <c r="T227" s="2127"/>
      <c r="U227" s="2136"/>
      <c r="Z227" s="2136"/>
      <c r="AA227" s="2136"/>
      <c r="AB227" s="2136"/>
      <c r="AC227" s="2127"/>
      <c r="AD227" s="2127"/>
      <c r="AE227" s="2136"/>
      <c r="AF227" s="2136"/>
      <c r="AG227" s="2136"/>
      <c r="AH227" s="2136"/>
      <c r="AI227" s="2136"/>
      <c r="AJ227" s="2136"/>
      <c r="AK227" s="2136"/>
      <c r="AL227" s="2136"/>
      <c r="AM227" s="2127"/>
      <c r="AN227" s="2127"/>
      <c r="AO227" s="2136"/>
      <c r="AP227" s="2136"/>
      <c r="AQ227" s="2136"/>
    </row>
    <row r="228" spans="6:43">
      <c r="F228" s="2136"/>
      <c r="G228" s="2136"/>
      <c r="H228" s="2136"/>
      <c r="I228" s="2127"/>
      <c r="J228" s="2127"/>
      <c r="K228" s="2136"/>
      <c r="L228" s="2136"/>
      <c r="M228" s="2136"/>
      <c r="N228" s="2136"/>
      <c r="O228" s="2136"/>
      <c r="P228" s="2136"/>
      <c r="Q228" s="2136"/>
      <c r="R228" s="2136"/>
      <c r="S228" s="2127"/>
      <c r="T228" s="2127"/>
      <c r="U228" s="2136"/>
      <c r="Z228" s="2136"/>
      <c r="AA228" s="2136"/>
      <c r="AB228" s="2136"/>
      <c r="AC228" s="2127"/>
      <c r="AD228" s="2127"/>
      <c r="AE228" s="2136"/>
      <c r="AF228" s="2136"/>
      <c r="AG228" s="2136"/>
      <c r="AH228" s="2136"/>
      <c r="AI228" s="2136"/>
      <c r="AJ228" s="2136"/>
      <c r="AK228" s="2136"/>
      <c r="AL228" s="2136"/>
      <c r="AM228" s="2127"/>
      <c r="AN228" s="2127"/>
      <c r="AO228" s="2136"/>
      <c r="AP228" s="2136"/>
      <c r="AQ228" s="2136"/>
    </row>
    <row r="229" spans="6:43">
      <c r="F229" s="2136"/>
      <c r="G229" s="2136"/>
      <c r="H229" s="2136"/>
      <c r="I229" s="2127"/>
      <c r="J229" s="2127"/>
      <c r="K229" s="2136"/>
      <c r="L229" s="2136"/>
      <c r="M229" s="2136"/>
      <c r="N229" s="2136"/>
      <c r="O229" s="2136"/>
      <c r="P229" s="2136"/>
      <c r="Q229" s="2136"/>
      <c r="R229" s="2136"/>
      <c r="S229" s="2127"/>
      <c r="T229" s="2127"/>
      <c r="U229" s="2136"/>
      <c r="Z229" s="2136"/>
      <c r="AA229" s="2136"/>
      <c r="AB229" s="2136"/>
      <c r="AC229" s="2127"/>
      <c r="AD229" s="2127"/>
      <c r="AE229" s="2136"/>
      <c r="AF229" s="2136"/>
      <c r="AG229" s="2136"/>
      <c r="AH229" s="2136"/>
      <c r="AI229" s="2136"/>
      <c r="AJ229" s="2136"/>
      <c r="AK229" s="2136"/>
      <c r="AL229" s="2136"/>
      <c r="AM229" s="2127"/>
      <c r="AN229" s="2127"/>
      <c r="AO229" s="2136"/>
      <c r="AP229" s="2136"/>
      <c r="AQ229" s="2136"/>
    </row>
    <row r="230" spans="6:43">
      <c r="F230" s="2136"/>
      <c r="G230" s="2136"/>
      <c r="H230" s="2136"/>
      <c r="I230" s="2127"/>
      <c r="J230" s="2127"/>
      <c r="K230" s="2136"/>
      <c r="L230" s="2136"/>
      <c r="M230" s="2136"/>
      <c r="N230" s="2136"/>
      <c r="O230" s="2136"/>
      <c r="P230" s="2136"/>
      <c r="Q230" s="2136"/>
      <c r="R230" s="2136"/>
      <c r="S230" s="2127"/>
      <c r="T230" s="2127"/>
      <c r="U230" s="2136"/>
      <c r="Z230" s="2136"/>
      <c r="AA230" s="2136"/>
      <c r="AB230" s="2136"/>
      <c r="AC230" s="2127"/>
      <c r="AD230" s="2127"/>
      <c r="AE230" s="2136"/>
      <c r="AF230" s="2136"/>
      <c r="AG230" s="2136"/>
      <c r="AH230" s="2136"/>
      <c r="AI230" s="2136"/>
      <c r="AJ230" s="2136"/>
      <c r="AK230" s="2136"/>
      <c r="AL230" s="2136"/>
      <c r="AM230" s="2127"/>
      <c r="AN230" s="2127"/>
      <c r="AO230" s="2136"/>
      <c r="AP230" s="2136"/>
      <c r="AQ230" s="2136"/>
    </row>
    <row r="231" spans="6:43">
      <c r="F231" s="2136"/>
      <c r="G231" s="2136"/>
      <c r="H231" s="2136"/>
      <c r="I231" s="2127"/>
      <c r="J231" s="2127"/>
      <c r="K231" s="2136"/>
      <c r="L231" s="2136"/>
      <c r="M231" s="2136"/>
      <c r="N231" s="2136"/>
      <c r="O231" s="2136"/>
      <c r="P231" s="2136"/>
      <c r="Q231" s="2136"/>
      <c r="R231" s="2136"/>
      <c r="S231" s="2127"/>
      <c r="T231" s="2127"/>
      <c r="U231" s="2136"/>
      <c r="Z231" s="2136"/>
      <c r="AA231" s="2136"/>
      <c r="AB231" s="2136"/>
      <c r="AC231" s="2127"/>
      <c r="AD231" s="2127"/>
      <c r="AE231" s="2136"/>
      <c r="AF231" s="2136"/>
      <c r="AG231" s="2136"/>
      <c r="AH231" s="2136"/>
      <c r="AI231" s="2136"/>
      <c r="AJ231" s="2136"/>
      <c r="AK231" s="2136"/>
      <c r="AL231" s="2136"/>
      <c r="AM231" s="2127"/>
      <c r="AN231" s="2127"/>
      <c r="AO231" s="2136"/>
      <c r="AP231" s="2136"/>
      <c r="AQ231" s="2136"/>
    </row>
    <row r="232" spans="6:43">
      <c r="F232" s="2136"/>
      <c r="G232" s="2136"/>
      <c r="H232" s="2136"/>
      <c r="I232" s="2127"/>
      <c r="J232" s="2127"/>
      <c r="K232" s="2136"/>
      <c r="L232" s="2136"/>
      <c r="M232" s="2136"/>
      <c r="N232" s="2136"/>
      <c r="O232" s="2136"/>
      <c r="P232" s="2136"/>
      <c r="Q232" s="2136"/>
      <c r="R232" s="2136"/>
      <c r="S232" s="2127"/>
      <c r="T232" s="2127"/>
      <c r="U232" s="2136"/>
      <c r="Z232" s="2136"/>
      <c r="AA232" s="2136"/>
      <c r="AB232" s="2136"/>
      <c r="AC232" s="2127"/>
      <c r="AD232" s="2127"/>
      <c r="AE232" s="2136"/>
      <c r="AF232" s="2136"/>
      <c r="AG232" s="2136"/>
      <c r="AH232" s="2136"/>
      <c r="AI232" s="2136"/>
      <c r="AJ232" s="2136"/>
      <c r="AK232" s="2136"/>
      <c r="AL232" s="2136"/>
      <c r="AM232" s="2127"/>
      <c r="AN232" s="2127"/>
      <c r="AO232" s="2136"/>
      <c r="AP232" s="2136"/>
      <c r="AQ232" s="2136"/>
    </row>
    <row r="233" spans="6:43">
      <c r="F233" s="2136"/>
      <c r="G233" s="2136"/>
      <c r="H233" s="2136"/>
      <c r="I233" s="2127"/>
      <c r="J233" s="2127"/>
      <c r="K233" s="2136"/>
      <c r="L233" s="2136"/>
      <c r="M233" s="2136"/>
      <c r="N233" s="2136"/>
      <c r="O233" s="2136"/>
      <c r="P233" s="2136"/>
      <c r="Q233" s="2136"/>
      <c r="R233" s="2136"/>
      <c r="S233" s="2127"/>
      <c r="T233" s="2127"/>
      <c r="U233" s="2136"/>
      <c r="Z233" s="2136"/>
      <c r="AA233" s="2136"/>
      <c r="AB233" s="2136"/>
      <c r="AC233" s="2127"/>
      <c r="AD233" s="2127"/>
      <c r="AE233" s="2136"/>
      <c r="AF233" s="2136"/>
      <c r="AG233" s="2136"/>
      <c r="AH233" s="2136"/>
      <c r="AI233" s="2136"/>
      <c r="AJ233" s="2136"/>
      <c r="AK233" s="2136"/>
      <c r="AL233" s="2136"/>
      <c r="AM233" s="2127"/>
      <c r="AN233" s="2127"/>
      <c r="AO233" s="2136"/>
      <c r="AP233" s="2136"/>
      <c r="AQ233" s="2136"/>
    </row>
    <row r="234" spans="6:43">
      <c r="F234" s="2136"/>
      <c r="G234" s="2136"/>
      <c r="H234" s="2136"/>
      <c r="I234" s="2127"/>
      <c r="J234" s="2127"/>
      <c r="K234" s="2136"/>
      <c r="L234" s="2136"/>
      <c r="M234" s="2136"/>
      <c r="N234" s="2136"/>
      <c r="O234" s="2136"/>
      <c r="P234" s="2136"/>
      <c r="Q234" s="2136"/>
      <c r="R234" s="2136"/>
      <c r="S234" s="2127"/>
      <c r="T234" s="2127"/>
      <c r="U234" s="2136"/>
      <c r="Z234" s="2136"/>
      <c r="AA234" s="2136"/>
      <c r="AB234" s="2136"/>
      <c r="AC234" s="2127"/>
      <c r="AD234" s="2127"/>
      <c r="AE234" s="2136"/>
      <c r="AF234" s="2136"/>
      <c r="AG234" s="2136"/>
      <c r="AH234" s="2136"/>
      <c r="AI234" s="2136"/>
      <c r="AJ234" s="2136"/>
      <c r="AK234" s="2136"/>
      <c r="AL234" s="2136"/>
      <c r="AM234" s="2127"/>
      <c r="AN234" s="2127"/>
      <c r="AO234" s="2136"/>
      <c r="AP234" s="2136"/>
      <c r="AQ234" s="2136"/>
    </row>
    <row r="235" spans="6:43">
      <c r="F235" s="2136"/>
      <c r="G235" s="2136"/>
      <c r="H235" s="2136"/>
      <c r="I235" s="2127"/>
      <c r="J235" s="2127"/>
      <c r="K235" s="2136"/>
      <c r="L235" s="2136"/>
      <c r="M235" s="2136"/>
      <c r="N235" s="2136"/>
      <c r="O235" s="2136"/>
      <c r="P235" s="2136"/>
      <c r="Q235" s="2136"/>
      <c r="R235" s="2136"/>
      <c r="S235" s="2127"/>
      <c r="T235" s="2127"/>
      <c r="U235" s="2136"/>
      <c r="Z235" s="2136"/>
      <c r="AA235" s="2136"/>
      <c r="AB235" s="2136"/>
      <c r="AC235" s="2127"/>
      <c r="AD235" s="2127"/>
      <c r="AE235" s="2136"/>
      <c r="AF235" s="2136"/>
      <c r="AG235" s="2136"/>
      <c r="AH235" s="2136"/>
      <c r="AI235" s="2136"/>
      <c r="AJ235" s="2136"/>
      <c r="AK235" s="2136"/>
      <c r="AL235" s="2136"/>
      <c r="AM235" s="2127"/>
      <c r="AN235" s="2127"/>
      <c r="AO235" s="2136"/>
      <c r="AP235" s="2136"/>
      <c r="AQ235" s="2136"/>
    </row>
    <row r="236" spans="6:43">
      <c r="F236" s="2136"/>
      <c r="G236" s="2136"/>
      <c r="H236" s="2136"/>
      <c r="I236" s="2127"/>
      <c r="J236" s="2127"/>
      <c r="K236" s="2136"/>
      <c r="L236" s="2136"/>
      <c r="M236" s="2136"/>
      <c r="N236" s="2136"/>
      <c r="O236" s="2136"/>
      <c r="P236" s="2136"/>
      <c r="Q236" s="2136"/>
      <c r="R236" s="2136"/>
      <c r="S236" s="2127"/>
      <c r="T236" s="2127"/>
      <c r="U236" s="2136"/>
      <c r="Z236" s="2136"/>
      <c r="AA236" s="2136"/>
      <c r="AB236" s="2136"/>
      <c r="AC236" s="2127"/>
      <c r="AD236" s="2127"/>
      <c r="AE236" s="2136"/>
      <c r="AF236" s="2136"/>
      <c r="AG236" s="2136"/>
      <c r="AH236" s="2136"/>
      <c r="AI236" s="2136"/>
      <c r="AJ236" s="2136"/>
      <c r="AK236" s="2136"/>
      <c r="AL236" s="2136"/>
      <c r="AM236" s="2127"/>
      <c r="AN236" s="2127"/>
      <c r="AO236" s="2136"/>
      <c r="AP236" s="2136"/>
      <c r="AQ236" s="2136"/>
    </row>
    <row r="237" spans="6:43">
      <c r="F237" s="2136"/>
      <c r="G237" s="2136"/>
      <c r="H237" s="2136"/>
      <c r="I237" s="2127"/>
      <c r="J237" s="2127"/>
      <c r="K237" s="2136"/>
      <c r="L237" s="2136"/>
      <c r="M237" s="2136"/>
      <c r="N237" s="2136"/>
      <c r="O237" s="2136"/>
      <c r="P237" s="2136"/>
      <c r="Q237" s="2136"/>
      <c r="R237" s="2136"/>
      <c r="S237" s="2127"/>
      <c r="T237" s="2127"/>
      <c r="U237" s="2136"/>
      <c r="Z237" s="2136"/>
      <c r="AA237" s="2136"/>
      <c r="AB237" s="2136"/>
      <c r="AC237" s="2127"/>
      <c r="AD237" s="2127"/>
      <c r="AE237" s="2136"/>
      <c r="AF237" s="2136"/>
      <c r="AG237" s="2136"/>
      <c r="AH237" s="2136"/>
      <c r="AI237" s="2136"/>
      <c r="AJ237" s="2136"/>
      <c r="AK237" s="2136"/>
      <c r="AL237" s="2136"/>
      <c r="AM237" s="2127"/>
      <c r="AN237" s="2127"/>
      <c r="AO237" s="2136"/>
      <c r="AP237" s="2136"/>
      <c r="AQ237" s="2136"/>
    </row>
    <row r="238" spans="6:43">
      <c r="F238" s="2136"/>
      <c r="G238" s="2136"/>
      <c r="H238" s="2136"/>
      <c r="I238" s="2127"/>
      <c r="J238" s="2127"/>
      <c r="K238" s="2136"/>
      <c r="L238" s="2136"/>
      <c r="M238" s="2136"/>
      <c r="N238" s="2136"/>
      <c r="O238" s="2136"/>
      <c r="P238" s="2136"/>
      <c r="Q238" s="2136"/>
      <c r="R238" s="2136"/>
      <c r="S238" s="2127"/>
      <c r="T238" s="2127"/>
      <c r="U238" s="2136"/>
      <c r="Z238" s="2136"/>
      <c r="AA238" s="2136"/>
      <c r="AB238" s="2136"/>
      <c r="AC238" s="2127"/>
      <c r="AD238" s="2127"/>
      <c r="AE238" s="2136"/>
      <c r="AF238" s="2136"/>
      <c r="AG238" s="2136"/>
      <c r="AH238" s="2136"/>
      <c r="AI238" s="2136"/>
      <c r="AJ238" s="2136"/>
      <c r="AK238" s="2136"/>
      <c r="AL238" s="2136"/>
      <c r="AM238" s="2127"/>
      <c r="AN238" s="2127"/>
      <c r="AO238" s="2136"/>
      <c r="AP238" s="2136"/>
      <c r="AQ238" s="2136"/>
    </row>
    <row r="239" spans="6:43">
      <c r="F239" s="2136"/>
      <c r="G239" s="2136"/>
      <c r="H239" s="2136"/>
      <c r="I239" s="2127"/>
      <c r="J239" s="2127"/>
      <c r="K239" s="2136"/>
      <c r="L239" s="2136"/>
      <c r="M239" s="2136"/>
      <c r="N239" s="2136"/>
      <c r="O239" s="2136"/>
      <c r="P239" s="2136"/>
      <c r="Q239" s="2136"/>
      <c r="R239" s="2136"/>
      <c r="S239" s="2127"/>
      <c r="T239" s="2127"/>
      <c r="U239" s="2136"/>
      <c r="Z239" s="2136"/>
      <c r="AA239" s="2136"/>
      <c r="AB239" s="2136"/>
      <c r="AC239" s="2127"/>
      <c r="AD239" s="2127"/>
      <c r="AE239" s="2136"/>
      <c r="AF239" s="2136"/>
      <c r="AG239" s="2136"/>
      <c r="AH239" s="2136"/>
      <c r="AI239" s="2136"/>
      <c r="AJ239" s="2136"/>
      <c r="AK239" s="2136"/>
      <c r="AL239" s="2136"/>
      <c r="AM239" s="2127"/>
      <c r="AN239" s="2127"/>
      <c r="AO239" s="2136"/>
      <c r="AP239" s="2136"/>
      <c r="AQ239" s="2136"/>
    </row>
    <row r="240" spans="6:43">
      <c r="F240" s="2136"/>
      <c r="G240" s="2136"/>
      <c r="H240" s="2136"/>
      <c r="I240" s="2127"/>
      <c r="J240" s="2127"/>
      <c r="K240" s="2136"/>
      <c r="L240" s="2136"/>
      <c r="M240" s="2136"/>
      <c r="N240" s="2136"/>
      <c r="O240" s="2136"/>
      <c r="P240" s="2136"/>
      <c r="Q240" s="2136"/>
      <c r="R240" s="2136"/>
      <c r="S240" s="2127"/>
      <c r="T240" s="2127"/>
      <c r="U240" s="2136"/>
      <c r="Z240" s="2136"/>
      <c r="AA240" s="2136"/>
      <c r="AB240" s="2136"/>
      <c r="AC240" s="2127"/>
      <c r="AD240" s="2127"/>
      <c r="AE240" s="2136"/>
      <c r="AF240" s="2136"/>
      <c r="AG240" s="2136"/>
      <c r="AH240" s="2136"/>
      <c r="AI240" s="2136"/>
      <c r="AJ240" s="2136"/>
      <c r="AK240" s="2136"/>
      <c r="AL240" s="2136"/>
      <c r="AM240" s="2127"/>
      <c r="AN240" s="2127"/>
      <c r="AO240" s="2136"/>
      <c r="AP240" s="2136"/>
      <c r="AQ240" s="2136"/>
    </row>
    <row r="241" spans="6:43">
      <c r="F241" s="2136"/>
      <c r="G241" s="2136"/>
      <c r="H241" s="2136"/>
      <c r="I241" s="2127"/>
      <c r="J241" s="2127"/>
      <c r="K241" s="2136"/>
      <c r="L241" s="2136"/>
      <c r="M241" s="2136"/>
      <c r="N241" s="2136"/>
      <c r="O241" s="2136"/>
      <c r="P241" s="2136"/>
      <c r="Q241" s="2136"/>
      <c r="R241" s="2136"/>
      <c r="S241" s="2127"/>
      <c r="T241" s="2127"/>
      <c r="U241" s="2136"/>
      <c r="Z241" s="2136"/>
      <c r="AA241" s="2136"/>
      <c r="AB241" s="2136"/>
      <c r="AC241" s="2127"/>
      <c r="AD241" s="2127"/>
      <c r="AE241" s="2136"/>
      <c r="AF241" s="2136"/>
      <c r="AG241" s="2136"/>
      <c r="AH241" s="2136"/>
      <c r="AI241" s="2136"/>
      <c r="AJ241" s="2136"/>
      <c r="AK241" s="2136"/>
      <c r="AL241" s="2136"/>
      <c r="AM241" s="2127"/>
      <c r="AN241" s="2127"/>
      <c r="AO241" s="2136"/>
      <c r="AP241" s="2136"/>
      <c r="AQ241" s="2136"/>
    </row>
    <row r="242" spans="6:43">
      <c r="F242" s="2136"/>
      <c r="G242" s="2136"/>
      <c r="H242" s="2136"/>
      <c r="I242" s="2127"/>
      <c r="J242" s="2127"/>
      <c r="K242" s="2136"/>
      <c r="L242" s="2136"/>
      <c r="M242" s="2136"/>
      <c r="N242" s="2136"/>
      <c r="O242" s="2136"/>
      <c r="P242" s="2136"/>
      <c r="Q242" s="2136"/>
      <c r="R242" s="2136"/>
      <c r="S242" s="2127"/>
      <c r="T242" s="2127"/>
      <c r="U242" s="2136"/>
      <c r="Z242" s="2136"/>
      <c r="AA242" s="2136"/>
      <c r="AB242" s="2136"/>
      <c r="AC242" s="2127"/>
      <c r="AD242" s="2127"/>
      <c r="AE242" s="2136"/>
      <c r="AF242" s="2136"/>
      <c r="AG242" s="2136"/>
      <c r="AH242" s="2136"/>
      <c r="AI242" s="2136"/>
      <c r="AJ242" s="2136"/>
      <c r="AK242" s="2136"/>
      <c r="AL242" s="2136"/>
      <c r="AM242" s="2127"/>
      <c r="AN242" s="2127"/>
      <c r="AO242" s="2136"/>
      <c r="AP242" s="2136"/>
      <c r="AQ242" s="2136"/>
    </row>
    <row r="243" spans="6:43">
      <c r="F243" s="2136"/>
      <c r="G243" s="2136"/>
      <c r="H243" s="2136"/>
      <c r="I243" s="2127"/>
      <c r="J243" s="2127"/>
      <c r="K243" s="2136"/>
      <c r="L243" s="2136"/>
      <c r="M243" s="2136"/>
      <c r="N243" s="2136"/>
      <c r="O243" s="2136"/>
      <c r="P243" s="2136"/>
      <c r="Q243" s="2136"/>
      <c r="R243" s="2136"/>
      <c r="S243" s="2127"/>
      <c r="T243" s="2127"/>
      <c r="U243" s="2136"/>
      <c r="Z243" s="2136"/>
      <c r="AA243" s="2136"/>
      <c r="AB243" s="2136"/>
      <c r="AC243" s="2127"/>
      <c r="AD243" s="2127"/>
      <c r="AE243" s="2136"/>
      <c r="AF243" s="2136"/>
      <c r="AG243" s="2136"/>
      <c r="AH243" s="2136"/>
      <c r="AI243" s="2136"/>
      <c r="AJ243" s="2136"/>
      <c r="AK243" s="2136"/>
      <c r="AL243" s="2136"/>
      <c r="AM243" s="2127"/>
      <c r="AN243" s="2127"/>
      <c r="AO243" s="2136"/>
      <c r="AP243" s="2136"/>
      <c r="AQ243" s="2136"/>
    </row>
    <row r="244" spans="6:43">
      <c r="F244" s="2136"/>
      <c r="G244" s="2136"/>
      <c r="H244" s="2136"/>
      <c r="I244" s="2127"/>
      <c r="J244" s="2127"/>
      <c r="K244" s="2136"/>
      <c r="L244" s="2136"/>
      <c r="M244" s="2136"/>
      <c r="N244" s="2136"/>
      <c r="O244" s="2136"/>
      <c r="P244" s="2136"/>
      <c r="Q244" s="2136"/>
      <c r="R244" s="2136"/>
      <c r="S244" s="2127"/>
      <c r="T244" s="2127"/>
      <c r="U244" s="2136"/>
      <c r="Z244" s="2136"/>
      <c r="AA244" s="2136"/>
      <c r="AB244" s="2136"/>
      <c r="AC244" s="2127"/>
      <c r="AD244" s="2127"/>
      <c r="AE244" s="2136"/>
      <c r="AF244" s="2136"/>
      <c r="AG244" s="2136"/>
      <c r="AH244" s="2136"/>
      <c r="AI244" s="2136"/>
      <c r="AJ244" s="2136"/>
      <c r="AK244" s="2136"/>
      <c r="AL244" s="2136"/>
      <c r="AM244" s="2127"/>
      <c r="AN244" s="2127"/>
      <c r="AO244" s="2136"/>
      <c r="AP244" s="2136"/>
      <c r="AQ244" s="2136"/>
    </row>
    <row r="245" spans="6:43">
      <c r="F245" s="2136"/>
      <c r="G245" s="2136"/>
      <c r="H245" s="2136"/>
      <c r="I245" s="2127"/>
      <c r="J245" s="2127"/>
      <c r="K245" s="2136"/>
      <c r="L245" s="2136"/>
      <c r="M245" s="2136"/>
      <c r="N245" s="2136"/>
      <c r="O245" s="2136"/>
      <c r="P245" s="2136"/>
      <c r="Q245" s="2136"/>
      <c r="R245" s="2136"/>
      <c r="S245" s="2127"/>
      <c r="T245" s="2127"/>
      <c r="U245" s="2136"/>
      <c r="Z245" s="2136"/>
      <c r="AA245" s="2136"/>
      <c r="AB245" s="2136"/>
      <c r="AC245" s="2127"/>
      <c r="AD245" s="2127"/>
      <c r="AE245" s="2136"/>
      <c r="AF245" s="2136"/>
      <c r="AG245" s="2136"/>
      <c r="AH245" s="2136"/>
      <c r="AI245" s="2136"/>
      <c r="AJ245" s="2136"/>
      <c r="AK245" s="2136"/>
      <c r="AL245" s="2136"/>
      <c r="AM245" s="2127"/>
      <c r="AN245" s="2127"/>
      <c r="AO245" s="2136"/>
      <c r="AP245" s="2136"/>
      <c r="AQ245" s="2136"/>
    </row>
    <row r="246" spans="6:43">
      <c r="F246" s="2136"/>
      <c r="G246" s="2136"/>
      <c r="H246" s="2136"/>
      <c r="I246" s="2127"/>
      <c r="J246" s="2127"/>
      <c r="K246" s="2136"/>
      <c r="L246" s="2136"/>
      <c r="M246" s="2136"/>
      <c r="N246" s="2136"/>
      <c r="O246" s="2136"/>
      <c r="P246" s="2136"/>
      <c r="Q246" s="2136"/>
      <c r="R246" s="2136"/>
      <c r="S246" s="2127"/>
      <c r="T246" s="2127"/>
      <c r="U246" s="2136"/>
      <c r="Z246" s="2136"/>
      <c r="AA246" s="2136"/>
      <c r="AB246" s="2136"/>
      <c r="AC246" s="2127"/>
      <c r="AD246" s="2127"/>
      <c r="AE246" s="2136"/>
      <c r="AF246" s="2136"/>
      <c r="AG246" s="2136"/>
      <c r="AH246" s="2136"/>
      <c r="AI246" s="2136"/>
      <c r="AJ246" s="2136"/>
      <c r="AK246" s="2136"/>
      <c r="AL246" s="2136"/>
      <c r="AM246" s="2127"/>
      <c r="AN246" s="2127"/>
      <c r="AO246" s="2136"/>
      <c r="AP246" s="2136"/>
      <c r="AQ246" s="2136"/>
    </row>
    <row r="247" spans="6:43">
      <c r="F247" s="2136"/>
      <c r="G247" s="2136"/>
      <c r="H247" s="2136"/>
      <c r="I247" s="2127"/>
      <c r="J247" s="2127"/>
      <c r="K247" s="2136"/>
      <c r="L247" s="2136"/>
      <c r="M247" s="2136"/>
      <c r="N247" s="2136"/>
      <c r="O247" s="2136"/>
      <c r="P247" s="2136"/>
      <c r="Q247" s="2136"/>
      <c r="R247" s="2136"/>
      <c r="S247" s="2127"/>
      <c r="T247" s="2127"/>
      <c r="U247" s="2136"/>
      <c r="Z247" s="2136"/>
      <c r="AA247" s="2136"/>
      <c r="AB247" s="2136"/>
      <c r="AC247" s="2127"/>
      <c r="AD247" s="2127"/>
      <c r="AE247" s="2136"/>
      <c r="AF247" s="2136"/>
      <c r="AG247" s="2136"/>
      <c r="AH247" s="2136"/>
      <c r="AI247" s="2136"/>
      <c r="AJ247" s="2136"/>
      <c r="AK247" s="2136"/>
      <c r="AL247" s="2136"/>
      <c r="AM247" s="2127"/>
      <c r="AN247" s="2127"/>
      <c r="AO247" s="2136"/>
      <c r="AP247" s="2136"/>
      <c r="AQ247" s="2136"/>
    </row>
    <row r="248" spans="6:43">
      <c r="F248" s="2136"/>
      <c r="G248" s="2136"/>
      <c r="H248" s="2136"/>
      <c r="I248" s="2127"/>
      <c r="J248" s="2127"/>
      <c r="K248" s="2136"/>
      <c r="L248" s="2136"/>
      <c r="M248" s="2136"/>
      <c r="N248" s="2136"/>
      <c r="O248" s="2136"/>
      <c r="P248" s="2136"/>
      <c r="Q248" s="2136"/>
      <c r="R248" s="2136"/>
      <c r="S248" s="2127"/>
      <c r="T248" s="2127"/>
      <c r="U248" s="2136"/>
      <c r="Z248" s="2136"/>
      <c r="AA248" s="2136"/>
      <c r="AB248" s="2136"/>
      <c r="AC248" s="2127"/>
      <c r="AD248" s="2127"/>
      <c r="AE248" s="2136"/>
      <c r="AF248" s="2136"/>
      <c r="AG248" s="2136"/>
      <c r="AH248" s="2136"/>
      <c r="AI248" s="2136"/>
      <c r="AJ248" s="2136"/>
      <c r="AK248" s="2136"/>
      <c r="AL248" s="2136"/>
      <c r="AM248" s="2127"/>
      <c r="AN248" s="2127"/>
      <c r="AO248" s="2136"/>
      <c r="AP248" s="2136"/>
      <c r="AQ248" s="2136"/>
    </row>
    <row r="249" spans="6:43">
      <c r="F249" s="2136"/>
      <c r="G249" s="2136"/>
      <c r="H249" s="2136"/>
      <c r="I249" s="2127"/>
      <c r="J249" s="2127"/>
      <c r="K249" s="2136"/>
      <c r="L249" s="2136"/>
      <c r="M249" s="2136"/>
      <c r="N249" s="2136"/>
      <c r="O249" s="2136"/>
      <c r="P249" s="2136"/>
      <c r="Q249" s="2136"/>
      <c r="R249" s="2136"/>
      <c r="S249" s="2127"/>
      <c r="T249" s="2127"/>
      <c r="U249" s="2136"/>
      <c r="Z249" s="2136"/>
      <c r="AA249" s="2136"/>
      <c r="AB249" s="2136"/>
      <c r="AC249" s="2127"/>
      <c r="AD249" s="2127"/>
      <c r="AE249" s="2136"/>
      <c r="AF249" s="2136"/>
      <c r="AG249" s="2136"/>
      <c r="AH249" s="2136"/>
      <c r="AI249" s="2136"/>
      <c r="AJ249" s="2136"/>
      <c r="AK249" s="2136"/>
      <c r="AL249" s="2136"/>
      <c r="AM249" s="2127"/>
      <c r="AN249" s="2127"/>
      <c r="AO249" s="2136"/>
      <c r="AP249" s="2136"/>
      <c r="AQ249" s="2136"/>
    </row>
    <row r="250" spans="6:43">
      <c r="F250" s="2136"/>
      <c r="G250" s="2136"/>
      <c r="H250" s="2136"/>
      <c r="I250" s="2127"/>
      <c r="J250" s="2127"/>
      <c r="K250" s="2136"/>
      <c r="L250" s="2136"/>
      <c r="M250" s="2136"/>
      <c r="N250" s="2136"/>
      <c r="O250" s="2136"/>
      <c r="P250" s="2136"/>
      <c r="Q250" s="2136"/>
      <c r="R250" s="2136"/>
      <c r="S250" s="2127"/>
      <c r="T250" s="2127"/>
      <c r="U250" s="2136"/>
      <c r="Z250" s="2136"/>
      <c r="AA250" s="2136"/>
      <c r="AB250" s="2136"/>
      <c r="AC250" s="2127"/>
      <c r="AD250" s="2127"/>
      <c r="AE250" s="2136"/>
      <c r="AF250" s="2136"/>
      <c r="AG250" s="2136"/>
      <c r="AH250" s="2136"/>
      <c r="AI250" s="2136"/>
      <c r="AJ250" s="2136"/>
      <c r="AK250" s="2136"/>
      <c r="AL250" s="2136"/>
      <c r="AM250" s="2127"/>
      <c r="AN250" s="2127"/>
      <c r="AO250" s="2136"/>
      <c r="AP250" s="2136"/>
      <c r="AQ250" s="2136"/>
    </row>
    <row r="251" spans="6:43">
      <c r="F251" s="2136"/>
      <c r="G251" s="2136"/>
      <c r="H251" s="2136"/>
      <c r="I251" s="2127"/>
      <c r="J251" s="2127"/>
      <c r="K251" s="2136"/>
      <c r="L251" s="2136"/>
      <c r="M251" s="2136"/>
      <c r="N251" s="2136"/>
      <c r="O251" s="2136"/>
      <c r="P251" s="2136"/>
      <c r="Q251" s="2136"/>
      <c r="R251" s="2136"/>
      <c r="S251" s="2127"/>
      <c r="T251" s="2127"/>
      <c r="U251" s="2136"/>
      <c r="Z251" s="2136"/>
      <c r="AA251" s="2136"/>
      <c r="AB251" s="2136"/>
      <c r="AC251" s="2127"/>
      <c r="AD251" s="2127"/>
      <c r="AE251" s="2136"/>
      <c r="AF251" s="2136"/>
      <c r="AG251" s="2136"/>
      <c r="AH251" s="2136"/>
      <c r="AI251" s="2136"/>
      <c r="AJ251" s="2136"/>
      <c r="AK251" s="2136"/>
      <c r="AL251" s="2136"/>
      <c r="AM251" s="2127"/>
      <c r="AN251" s="2127"/>
      <c r="AO251" s="2136"/>
      <c r="AP251" s="2136"/>
      <c r="AQ251" s="2136"/>
    </row>
    <row r="252" spans="6:43">
      <c r="F252" s="2136"/>
      <c r="G252" s="2136"/>
      <c r="H252" s="2136"/>
      <c r="I252" s="2127"/>
      <c r="J252" s="2127"/>
      <c r="K252" s="2136"/>
      <c r="L252" s="2136"/>
      <c r="M252" s="2136"/>
      <c r="N252" s="2136"/>
      <c r="O252" s="2136"/>
      <c r="P252" s="2136"/>
      <c r="Q252" s="2136"/>
      <c r="R252" s="2136"/>
      <c r="S252" s="2127"/>
      <c r="T252" s="2127"/>
      <c r="U252" s="2136"/>
      <c r="Z252" s="2136"/>
      <c r="AA252" s="2136"/>
      <c r="AB252" s="2136"/>
      <c r="AC252" s="2127"/>
      <c r="AD252" s="2127"/>
      <c r="AE252" s="2136"/>
      <c r="AF252" s="2136"/>
      <c r="AG252" s="2136"/>
      <c r="AH252" s="2136"/>
      <c r="AI252" s="2136"/>
      <c r="AJ252" s="2136"/>
      <c r="AK252" s="2136"/>
      <c r="AL252" s="2136"/>
      <c r="AM252" s="2127"/>
      <c r="AN252" s="2127"/>
      <c r="AO252" s="2136"/>
      <c r="AP252" s="2136"/>
      <c r="AQ252" s="2136"/>
    </row>
    <row r="253" spans="6:43">
      <c r="F253" s="2136"/>
      <c r="G253" s="2136"/>
      <c r="H253" s="2136"/>
      <c r="I253" s="2127"/>
      <c r="J253" s="2127"/>
      <c r="K253" s="2136"/>
      <c r="L253" s="2136"/>
      <c r="M253" s="2136"/>
      <c r="N253" s="2136"/>
      <c r="O253" s="2136"/>
      <c r="P253" s="2136"/>
      <c r="Q253" s="2136"/>
      <c r="R253" s="2136"/>
      <c r="S253" s="2127"/>
      <c r="T253" s="2127"/>
      <c r="U253" s="2136"/>
      <c r="Z253" s="2136"/>
      <c r="AA253" s="2136"/>
      <c r="AB253" s="2136"/>
      <c r="AC253" s="2127"/>
      <c r="AD253" s="2127"/>
      <c r="AE253" s="2136"/>
      <c r="AF253" s="2136"/>
      <c r="AG253" s="2136"/>
      <c r="AH253" s="2136"/>
      <c r="AI253" s="2136"/>
      <c r="AJ253" s="2136"/>
      <c r="AK253" s="2136"/>
      <c r="AL253" s="2136"/>
      <c r="AM253" s="2127"/>
      <c r="AN253" s="2127"/>
      <c r="AO253" s="2136"/>
      <c r="AP253" s="2136"/>
      <c r="AQ253" s="2136"/>
    </row>
    <row r="254" spans="6:43">
      <c r="F254" s="2136"/>
      <c r="G254" s="2136"/>
      <c r="H254" s="2136"/>
      <c r="I254" s="2127"/>
      <c r="J254" s="2127"/>
      <c r="K254" s="2136"/>
      <c r="L254" s="2136"/>
      <c r="M254" s="2136"/>
      <c r="N254" s="2136"/>
      <c r="O254" s="2136"/>
      <c r="P254" s="2136"/>
      <c r="Q254" s="2136"/>
      <c r="R254" s="2136"/>
      <c r="S254" s="2127"/>
      <c r="T254" s="2127"/>
      <c r="U254" s="2136"/>
      <c r="Z254" s="2136"/>
      <c r="AA254" s="2136"/>
      <c r="AB254" s="2136"/>
      <c r="AC254" s="2127"/>
      <c r="AD254" s="2127"/>
      <c r="AE254" s="2136"/>
      <c r="AF254" s="2136"/>
      <c r="AG254" s="2136"/>
      <c r="AH254" s="2136"/>
      <c r="AI254" s="2136"/>
      <c r="AJ254" s="2136"/>
      <c r="AK254" s="2136"/>
      <c r="AL254" s="2136"/>
      <c r="AM254" s="2127"/>
      <c r="AN254" s="2127"/>
      <c r="AO254" s="2136"/>
      <c r="AP254" s="2136"/>
      <c r="AQ254" s="2136"/>
    </row>
    <row r="255" spans="6:43">
      <c r="F255" s="2136"/>
      <c r="G255" s="2136"/>
      <c r="H255" s="2136"/>
      <c r="I255" s="2127"/>
      <c r="J255" s="2127"/>
      <c r="K255" s="2136"/>
      <c r="L255" s="2136"/>
      <c r="M255" s="2136"/>
      <c r="N255" s="2136"/>
      <c r="O255" s="2136"/>
      <c r="P255" s="2136"/>
      <c r="Q255" s="2136"/>
      <c r="R255" s="2136"/>
      <c r="S255" s="2127"/>
      <c r="T255" s="2127"/>
      <c r="U255" s="2136"/>
      <c r="Z255" s="2136"/>
      <c r="AA255" s="2136"/>
      <c r="AB255" s="2136"/>
      <c r="AC255" s="2127"/>
      <c r="AD255" s="2127"/>
      <c r="AE255" s="2136"/>
      <c r="AF255" s="2136"/>
      <c r="AG255" s="2136"/>
      <c r="AH255" s="2136"/>
      <c r="AI255" s="2136"/>
      <c r="AJ255" s="2136"/>
      <c r="AK255" s="2136"/>
      <c r="AL255" s="2136"/>
      <c r="AM255" s="2127"/>
      <c r="AN255" s="2127"/>
      <c r="AO255" s="2136"/>
      <c r="AP255" s="2136"/>
      <c r="AQ255" s="2136"/>
    </row>
    <row r="256" spans="6:43">
      <c r="F256" s="2136"/>
      <c r="G256" s="2136"/>
      <c r="H256" s="2136"/>
      <c r="I256" s="2127"/>
      <c r="J256" s="2127"/>
      <c r="K256" s="2136"/>
      <c r="L256" s="2136"/>
      <c r="M256" s="2136"/>
      <c r="N256" s="2136"/>
      <c r="O256" s="2136"/>
      <c r="P256" s="2136"/>
      <c r="Q256" s="2136"/>
      <c r="R256" s="2136"/>
      <c r="S256" s="2127"/>
      <c r="T256" s="2127"/>
      <c r="U256" s="2136"/>
      <c r="Z256" s="2136"/>
      <c r="AA256" s="2136"/>
      <c r="AB256" s="2136"/>
      <c r="AC256" s="2127"/>
      <c r="AD256" s="2127"/>
      <c r="AE256" s="2136"/>
      <c r="AF256" s="2136"/>
      <c r="AG256" s="2136"/>
      <c r="AH256" s="2136"/>
      <c r="AI256" s="2136"/>
      <c r="AJ256" s="2136"/>
      <c r="AK256" s="2136"/>
      <c r="AL256" s="2136"/>
      <c r="AM256" s="2127"/>
      <c r="AN256" s="2127"/>
      <c r="AO256" s="2136"/>
      <c r="AP256" s="2136"/>
      <c r="AQ256" s="2136"/>
    </row>
    <row r="257" spans="6:43">
      <c r="F257" s="2136"/>
      <c r="G257" s="2136"/>
      <c r="H257" s="2136"/>
      <c r="I257" s="2127"/>
      <c r="J257" s="2127"/>
      <c r="K257" s="2136"/>
      <c r="L257" s="2136"/>
      <c r="M257" s="2136"/>
      <c r="N257" s="2136"/>
      <c r="O257" s="2136"/>
      <c r="P257" s="2136"/>
      <c r="Q257" s="2136"/>
      <c r="R257" s="2136"/>
      <c r="S257" s="2127"/>
      <c r="T257" s="2127"/>
      <c r="U257" s="2136"/>
      <c r="Z257" s="2136"/>
      <c r="AA257" s="2136"/>
      <c r="AB257" s="2136"/>
      <c r="AC257" s="2127"/>
      <c r="AD257" s="2127"/>
      <c r="AE257" s="2136"/>
      <c r="AF257" s="2136"/>
      <c r="AG257" s="2136"/>
      <c r="AH257" s="2136"/>
      <c r="AI257" s="2136"/>
      <c r="AJ257" s="2136"/>
      <c r="AK257" s="2136"/>
      <c r="AL257" s="2136"/>
      <c r="AM257" s="2127"/>
      <c r="AN257" s="2127"/>
      <c r="AO257" s="2136"/>
      <c r="AP257" s="2136"/>
      <c r="AQ257" s="2136"/>
    </row>
    <row r="258" spans="6:43">
      <c r="F258" s="2136"/>
      <c r="G258" s="2136"/>
      <c r="H258" s="2136"/>
      <c r="I258" s="2127"/>
      <c r="J258" s="2127"/>
      <c r="K258" s="2136"/>
      <c r="L258" s="2136"/>
      <c r="M258" s="2136"/>
      <c r="N258" s="2136"/>
      <c r="O258" s="2136"/>
      <c r="P258" s="2136"/>
      <c r="Q258" s="2136"/>
      <c r="R258" s="2136"/>
      <c r="S258" s="2127"/>
      <c r="T258" s="2127"/>
      <c r="U258" s="2136"/>
      <c r="Z258" s="2136"/>
      <c r="AA258" s="2136"/>
      <c r="AB258" s="2136"/>
      <c r="AC258" s="2127"/>
      <c r="AD258" s="2127"/>
      <c r="AE258" s="2136"/>
      <c r="AF258" s="2136"/>
      <c r="AG258" s="2136"/>
      <c r="AH258" s="2136"/>
      <c r="AI258" s="2136"/>
      <c r="AJ258" s="2136"/>
      <c r="AK258" s="2136"/>
      <c r="AL258" s="2136"/>
      <c r="AM258" s="2127"/>
      <c r="AN258" s="2127"/>
      <c r="AO258" s="2136"/>
      <c r="AP258" s="2136"/>
      <c r="AQ258" s="2136"/>
    </row>
    <row r="259" spans="6:43">
      <c r="F259" s="2136"/>
      <c r="G259" s="2136"/>
      <c r="H259" s="2136"/>
      <c r="I259" s="2127"/>
      <c r="J259" s="2127"/>
      <c r="K259" s="2136"/>
      <c r="L259" s="2136"/>
      <c r="M259" s="2136"/>
      <c r="N259" s="2136"/>
      <c r="O259" s="2136"/>
      <c r="P259" s="2136"/>
      <c r="Q259" s="2136"/>
      <c r="R259" s="2136"/>
      <c r="S259" s="2127"/>
      <c r="T259" s="2127"/>
      <c r="U259" s="2136"/>
      <c r="Z259" s="2136"/>
      <c r="AA259" s="2136"/>
      <c r="AB259" s="2136"/>
      <c r="AC259" s="2127"/>
      <c r="AD259" s="2127"/>
      <c r="AE259" s="2136"/>
      <c r="AF259" s="2136"/>
      <c r="AG259" s="2136"/>
      <c r="AH259" s="2136"/>
      <c r="AI259" s="2136"/>
      <c r="AJ259" s="2136"/>
      <c r="AK259" s="2136"/>
      <c r="AL259" s="2136"/>
      <c r="AM259" s="2127"/>
      <c r="AN259" s="2127"/>
      <c r="AO259" s="2136"/>
      <c r="AP259" s="2136"/>
      <c r="AQ259" s="2136"/>
    </row>
    <row r="260" spans="6:43">
      <c r="F260" s="2136"/>
      <c r="G260" s="2136"/>
      <c r="H260" s="2136"/>
      <c r="I260" s="2127"/>
      <c r="J260" s="2127"/>
      <c r="K260" s="2136"/>
      <c r="L260" s="2136"/>
      <c r="M260" s="2136"/>
      <c r="N260" s="2136"/>
      <c r="O260" s="2136"/>
      <c r="P260" s="2136"/>
      <c r="Q260" s="2136"/>
      <c r="R260" s="2136"/>
      <c r="S260" s="2127"/>
      <c r="T260" s="2127"/>
      <c r="U260" s="2136"/>
      <c r="Z260" s="2136"/>
      <c r="AA260" s="2136"/>
      <c r="AB260" s="2136"/>
      <c r="AC260" s="2127"/>
      <c r="AD260" s="2127"/>
      <c r="AE260" s="2136"/>
      <c r="AF260" s="2136"/>
      <c r="AG260" s="2136"/>
      <c r="AH260" s="2136"/>
      <c r="AI260" s="2136"/>
      <c r="AJ260" s="2136"/>
      <c r="AK260" s="2136"/>
      <c r="AL260" s="2136"/>
      <c r="AM260" s="2127"/>
      <c r="AN260" s="2127"/>
      <c r="AO260" s="2136"/>
      <c r="AP260" s="2136"/>
      <c r="AQ260" s="2136"/>
    </row>
  </sheetData>
  <sheetProtection password="E0BE" sheet="1" objects="1" scenarios="1"/>
  <mergeCells count="83">
    <mergeCell ref="A60:AO60"/>
    <mergeCell ref="AH55:AI55"/>
    <mergeCell ref="A63:AO63"/>
    <mergeCell ref="A64:AO64"/>
    <mergeCell ref="X41:Y41"/>
    <mergeCell ref="AH41:AI41"/>
    <mergeCell ref="X46:Y46"/>
    <mergeCell ref="AH46:AI46"/>
    <mergeCell ref="D55:E55"/>
    <mergeCell ref="N55:O55"/>
    <mergeCell ref="N41:O41"/>
    <mergeCell ref="D41:E41"/>
    <mergeCell ref="D53:E53"/>
    <mergeCell ref="D46:E46"/>
    <mergeCell ref="N46:O46"/>
    <mergeCell ref="A59:AO59"/>
    <mergeCell ref="A62:AO62"/>
    <mergeCell ref="M24:N24"/>
    <mergeCell ref="W24:X24"/>
    <mergeCell ref="AG24:AH24"/>
    <mergeCell ref="N53:O53"/>
    <mergeCell ref="D48:E48"/>
    <mergeCell ref="N48:O48"/>
    <mergeCell ref="C26:D26"/>
    <mergeCell ref="M26:N26"/>
    <mergeCell ref="W26:X26"/>
    <mergeCell ref="AG26:AH26"/>
    <mergeCell ref="AH48:AI48"/>
    <mergeCell ref="X53:Y53"/>
    <mergeCell ref="AH53:AI53"/>
    <mergeCell ref="AM5:AO5"/>
    <mergeCell ref="W7:X7"/>
    <mergeCell ref="AG7:AH7"/>
    <mergeCell ref="W9:X9"/>
    <mergeCell ref="AG9:AH9"/>
    <mergeCell ref="L3:U3"/>
    <mergeCell ref="L4:U4"/>
    <mergeCell ref="A1:AO1"/>
    <mergeCell ref="A2:AO2"/>
    <mergeCell ref="D19:E19"/>
    <mergeCell ref="N19:O19"/>
    <mergeCell ref="C7:D7"/>
    <mergeCell ref="S5:U5"/>
    <mergeCell ref="M7:N7"/>
    <mergeCell ref="M9:N9"/>
    <mergeCell ref="B3:K3"/>
    <mergeCell ref="B4:K4"/>
    <mergeCell ref="V3:AE3"/>
    <mergeCell ref="AF3:AO3"/>
    <mergeCell ref="V4:AE4"/>
    <mergeCell ref="AF4:AO4"/>
    <mergeCell ref="A67:AO67"/>
    <mergeCell ref="A68:AO68"/>
    <mergeCell ref="A69:AO69"/>
    <mergeCell ref="C9:D9"/>
    <mergeCell ref="N39:O39"/>
    <mergeCell ref="C31:D31"/>
    <mergeCell ref="M31:N31"/>
    <mergeCell ref="X19:Y19"/>
    <mergeCell ref="AH19:AI19"/>
    <mergeCell ref="A11:AO11"/>
    <mergeCell ref="D17:E17"/>
    <mergeCell ref="C24:D24"/>
    <mergeCell ref="AH17:AI17"/>
    <mergeCell ref="X17:Y17"/>
    <mergeCell ref="N17:O17"/>
    <mergeCell ref="W31:X31"/>
    <mergeCell ref="A66:AO66"/>
    <mergeCell ref="AG31:AH31"/>
    <mergeCell ref="X39:Y39"/>
    <mergeCell ref="AH39:AI39"/>
    <mergeCell ref="A35:AO35"/>
    <mergeCell ref="D39:E39"/>
    <mergeCell ref="C33:D33"/>
    <mergeCell ref="M33:N33"/>
    <mergeCell ref="W33:X33"/>
    <mergeCell ref="AG33:AH33"/>
    <mergeCell ref="A65:AO65"/>
    <mergeCell ref="X48:Y48"/>
    <mergeCell ref="A61:AO61"/>
    <mergeCell ref="A57:AO57"/>
    <mergeCell ref="A58:AO58"/>
    <mergeCell ref="X55:Y55"/>
  </mergeCells>
  <printOptions gridLines="1"/>
  <pageMargins left="0.75" right="0.75" top="1" bottom="1" header="0.5" footer="0.5"/>
  <pageSetup scale="48" orientation="landscape" r:id="rId1"/>
  <headerFooter alignWithMargins="0">
    <oddFooter>&amp;L&amp;A&amp;C&amp;F&amp;R&amp;D</oddFooter>
  </headerFooter>
  <legacyDrawing r:id="rId2"/>
</worksheet>
</file>

<file path=xl/worksheets/sheet17.xml><?xml version="1.0" encoding="utf-8"?>
<worksheet xmlns="http://schemas.openxmlformats.org/spreadsheetml/2006/main" xmlns:r="http://schemas.openxmlformats.org/officeDocument/2006/relationships">
  <sheetPr codeName="Sheet15">
    <pageSetUpPr fitToPage="1"/>
  </sheetPr>
  <dimension ref="A1:AU79"/>
  <sheetViews>
    <sheetView zoomScale="85" zoomScaleNormal="85" workbookViewId="0">
      <selection activeCell="AC16" sqref="AC16"/>
    </sheetView>
  </sheetViews>
  <sheetFormatPr defaultRowHeight="12.75"/>
  <cols>
    <col min="1" max="1" width="3.42578125" customWidth="1"/>
    <col min="2" max="2" width="21.5703125" customWidth="1"/>
    <col min="3" max="4" width="1.28515625" customWidth="1"/>
    <col min="5" max="5" width="8.7109375" customWidth="1"/>
    <col min="6" max="7" width="1.28515625" customWidth="1"/>
    <col min="8" max="8" width="8.7109375" customWidth="1"/>
    <col min="9" max="9" width="1.28515625" customWidth="1"/>
    <col min="10" max="10" width="1.140625" customWidth="1"/>
    <col min="11" max="11" width="8.7109375" customWidth="1"/>
    <col min="12" max="13" width="1.28515625" customWidth="1"/>
    <col min="14" max="14" width="8.7109375" customWidth="1"/>
    <col min="15" max="16" width="1.28515625" customWidth="1"/>
    <col min="17" max="17" width="9.85546875" customWidth="1"/>
    <col min="18" max="19" width="1.28515625" customWidth="1"/>
    <col min="20" max="20" width="9.85546875" customWidth="1"/>
    <col min="21" max="22" width="1.28515625" customWidth="1"/>
    <col min="23" max="23" width="7.7109375" customWidth="1"/>
    <col min="24" max="24" width="1.28515625" customWidth="1"/>
    <col min="25" max="25" width="1.42578125" customWidth="1"/>
    <col min="26" max="26" width="8.85546875" customWidth="1"/>
    <col min="27" max="28" width="1.28515625" customWidth="1"/>
    <col min="29" max="29" width="8.7109375" customWidth="1"/>
    <col min="30" max="30" width="1.28515625" customWidth="1"/>
    <col min="31" max="31" width="1.42578125" customWidth="1"/>
    <col min="32" max="32" width="8.7109375" customWidth="1"/>
    <col min="33" max="34" width="1.28515625" customWidth="1"/>
    <col min="35" max="35" width="8.7109375" customWidth="1"/>
    <col min="36" max="36" width="1.42578125" customWidth="1"/>
    <col min="37" max="37" width="1.28515625" customWidth="1"/>
    <col min="38" max="38" width="9.85546875" customWidth="1"/>
    <col min="39" max="39" width="1.42578125" customWidth="1"/>
    <col min="40" max="40" width="1.28515625" customWidth="1"/>
    <col min="41" max="41" width="9.85546875" customWidth="1"/>
    <col min="42" max="42" width="1.28515625" customWidth="1"/>
    <col min="43" max="43" width="1.42578125" customWidth="1"/>
    <col min="44" max="44" width="7.5703125" style="1" customWidth="1"/>
    <col min="45" max="45" width="1.42578125" customWidth="1"/>
    <col min="49" max="49" width="8" customWidth="1"/>
  </cols>
  <sheetData>
    <row r="1" spans="1:47" s="1705"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7"/>
      <c r="AD1" s="3997"/>
      <c r="AE1" s="3997"/>
      <c r="AF1" s="3997"/>
      <c r="AG1" s="3997"/>
      <c r="AH1" s="3997"/>
      <c r="AI1" s="3997"/>
      <c r="AJ1" s="3997"/>
      <c r="AK1" s="3997"/>
      <c r="AL1" s="3997"/>
      <c r="AM1" s="3997"/>
      <c r="AN1" s="3997"/>
      <c r="AO1" s="3997"/>
      <c r="AP1" s="3997"/>
      <c r="AQ1" s="3997"/>
      <c r="AR1" s="3997"/>
      <c r="AS1" s="3998"/>
    </row>
    <row r="2" spans="1:47" ht="30" customHeight="1">
      <c r="A2" s="4016" t="s">
        <v>987</v>
      </c>
      <c r="B2" s="4017"/>
      <c r="C2" s="4017"/>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17"/>
      <c r="AL2" s="4017"/>
      <c r="AM2" s="4017"/>
      <c r="AN2" s="4017"/>
      <c r="AO2" s="4017"/>
      <c r="AP2" s="4017"/>
      <c r="AQ2" s="4017"/>
      <c r="AR2" s="4017"/>
      <c r="AS2" s="4098"/>
    </row>
    <row r="3" spans="1:47" ht="21" customHeight="1">
      <c r="A3" s="3462"/>
      <c r="B3" s="655"/>
      <c r="C3" s="655"/>
      <c r="D3" s="3999" t="str">
        <f>'Chosen Parameters-Part I'!B4</f>
        <v>Scenario 1</v>
      </c>
      <c r="E3" s="4000"/>
      <c r="F3" s="4000"/>
      <c r="G3" s="4000"/>
      <c r="H3" s="4000"/>
      <c r="I3" s="4000"/>
      <c r="J3" s="4000"/>
      <c r="K3" s="4000"/>
      <c r="L3" s="4000"/>
      <c r="M3" s="4000"/>
      <c r="N3" s="4000"/>
      <c r="O3" s="4000"/>
      <c r="P3" s="4000"/>
      <c r="Q3" s="4000"/>
      <c r="R3" s="4000"/>
      <c r="S3" s="4000"/>
      <c r="T3" s="4000"/>
      <c r="U3" s="4000"/>
      <c r="V3" s="4000"/>
      <c r="W3" s="4000"/>
      <c r="X3" s="4001"/>
      <c r="Y3" s="4002" t="str">
        <f>'Chosen Parameters-Part I'!C4</f>
        <v>Scenario 2</v>
      </c>
      <c r="Z3" s="4003"/>
      <c r="AA3" s="4003"/>
      <c r="AB3" s="4003"/>
      <c r="AC3" s="4003"/>
      <c r="AD3" s="4003"/>
      <c r="AE3" s="4003"/>
      <c r="AF3" s="4003"/>
      <c r="AG3" s="4003"/>
      <c r="AH3" s="4003"/>
      <c r="AI3" s="4003"/>
      <c r="AJ3" s="4003"/>
      <c r="AK3" s="4003"/>
      <c r="AL3" s="4003"/>
      <c r="AM3" s="4003"/>
      <c r="AN3" s="4003"/>
      <c r="AO3" s="4003"/>
      <c r="AP3" s="4003"/>
      <c r="AQ3" s="4003"/>
      <c r="AR3" s="4003"/>
      <c r="AS3" s="4004"/>
    </row>
    <row r="4" spans="1:47" ht="23.25" customHeight="1">
      <c r="A4" s="3463"/>
      <c r="B4" s="785"/>
      <c r="C4" s="785"/>
      <c r="D4" s="4618" t="str">
        <f>'Step 1 -- Herd Profile'!B4</f>
        <v>Intensive Conventional Management with Holsteins and rbST</v>
      </c>
      <c r="E4" s="4619"/>
      <c r="F4" s="4619"/>
      <c r="G4" s="4619"/>
      <c r="H4" s="4619"/>
      <c r="I4" s="4619"/>
      <c r="J4" s="4619"/>
      <c r="K4" s="4619"/>
      <c r="L4" s="4619"/>
      <c r="M4" s="4619"/>
      <c r="N4" s="4619"/>
      <c r="O4" s="4619"/>
      <c r="P4" s="4619"/>
      <c r="Q4" s="4619"/>
      <c r="R4" s="4619"/>
      <c r="S4" s="4619"/>
      <c r="T4" s="4619"/>
      <c r="U4" s="4619"/>
      <c r="V4" s="4619"/>
      <c r="W4" s="4619"/>
      <c r="X4" s="4620"/>
      <c r="Y4" s="4621" t="str">
        <f>'Step 1 -- Herd Profile'!M4</f>
        <v>Conventional Management, Holsteins</v>
      </c>
      <c r="Z4" s="4622"/>
      <c r="AA4" s="4622"/>
      <c r="AB4" s="4622"/>
      <c r="AC4" s="4622"/>
      <c r="AD4" s="4622"/>
      <c r="AE4" s="4622"/>
      <c r="AF4" s="4622"/>
      <c r="AG4" s="4622"/>
      <c r="AH4" s="4622"/>
      <c r="AI4" s="4622"/>
      <c r="AJ4" s="4622"/>
      <c r="AK4" s="4622"/>
      <c r="AL4" s="4622"/>
      <c r="AM4" s="4622"/>
      <c r="AN4" s="4622"/>
      <c r="AO4" s="4622"/>
      <c r="AP4" s="4622"/>
      <c r="AQ4" s="4622"/>
      <c r="AR4" s="4622"/>
      <c r="AS4" s="4623"/>
    </row>
    <row r="5" spans="1:47" ht="67.5" customHeight="1">
      <c r="A5" s="4597" t="s">
        <v>0</v>
      </c>
      <c r="B5" s="4598"/>
      <c r="C5" s="4598"/>
      <c r="D5" s="4590" t="s">
        <v>16</v>
      </c>
      <c r="E5" s="4591"/>
      <c r="F5" s="4592"/>
      <c r="G5" s="4593" t="s">
        <v>15</v>
      </c>
      <c r="H5" s="4591"/>
      <c r="I5" s="4592"/>
      <c r="J5" s="4614" t="s">
        <v>2</v>
      </c>
      <c r="K5" s="4615"/>
      <c r="L5" s="4616"/>
      <c r="M5" s="4593" t="s">
        <v>10</v>
      </c>
      <c r="N5" s="4591"/>
      <c r="O5" s="4592"/>
      <c r="P5" s="4593" t="s">
        <v>266</v>
      </c>
      <c r="Q5" s="4591"/>
      <c r="R5" s="4592"/>
      <c r="S5" s="4593" t="s">
        <v>371</v>
      </c>
      <c r="T5" s="4591"/>
      <c r="U5" s="4592"/>
      <c r="V5" s="4593" t="s">
        <v>167</v>
      </c>
      <c r="W5" s="4591"/>
      <c r="X5" s="4617"/>
      <c r="Y5" s="4624" t="s">
        <v>16</v>
      </c>
      <c r="Z5" s="4595"/>
      <c r="AA5" s="4596"/>
      <c r="AB5" s="4594" t="s">
        <v>15</v>
      </c>
      <c r="AC5" s="4595"/>
      <c r="AD5" s="4596"/>
      <c r="AE5" s="4626" t="s">
        <v>2</v>
      </c>
      <c r="AF5" s="4627"/>
      <c r="AG5" s="4628"/>
      <c r="AH5" s="4594" t="s">
        <v>10</v>
      </c>
      <c r="AI5" s="4595"/>
      <c r="AJ5" s="4596"/>
      <c r="AK5" s="4594" t="s">
        <v>266</v>
      </c>
      <c r="AL5" s="4595"/>
      <c r="AM5" s="4596"/>
      <c r="AN5" s="4594" t="s">
        <v>371</v>
      </c>
      <c r="AO5" s="4595"/>
      <c r="AP5" s="4596"/>
      <c r="AQ5" s="4594" t="s">
        <v>167</v>
      </c>
      <c r="AR5" s="4595"/>
      <c r="AS5" s="4625"/>
      <c r="AU5" s="21"/>
    </row>
    <row r="6" spans="1:47" ht="21" customHeight="1">
      <c r="A6" s="4028" t="s">
        <v>1256</v>
      </c>
      <c r="B6" s="4029"/>
      <c r="C6" s="4508"/>
      <c r="D6" s="4508"/>
      <c r="E6" s="4508"/>
      <c r="F6" s="4508"/>
      <c r="G6" s="4508"/>
      <c r="H6" s="4508"/>
      <c r="I6" s="4508"/>
      <c r="J6" s="4508"/>
      <c r="K6" s="4508"/>
      <c r="L6" s="4508"/>
      <c r="M6" s="4508"/>
      <c r="N6" s="4508"/>
      <c r="O6" s="4508"/>
      <c r="P6" s="4508"/>
      <c r="Q6" s="4508"/>
      <c r="R6" s="4508"/>
      <c r="S6" s="4508"/>
      <c r="T6" s="4508"/>
      <c r="U6" s="4508"/>
      <c r="V6" s="4508"/>
      <c r="W6" s="4508"/>
      <c r="X6" s="4508"/>
      <c r="Y6" s="4508"/>
      <c r="Z6" s="4508"/>
      <c r="AA6" s="4508"/>
      <c r="AB6" s="4508"/>
      <c r="AC6" s="4508"/>
      <c r="AD6" s="4508"/>
      <c r="AE6" s="4508"/>
      <c r="AF6" s="4508"/>
      <c r="AG6" s="4508"/>
      <c r="AH6" s="4508"/>
      <c r="AI6" s="4508"/>
      <c r="AJ6" s="4508"/>
      <c r="AK6" s="4508"/>
      <c r="AL6" s="4508"/>
      <c r="AM6" s="4508"/>
      <c r="AN6" s="4508"/>
      <c r="AO6" s="4508"/>
      <c r="AP6" s="4508"/>
      <c r="AQ6" s="4508"/>
      <c r="AR6" s="4508"/>
      <c r="AS6" s="4509"/>
    </row>
    <row r="7" spans="1:47" ht="2.25" customHeight="1">
      <c r="A7" s="281"/>
      <c r="B7" s="661"/>
      <c r="C7" s="661"/>
      <c r="D7" s="670"/>
      <c r="E7" s="671"/>
      <c r="F7" s="672"/>
      <c r="G7" s="672"/>
      <c r="H7" s="673"/>
      <c r="I7" s="672"/>
      <c r="J7" s="672"/>
      <c r="K7" s="701"/>
      <c r="L7" s="672"/>
      <c r="M7" s="672"/>
      <c r="N7" s="674"/>
      <c r="O7" s="674"/>
      <c r="P7" s="672"/>
      <c r="Q7" s="171"/>
      <c r="R7" s="674"/>
      <c r="S7" s="672"/>
      <c r="T7" s="171"/>
      <c r="U7" s="674"/>
      <c r="V7" s="675"/>
      <c r="W7" s="185">
        <v>4</v>
      </c>
      <c r="X7" s="676"/>
      <c r="Y7" s="662"/>
      <c r="Z7" s="51"/>
      <c r="AA7" s="92"/>
      <c r="AB7" s="92"/>
      <c r="AC7" s="93"/>
      <c r="AD7" s="92"/>
      <c r="AE7" s="92"/>
      <c r="AF7" s="93"/>
      <c r="AG7" s="92"/>
      <c r="AH7" s="92"/>
      <c r="AI7" s="94"/>
      <c r="AJ7" s="94"/>
      <c r="AK7" s="92"/>
      <c r="AL7" s="42"/>
      <c r="AM7" s="94"/>
      <c r="AN7" s="92"/>
      <c r="AO7" s="42"/>
      <c r="AP7" s="94"/>
      <c r="AQ7" s="663"/>
      <c r="AR7" s="68"/>
      <c r="AS7" s="703"/>
    </row>
    <row r="8" spans="1:47">
      <c r="A8" s="281"/>
      <c r="B8" s="282" t="s">
        <v>104</v>
      </c>
      <c r="C8" s="282"/>
      <c r="D8" s="665"/>
      <c r="E8" s="3460">
        <v>0.9</v>
      </c>
      <c r="F8" s="666"/>
      <c r="G8" s="666"/>
      <c r="H8" s="3459">
        <v>4.5</v>
      </c>
      <c r="I8" s="666"/>
      <c r="J8" s="666"/>
      <c r="K8" s="120" t="s">
        <v>11</v>
      </c>
      <c r="L8" s="666"/>
      <c r="M8" s="666"/>
      <c r="N8" s="121">
        <f>H8*2000</f>
        <v>9000</v>
      </c>
      <c r="O8" s="667"/>
      <c r="P8" s="666"/>
      <c r="Q8" s="1120">
        <v>1.1000000000000001</v>
      </c>
      <c r="R8" s="667"/>
      <c r="S8" s="666"/>
      <c r="T8" s="1575">
        <v>0.5</v>
      </c>
      <c r="U8" s="667"/>
      <c r="V8" s="668"/>
      <c r="W8" s="1116">
        <v>3</v>
      </c>
      <c r="X8" s="669"/>
      <c r="Y8" s="656"/>
      <c r="Z8" s="3460">
        <v>0.9</v>
      </c>
      <c r="AA8" s="113"/>
      <c r="AB8" s="113"/>
      <c r="AC8" s="3459">
        <v>4.5</v>
      </c>
      <c r="AD8" s="113"/>
      <c r="AE8" s="113"/>
      <c r="AF8" s="3460" t="s">
        <v>11</v>
      </c>
      <c r="AG8" s="113"/>
      <c r="AH8" s="113"/>
      <c r="AI8" s="3124">
        <f>AC8*2000</f>
        <v>9000</v>
      </c>
      <c r="AJ8" s="111"/>
      <c r="AK8" s="113"/>
      <c r="AL8" s="1120">
        <v>1.1000000000000001</v>
      </c>
      <c r="AM8" s="111"/>
      <c r="AN8" s="113"/>
      <c r="AO8" s="1575">
        <v>0.5</v>
      </c>
      <c r="AP8" s="111"/>
      <c r="AQ8" s="112"/>
      <c r="AR8" s="1118">
        <v>3</v>
      </c>
      <c r="AS8" s="702"/>
    </row>
    <row r="9" spans="1:47" ht="2.25" customHeight="1">
      <c r="A9" s="281"/>
      <c r="B9" s="661"/>
      <c r="C9" s="661"/>
      <c r="D9" s="670"/>
      <c r="E9" s="671"/>
      <c r="F9" s="672"/>
      <c r="G9" s="672"/>
      <c r="H9" s="673"/>
      <c r="I9" s="672"/>
      <c r="J9" s="672"/>
      <c r="K9" s="701"/>
      <c r="L9" s="672"/>
      <c r="M9" s="672"/>
      <c r="N9" s="674"/>
      <c r="O9" s="674"/>
      <c r="P9" s="672"/>
      <c r="Q9" s="171"/>
      <c r="R9" s="674"/>
      <c r="S9" s="672"/>
      <c r="T9" s="171"/>
      <c r="U9" s="674"/>
      <c r="V9" s="675"/>
      <c r="W9" s="185"/>
      <c r="X9" s="676"/>
      <c r="Y9" s="662"/>
      <c r="Z9" s="51"/>
      <c r="AA9" s="92"/>
      <c r="AB9" s="92"/>
      <c r="AC9" s="93"/>
      <c r="AD9" s="92"/>
      <c r="AE9" s="92"/>
      <c r="AF9" s="93"/>
      <c r="AG9" s="92"/>
      <c r="AH9" s="92"/>
      <c r="AI9" s="94"/>
      <c r="AJ9" s="94"/>
      <c r="AK9" s="92"/>
      <c r="AL9" s="42"/>
      <c r="AM9" s="94"/>
      <c r="AN9" s="92"/>
      <c r="AO9" s="42"/>
      <c r="AP9" s="94"/>
      <c r="AQ9" s="663"/>
      <c r="AR9" s="68"/>
      <c r="AS9" s="703"/>
    </row>
    <row r="10" spans="1:47">
      <c r="A10" s="281"/>
      <c r="B10" s="283" t="s">
        <v>29</v>
      </c>
      <c r="C10" s="283"/>
      <c r="D10" s="677"/>
      <c r="E10" s="3460">
        <v>0.3</v>
      </c>
      <c r="F10" s="667"/>
      <c r="G10" s="667"/>
      <c r="H10" s="3459">
        <v>8</v>
      </c>
      <c r="I10" s="667"/>
      <c r="J10" s="667"/>
      <c r="K10" s="120" t="s">
        <v>11</v>
      </c>
      <c r="L10" s="667"/>
      <c r="M10" s="667"/>
      <c r="N10" s="121">
        <f>H10*2000</f>
        <v>16000</v>
      </c>
      <c r="O10" s="678"/>
      <c r="P10" s="667"/>
      <c r="Q10" s="1120">
        <v>1.1499999999999999</v>
      </c>
      <c r="R10" s="678"/>
      <c r="S10" s="667"/>
      <c r="T10" s="1575">
        <v>0.2</v>
      </c>
      <c r="U10" s="678"/>
      <c r="V10" s="679"/>
      <c r="W10" s="1116">
        <v>4</v>
      </c>
      <c r="X10" s="680"/>
      <c r="Y10" s="657"/>
      <c r="Z10" s="3460">
        <v>0.3</v>
      </c>
      <c r="AA10" s="111"/>
      <c r="AB10" s="111"/>
      <c r="AC10" s="3459">
        <v>8</v>
      </c>
      <c r="AD10" s="111"/>
      <c r="AE10" s="111"/>
      <c r="AF10" s="3460" t="s">
        <v>11</v>
      </c>
      <c r="AG10" s="111"/>
      <c r="AH10" s="111"/>
      <c r="AI10" s="121">
        <f>AC10*2000</f>
        <v>16000</v>
      </c>
      <c r="AJ10" s="117"/>
      <c r="AK10" s="111"/>
      <c r="AL10" s="1120">
        <v>1.1499999999999999</v>
      </c>
      <c r="AM10" s="117"/>
      <c r="AN10" s="111"/>
      <c r="AO10" s="1575">
        <v>0.2</v>
      </c>
      <c r="AP10" s="117"/>
      <c r="AQ10" s="118"/>
      <c r="AR10" s="1503">
        <v>4</v>
      </c>
      <c r="AS10" s="704"/>
    </row>
    <row r="11" spans="1:47" ht="2.25" customHeight="1">
      <c r="A11" s="281"/>
      <c r="B11" s="661"/>
      <c r="C11" s="661"/>
      <c r="D11" s="670"/>
      <c r="E11" s="671"/>
      <c r="F11" s="672"/>
      <c r="G11" s="672"/>
      <c r="H11" s="673"/>
      <c r="I11" s="672"/>
      <c r="J11" s="672"/>
      <c r="K11" s="701"/>
      <c r="L11" s="672"/>
      <c r="M11" s="672"/>
      <c r="N11" s="674"/>
      <c r="O11" s="674"/>
      <c r="P11" s="672"/>
      <c r="Q11" s="171"/>
      <c r="R11" s="674"/>
      <c r="S11" s="672"/>
      <c r="T11" s="171"/>
      <c r="U11" s="674"/>
      <c r="V11" s="675"/>
      <c r="W11" s="185">
        <v>4</v>
      </c>
      <c r="X11" s="676"/>
      <c r="Y11" s="662"/>
      <c r="Z11" s="51"/>
      <c r="AA11" s="92"/>
      <c r="AB11" s="92"/>
      <c r="AC11" s="93"/>
      <c r="AD11" s="92"/>
      <c r="AE11" s="92"/>
      <c r="AF11" s="93"/>
      <c r="AG11" s="92"/>
      <c r="AH11" s="92"/>
      <c r="AI11" s="94"/>
      <c r="AJ11" s="94"/>
      <c r="AK11" s="92"/>
      <c r="AL11" s="42"/>
      <c r="AM11" s="94"/>
      <c r="AN11" s="92"/>
      <c r="AO11" s="42"/>
      <c r="AP11" s="94"/>
      <c r="AQ11" s="663"/>
      <c r="AR11" s="68"/>
      <c r="AS11" s="703"/>
    </row>
    <row r="12" spans="1:47">
      <c r="A12" s="281"/>
      <c r="B12" s="282" t="s">
        <v>3</v>
      </c>
      <c r="C12" s="284"/>
      <c r="D12" s="681"/>
      <c r="E12" s="3460">
        <v>0.33</v>
      </c>
      <c r="F12" s="667"/>
      <c r="G12" s="667"/>
      <c r="H12" s="3459">
        <v>18.7</v>
      </c>
      <c r="I12" s="667"/>
      <c r="J12" s="667"/>
      <c r="K12" s="120" t="s">
        <v>11</v>
      </c>
      <c r="L12" s="667"/>
      <c r="M12" s="667"/>
      <c r="N12" s="121">
        <f>H12*2000</f>
        <v>37400</v>
      </c>
      <c r="O12" s="666"/>
      <c r="P12" s="667"/>
      <c r="Q12" s="1120">
        <v>1.17</v>
      </c>
      <c r="R12" s="666"/>
      <c r="S12" s="667"/>
      <c r="T12" s="1575">
        <v>1</v>
      </c>
      <c r="U12" s="666"/>
      <c r="V12" s="682"/>
      <c r="W12" s="1116">
        <v>3</v>
      </c>
      <c r="X12" s="683"/>
      <c r="Y12" s="658"/>
      <c r="Z12" s="3460">
        <v>0.33</v>
      </c>
      <c r="AA12" s="111"/>
      <c r="AB12" s="111"/>
      <c r="AC12" s="3459">
        <v>18.7</v>
      </c>
      <c r="AD12" s="111"/>
      <c r="AE12" s="111"/>
      <c r="AF12" s="3460" t="s">
        <v>11</v>
      </c>
      <c r="AG12" s="111"/>
      <c r="AH12" s="111"/>
      <c r="AI12" s="121">
        <f>AC12*2000</f>
        <v>37400</v>
      </c>
      <c r="AJ12" s="113"/>
      <c r="AK12" s="111"/>
      <c r="AL12" s="1120">
        <v>1.17</v>
      </c>
      <c r="AM12" s="113"/>
      <c r="AN12" s="111"/>
      <c r="AO12" s="1575">
        <v>1</v>
      </c>
      <c r="AP12" s="113"/>
      <c r="AQ12" s="119"/>
      <c r="AR12" s="1118">
        <v>3</v>
      </c>
      <c r="AS12" s="705"/>
    </row>
    <row r="13" spans="1:47" ht="2.25" customHeight="1">
      <c r="A13" s="281"/>
      <c r="B13" s="661"/>
      <c r="C13" s="661"/>
      <c r="D13" s="670"/>
      <c r="E13" s="671"/>
      <c r="F13" s="672"/>
      <c r="G13" s="672"/>
      <c r="H13" s="673"/>
      <c r="I13" s="672"/>
      <c r="J13" s="672"/>
      <c r="K13" s="701"/>
      <c r="L13" s="672"/>
      <c r="M13" s="672"/>
      <c r="N13" s="674"/>
      <c r="O13" s="674"/>
      <c r="P13" s="672"/>
      <c r="Q13" s="171"/>
      <c r="R13" s="674"/>
      <c r="S13" s="672"/>
      <c r="T13" s="171"/>
      <c r="U13" s="674"/>
      <c r="V13" s="675"/>
      <c r="W13" s="185"/>
      <c r="X13" s="676"/>
      <c r="Y13" s="662"/>
      <c r="Z13" s="51"/>
      <c r="AA13" s="92"/>
      <c r="AB13" s="92"/>
      <c r="AC13" s="93"/>
      <c r="AD13" s="92"/>
      <c r="AE13" s="92"/>
      <c r="AF13" s="93"/>
      <c r="AG13" s="92"/>
      <c r="AH13" s="92"/>
      <c r="AI13" s="94"/>
      <c r="AJ13" s="94"/>
      <c r="AK13" s="92"/>
      <c r="AL13" s="42"/>
      <c r="AM13" s="94"/>
      <c r="AN13" s="92"/>
      <c r="AO13" s="42"/>
      <c r="AP13" s="94"/>
      <c r="AQ13" s="663"/>
      <c r="AR13" s="68"/>
      <c r="AS13" s="703"/>
    </row>
    <row r="14" spans="1:47">
      <c r="A14" s="281"/>
      <c r="B14" s="664" t="s">
        <v>35</v>
      </c>
      <c r="C14" s="282"/>
      <c r="D14" s="665"/>
      <c r="E14" s="3460">
        <v>0.9</v>
      </c>
      <c r="F14" s="667"/>
      <c r="G14" s="667"/>
      <c r="H14" s="3459">
        <v>3</v>
      </c>
      <c r="I14" s="667"/>
      <c r="J14" s="667"/>
      <c r="K14" s="120" t="s">
        <v>11</v>
      </c>
      <c r="L14" s="667"/>
      <c r="M14" s="667"/>
      <c r="N14" s="121">
        <f>H14*2000</f>
        <v>6000</v>
      </c>
      <c r="O14" s="667"/>
      <c r="P14" s="667"/>
      <c r="Q14" s="1120">
        <v>1.1000000000000001</v>
      </c>
      <c r="R14" s="667"/>
      <c r="S14" s="667"/>
      <c r="T14" s="1575">
        <v>0.2</v>
      </c>
      <c r="U14" s="667"/>
      <c r="V14" s="668"/>
      <c r="W14" s="1116">
        <v>3</v>
      </c>
      <c r="X14" s="669"/>
      <c r="Y14" s="656"/>
      <c r="Z14" s="3460">
        <v>0.9</v>
      </c>
      <c r="AA14" s="111"/>
      <c r="AB14" s="111"/>
      <c r="AC14" s="3459">
        <v>3</v>
      </c>
      <c r="AD14" s="111"/>
      <c r="AE14" s="111"/>
      <c r="AF14" s="3460" t="s">
        <v>11</v>
      </c>
      <c r="AG14" s="111"/>
      <c r="AH14" s="111"/>
      <c r="AI14" s="121">
        <f>AC14*2000</f>
        <v>6000</v>
      </c>
      <c r="AJ14" s="111"/>
      <c r="AK14" s="111"/>
      <c r="AL14" s="1120">
        <v>1.1000000000000001</v>
      </c>
      <c r="AM14" s="111"/>
      <c r="AN14" s="111"/>
      <c r="AO14" s="1575">
        <v>0.2</v>
      </c>
      <c r="AP14" s="111"/>
      <c r="AQ14" s="112"/>
      <c r="AR14" s="1118">
        <v>3</v>
      </c>
      <c r="AS14" s="702"/>
    </row>
    <row r="15" spans="1:47" ht="2.25" customHeight="1">
      <c r="A15" s="281"/>
      <c r="B15" s="661"/>
      <c r="C15" s="661"/>
      <c r="D15" s="670"/>
      <c r="E15" s="671"/>
      <c r="F15" s="672"/>
      <c r="G15" s="672"/>
      <c r="H15" s="673"/>
      <c r="I15" s="672"/>
      <c r="J15" s="672"/>
      <c r="K15" s="701"/>
      <c r="L15" s="672"/>
      <c r="M15" s="672"/>
      <c r="N15" s="674"/>
      <c r="O15" s="674"/>
      <c r="P15" s="672"/>
      <c r="Q15" s="171"/>
      <c r="R15" s="674"/>
      <c r="S15" s="672"/>
      <c r="T15" s="171"/>
      <c r="U15" s="674"/>
      <c r="V15" s="675"/>
      <c r="W15" s="185"/>
      <c r="X15" s="676"/>
      <c r="Y15" s="662"/>
      <c r="Z15" s="51"/>
      <c r="AA15" s="92"/>
      <c r="AB15" s="92"/>
      <c r="AC15" s="93"/>
      <c r="AD15" s="92"/>
      <c r="AE15" s="92"/>
      <c r="AF15" s="93"/>
      <c r="AG15" s="92"/>
      <c r="AH15" s="92"/>
      <c r="AI15" s="94"/>
      <c r="AJ15" s="94"/>
      <c r="AK15" s="92"/>
      <c r="AL15" s="42"/>
      <c r="AM15" s="94"/>
      <c r="AN15" s="92"/>
      <c r="AO15" s="42"/>
      <c r="AP15" s="94"/>
      <c r="AQ15" s="663"/>
      <c r="AR15" s="68"/>
      <c r="AS15" s="703"/>
    </row>
    <row r="16" spans="1:47">
      <c r="A16" s="281"/>
      <c r="B16" s="283" t="s">
        <v>19</v>
      </c>
      <c r="C16" s="282"/>
      <c r="D16" s="665"/>
      <c r="E16" s="3460">
        <v>0.3</v>
      </c>
      <c r="F16" s="678"/>
      <c r="G16" s="678"/>
      <c r="H16" s="3459">
        <v>6</v>
      </c>
      <c r="I16" s="678"/>
      <c r="J16" s="678"/>
      <c r="K16" s="120" t="s">
        <v>11</v>
      </c>
      <c r="L16" s="678"/>
      <c r="M16" s="678"/>
      <c r="N16" s="121">
        <f>H16*2000</f>
        <v>12000</v>
      </c>
      <c r="O16" s="667"/>
      <c r="P16" s="678"/>
      <c r="Q16" s="1120">
        <v>1</v>
      </c>
      <c r="R16" s="667"/>
      <c r="S16" s="678"/>
      <c r="T16" s="1575">
        <v>0.1</v>
      </c>
      <c r="U16" s="667"/>
      <c r="V16" s="668"/>
      <c r="W16" s="1116">
        <v>5</v>
      </c>
      <c r="X16" s="669"/>
      <c r="Y16" s="656"/>
      <c r="Z16" s="3460">
        <v>0.3</v>
      </c>
      <c r="AA16" s="117"/>
      <c r="AB16" s="117"/>
      <c r="AC16" s="3459">
        <v>6</v>
      </c>
      <c r="AD16" s="117"/>
      <c r="AE16" s="117"/>
      <c r="AF16" s="3460" t="s">
        <v>11</v>
      </c>
      <c r="AG16" s="117"/>
      <c r="AH16" s="117"/>
      <c r="AI16" s="121">
        <f>AC16*2000</f>
        <v>12000</v>
      </c>
      <c r="AJ16" s="111"/>
      <c r="AK16" s="117"/>
      <c r="AL16" s="1120">
        <v>1</v>
      </c>
      <c r="AM16" s="111"/>
      <c r="AN16" s="117"/>
      <c r="AO16" s="1575">
        <v>0.1</v>
      </c>
      <c r="AP16" s="111"/>
      <c r="AQ16" s="112"/>
      <c r="AR16" s="1118">
        <v>5</v>
      </c>
      <c r="AS16" s="702"/>
    </row>
    <row r="17" spans="1:45" ht="2.25" customHeight="1">
      <c r="A17" s="281"/>
      <c r="B17" s="661"/>
      <c r="C17" s="661"/>
      <c r="D17" s="670"/>
      <c r="E17" s="671"/>
      <c r="F17" s="672"/>
      <c r="G17" s="672"/>
      <c r="H17" s="673"/>
      <c r="I17" s="672"/>
      <c r="J17" s="672"/>
      <c r="K17" s="701"/>
      <c r="L17" s="672"/>
      <c r="M17" s="672"/>
      <c r="N17" s="674"/>
      <c r="O17" s="674"/>
      <c r="P17" s="672"/>
      <c r="Q17" s="171"/>
      <c r="R17" s="674"/>
      <c r="S17" s="672"/>
      <c r="T17" s="171"/>
      <c r="U17" s="674"/>
      <c r="V17" s="675"/>
      <c r="W17" s="185"/>
      <c r="X17" s="676"/>
      <c r="Y17" s="662"/>
      <c r="Z17" s="51"/>
      <c r="AA17" s="92"/>
      <c r="AB17" s="92"/>
      <c r="AC17" s="93"/>
      <c r="AD17" s="92"/>
      <c r="AE17" s="92"/>
      <c r="AF17" s="93"/>
      <c r="AG17" s="92"/>
      <c r="AH17" s="92"/>
      <c r="AI17" s="94"/>
      <c r="AJ17" s="94"/>
      <c r="AK17" s="92"/>
      <c r="AL17" s="42"/>
      <c r="AM17" s="94"/>
      <c r="AN17" s="92"/>
      <c r="AO17" s="42"/>
      <c r="AP17" s="94"/>
      <c r="AQ17" s="663"/>
      <c r="AR17" s="68"/>
      <c r="AS17" s="703"/>
    </row>
    <row r="18" spans="1:45">
      <c r="A18" s="281"/>
      <c r="B18" s="283" t="s">
        <v>31</v>
      </c>
      <c r="C18" s="282"/>
      <c r="D18" s="665"/>
      <c r="E18" s="3460">
        <v>0.3</v>
      </c>
      <c r="F18" s="667"/>
      <c r="G18" s="667"/>
      <c r="H18" s="3459">
        <v>5</v>
      </c>
      <c r="I18" s="667"/>
      <c r="J18" s="667"/>
      <c r="K18" s="120" t="s">
        <v>11</v>
      </c>
      <c r="L18" s="667"/>
      <c r="M18" s="667"/>
      <c r="N18" s="121">
        <f>H18*2000</f>
        <v>10000</v>
      </c>
      <c r="O18" s="667"/>
      <c r="P18" s="667"/>
      <c r="Q18" s="1120">
        <v>1.1000000000000001</v>
      </c>
      <c r="R18" s="667"/>
      <c r="S18" s="667"/>
      <c r="T18" s="1575">
        <v>0.5</v>
      </c>
      <c r="U18" s="667"/>
      <c r="V18" s="668"/>
      <c r="W18" s="1116">
        <v>6</v>
      </c>
      <c r="X18" s="669"/>
      <c r="Y18" s="656"/>
      <c r="Z18" s="3460">
        <v>0.3</v>
      </c>
      <c r="AA18" s="111"/>
      <c r="AB18" s="111"/>
      <c r="AC18" s="3459">
        <v>5</v>
      </c>
      <c r="AD18" s="111"/>
      <c r="AE18" s="111"/>
      <c r="AF18" s="3460" t="s">
        <v>11</v>
      </c>
      <c r="AG18" s="111"/>
      <c r="AH18" s="111"/>
      <c r="AI18" s="121">
        <f>AC18*2000</f>
        <v>10000</v>
      </c>
      <c r="AJ18" s="111"/>
      <c r="AK18" s="111"/>
      <c r="AL18" s="1120">
        <v>1.1000000000000001</v>
      </c>
      <c r="AM18" s="111"/>
      <c r="AN18" s="111"/>
      <c r="AO18" s="1575">
        <v>0.5</v>
      </c>
      <c r="AP18" s="111"/>
      <c r="AQ18" s="112"/>
      <c r="AR18" s="1118">
        <v>6</v>
      </c>
      <c r="AS18" s="702"/>
    </row>
    <row r="19" spans="1:45" ht="2.25" customHeight="1">
      <c r="A19" s="281"/>
      <c r="B19" s="661"/>
      <c r="C19" s="661"/>
      <c r="D19" s="670"/>
      <c r="E19" s="671"/>
      <c r="F19" s="672"/>
      <c r="G19" s="672"/>
      <c r="H19" s="673"/>
      <c r="I19" s="672"/>
      <c r="J19" s="672"/>
      <c r="K19" s="701"/>
      <c r="L19" s="672"/>
      <c r="M19" s="672"/>
      <c r="N19" s="674"/>
      <c r="O19" s="674"/>
      <c r="P19" s="672"/>
      <c r="Q19" s="171"/>
      <c r="R19" s="674"/>
      <c r="S19" s="672"/>
      <c r="T19" s="171"/>
      <c r="U19" s="674"/>
      <c r="V19" s="675"/>
      <c r="W19" s="185"/>
      <c r="X19" s="676"/>
      <c r="Y19" s="662"/>
      <c r="Z19" s="51"/>
      <c r="AA19" s="92"/>
      <c r="AB19" s="92"/>
      <c r="AC19" s="93"/>
      <c r="AD19" s="92"/>
      <c r="AE19" s="92"/>
      <c r="AF19" s="93"/>
      <c r="AG19" s="92"/>
      <c r="AH19" s="92"/>
      <c r="AI19" s="94"/>
      <c r="AJ19" s="94"/>
      <c r="AK19" s="92"/>
      <c r="AL19" s="94"/>
      <c r="AM19" s="94"/>
      <c r="AN19" s="92"/>
      <c r="AO19" s="42"/>
      <c r="AP19" s="94"/>
      <c r="AQ19" s="663"/>
      <c r="AR19" s="68"/>
      <c r="AS19" s="703"/>
    </row>
    <row r="20" spans="1:45">
      <c r="A20" s="281"/>
      <c r="B20" s="3511" t="s">
        <v>102</v>
      </c>
      <c r="C20" s="282"/>
      <c r="D20" s="665"/>
      <c r="E20" s="3460"/>
      <c r="F20" s="667"/>
      <c r="G20" s="667"/>
      <c r="H20" s="3459"/>
      <c r="I20" s="667"/>
      <c r="J20" s="667"/>
      <c r="K20" s="120"/>
      <c r="L20" s="667"/>
      <c r="M20" s="667"/>
      <c r="N20" s="121"/>
      <c r="O20" s="667"/>
      <c r="P20" s="667"/>
      <c r="Q20" s="1120"/>
      <c r="R20" s="667"/>
      <c r="S20" s="667"/>
      <c r="T20" s="1575"/>
      <c r="U20" s="667"/>
      <c r="V20" s="668"/>
      <c r="W20" s="1116"/>
      <c r="X20" s="669"/>
      <c r="Y20" s="656"/>
      <c r="Z20" s="3460"/>
      <c r="AA20" s="111"/>
      <c r="AB20" s="111"/>
      <c r="AC20" s="3459"/>
      <c r="AD20" s="111"/>
      <c r="AE20" s="111"/>
      <c r="AF20" s="3460"/>
      <c r="AG20" s="111"/>
      <c r="AH20" s="111"/>
      <c r="AI20" s="121"/>
      <c r="AJ20" s="111"/>
      <c r="AK20" s="111"/>
      <c r="AL20" s="1218"/>
      <c r="AM20" s="111"/>
      <c r="AN20" s="111"/>
      <c r="AO20" s="1575"/>
      <c r="AP20" s="111"/>
      <c r="AQ20" s="112"/>
      <c r="AR20" s="1118"/>
      <c r="AS20" s="702"/>
    </row>
    <row r="21" spans="1:45" ht="2.25" customHeight="1">
      <c r="A21" s="281"/>
      <c r="B21" s="3512"/>
      <c r="C21" s="661"/>
      <c r="D21" s="670"/>
      <c r="E21" s="671"/>
      <c r="F21" s="672"/>
      <c r="G21" s="672"/>
      <c r="H21" s="673"/>
      <c r="I21" s="672"/>
      <c r="J21" s="672"/>
      <c r="K21" s="701"/>
      <c r="L21" s="672"/>
      <c r="M21" s="672"/>
      <c r="N21" s="674"/>
      <c r="O21" s="674"/>
      <c r="P21" s="672"/>
      <c r="Q21" s="171"/>
      <c r="R21" s="674"/>
      <c r="S21" s="672"/>
      <c r="T21" s="171"/>
      <c r="U21" s="674"/>
      <c r="V21" s="675"/>
      <c r="W21" s="185"/>
      <c r="X21" s="676"/>
      <c r="Y21" s="662"/>
      <c r="Z21" s="51"/>
      <c r="AA21" s="92"/>
      <c r="AB21" s="92"/>
      <c r="AC21" s="93"/>
      <c r="AD21" s="92"/>
      <c r="AE21" s="92"/>
      <c r="AF21" s="93"/>
      <c r="AG21" s="92"/>
      <c r="AH21" s="92"/>
      <c r="AI21" s="94"/>
      <c r="AJ21" s="94"/>
      <c r="AK21" s="92"/>
      <c r="AL21" s="1219"/>
      <c r="AM21" s="94"/>
      <c r="AN21" s="92"/>
      <c r="AO21" s="42"/>
      <c r="AP21" s="94"/>
      <c r="AQ21" s="663"/>
      <c r="AR21" s="68"/>
      <c r="AS21" s="703"/>
    </row>
    <row r="22" spans="1:45">
      <c r="A22" s="281"/>
      <c r="B22" s="3511" t="s">
        <v>102</v>
      </c>
      <c r="C22" s="282"/>
      <c r="D22" s="665"/>
      <c r="E22" s="3460"/>
      <c r="F22" s="667"/>
      <c r="G22" s="667"/>
      <c r="H22" s="3459"/>
      <c r="I22" s="667"/>
      <c r="J22" s="667"/>
      <c r="K22" s="120"/>
      <c r="L22" s="667"/>
      <c r="M22" s="667"/>
      <c r="N22" s="121"/>
      <c r="O22" s="667"/>
      <c r="P22" s="667"/>
      <c r="Q22" s="1120"/>
      <c r="R22" s="667"/>
      <c r="S22" s="667"/>
      <c r="T22" s="1575"/>
      <c r="U22" s="667"/>
      <c r="V22" s="668"/>
      <c r="W22" s="1116"/>
      <c r="X22" s="669"/>
      <c r="Y22" s="656"/>
      <c r="Z22" s="3460"/>
      <c r="AA22" s="111"/>
      <c r="AB22" s="111"/>
      <c r="AC22" s="3459"/>
      <c r="AD22" s="111"/>
      <c r="AE22" s="111"/>
      <c r="AF22" s="3460"/>
      <c r="AG22" s="111"/>
      <c r="AH22" s="111"/>
      <c r="AI22" s="121"/>
      <c r="AJ22" s="111"/>
      <c r="AK22" s="111"/>
      <c r="AL22" s="1218"/>
      <c r="AM22" s="111"/>
      <c r="AN22" s="111"/>
      <c r="AO22" s="1575"/>
      <c r="AP22" s="111"/>
      <c r="AQ22" s="112"/>
      <c r="AR22" s="1118"/>
      <c r="AS22" s="702"/>
    </row>
    <row r="23" spans="1:45" ht="2.25" customHeight="1">
      <c r="A23" s="281"/>
      <c r="B23" s="3513"/>
      <c r="C23" s="661"/>
      <c r="D23" s="670"/>
      <c r="E23" s="671"/>
      <c r="F23" s="672"/>
      <c r="G23" s="672"/>
      <c r="H23" s="673"/>
      <c r="I23" s="672"/>
      <c r="J23" s="672"/>
      <c r="K23" s="701"/>
      <c r="L23" s="672"/>
      <c r="M23" s="672"/>
      <c r="N23" s="674"/>
      <c r="O23" s="674"/>
      <c r="P23" s="672"/>
      <c r="Q23" s="171"/>
      <c r="R23" s="674"/>
      <c r="S23" s="672"/>
      <c r="T23" s="171"/>
      <c r="U23" s="674"/>
      <c r="V23" s="675"/>
      <c r="W23" s="185"/>
      <c r="X23" s="676"/>
      <c r="Y23" s="662"/>
      <c r="Z23" s="51"/>
      <c r="AA23" s="92"/>
      <c r="AB23" s="92"/>
      <c r="AC23" s="93"/>
      <c r="AD23" s="92"/>
      <c r="AE23" s="92"/>
      <c r="AF23" s="93"/>
      <c r="AG23" s="92"/>
      <c r="AH23" s="92"/>
      <c r="AI23" s="94"/>
      <c r="AJ23" s="94"/>
      <c r="AK23" s="92"/>
      <c r="AL23" s="1219"/>
      <c r="AM23" s="94"/>
      <c r="AN23" s="92"/>
      <c r="AO23" s="42"/>
      <c r="AP23" s="94"/>
      <c r="AQ23" s="663"/>
      <c r="AR23" s="68"/>
      <c r="AS23" s="703"/>
    </row>
    <row r="24" spans="1:45" ht="12" customHeight="1">
      <c r="A24" s="281"/>
      <c r="B24" s="3511" t="s">
        <v>102</v>
      </c>
      <c r="C24" s="282"/>
      <c r="D24" s="665"/>
      <c r="E24" s="3460"/>
      <c r="F24" s="667"/>
      <c r="G24" s="667"/>
      <c r="H24" s="3459"/>
      <c r="I24" s="667"/>
      <c r="J24" s="667"/>
      <c r="K24" s="120"/>
      <c r="L24" s="667"/>
      <c r="M24" s="667"/>
      <c r="N24" s="121"/>
      <c r="O24" s="667"/>
      <c r="P24" s="667"/>
      <c r="Q24" s="1120"/>
      <c r="R24" s="667"/>
      <c r="S24" s="667"/>
      <c r="T24" s="1575"/>
      <c r="U24" s="667"/>
      <c r="V24" s="668"/>
      <c r="W24" s="1116"/>
      <c r="X24" s="669"/>
      <c r="Y24" s="656"/>
      <c r="Z24" s="3460"/>
      <c r="AA24" s="111"/>
      <c r="AB24" s="111"/>
      <c r="AC24" s="3459"/>
      <c r="AD24" s="111"/>
      <c r="AE24" s="111"/>
      <c r="AF24" s="3460"/>
      <c r="AG24" s="111"/>
      <c r="AH24" s="111"/>
      <c r="AI24" s="121"/>
      <c r="AJ24" s="111"/>
      <c r="AK24" s="111"/>
      <c r="AL24" s="1218"/>
      <c r="AM24" s="111"/>
      <c r="AN24" s="111"/>
      <c r="AO24" s="1575"/>
      <c r="AP24" s="111"/>
      <c r="AQ24" s="112"/>
      <c r="AR24" s="1118"/>
      <c r="AS24" s="702"/>
    </row>
    <row r="25" spans="1:45" ht="1.5" hidden="1" customHeight="1">
      <c r="A25" s="281"/>
      <c r="B25" s="1510"/>
      <c r="C25" s="282"/>
      <c r="D25" s="665"/>
      <c r="E25" s="1511"/>
      <c r="F25" s="667"/>
      <c r="G25" s="667"/>
      <c r="H25" s="1512"/>
      <c r="I25" s="667"/>
      <c r="J25" s="667"/>
      <c r="K25" s="1513"/>
      <c r="L25" s="667"/>
      <c r="M25" s="667"/>
      <c r="N25" s="1514"/>
      <c r="O25" s="667"/>
      <c r="P25" s="667"/>
      <c r="Q25" s="1515"/>
      <c r="R25" s="667"/>
      <c r="S25" s="667"/>
      <c r="T25" s="1515"/>
      <c r="U25" s="667"/>
      <c r="V25" s="668"/>
      <c r="W25" s="1516"/>
      <c r="X25" s="669"/>
      <c r="Y25" s="656"/>
      <c r="Z25" s="1511"/>
      <c r="AA25" s="111"/>
      <c r="AB25" s="111"/>
      <c r="AC25" s="1512"/>
      <c r="AD25" s="111"/>
      <c r="AE25" s="111"/>
      <c r="AF25" s="1511"/>
      <c r="AG25" s="111"/>
      <c r="AH25" s="111"/>
      <c r="AI25" s="1514"/>
      <c r="AJ25" s="111"/>
      <c r="AK25" s="111"/>
      <c r="AL25" s="1517"/>
      <c r="AM25" s="111"/>
      <c r="AN25" s="111"/>
      <c r="AO25" s="1515"/>
      <c r="AP25" s="111"/>
      <c r="AQ25" s="112"/>
      <c r="AR25" s="1518"/>
      <c r="AS25" s="702"/>
    </row>
    <row r="26" spans="1:45" ht="1.5" customHeight="1">
      <c r="A26" s="2068"/>
      <c r="B26" s="2139"/>
      <c r="C26" s="285"/>
      <c r="D26" s="694"/>
      <c r="E26" s="2140"/>
      <c r="F26" s="691"/>
      <c r="G26" s="691"/>
      <c r="H26" s="2141"/>
      <c r="I26" s="691"/>
      <c r="J26" s="691"/>
      <c r="K26" s="2142"/>
      <c r="L26" s="691"/>
      <c r="M26" s="691"/>
      <c r="N26" s="2143"/>
      <c r="O26" s="691"/>
      <c r="P26" s="691"/>
      <c r="Q26" s="2144"/>
      <c r="R26" s="691"/>
      <c r="S26" s="691"/>
      <c r="T26" s="2144"/>
      <c r="U26" s="691"/>
      <c r="V26" s="692"/>
      <c r="W26" s="2145"/>
      <c r="X26" s="693"/>
      <c r="Y26" s="659"/>
      <c r="Z26" s="2140"/>
      <c r="AA26" s="650"/>
      <c r="AB26" s="650"/>
      <c r="AC26" s="2141"/>
      <c r="AD26" s="650"/>
      <c r="AE26" s="650"/>
      <c r="AF26" s="2140"/>
      <c r="AG26" s="650"/>
      <c r="AH26" s="650"/>
      <c r="AI26" s="2143"/>
      <c r="AJ26" s="650"/>
      <c r="AK26" s="650"/>
      <c r="AL26" s="2146"/>
      <c r="AM26" s="650"/>
      <c r="AN26" s="650"/>
      <c r="AO26" s="2147"/>
      <c r="AP26" s="650"/>
      <c r="AQ26" s="122"/>
      <c r="AR26" s="2148"/>
      <c r="AS26" s="707"/>
    </row>
    <row r="27" spans="1:45" ht="6" customHeight="1">
      <c r="A27" s="2068"/>
      <c r="B27" s="2177"/>
      <c r="C27" s="2177"/>
      <c r="D27" s="3114"/>
      <c r="E27" s="2150"/>
      <c r="F27" s="2151"/>
      <c r="G27" s="2151"/>
      <c r="H27" s="1121"/>
      <c r="I27" s="2151"/>
      <c r="J27" s="2151"/>
      <c r="K27" s="1122"/>
      <c r="L27" s="2151"/>
      <c r="M27" s="2151"/>
      <c r="N27" s="3115"/>
      <c r="O27" s="3115"/>
      <c r="P27" s="2151"/>
      <c r="Q27" s="3115"/>
      <c r="R27" s="3115"/>
      <c r="S27" s="2151"/>
      <c r="T27" s="3115"/>
      <c r="U27" s="3115"/>
      <c r="V27" s="3116"/>
      <c r="W27" s="3117"/>
      <c r="X27" s="3118"/>
      <c r="Y27" s="3119"/>
      <c r="Z27" s="2152"/>
      <c r="AA27" s="2153"/>
      <c r="AB27" s="2153"/>
      <c r="AC27" s="1148"/>
      <c r="AD27" s="2153"/>
      <c r="AE27" s="2153"/>
      <c r="AF27" s="1148"/>
      <c r="AG27" s="2153"/>
      <c r="AH27" s="2153"/>
      <c r="AI27" s="3120"/>
      <c r="AJ27" s="3120"/>
      <c r="AK27" s="2153"/>
      <c r="AL27" s="3120"/>
      <c r="AM27" s="3120"/>
      <c r="AN27" s="2153"/>
      <c r="AO27" s="3120"/>
      <c r="AP27" s="3120"/>
      <c r="AQ27" s="3121"/>
      <c r="AR27" s="3122"/>
      <c r="AS27" s="3123"/>
    </row>
    <row r="28" spans="1:45" ht="20.25" customHeight="1">
      <c r="A28" s="4629" t="s">
        <v>1255</v>
      </c>
      <c r="B28" s="4630"/>
      <c r="C28" s="4508"/>
      <c r="D28" s="4508"/>
      <c r="E28" s="4508"/>
      <c r="F28" s="4508"/>
      <c r="G28" s="4508"/>
      <c r="H28" s="4508"/>
      <c r="I28" s="4508"/>
      <c r="J28" s="4508"/>
      <c r="K28" s="4508"/>
      <c r="L28" s="4508"/>
      <c r="M28" s="4508"/>
      <c r="N28" s="4508"/>
      <c r="O28" s="4508"/>
      <c r="P28" s="4508"/>
      <c r="Q28" s="4508"/>
      <c r="R28" s="4508"/>
      <c r="S28" s="4508"/>
      <c r="T28" s="4508"/>
      <c r="U28" s="4508"/>
      <c r="V28" s="4508"/>
      <c r="W28" s="4508"/>
      <c r="X28" s="4508"/>
      <c r="Y28" s="4508"/>
      <c r="Z28" s="4508"/>
      <c r="AA28" s="4508"/>
      <c r="AB28" s="4508"/>
      <c r="AC28" s="4508"/>
      <c r="AD28" s="4508"/>
      <c r="AE28" s="4508"/>
      <c r="AF28" s="4508"/>
      <c r="AG28" s="4508"/>
      <c r="AH28" s="4508"/>
      <c r="AI28" s="4508"/>
      <c r="AJ28" s="4508"/>
      <c r="AK28" s="4508"/>
      <c r="AL28" s="4508"/>
      <c r="AM28" s="4508"/>
      <c r="AN28" s="4508"/>
      <c r="AO28" s="4508"/>
      <c r="AP28" s="4508"/>
      <c r="AQ28" s="4508"/>
      <c r="AR28" s="4508"/>
      <c r="AS28" s="4509"/>
    </row>
    <row r="29" spans="1:45" ht="2.25" customHeight="1">
      <c r="A29" s="281"/>
      <c r="B29" s="661"/>
      <c r="C29" s="661"/>
      <c r="D29" s="670"/>
      <c r="E29" s="671"/>
      <c r="F29" s="672"/>
      <c r="G29" s="672"/>
      <c r="H29" s="673"/>
      <c r="I29" s="672"/>
      <c r="J29" s="672"/>
      <c r="K29" s="701"/>
      <c r="L29" s="672"/>
      <c r="M29" s="672"/>
      <c r="N29" s="674"/>
      <c r="O29" s="674"/>
      <c r="P29" s="672"/>
      <c r="Q29" s="171"/>
      <c r="R29" s="674"/>
      <c r="S29" s="672"/>
      <c r="T29" s="171"/>
      <c r="U29" s="674"/>
      <c r="V29" s="675"/>
      <c r="W29" s="185">
        <v>4</v>
      </c>
      <c r="X29" s="676"/>
      <c r="Y29" s="662"/>
      <c r="Z29" s="51"/>
      <c r="AA29" s="92"/>
      <c r="AB29" s="92"/>
      <c r="AC29" s="93"/>
      <c r="AD29" s="92"/>
      <c r="AE29" s="92"/>
      <c r="AF29" s="93"/>
      <c r="AG29" s="92"/>
      <c r="AH29" s="92"/>
      <c r="AI29" s="94"/>
      <c r="AJ29" s="94"/>
      <c r="AK29" s="92"/>
      <c r="AL29" s="42"/>
      <c r="AM29" s="94"/>
      <c r="AN29" s="92"/>
      <c r="AO29" s="42"/>
      <c r="AP29" s="94"/>
      <c r="AQ29" s="663"/>
      <c r="AR29" s="68"/>
      <c r="AS29" s="703"/>
    </row>
    <row r="30" spans="1:45">
      <c r="A30" s="281"/>
      <c r="B30" s="282" t="s">
        <v>12</v>
      </c>
      <c r="C30" s="282"/>
      <c r="D30" s="665"/>
      <c r="E30" s="3460">
        <v>0.88</v>
      </c>
      <c r="F30" s="667"/>
      <c r="G30" s="667"/>
      <c r="H30" s="3459">
        <v>153.9</v>
      </c>
      <c r="I30" s="667"/>
      <c r="J30" s="667"/>
      <c r="K30" s="120" t="s">
        <v>13</v>
      </c>
      <c r="L30" s="667"/>
      <c r="M30" s="667"/>
      <c r="N30" s="121">
        <f>H30*$C$73</f>
        <v>8618.4</v>
      </c>
      <c r="O30" s="667"/>
      <c r="P30" s="667"/>
      <c r="Q30" s="1120">
        <v>1.08</v>
      </c>
      <c r="R30" s="667"/>
      <c r="S30" s="667"/>
      <c r="T30" s="1575">
        <v>1</v>
      </c>
      <c r="U30" s="667"/>
      <c r="V30" s="668"/>
      <c r="W30" s="1116">
        <v>3</v>
      </c>
      <c r="X30" s="669"/>
      <c r="Y30" s="656"/>
      <c r="Z30" s="3460">
        <v>0.88</v>
      </c>
      <c r="AA30" s="111"/>
      <c r="AB30" s="111"/>
      <c r="AC30" s="3459">
        <v>153.9</v>
      </c>
      <c r="AD30" s="111"/>
      <c r="AE30" s="111"/>
      <c r="AF30" s="3460" t="s">
        <v>13</v>
      </c>
      <c r="AG30" s="111"/>
      <c r="AH30" s="111"/>
      <c r="AI30" s="121">
        <f>AC30*$C$73</f>
        <v>8618.4</v>
      </c>
      <c r="AJ30" s="111"/>
      <c r="AK30" s="111"/>
      <c r="AL30" s="1120">
        <v>1.08</v>
      </c>
      <c r="AM30" s="111"/>
      <c r="AN30" s="111"/>
      <c r="AO30" s="1575">
        <v>1</v>
      </c>
      <c r="AP30" s="111"/>
      <c r="AQ30" s="112"/>
      <c r="AR30" s="1118">
        <v>3</v>
      </c>
      <c r="AS30" s="702"/>
    </row>
    <row r="31" spans="1:45" ht="2.25" customHeight="1">
      <c r="A31" s="281"/>
      <c r="B31" s="661"/>
      <c r="C31" s="661"/>
      <c r="D31" s="670"/>
      <c r="E31" s="671"/>
      <c r="F31" s="672"/>
      <c r="G31" s="672"/>
      <c r="H31" s="673"/>
      <c r="I31" s="672"/>
      <c r="J31" s="672"/>
      <c r="K31" s="701"/>
      <c r="L31" s="672"/>
      <c r="M31" s="672"/>
      <c r="N31" s="674"/>
      <c r="O31" s="674"/>
      <c r="P31" s="672"/>
      <c r="Q31" s="171"/>
      <c r="R31" s="674"/>
      <c r="S31" s="672"/>
      <c r="T31" s="171"/>
      <c r="U31" s="674"/>
      <c r="V31" s="675"/>
      <c r="W31" s="185"/>
      <c r="X31" s="676"/>
      <c r="Y31" s="662"/>
      <c r="Z31" s="51"/>
      <c r="AA31" s="92"/>
      <c r="AB31" s="92"/>
      <c r="AC31" s="93"/>
      <c r="AD31" s="92"/>
      <c r="AE31" s="92"/>
      <c r="AF31" s="93"/>
      <c r="AG31" s="92"/>
      <c r="AH31" s="92"/>
      <c r="AI31" s="94"/>
      <c r="AJ31" s="94"/>
      <c r="AK31" s="92"/>
      <c r="AL31" s="42"/>
      <c r="AM31" s="94"/>
      <c r="AN31" s="92"/>
      <c r="AO31" s="42"/>
      <c r="AP31" s="94"/>
      <c r="AQ31" s="663"/>
      <c r="AR31" s="68"/>
      <c r="AS31" s="703"/>
    </row>
    <row r="32" spans="1:45">
      <c r="A32" s="281"/>
      <c r="B32" s="282" t="s">
        <v>22</v>
      </c>
      <c r="C32" s="284"/>
      <c r="D32" s="681"/>
      <c r="E32" s="3460">
        <v>0.88</v>
      </c>
      <c r="F32" s="667"/>
      <c r="G32" s="667"/>
      <c r="H32" s="3459">
        <v>63.6</v>
      </c>
      <c r="I32" s="667"/>
      <c r="J32" s="667"/>
      <c r="K32" s="120" t="s">
        <v>13</v>
      </c>
      <c r="L32" s="667"/>
      <c r="M32" s="667"/>
      <c r="N32" s="121">
        <f>H32*$C$74</f>
        <v>3052.8</v>
      </c>
      <c r="O32" s="666"/>
      <c r="P32" s="667"/>
      <c r="Q32" s="1120">
        <v>1.08</v>
      </c>
      <c r="R32" s="666"/>
      <c r="S32" s="667"/>
      <c r="T32" s="1575">
        <v>0.66700000000000004</v>
      </c>
      <c r="U32" s="666"/>
      <c r="V32" s="682"/>
      <c r="W32" s="1116">
        <v>3</v>
      </c>
      <c r="X32" s="683"/>
      <c r="Y32" s="658"/>
      <c r="Z32" s="3460">
        <v>0.88</v>
      </c>
      <c r="AA32" s="111"/>
      <c r="AB32" s="111"/>
      <c r="AC32" s="3459">
        <v>63.6</v>
      </c>
      <c r="AD32" s="111"/>
      <c r="AE32" s="111"/>
      <c r="AF32" s="3460" t="s">
        <v>13</v>
      </c>
      <c r="AG32" s="111"/>
      <c r="AH32" s="111"/>
      <c r="AI32" s="121">
        <f>AC32*$C$74</f>
        <v>3052.8</v>
      </c>
      <c r="AJ32" s="113"/>
      <c r="AK32" s="111"/>
      <c r="AL32" s="1120">
        <v>1.08</v>
      </c>
      <c r="AM32" s="113"/>
      <c r="AN32" s="111"/>
      <c r="AO32" s="1575">
        <v>0.66700000000000004</v>
      </c>
      <c r="AP32" s="113"/>
      <c r="AQ32" s="119"/>
      <c r="AR32" s="1118">
        <v>3</v>
      </c>
      <c r="AS32" s="705"/>
    </row>
    <row r="33" spans="1:45" ht="2.25" customHeight="1">
      <c r="A33" s="281"/>
      <c r="B33" s="661"/>
      <c r="C33" s="661"/>
      <c r="D33" s="670"/>
      <c r="E33" s="671"/>
      <c r="F33" s="672"/>
      <c r="G33" s="672"/>
      <c r="H33" s="673"/>
      <c r="I33" s="672"/>
      <c r="J33" s="672"/>
      <c r="K33" s="701"/>
      <c r="L33" s="672"/>
      <c r="M33" s="672"/>
      <c r="N33" s="674"/>
      <c r="O33" s="674"/>
      <c r="P33" s="672"/>
      <c r="Q33" s="171"/>
      <c r="R33" s="674"/>
      <c r="S33" s="672"/>
      <c r="T33" s="171"/>
      <c r="U33" s="674"/>
      <c r="V33" s="675"/>
      <c r="W33" s="185"/>
      <c r="X33" s="676"/>
      <c r="Y33" s="662"/>
      <c r="Z33" s="51"/>
      <c r="AA33" s="92"/>
      <c r="AB33" s="92"/>
      <c r="AC33" s="93"/>
      <c r="AD33" s="92"/>
      <c r="AE33" s="92"/>
      <c r="AF33" s="93"/>
      <c r="AG33" s="92"/>
      <c r="AH33" s="92"/>
      <c r="AI33" s="94"/>
      <c r="AJ33" s="94"/>
      <c r="AK33" s="92"/>
      <c r="AL33" s="42"/>
      <c r="AM33" s="94"/>
      <c r="AN33" s="92"/>
      <c r="AO33" s="42"/>
      <c r="AP33" s="94"/>
      <c r="AQ33" s="663"/>
      <c r="AR33" s="68"/>
      <c r="AS33" s="703"/>
    </row>
    <row r="34" spans="1:45">
      <c r="A34" s="281"/>
      <c r="B34" s="282" t="s">
        <v>25</v>
      </c>
      <c r="C34" s="282"/>
      <c r="D34" s="665"/>
      <c r="E34" s="3460">
        <v>0.89</v>
      </c>
      <c r="F34" s="667"/>
      <c r="G34" s="667"/>
      <c r="H34" s="3459">
        <v>63.5</v>
      </c>
      <c r="I34" s="667"/>
      <c r="J34" s="667"/>
      <c r="K34" s="120" t="s">
        <v>13</v>
      </c>
      <c r="L34" s="667"/>
      <c r="M34" s="667"/>
      <c r="N34" s="121">
        <f>H34*$C$75</f>
        <v>2032</v>
      </c>
      <c r="O34" s="667"/>
      <c r="P34" s="667"/>
      <c r="Q34" s="1120">
        <v>1.08</v>
      </c>
      <c r="R34" s="667"/>
      <c r="S34" s="667"/>
      <c r="T34" s="1575">
        <v>0.66700000000000004</v>
      </c>
      <c r="U34" s="667"/>
      <c r="V34" s="668"/>
      <c r="W34" s="1116">
        <v>3</v>
      </c>
      <c r="X34" s="669"/>
      <c r="Y34" s="656"/>
      <c r="Z34" s="3460">
        <v>0.89</v>
      </c>
      <c r="AA34" s="111"/>
      <c r="AB34" s="111"/>
      <c r="AC34" s="3459">
        <v>63.5</v>
      </c>
      <c r="AD34" s="111"/>
      <c r="AE34" s="111"/>
      <c r="AF34" s="3460" t="s">
        <v>13</v>
      </c>
      <c r="AG34" s="111"/>
      <c r="AH34" s="111"/>
      <c r="AI34" s="121">
        <f>AC34*$C$75</f>
        <v>2032</v>
      </c>
      <c r="AJ34" s="111"/>
      <c r="AK34" s="111"/>
      <c r="AL34" s="1120">
        <v>1.08</v>
      </c>
      <c r="AM34" s="111"/>
      <c r="AN34" s="111"/>
      <c r="AO34" s="1575">
        <v>0.66700000000000004</v>
      </c>
      <c r="AP34" s="111"/>
      <c r="AQ34" s="112"/>
      <c r="AR34" s="1118">
        <v>3</v>
      </c>
      <c r="AS34" s="702"/>
    </row>
    <row r="35" spans="1:45" ht="2.25" customHeight="1">
      <c r="A35" s="281"/>
      <c r="B35" s="661"/>
      <c r="C35" s="661"/>
      <c r="D35" s="670"/>
      <c r="E35" s="671"/>
      <c r="F35" s="672"/>
      <c r="G35" s="672"/>
      <c r="H35" s="673"/>
      <c r="I35" s="672"/>
      <c r="J35" s="672"/>
      <c r="K35" s="701"/>
      <c r="L35" s="672"/>
      <c r="M35" s="672"/>
      <c r="N35" s="674"/>
      <c r="O35" s="674"/>
      <c r="P35" s="672"/>
      <c r="Q35" s="171"/>
      <c r="R35" s="674"/>
      <c r="S35" s="672"/>
      <c r="T35" s="171"/>
      <c r="U35" s="674"/>
      <c r="V35" s="675"/>
      <c r="W35" s="185"/>
      <c r="X35" s="676"/>
      <c r="Y35" s="662"/>
      <c r="Z35" s="51"/>
      <c r="AA35" s="92"/>
      <c r="AB35" s="92"/>
      <c r="AC35" s="93"/>
      <c r="AD35" s="92"/>
      <c r="AE35" s="92"/>
      <c r="AF35" s="93"/>
      <c r="AG35" s="92"/>
      <c r="AH35" s="92"/>
      <c r="AI35" s="94"/>
      <c r="AJ35" s="94"/>
      <c r="AK35" s="92"/>
      <c r="AL35" s="42"/>
      <c r="AM35" s="94"/>
      <c r="AN35" s="92"/>
      <c r="AO35" s="42"/>
      <c r="AP35" s="94"/>
      <c r="AQ35" s="663"/>
      <c r="AR35" s="68"/>
      <c r="AS35" s="703"/>
    </row>
    <row r="36" spans="1:45">
      <c r="A36" s="281"/>
      <c r="B36" s="282" t="s">
        <v>27</v>
      </c>
      <c r="C36" s="282"/>
      <c r="D36" s="665"/>
      <c r="E36" s="3460">
        <v>0.88</v>
      </c>
      <c r="F36" s="666"/>
      <c r="G36" s="666"/>
      <c r="H36" s="3459">
        <v>47.2</v>
      </c>
      <c r="I36" s="666"/>
      <c r="J36" s="666"/>
      <c r="K36" s="120" t="s">
        <v>13</v>
      </c>
      <c r="L36" s="666"/>
      <c r="M36" s="666"/>
      <c r="N36" s="121">
        <f>H36*$C$76</f>
        <v>2832</v>
      </c>
      <c r="O36" s="667"/>
      <c r="P36" s="666"/>
      <c r="Q36" s="1120">
        <v>1.45</v>
      </c>
      <c r="R36" s="667"/>
      <c r="S36" s="666"/>
      <c r="T36" s="1575">
        <v>0.66700000000000004</v>
      </c>
      <c r="U36" s="667"/>
      <c r="V36" s="668"/>
      <c r="W36" s="1116">
        <v>3</v>
      </c>
      <c r="X36" s="669"/>
      <c r="Y36" s="656"/>
      <c r="Z36" s="3460">
        <v>0.88</v>
      </c>
      <c r="AA36" s="113"/>
      <c r="AB36" s="113"/>
      <c r="AC36" s="3459">
        <v>47.2</v>
      </c>
      <c r="AD36" s="113"/>
      <c r="AE36" s="113"/>
      <c r="AF36" s="3460" t="s">
        <v>13</v>
      </c>
      <c r="AG36" s="113"/>
      <c r="AH36" s="113"/>
      <c r="AI36" s="121">
        <f>AC36*$C$76</f>
        <v>2832</v>
      </c>
      <c r="AJ36" s="111"/>
      <c r="AK36" s="113"/>
      <c r="AL36" s="1120">
        <v>1.45</v>
      </c>
      <c r="AM36" s="111"/>
      <c r="AN36" s="113"/>
      <c r="AO36" s="1575">
        <v>0.66700000000000004</v>
      </c>
      <c r="AP36" s="111"/>
      <c r="AQ36" s="112"/>
      <c r="AR36" s="1118">
        <v>3</v>
      </c>
      <c r="AS36" s="702"/>
    </row>
    <row r="37" spans="1:45" ht="2.25" customHeight="1">
      <c r="A37" s="281"/>
      <c r="B37" s="661"/>
      <c r="C37" s="661"/>
      <c r="D37" s="670"/>
      <c r="E37" s="671"/>
      <c r="F37" s="672"/>
      <c r="G37" s="672"/>
      <c r="H37" s="673"/>
      <c r="I37" s="672"/>
      <c r="J37" s="672"/>
      <c r="K37" s="701"/>
      <c r="L37" s="672"/>
      <c r="M37" s="672"/>
      <c r="N37" s="674"/>
      <c r="O37" s="674"/>
      <c r="P37" s="672"/>
      <c r="Q37" s="171"/>
      <c r="R37" s="674"/>
      <c r="S37" s="672"/>
      <c r="T37" s="171"/>
      <c r="U37" s="674"/>
      <c r="V37" s="675"/>
      <c r="W37" s="185"/>
      <c r="X37" s="676"/>
      <c r="Y37" s="662"/>
      <c r="Z37" s="51"/>
      <c r="AA37" s="92"/>
      <c r="AB37" s="92"/>
      <c r="AC37" s="93"/>
      <c r="AD37" s="92"/>
      <c r="AE37" s="92"/>
      <c r="AF37" s="93"/>
      <c r="AG37" s="92"/>
      <c r="AH37" s="92"/>
      <c r="AI37" s="94"/>
      <c r="AJ37" s="94"/>
      <c r="AK37" s="92"/>
      <c r="AL37" s="94"/>
      <c r="AM37" s="94"/>
      <c r="AN37" s="92"/>
      <c r="AO37" s="42"/>
      <c r="AP37" s="94"/>
      <c r="AQ37" s="663"/>
      <c r="AR37" s="68"/>
      <c r="AS37" s="703"/>
    </row>
    <row r="38" spans="1:45">
      <c r="A38" s="281"/>
      <c r="B38" s="3511" t="s">
        <v>103</v>
      </c>
      <c r="C38" s="282"/>
      <c r="D38" s="665"/>
      <c r="E38" s="3460"/>
      <c r="F38" s="667"/>
      <c r="G38" s="667"/>
      <c r="H38" s="3459"/>
      <c r="I38" s="667"/>
      <c r="J38" s="667"/>
      <c r="K38" s="120"/>
      <c r="L38" s="667"/>
      <c r="M38" s="667"/>
      <c r="N38" s="121"/>
      <c r="O38" s="667"/>
      <c r="P38" s="667"/>
      <c r="Q38" s="1120"/>
      <c r="R38" s="667"/>
      <c r="S38" s="667"/>
      <c r="T38" s="1575"/>
      <c r="U38" s="667"/>
      <c r="V38" s="668"/>
      <c r="W38" s="1116"/>
      <c r="X38" s="669"/>
      <c r="Y38" s="656"/>
      <c r="Z38" s="3460"/>
      <c r="AA38" s="111"/>
      <c r="AB38" s="111"/>
      <c r="AC38" s="3459"/>
      <c r="AD38" s="111"/>
      <c r="AE38" s="111"/>
      <c r="AF38" s="3460"/>
      <c r="AG38" s="111"/>
      <c r="AH38" s="111"/>
      <c r="AI38" s="121"/>
      <c r="AJ38" s="111"/>
      <c r="AK38" s="111"/>
      <c r="AL38" s="1218"/>
      <c r="AM38" s="111"/>
      <c r="AN38" s="111"/>
      <c r="AO38" s="1575"/>
      <c r="AP38" s="111"/>
      <c r="AQ38" s="112"/>
      <c r="AR38" s="1118"/>
      <c r="AS38" s="702"/>
    </row>
    <row r="39" spans="1:45" ht="2.25" customHeight="1">
      <c r="A39" s="281"/>
      <c r="B39" s="3513"/>
      <c r="C39" s="661"/>
      <c r="D39" s="670"/>
      <c r="E39" s="671"/>
      <c r="F39" s="672"/>
      <c r="G39" s="672"/>
      <c r="H39" s="673"/>
      <c r="I39" s="672"/>
      <c r="J39" s="672"/>
      <c r="K39" s="701"/>
      <c r="L39" s="672"/>
      <c r="M39" s="672"/>
      <c r="N39" s="674"/>
      <c r="O39" s="674"/>
      <c r="P39" s="672"/>
      <c r="Q39" s="171"/>
      <c r="R39" s="674"/>
      <c r="S39" s="672"/>
      <c r="T39" s="171"/>
      <c r="U39" s="674"/>
      <c r="V39" s="675"/>
      <c r="W39" s="185"/>
      <c r="X39" s="676"/>
      <c r="Y39" s="662"/>
      <c r="Z39" s="51"/>
      <c r="AA39" s="92"/>
      <c r="AB39" s="92"/>
      <c r="AC39" s="93"/>
      <c r="AD39" s="92"/>
      <c r="AE39" s="92"/>
      <c r="AF39" s="93"/>
      <c r="AG39" s="92"/>
      <c r="AH39" s="92"/>
      <c r="AI39" s="94"/>
      <c r="AJ39" s="94"/>
      <c r="AK39" s="92"/>
      <c r="AL39" s="1219"/>
      <c r="AM39" s="94"/>
      <c r="AN39" s="92"/>
      <c r="AO39" s="42"/>
      <c r="AP39" s="94"/>
      <c r="AQ39" s="663"/>
      <c r="AR39" s="68"/>
      <c r="AS39" s="703"/>
    </row>
    <row r="40" spans="1:45">
      <c r="A40" s="281"/>
      <c r="B40" s="3511" t="s">
        <v>103</v>
      </c>
      <c r="C40" s="282"/>
      <c r="D40" s="665"/>
      <c r="E40" s="3460"/>
      <c r="F40" s="667"/>
      <c r="G40" s="667"/>
      <c r="H40" s="3459"/>
      <c r="I40" s="667"/>
      <c r="J40" s="667"/>
      <c r="K40" s="120"/>
      <c r="L40" s="667"/>
      <c r="M40" s="667"/>
      <c r="N40" s="121"/>
      <c r="O40" s="667"/>
      <c r="P40" s="667"/>
      <c r="Q40" s="1120"/>
      <c r="R40" s="667"/>
      <c r="S40" s="667"/>
      <c r="T40" s="1575"/>
      <c r="U40" s="667"/>
      <c r="V40" s="668"/>
      <c r="W40" s="1116"/>
      <c r="X40" s="669"/>
      <c r="Y40" s="656"/>
      <c r="Z40" s="3460"/>
      <c r="AA40" s="111"/>
      <c r="AB40" s="111"/>
      <c r="AC40" s="3459"/>
      <c r="AD40" s="111"/>
      <c r="AE40" s="111"/>
      <c r="AF40" s="3460"/>
      <c r="AG40" s="111"/>
      <c r="AH40" s="111"/>
      <c r="AI40" s="121"/>
      <c r="AJ40" s="111"/>
      <c r="AK40" s="111"/>
      <c r="AL40" s="1218"/>
      <c r="AM40" s="111"/>
      <c r="AN40" s="111"/>
      <c r="AO40" s="1575"/>
      <c r="AP40" s="111"/>
      <c r="AQ40" s="112"/>
      <c r="AR40" s="1118"/>
      <c r="AS40" s="702"/>
    </row>
    <row r="41" spans="1:45" ht="2.25" customHeight="1">
      <c r="A41" s="281"/>
      <c r="B41" s="3513"/>
      <c r="C41" s="661"/>
      <c r="D41" s="670"/>
      <c r="E41" s="671"/>
      <c r="F41" s="672"/>
      <c r="G41" s="672"/>
      <c r="H41" s="673"/>
      <c r="I41" s="672"/>
      <c r="J41" s="672"/>
      <c r="K41" s="701"/>
      <c r="L41" s="672"/>
      <c r="M41" s="672"/>
      <c r="N41" s="674"/>
      <c r="O41" s="674"/>
      <c r="P41" s="672"/>
      <c r="Q41" s="674"/>
      <c r="R41" s="674"/>
      <c r="S41" s="672"/>
      <c r="T41" s="674"/>
      <c r="U41" s="674"/>
      <c r="V41" s="675"/>
      <c r="W41" s="185"/>
      <c r="X41" s="676"/>
      <c r="Y41" s="662"/>
      <c r="Z41" s="51"/>
      <c r="AA41" s="92"/>
      <c r="AB41" s="92"/>
      <c r="AC41" s="93"/>
      <c r="AD41" s="92"/>
      <c r="AE41" s="92"/>
      <c r="AF41" s="93"/>
      <c r="AG41" s="92"/>
      <c r="AH41" s="92"/>
      <c r="AI41" s="94"/>
      <c r="AJ41" s="94"/>
      <c r="AK41" s="92"/>
      <c r="AL41" s="1219"/>
      <c r="AM41" s="94"/>
      <c r="AN41" s="92"/>
      <c r="AO41" s="94"/>
      <c r="AP41" s="94"/>
      <c r="AQ41" s="663"/>
      <c r="AR41" s="68"/>
      <c r="AS41" s="703"/>
    </row>
    <row r="42" spans="1:45">
      <c r="A42" s="281"/>
      <c r="B42" s="3511" t="s">
        <v>103</v>
      </c>
      <c r="C42" s="282"/>
      <c r="D42" s="665"/>
      <c r="E42" s="3460"/>
      <c r="F42" s="667"/>
      <c r="G42" s="667"/>
      <c r="H42" s="3459"/>
      <c r="I42" s="667"/>
      <c r="J42" s="667"/>
      <c r="K42" s="120"/>
      <c r="L42" s="667"/>
      <c r="M42" s="667"/>
      <c r="N42" s="121"/>
      <c r="O42" s="667"/>
      <c r="P42" s="667"/>
      <c r="Q42" s="1218"/>
      <c r="R42" s="667"/>
      <c r="S42" s="667"/>
      <c r="T42" s="1575"/>
      <c r="U42" s="667"/>
      <c r="V42" s="668"/>
      <c r="W42" s="1116"/>
      <c r="X42" s="669"/>
      <c r="Y42" s="656"/>
      <c r="Z42" s="3460"/>
      <c r="AA42" s="111"/>
      <c r="AB42" s="111"/>
      <c r="AC42" s="3459"/>
      <c r="AD42" s="111"/>
      <c r="AE42" s="111"/>
      <c r="AF42" s="3460"/>
      <c r="AG42" s="111"/>
      <c r="AH42" s="111"/>
      <c r="AI42" s="121"/>
      <c r="AJ42" s="111"/>
      <c r="AK42" s="111"/>
      <c r="AL42" s="1218"/>
      <c r="AM42" s="111"/>
      <c r="AN42" s="111"/>
      <c r="AO42" s="1575"/>
      <c r="AP42" s="111"/>
      <c r="AQ42" s="112"/>
      <c r="AR42" s="1118"/>
      <c r="AS42" s="702"/>
    </row>
    <row r="43" spans="1:45" hidden="1">
      <c r="A43" s="281"/>
      <c r="B43" s="1510"/>
      <c r="C43" s="282"/>
      <c r="D43" s="665"/>
      <c r="E43" s="1511"/>
      <c r="F43" s="667"/>
      <c r="G43" s="667"/>
      <c r="H43" s="1512"/>
      <c r="I43" s="667"/>
      <c r="J43" s="667"/>
      <c r="K43" s="1513"/>
      <c r="L43" s="667"/>
      <c r="M43" s="667"/>
      <c r="N43" s="1514"/>
      <c r="O43" s="667"/>
      <c r="P43" s="667"/>
      <c r="Q43" s="1517"/>
      <c r="R43" s="667"/>
      <c r="S43" s="667"/>
      <c r="T43" s="1517"/>
      <c r="U43" s="667"/>
      <c r="V43" s="668"/>
      <c r="W43" s="1516"/>
      <c r="X43" s="669"/>
      <c r="Y43" s="656"/>
      <c r="Z43" s="1511"/>
      <c r="AA43" s="111"/>
      <c r="AB43" s="111"/>
      <c r="AC43" s="1512"/>
      <c r="AD43" s="111"/>
      <c r="AE43" s="111"/>
      <c r="AF43" s="1511"/>
      <c r="AG43" s="111"/>
      <c r="AH43" s="111"/>
      <c r="AI43" s="1514"/>
      <c r="AJ43" s="111"/>
      <c r="AK43" s="111"/>
      <c r="AL43" s="1517"/>
      <c r="AM43" s="111"/>
      <c r="AN43" s="111"/>
      <c r="AO43" s="1517"/>
      <c r="AP43" s="111"/>
      <c r="AQ43" s="112"/>
      <c r="AR43" s="1518"/>
      <c r="AS43" s="702"/>
    </row>
    <row r="44" spans="1:45" hidden="1">
      <c r="A44" s="281"/>
      <c r="B44" s="1510"/>
      <c r="C44" s="282"/>
      <c r="D44" s="665"/>
      <c r="E44" s="1511"/>
      <c r="F44" s="667"/>
      <c r="G44" s="667"/>
      <c r="H44" s="1512"/>
      <c r="I44" s="667"/>
      <c r="J44" s="667"/>
      <c r="K44" s="1513"/>
      <c r="L44" s="667"/>
      <c r="M44" s="667"/>
      <c r="N44" s="1514"/>
      <c r="O44" s="667"/>
      <c r="P44" s="667"/>
      <c r="Q44" s="1517"/>
      <c r="R44" s="667"/>
      <c r="S44" s="667"/>
      <c r="T44" s="1517"/>
      <c r="U44" s="667"/>
      <c r="V44" s="668"/>
      <c r="W44" s="1516"/>
      <c r="X44" s="669"/>
      <c r="Y44" s="656"/>
      <c r="Z44" s="1511"/>
      <c r="AA44" s="111"/>
      <c r="AB44" s="111"/>
      <c r="AC44" s="1512"/>
      <c r="AD44" s="111"/>
      <c r="AE44" s="111"/>
      <c r="AF44" s="1511"/>
      <c r="AG44" s="111"/>
      <c r="AH44" s="111"/>
      <c r="AI44" s="1514"/>
      <c r="AJ44" s="111"/>
      <c r="AK44" s="111"/>
      <c r="AL44" s="1517"/>
      <c r="AM44" s="111"/>
      <c r="AN44" s="111"/>
      <c r="AO44" s="1517"/>
      <c r="AP44" s="111"/>
      <c r="AQ44" s="112"/>
      <c r="AR44" s="1518"/>
      <c r="AS44" s="702"/>
    </row>
    <row r="45" spans="1:45" ht="6" customHeight="1">
      <c r="A45" s="281"/>
      <c r="B45" s="661"/>
      <c r="C45" s="661"/>
      <c r="D45" s="670"/>
      <c r="E45" s="671"/>
      <c r="F45" s="672"/>
      <c r="G45" s="672"/>
      <c r="H45" s="673"/>
      <c r="I45" s="672"/>
      <c r="J45" s="672"/>
      <c r="K45" s="701"/>
      <c r="L45" s="672"/>
      <c r="M45" s="672"/>
      <c r="N45" s="674"/>
      <c r="O45" s="674"/>
      <c r="P45" s="672"/>
      <c r="Q45" s="674"/>
      <c r="R45" s="674"/>
      <c r="S45" s="672"/>
      <c r="T45" s="674"/>
      <c r="U45" s="674"/>
      <c r="V45" s="675"/>
      <c r="W45" s="185"/>
      <c r="X45" s="676"/>
      <c r="Y45" s="662"/>
      <c r="Z45" s="51"/>
      <c r="AA45" s="92"/>
      <c r="AB45" s="92"/>
      <c r="AC45" s="93"/>
      <c r="AD45" s="92"/>
      <c r="AE45" s="92"/>
      <c r="AF45" s="93"/>
      <c r="AG45" s="92"/>
      <c r="AH45" s="92"/>
      <c r="AI45" s="94"/>
      <c r="AJ45" s="94"/>
      <c r="AK45" s="92"/>
      <c r="AL45" s="94"/>
      <c r="AM45" s="94"/>
      <c r="AN45" s="92"/>
      <c r="AO45" s="94"/>
      <c r="AP45" s="94"/>
      <c r="AQ45" s="663"/>
      <c r="AR45" s="68"/>
      <c r="AS45" s="703"/>
    </row>
    <row r="46" spans="1:45" ht="20.25" customHeight="1">
      <c r="A46" s="4028" t="s">
        <v>1254</v>
      </c>
      <c r="B46" s="4029"/>
      <c r="C46" s="4508"/>
      <c r="D46" s="4508"/>
      <c r="E46" s="4508"/>
      <c r="F46" s="4508"/>
      <c r="G46" s="4508"/>
      <c r="H46" s="4508"/>
      <c r="I46" s="4508"/>
      <c r="J46" s="4508"/>
      <c r="K46" s="4508"/>
      <c r="L46" s="4508"/>
      <c r="M46" s="4508"/>
      <c r="N46" s="4508"/>
      <c r="O46" s="4508"/>
      <c r="P46" s="4508"/>
      <c r="Q46" s="4508"/>
      <c r="R46" s="4508"/>
      <c r="S46" s="4508"/>
      <c r="T46" s="4508"/>
      <c r="U46" s="4508"/>
      <c r="V46" s="4508"/>
      <c r="W46" s="4508"/>
      <c r="X46" s="4508"/>
      <c r="Y46" s="4508"/>
      <c r="Z46" s="4508"/>
      <c r="AA46" s="4508"/>
      <c r="AB46" s="4508"/>
      <c r="AC46" s="4508"/>
      <c r="AD46" s="4508"/>
      <c r="AE46" s="4508"/>
      <c r="AF46" s="4508"/>
      <c r="AG46" s="4508"/>
      <c r="AH46" s="4508"/>
      <c r="AI46" s="4508"/>
      <c r="AJ46" s="4508"/>
      <c r="AK46" s="4508"/>
      <c r="AL46" s="4508"/>
      <c r="AM46" s="4508"/>
      <c r="AN46" s="4508"/>
      <c r="AO46" s="4508"/>
      <c r="AP46" s="4508"/>
      <c r="AQ46" s="4508"/>
      <c r="AR46" s="4508"/>
      <c r="AS46" s="4509"/>
    </row>
    <row r="47" spans="1:45" ht="2.25" customHeight="1">
      <c r="A47" s="281"/>
      <c r="B47" s="661"/>
      <c r="C47" s="661"/>
      <c r="D47" s="670"/>
      <c r="E47" s="671"/>
      <c r="F47" s="672"/>
      <c r="G47" s="672"/>
      <c r="H47" s="673"/>
      <c r="I47" s="672"/>
      <c r="J47" s="672"/>
      <c r="K47" s="701"/>
      <c r="L47" s="672"/>
      <c r="M47" s="672"/>
      <c r="N47" s="674"/>
      <c r="O47" s="674"/>
      <c r="P47" s="672"/>
      <c r="Q47" s="171"/>
      <c r="R47" s="674"/>
      <c r="S47" s="672"/>
      <c r="T47" s="171"/>
      <c r="U47" s="674"/>
      <c r="V47" s="675"/>
      <c r="W47" s="185">
        <v>4</v>
      </c>
      <c r="X47" s="676"/>
      <c r="Y47" s="662"/>
      <c r="Z47" s="51"/>
      <c r="AA47" s="92"/>
      <c r="AB47" s="92"/>
      <c r="AC47" s="93"/>
      <c r="AD47" s="92"/>
      <c r="AE47" s="92"/>
      <c r="AF47" s="93"/>
      <c r="AG47" s="92"/>
      <c r="AH47" s="92"/>
      <c r="AI47" s="94"/>
      <c r="AJ47" s="94"/>
      <c r="AK47" s="92"/>
      <c r="AL47" s="42"/>
      <c r="AM47" s="94"/>
      <c r="AN47" s="92"/>
      <c r="AO47" s="42"/>
      <c r="AP47" s="94"/>
      <c r="AQ47" s="663"/>
      <c r="AR47" s="68"/>
      <c r="AS47" s="703"/>
    </row>
    <row r="48" spans="1:45">
      <c r="A48" s="281"/>
      <c r="B48" s="282" t="s">
        <v>7</v>
      </c>
      <c r="C48" s="282"/>
      <c r="D48" s="665"/>
      <c r="E48" s="3460">
        <v>0.9</v>
      </c>
      <c r="F48" s="667"/>
      <c r="G48" s="667"/>
      <c r="H48" s="3459">
        <v>39.6</v>
      </c>
      <c r="I48" s="667"/>
      <c r="J48" s="667"/>
      <c r="K48" s="120" t="s">
        <v>13</v>
      </c>
      <c r="L48" s="667"/>
      <c r="M48" s="667"/>
      <c r="N48" s="121">
        <f>H48*'Step 7a--Feedstuff Required'!$C$77</f>
        <v>2376</v>
      </c>
      <c r="O48" s="691"/>
      <c r="P48" s="667"/>
      <c r="Q48" s="1120">
        <v>1.1000000000000001</v>
      </c>
      <c r="R48" s="691"/>
      <c r="S48" s="667"/>
      <c r="T48" s="1575">
        <v>1</v>
      </c>
      <c r="U48" s="691"/>
      <c r="V48" s="692"/>
      <c r="W48" s="1116">
        <v>3</v>
      </c>
      <c r="X48" s="693"/>
      <c r="Y48" s="656"/>
      <c r="Z48" s="3460">
        <v>0.9</v>
      </c>
      <c r="AA48" s="111"/>
      <c r="AB48" s="111"/>
      <c r="AC48" s="3459">
        <v>39.6</v>
      </c>
      <c r="AD48" s="111"/>
      <c r="AE48" s="111"/>
      <c r="AF48" s="3460" t="s">
        <v>13</v>
      </c>
      <c r="AG48" s="111"/>
      <c r="AH48" s="111"/>
      <c r="AI48" s="121">
        <f>AC48*$C$77</f>
        <v>2376</v>
      </c>
      <c r="AJ48" s="650"/>
      <c r="AK48" s="111"/>
      <c r="AL48" s="1120">
        <v>1.1000000000000001</v>
      </c>
      <c r="AM48" s="650"/>
      <c r="AN48" s="111"/>
      <c r="AO48" s="1575">
        <v>1</v>
      </c>
      <c r="AP48" s="650"/>
      <c r="AQ48" s="122"/>
      <c r="AR48" s="1118">
        <v>3</v>
      </c>
      <c r="AS48" s="707"/>
    </row>
    <row r="49" spans="1:45" ht="2.25" customHeight="1">
      <c r="A49" s="281"/>
      <c r="B49" s="661"/>
      <c r="C49" s="661"/>
      <c r="D49" s="670"/>
      <c r="E49" s="671"/>
      <c r="F49" s="672"/>
      <c r="G49" s="672"/>
      <c r="H49" s="673"/>
      <c r="I49" s="672"/>
      <c r="J49" s="672"/>
      <c r="K49" s="701"/>
      <c r="L49" s="672"/>
      <c r="M49" s="672"/>
      <c r="N49" s="674"/>
      <c r="O49" s="674"/>
      <c r="P49" s="672"/>
      <c r="Q49" s="171"/>
      <c r="R49" s="674"/>
      <c r="S49" s="672"/>
      <c r="T49" s="171"/>
      <c r="U49" s="674"/>
      <c r="V49" s="675"/>
      <c r="W49" s="185"/>
      <c r="X49" s="676"/>
      <c r="Y49" s="662"/>
      <c r="Z49" s="51"/>
      <c r="AA49" s="92"/>
      <c r="AB49" s="92"/>
      <c r="AC49" s="93"/>
      <c r="AD49" s="92"/>
      <c r="AE49" s="92"/>
      <c r="AF49" s="93"/>
      <c r="AG49" s="92"/>
      <c r="AH49" s="92"/>
      <c r="AI49" s="94"/>
      <c r="AJ49" s="94"/>
      <c r="AK49" s="92"/>
      <c r="AL49" s="42"/>
      <c r="AM49" s="94"/>
      <c r="AN49" s="92"/>
      <c r="AO49" s="42"/>
      <c r="AP49" s="94"/>
      <c r="AQ49" s="663"/>
      <c r="AR49" s="68"/>
      <c r="AS49" s="703"/>
    </row>
    <row r="50" spans="1:45">
      <c r="A50" s="281"/>
      <c r="B50" s="282" t="s">
        <v>8</v>
      </c>
      <c r="C50" s="285"/>
      <c r="D50" s="694"/>
      <c r="E50" s="3460">
        <v>0.9</v>
      </c>
      <c r="F50" s="667"/>
      <c r="G50" s="667"/>
      <c r="H50" s="3459">
        <f>H48</f>
        <v>39.6</v>
      </c>
      <c r="I50" s="667"/>
      <c r="J50" s="667"/>
      <c r="K50" s="120" t="s">
        <v>13</v>
      </c>
      <c r="L50" s="667"/>
      <c r="M50" s="667"/>
      <c r="N50" s="121">
        <f>H50*$C$78</f>
        <v>2376</v>
      </c>
      <c r="O50" s="695"/>
      <c r="P50" s="667"/>
      <c r="Q50" s="1120">
        <v>1.1000000000000001</v>
      </c>
      <c r="R50" s="695"/>
      <c r="S50" s="667"/>
      <c r="T50" s="1575">
        <v>1</v>
      </c>
      <c r="U50" s="695"/>
      <c r="V50" s="696"/>
      <c r="W50" s="1116">
        <v>7</v>
      </c>
      <c r="X50" s="697"/>
      <c r="Y50" s="659"/>
      <c r="Z50" s="3460">
        <v>0.9</v>
      </c>
      <c r="AA50" s="111"/>
      <c r="AB50" s="111"/>
      <c r="AC50" s="3459">
        <f>AC48</f>
        <v>39.6</v>
      </c>
      <c r="AD50" s="111"/>
      <c r="AE50" s="111"/>
      <c r="AF50" s="3460" t="s">
        <v>13</v>
      </c>
      <c r="AG50" s="111"/>
      <c r="AH50" s="111"/>
      <c r="AI50" s="121">
        <f>AC50*'Step 7a--Feedstuff Required'!$C$78</f>
        <v>2376</v>
      </c>
      <c r="AJ50" s="115"/>
      <c r="AK50" s="111"/>
      <c r="AL50" s="1120">
        <v>1.1000000000000001</v>
      </c>
      <c r="AM50" s="115"/>
      <c r="AN50" s="111"/>
      <c r="AO50" s="1575">
        <v>1</v>
      </c>
      <c r="AP50" s="115"/>
      <c r="AQ50" s="652"/>
      <c r="AR50" s="1118">
        <v>7</v>
      </c>
      <c r="AS50" s="708"/>
    </row>
    <row r="51" spans="1:45" ht="2.25" customHeight="1">
      <c r="A51" s="281"/>
      <c r="B51" s="1375"/>
      <c r="C51" s="661"/>
      <c r="D51" s="670"/>
      <c r="E51" s="671"/>
      <c r="F51" s="672"/>
      <c r="G51" s="672"/>
      <c r="H51" s="673"/>
      <c r="I51" s="672"/>
      <c r="J51" s="672"/>
      <c r="K51" s="701"/>
      <c r="L51" s="672"/>
      <c r="M51" s="672"/>
      <c r="N51" s="674"/>
      <c r="O51" s="674"/>
      <c r="P51" s="672"/>
      <c r="Q51" s="171"/>
      <c r="R51" s="674"/>
      <c r="S51" s="672"/>
      <c r="T51" s="171"/>
      <c r="U51" s="674"/>
      <c r="V51" s="675"/>
      <c r="W51" s="185"/>
      <c r="X51" s="676"/>
      <c r="Y51" s="662"/>
      <c r="Z51" s="51"/>
      <c r="AA51" s="92"/>
      <c r="AB51" s="92"/>
      <c r="AC51" s="93"/>
      <c r="AD51" s="92"/>
      <c r="AE51" s="92"/>
      <c r="AF51" s="93"/>
      <c r="AG51" s="92"/>
      <c r="AH51" s="92"/>
      <c r="AI51" s="94"/>
      <c r="AJ51" s="94"/>
      <c r="AK51" s="92"/>
      <c r="AL51" s="94"/>
      <c r="AM51" s="94"/>
      <c r="AN51" s="92"/>
      <c r="AO51" s="42"/>
      <c r="AP51" s="94"/>
      <c r="AQ51" s="663"/>
      <c r="AR51" s="68"/>
      <c r="AS51" s="703"/>
    </row>
    <row r="52" spans="1:45">
      <c r="A52" s="281"/>
      <c r="B52" s="3511" t="s">
        <v>494</v>
      </c>
      <c r="C52" s="282"/>
      <c r="D52" s="665"/>
      <c r="E52" s="3460"/>
      <c r="F52" s="667"/>
      <c r="G52" s="667"/>
      <c r="H52" s="3459"/>
      <c r="I52" s="667"/>
      <c r="J52" s="667"/>
      <c r="K52" s="120"/>
      <c r="L52" s="667"/>
      <c r="M52" s="667"/>
      <c r="N52" s="121"/>
      <c r="O52" s="667"/>
      <c r="P52" s="667"/>
      <c r="Q52" s="1120"/>
      <c r="R52" s="667"/>
      <c r="S52" s="667"/>
      <c r="T52" s="1575"/>
      <c r="U52" s="667"/>
      <c r="V52" s="668"/>
      <c r="W52" s="1116"/>
      <c r="X52" s="669"/>
      <c r="Y52" s="656"/>
      <c r="Z52" s="3460"/>
      <c r="AA52" s="111"/>
      <c r="AB52" s="111"/>
      <c r="AC52" s="3459"/>
      <c r="AD52" s="111"/>
      <c r="AE52" s="111"/>
      <c r="AF52" s="3460"/>
      <c r="AG52" s="111"/>
      <c r="AH52" s="111"/>
      <c r="AI52" s="121"/>
      <c r="AJ52" s="111"/>
      <c r="AK52" s="111"/>
      <c r="AL52" s="1218"/>
      <c r="AM52" s="111"/>
      <c r="AN52" s="111"/>
      <c r="AO52" s="1575"/>
      <c r="AP52" s="111"/>
      <c r="AQ52" s="112"/>
      <c r="AR52" s="1118"/>
      <c r="AS52" s="702"/>
    </row>
    <row r="53" spans="1:45" ht="2.25" customHeight="1">
      <c r="A53" s="281"/>
      <c r="B53" s="3514" t="s">
        <v>284</v>
      </c>
      <c r="C53" s="661"/>
      <c r="D53" s="670"/>
      <c r="E53" s="671"/>
      <c r="F53" s="672"/>
      <c r="G53" s="672"/>
      <c r="H53" s="673"/>
      <c r="I53" s="672"/>
      <c r="J53" s="672"/>
      <c r="K53" s="701"/>
      <c r="L53" s="672"/>
      <c r="M53" s="672"/>
      <c r="N53" s="674"/>
      <c r="O53" s="674"/>
      <c r="P53" s="672"/>
      <c r="Q53" s="171"/>
      <c r="R53" s="674"/>
      <c r="S53" s="672"/>
      <c r="T53" s="171"/>
      <c r="U53" s="674"/>
      <c r="V53" s="675"/>
      <c r="W53" s="185"/>
      <c r="X53" s="676"/>
      <c r="Y53" s="662"/>
      <c r="Z53" s="51"/>
      <c r="AA53" s="92"/>
      <c r="AB53" s="92"/>
      <c r="AC53" s="93"/>
      <c r="AD53" s="92"/>
      <c r="AE53" s="92"/>
      <c r="AF53" s="93"/>
      <c r="AG53" s="92"/>
      <c r="AH53" s="92"/>
      <c r="AI53" s="94"/>
      <c r="AJ53" s="94"/>
      <c r="AK53" s="92"/>
      <c r="AL53" s="1220"/>
      <c r="AM53" s="94"/>
      <c r="AN53" s="92"/>
      <c r="AO53" s="42"/>
      <c r="AP53" s="94"/>
      <c r="AQ53" s="663"/>
      <c r="AR53" s="68"/>
      <c r="AS53" s="703"/>
    </row>
    <row r="54" spans="1:45">
      <c r="A54" s="281"/>
      <c r="B54" s="3511" t="s">
        <v>494</v>
      </c>
      <c r="C54" s="282"/>
      <c r="D54" s="665"/>
      <c r="E54" s="3460"/>
      <c r="F54" s="667"/>
      <c r="G54" s="667"/>
      <c r="H54" s="3459"/>
      <c r="I54" s="667"/>
      <c r="J54" s="667"/>
      <c r="K54" s="120"/>
      <c r="L54" s="667"/>
      <c r="M54" s="667"/>
      <c r="N54" s="121"/>
      <c r="O54" s="667"/>
      <c r="P54" s="667"/>
      <c r="Q54" s="1120"/>
      <c r="R54" s="667"/>
      <c r="S54" s="667"/>
      <c r="T54" s="1575"/>
      <c r="U54" s="667"/>
      <c r="V54" s="668"/>
      <c r="W54" s="1116"/>
      <c r="X54" s="669"/>
      <c r="Y54" s="656"/>
      <c r="Z54" s="3460"/>
      <c r="AA54" s="111"/>
      <c r="AB54" s="111"/>
      <c r="AC54" s="3459"/>
      <c r="AD54" s="111"/>
      <c r="AE54" s="111"/>
      <c r="AF54" s="3460"/>
      <c r="AG54" s="111"/>
      <c r="AH54" s="111"/>
      <c r="AI54" s="121"/>
      <c r="AJ54" s="111"/>
      <c r="AK54" s="111"/>
      <c r="AL54" s="1218"/>
      <c r="AM54" s="111"/>
      <c r="AN54" s="111"/>
      <c r="AO54" s="1575"/>
      <c r="AP54" s="111"/>
      <c r="AQ54" s="112"/>
      <c r="AR54" s="1118"/>
      <c r="AS54" s="702"/>
    </row>
    <row r="55" spans="1:45" ht="2.25" customHeight="1">
      <c r="A55" s="281"/>
      <c r="B55" s="3513"/>
      <c r="C55" s="661"/>
      <c r="D55" s="670"/>
      <c r="E55" s="671"/>
      <c r="F55" s="672"/>
      <c r="G55" s="672"/>
      <c r="H55" s="673"/>
      <c r="I55" s="672"/>
      <c r="J55" s="672"/>
      <c r="K55" s="701"/>
      <c r="L55" s="672"/>
      <c r="M55" s="672"/>
      <c r="N55" s="674"/>
      <c r="O55" s="674"/>
      <c r="P55" s="672"/>
      <c r="Q55" s="674"/>
      <c r="R55" s="674"/>
      <c r="S55" s="672"/>
      <c r="T55" s="674"/>
      <c r="U55" s="674"/>
      <c r="V55" s="675"/>
      <c r="W55" s="185"/>
      <c r="X55" s="676"/>
      <c r="Y55" s="662"/>
      <c r="Z55" s="51"/>
      <c r="AA55" s="92"/>
      <c r="AB55" s="92"/>
      <c r="AC55" s="93"/>
      <c r="AD55" s="92"/>
      <c r="AE55" s="92"/>
      <c r="AF55" s="93"/>
      <c r="AG55" s="92"/>
      <c r="AH55" s="92"/>
      <c r="AI55" s="94"/>
      <c r="AJ55" s="94"/>
      <c r="AK55" s="92"/>
      <c r="AL55" s="1220"/>
      <c r="AM55" s="94"/>
      <c r="AN55" s="92"/>
      <c r="AO55" s="94"/>
      <c r="AP55" s="94"/>
      <c r="AQ55" s="663"/>
      <c r="AR55" s="68"/>
      <c r="AS55" s="703"/>
    </row>
    <row r="56" spans="1:45">
      <c r="A56" s="281"/>
      <c r="B56" s="3511" t="s">
        <v>494</v>
      </c>
      <c r="C56" s="282"/>
      <c r="D56" s="665"/>
      <c r="E56" s="3460"/>
      <c r="F56" s="667"/>
      <c r="G56" s="667"/>
      <c r="H56" s="3459"/>
      <c r="I56" s="667"/>
      <c r="J56" s="667"/>
      <c r="K56" s="120"/>
      <c r="L56" s="667"/>
      <c r="M56" s="667"/>
      <c r="N56" s="121"/>
      <c r="O56" s="698"/>
      <c r="P56" s="667"/>
      <c r="Q56" s="1218"/>
      <c r="R56" s="698"/>
      <c r="S56" s="667"/>
      <c r="T56" s="1575"/>
      <c r="U56" s="698"/>
      <c r="V56" s="699"/>
      <c r="W56" s="1116"/>
      <c r="X56" s="700"/>
      <c r="Y56" s="656"/>
      <c r="Z56" s="3460"/>
      <c r="AA56" s="111"/>
      <c r="AB56" s="111"/>
      <c r="AC56" s="120"/>
      <c r="AD56" s="111"/>
      <c r="AE56" s="111"/>
      <c r="AF56" s="3460"/>
      <c r="AG56" s="111"/>
      <c r="AH56" s="111"/>
      <c r="AI56" s="121"/>
      <c r="AJ56" s="651"/>
      <c r="AK56" s="111"/>
      <c r="AL56" s="1218"/>
      <c r="AM56" s="651"/>
      <c r="AN56" s="111"/>
      <c r="AO56" s="1575"/>
      <c r="AP56" s="651"/>
      <c r="AQ56" s="653"/>
      <c r="AR56" s="1118"/>
      <c r="AS56" s="709"/>
    </row>
    <row r="57" spans="1:45" ht="6" customHeight="1">
      <c r="A57" s="286"/>
      <c r="B57" s="287"/>
      <c r="C57" s="287"/>
      <c r="D57" s="684"/>
      <c r="E57" s="685"/>
      <c r="F57" s="686"/>
      <c r="G57" s="686"/>
      <c r="H57" s="687"/>
      <c r="I57" s="686"/>
      <c r="J57" s="686"/>
      <c r="K57" s="687"/>
      <c r="L57" s="686"/>
      <c r="M57" s="686"/>
      <c r="N57" s="688"/>
      <c r="O57" s="688"/>
      <c r="P57" s="686"/>
      <c r="Q57" s="688"/>
      <c r="R57" s="688"/>
      <c r="S57" s="686"/>
      <c r="T57" s="688"/>
      <c r="U57" s="688"/>
      <c r="V57" s="689"/>
      <c r="W57" s="1117"/>
      <c r="X57" s="690"/>
      <c r="Y57" s="660"/>
      <c r="Z57" s="105"/>
      <c r="AA57" s="106"/>
      <c r="AB57" s="106"/>
      <c r="AC57" s="107"/>
      <c r="AD57" s="106"/>
      <c r="AE57" s="106"/>
      <c r="AF57" s="107"/>
      <c r="AG57" s="106"/>
      <c r="AH57" s="106"/>
      <c r="AI57" s="108"/>
      <c r="AJ57" s="108"/>
      <c r="AK57" s="106"/>
      <c r="AL57" s="108"/>
      <c r="AM57" s="108"/>
      <c r="AN57" s="106"/>
      <c r="AO57" s="108"/>
      <c r="AP57" s="108"/>
      <c r="AQ57" s="654"/>
      <c r="AR57" s="1119"/>
      <c r="AS57" s="706"/>
    </row>
    <row r="58" spans="1:45" ht="30" customHeight="1">
      <c r="A58" s="4631" t="s">
        <v>168</v>
      </c>
      <c r="B58" s="4632"/>
      <c r="C58" s="4632"/>
      <c r="D58" s="4632"/>
      <c r="E58" s="4632"/>
      <c r="F58" s="4632"/>
      <c r="G58" s="4632"/>
      <c r="H58" s="4632"/>
      <c r="I58" s="4632"/>
      <c r="J58" s="4632"/>
      <c r="K58" s="4632"/>
      <c r="L58" s="4632"/>
      <c r="M58" s="4632"/>
      <c r="N58" s="4632"/>
      <c r="O58" s="4632"/>
      <c r="P58" s="4632"/>
      <c r="Q58" s="4632"/>
      <c r="R58" s="4632"/>
      <c r="S58" s="4632"/>
      <c r="T58" s="4632"/>
      <c r="U58" s="4632"/>
      <c r="V58" s="4632"/>
      <c r="W58" s="4632"/>
      <c r="X58" s="4632"/>
      <c r="Y58" s="4632"/>
      <c r="Z58" s="4632"/>
      <c r="AA58" s="4632"/>
      <c r="AB58" s="4632"/>
      <c r="AC58" s="4632"/>
      <c r="AD58" s="4632"/>
      <c r="AE58" s="4632"/>
      <c r="AF58" s="4632"/>
      <c r="AG58" s="4632"/>
      <c r="AH58" s="4632"/>
      <c r="AI58" s="4632"/>
      <c r="AJ58" s="4632"/>
      <c r="AK58" s="4632"/>
      <c r="AL58" s="4632"/>
      <c r="AM58" s="4632"/>
      <c r="AN58" s="4632"/>
      <c r="AO58" s="4632"/>
      <c r="AP58" s="4632"/>
      <c r="AQ58" s="4632"/>
      <c r="AR58" s="4632"/>
      <c r="AS58" s="4633"/>
    </row>
    <row r="59" spans="1:45">
      <c r="A59" s="4611" t="s">
        <v>1251</v>
      </c>
      <c r="B59" s="4612"/>
      <c r="C59" s="4612"/>
      <c r="D59" s="4612"/>
      <c r="E59" s="4612"/>
      <c r="F59" s="4612"/>
      <c r="G59" s="4612"/>
      <c r="H59" s="4612"/>
      <c r="I59" s="4612"/>
      <c r="J59" s="4612"/>
      <c r="K59" s="4612"/>
      <c r="L59" s="4612"/>
      <c r="M59" s="4612"/>
      <c r="N59" s="4612"/>
      <c r="O59" s="4612"/>
      <c r="P59" s="4612"/>
      <c r="Q59" s="4612"/>
      <c r="R59" s="4612"/>
      <c r="S59" s="4612"/>
      <c r="T59" s="4612"/>
      <c r="U59" s="4612"/>
      <c r="V59" s="4612"/>
      <c r="W59" s="4612"/>
      <c r="X59" s="4612"/>
      <c r="Y59" s="4612"/>
      <c r="Z59" s="4612"/>
      <c r="AA59" s="4612"/>
      <c r="AB59" s="4612"/>
      <c r="AC59" s="4612"/>
      <c r="AD59" s="4612"/>
      <c r="AE59" s="4612"/>
      <c r="AF59" s="4612"/>
      <c r="AG59" s="4612"/>
      <c r="AH59" s="4612"/>
      <c r="AI59" s="4612"/>
      <c r="AJ59" s="4612"/>
      <c r="AK59" s="4612"/>
      <c r="AL59" s="4612"/>
      <c r="AM59" s="4612"/>
      <c r="AN59" s="4612"/>
      <c r="AO59" s="4612"/>
      <c r="AP59" s="4612"/>
      <c r="AQ59" s="4612"/>
      <c r="AR59" s="4612"/>
      <c r="AS59" s="4613"/>
    </row>
    <row r="60" spans="1:45" ht="26.25" customHeight="1">
      <c r="A60" s="4634" t="s">
        <v>1252</v>
      </c>
      <c r="B60" s="4635"/>
      <c r="C60" s="4635"/>
      <c r="D60" s="4635"/>
      <c r="E60" s="4635"/>
      <c r="F60" s="4635"/>
      <c r="G60" s="4635"/>
      <c r="H60" s="4635"/>
      <c r="I60" s="4635"/>
      <c r="J60" s="4635"/>
      <c r="K60" s="4635"/>
      <c r="L60" s="4635"/>
      <c r="M60" s="4635"/>
      <c r="N60" s="4635"/>
      <c r="O60" s="4635"/>
      <c r="P60" s="4635"/>
      <c r="Q60" s="4635"/>
      <c r="R60" s="4635"/>
      <c r="S60" s="4635"/>
      <c r="T60" s="4635"/>
      <c r="U60" s="4635"/>
      <c r="V60" s="4635"/>
      <c r="W60" s="4635"/>
      <c r="X60" s="4635"/>
      <c r="Y60" s="4635"/>
      <c r="Z60" s="4635"/>
      <c r="AA60" s="4635"/>
      <c r="AB60" s="4635"/>
      <c r="AC60" s="4635"/>
      <c r="AD60" s="4635"/>
      <c r="AE60" s="4635"/>
      <c r="AF60" s="4635"/>
      <c r="AG60" s="4635"/>
      <c r="AH60" s="4635"/>
      <c r="AI60" s="4635"/>
      <c r="AJ60" s="4635"/>
      <c r="AK60" s="4635"/>
      <c r="AL60" s="4635"/>
      <c r="AM60" s="4635"/>
      <c r="AN60" s="4635"/>
      <c r="AO60" s="4635"/>
      <c r="AP60" s="4635"/>
      <c r="AQ60" s="4635"/>
      <c r="AR60" s="4635"/>
      <c r="AS60" s="4636"/>
    </row>
    <row r="61" spans="1:45">
      <c r="A61" s="4611" t="s">
        <v>264</v>
      </c>
      <c r="B61" s="4612"/>
      <c r="C61" s="4612"/>
      <c r="D61" s="4612"/>
      <c r="E61" s="4612"/>
      <c r="F61" s="4612"/>
      <c r="G61" s="4612"/>
      <c r="H61" s="4612"/>
      <c r="I61" s="4612"/>
      <c r="J61" s="4612"/>
      <c r="K61" s="4612"/>
      <c r="L61" s="4612"/>
      <c r="M61" s="4612"/>
      <c r="N61" s="4612"/>
      <c r="O61" s="4612"/>
      <c r="P61" s="4612"/>
      <c r="Q61" s="4612"/>
      <c r="R61" s="4612"/>
      <c r="S61" s="4612"/>
      <c r="T61" s="4612"/>
      <c r="U61" s="4612"/>
      <c r="V61" s="4612"/>
      <c r="W61" s="4612"/>
      <c r="X61" s="4612"/>
      <c r="Y61" s="4612"/>
      <c r="Z61" s="4612"/>
      <c r="AA61" s="4612"/>
      <c r="AB61" s="4612"/>
      <c r="AC61" s="4612"/>
      <c r="AD61" s="4612"/>
      <c r="AE61" s="4612"/>
      <c r="AF61" s="4612"/>
      <c r="AG61" s="4612"/>
      <c r="AH61" s="4612"/>
      <c r="AI61" s="4612"/>
      <c r="AJ61" s="4612"/>
      <c r="AK61" s="4612"/>
      <c r="AL61" s="4612"/>
      <c r="AM61" s="4612"/>
      <c r="AN61" s="4612"/>
      <c r="AO61" s="4612"/>
      <c r="AP61" s="4612"/>
      <c r="AQ61" s="4612"/>
      <c r="AR61" s="4612"/>
      <c r="AS61" s="4613"/>
    </row>
    <row r="62" spans="1:45">
      <c r="A62" s="4611" t="s">
        <v>265</v>
      </c>
      <c r="B62" s="4612"/>
      <c r="C62" s="4612"/>
      <c r="D62" s="4612"/>
      <c r="E62" s="4612"/>
      <c r="F62" s="4612"/>
      <c r="G62" s="4612"/>
      <c r="H62" s="4612"/>
      <c r="I62" s="4612"/>
      <c r="J62" s="4612"/>
      <c r="K62" s="4612"/>
      <c r="L62" s="4612"/>
      <c r="M62" s="4612"/>
      <c r="N62" s="4612"/>
      <c r="O62" s="4612"/>
      <c r="P62" s="4612"/>
      <c r="Q62" s="4612"/>
      <c r="R62" s="4612"/>
      <c r="S62" s="4612"/>
      <c r="T62" s="4612"/>
      <c r="U62" s="4612"/>
      <c r="V62" s="4612"/>
      <c r="W62" s="4612"/>
      <c r="X62" s="4612"/>
      <c r="Y62" s="4612"/>
      <c r="Z62" s="4612"/>
      <c r="AA62" s="4612"/>
      <c r="AB62" s="4612"/>
      <c r="AC62" s="4612"/>
      <c r="AD62" s="4612"/>
      <c r="AE62" s="4612"/>
      <c r="AF62" s="4612"/>
      <c r="AG62" s="4612"/>
      <c r="AH62" s="4612"/>
      <c r="AI62" s="4612"/>
      <c r="AJ62" s="4612"/>
      <c r="AK62" s="4612"/>
      <c r="AL62" s="4612"/>
      <c r="AM62" s="4612"/>
      <c r="AN62" s="4612"/>
      <c r="AO62" s="4612"/>
      <c r="AP62" s="4612"/>
      <c r="AQ62" s="4612"/>
      <c r="AR62" s="4612"/>
      <c r="AS62" s="4613"/>
    </row>
    <row r="63" spans="1:45">
      <c r="A63" s="4611" t="s">
        <v>288</v>
      </c>
      <c r="B63" s="4612"/>
      <c r="C63" s="4612"/>
      <c r="D63" s="4612"/>
      <c r="E63" s="4612"/>
      <c r="F63" s="4612"/>
      <c r="G63" s="4612"/>
      <c r="H63" s="4612"/>
      <c r="I63" s="4612"/>
      <c r="J63" s="4612"/>
      <c r="K63" s="4612"/>
      <c r="L63" s="4612"/>
      <c r="M63" s="4612"/>
      <c r="N63" s="4612"/>
      <c r="O63" s="4612"/>
      <c r="P63" s="4612"/>
      <c r="Q63" s="4612"/>
      <c r="R63" s="4612"/>
      <c r="S63" s="4612"/>
      <c r="T63" s="4612"/>
      <c r="U63" s="4612"/>
      <c r="V63" s="4612"/>
      <c r="W63" s="4612"/>
      <c r="X63" s="4612"/>
      <c r="Y63" s="4612"/>
      <c r="Z63" s="4612"/>
      <c r="AA63" s="4612"/>
      <c r="AB63" s="4612"/>
      <c r="AC63" s="4612"/>
      <c r="AD63" s="4612"/>
      <c r="AE63" s="4612"/>
      <c r="AF63" s="4612"/>
      <c r="AG63" s="4612"/>
      <c r="AH63" s="4612"/>
      <c r="AI63" s="4612"/>
      <c r="AJ63" s="4612"/>
      <c r="AK63" s="4612"/>
      <c r="AL63" s="4612"/>
      <c r="AM63" s="4612"/>
      <c r="AN63" s="4612"/>
      <c r="AO63" s="4612"/>
      <c r="AP63" s="4612"/>
      <c r="AQ63" s="4612"/>
      <c r="AR63" s="4612"/>
      <c r="AS63" s="4613"/>
    </row>
    <row r="64" spans="1:45">
      <c r="A64" s="4611" t="s">
        <v>289</v>
      </c>
      <c r="B64" s="4612"/>
      <c r="C64" s="4612"/>
      <c r="D64" s="4612"/>
      <c r="E64" s="4612"/>
      <c r="F64" s="4612"/>
      <c r="G64" s="4612"/>
      <c r="H64" s="4612"/>
      <c r="I64" s="4612"/>
      <c r="J64" s="4612"/>
      <c r="K64" s="4612"/>
      <c r="L64" s="4612"/>
      <c r="M64" s="4612"/>
      <c r="N64" s="4612"/>
      <c r="O64" s="4612"/>
      <c r="P64" s="4612"/>
      <c r="Q64" s="4612"/>
      <c r="R64" s="4612"/>
      <c r="S64" s="4612"/>
      <c r="T64" s="4612"/>
      <c r="U64" s="4612"/>
      <c r="V64" s="4612"/>
      <c r="W64" s="4612"/>
      <c r="X64" s="4612"/>
      <c r="Y64" s="4612"/>
      <c r="Z64" s="4612"/>
      <c r="AA64" s="4612"/>
      <c r="AB64" s="4612"/>
      <c r="AC64" s="4612"/>
      <c r="AD64" s="4612"/>
      <c r="AE64" s="4612"/>
      <c r="AF64" s="4612"/>
      <c r="AG64" s="4612"/>
      <c r="AH64" s="4612"/>
      <c r="AI64" s="4612"/>
      <c r="AJ64" s="4612"/>
      <c r="AK64" s="4612"/>
      <c r="AL64" s="4612"/>
      <c r="AM64" s="4612"/>
      <c r="AN64" s="4612"/>
      <c r="AO64" s="4612"/>
      <c r="AP64" s="4612"/>
      <c r="AQ64" s="4612"/>
      <c r="AR64" s="4612"/>
      <c r="AS64" s="4613"/>
    </row>
    <row r="65" spans="1:45">
      <c r="A65" s="4611" t="s">
        <v>287</v>
      </c>
      <c r="B65" s="4612"/>
      <c r="C65" s="4612"/>
      <c r="D65" s="4612"/>
      <c r="E65" s="4612"/>
      <c r="F65" s="4612"/>
      <c r="G65" s="4612"/>
      <c r="H65" s="4612"/>
      <c r="I65" s="4612"/>
      <c r="J65" s="4612"/>
      <c r="K65" s="4612"/>
      <c r="L65" s="4612"/>
      <c r="M65" s="4612"/>
      <c r="N65" s="4612"/>
      <c r="O65" s="4612"/>
      <c r="P65" s="4612"/>
      <c r="Q65" s="4612"/>
      <c r="R65" s="4612"/>
      <c r="S65" s="4612"/>
      <c r="T65" s="4612"/>
      <c r="U65" s="4612"/>
      <c r="V65" s="4612"/>
      <c r="W65" s="4612"/>
      <c r="X65" s="4612"/>
      <c r="Y65" s="4612"/>
      <c r="Z65" s="4612"/>
      <c r="AA65" s="4612"/>
      <c r="AB65" s="4612"/>
      <c r="AC65" s="4612"/>
      <c r="AD65" s="4612"/>
      <c r="AE65" s="4612"/>
      <c r="AF65" s="4612"/>
      <c r="AG65" s="4612"/>
      <c r="AH65" s="4612"/>
      <c r="AI65" s="4612"/>
      <c r="AJ65" s="4612"/>
      <c r="AK65" s="4612"/>
      <c r="AL65" s="4612"/>
      <c r="AM65" s="4612"/>
      <c r="AN65" s="4612"/>
      <c r="AO65" s="4612"/>
      <c r="AP65" s="4612"/>
      <c r="AQ65" s="4612"/>
      <c r="AR65" s="4612"/>
      <c r="AS65" s="4613"/>
    </row>
    <row r="66" spans="1:45">
      <c r="A66" s="4643" t="s">
        <v>121</v>
      </c>
      <c r="B66" s="4644"/>
      <c r="C66" s="4644"/>
      <c r="D66" s="4644"/>
      <c r="E66" s="4644"/>
      <c r="F66" s="4644"/>
      <c r="G66" s="4644"/>
      <c r="H66" s="4644"/>
      <c r="I66" s="4644"/>
      <c r="J66" s="4644"/>
      <c r="K66" s="4644"/>
      <c r="L66" s="4644"/>
      <c r="M66" s="4644"/>
      <c r="N66" s="4644"/>
      <c r="O66" s="4644"/>
      <c r="P66" s="4644"/>
      <c r="Q66" s="4644"/>
      <c r="R66" s="4644"/>
      <c r="S66" s="4644"/>
      <c r="T66" s="4644"/>
      <c r="U66" s="4644"/>
      <c r="V66" s="4644"/>
      <c r="W66" s="4644"/>
      <c r="X66" s="4644"/>
      <c r="Y66" s="4644"/>
      <c r="Z66" s="4644"/>
      <c r="AA66" s="4644"/>
      <c r="AB66" s="4644"/>
      <c r="AC66" s="4644"/>
      <c r="AD66" s="4644"/>
      <c r="AE66" s="4644"/>
      <c r="AF66" s="4644"/>
      <c r="AG66" s="4644"/>
      <c r="AH66" s="4644"/>
      <c r="AI66" s="4644"/>
      <c r="AJ66" s="4644"/>
      <c r="AK66" s="4644"/>
      <c r="AL66" s="4644"/>
      <c r="AM66" s="4644"/>
      <c r="AN66" s="4644"/>
      <c r="AO66" s="4644"/>
      <c r="AP66" s="4644"/>
      <c r="AQ66" s="4644"/>
      <c r="AR66" s="4644"/>
      <c r="AS66" s="4645"/>
    </row>
    <row r="67" spans="1:45">
      <c r="A67" s="4643" t="s">
        <v>576</v>
      </c>
      <c r="B67" s="4644"/>
      <c r="C67" s="4644"/>
      <c r="D67" s="4644"/>
      <c r="E67" s="4644"/>
      <c r="F67" s="4644"/>
      <c r="G67" s="4644"/>
      <c r="H67" s="4644"/>
      <c r="I67" s="4644"/>
      <c r="J67" s="4644"/>
      <c r="K67" s="4644"/>
      <c r="L67" s="4644"/>
      <c r="M67" s="4644"/>
      <c r="N67" s="4644"/>
      <c r="O67" s="4644"/>
      <c r="P67" s="4644"/>
      <c r="Q67" s="4644"/>
      <c r="R67" s="4644"/>
      <c r="S67" s="4644"/>
      <c r="T67" s="4644"/>
      <c r="U67" s="4644"/>
      <c r="V67" s="4644"/>
      <c r="W67" s="4644"/>
      <c r="X67" s="4644"/>
      <c r="Y67" s="4644"/>
      <c r="Z67" s="4644"/>
      <c r="AA67" s="4644"/>
      <c r="AB67" s="4644"/>
      <c r="AC67" s="4644"/>
      <c r="AD67" s="4644"/>
      <c r="AE67" s="4644"/>
      <c r="AF67" s="4644"/>
      <c r="AG67" s="4644"/>
      <c r="AH67" s="4644"/>
      <c r="AI67" s="4644"/>
      <c r="AJ67" s="4644"/>
      <c r="AK67" s="4644"/>
      <c r="AL67" s="4644"/>
      <c r="AM67" s="4644"/>
      <c r="AN67" s="4644"/>
      <c r="AO67" s="4644"/>
      <c r="AP67" s="4644"/>
      <c r="AQ67" s="4644"/>
      <c r="AR67" s="4644"/>
      <c r="AS67" s="4645"/>
    </row>
    <row r="68" spans="1:45">
      <c r="A68" s="4643" t="s">
        <v>848</v>
      </c>
      <c r="B68" s="4644"/>
      <c r="C68" s="4644"/>
      <c r="D68" s="4644"/>
      <c r="E68" s="4644"/>
      <c r="F68" s="4644"/>
      <c r="G68" s="4644"/>
      <c r="H68" s="4644"/>
      <c r="I68" s="4644"/>
      <c r="J68" s="4644"/>
      <c r="K68" s="4644"/>
      <c r="L68" s="4644"/>
      <c r="M68" s="4644"/>
      <c r="N68" s="4644"/>
      <c r="O68" s="4644"/>
      <c r="P68" s="4644"/>
      <c r="Q68" s="4644"/>
      <c r="R68" s="4644"/>
      <c r="S68" s="4644"/>
      <c r="T68" s="4644"/>
      <c r="U68" s="4644"/>
      <c r="V68" s="4644"/>
      <c r="W68" s="4644"/>
      <c r="X68" s="4644"/>
      <c r="Y68" s="4644"/>
      <c r="Z68" s="4644"/>
      <c r="AA68" s="4644"/>
      <c r="AB68" s="4644"/>
      <c r="AC68" s="4644"/>
      <c r="AD68" s="4644"/>
      <c r="AE68" s="4644"/>
      <c r="AF68" s="4644"/>
      <c r="AG68" s="4644"/>
      <c r="AH68" s="4644"/>
      <c r="AI68" s="4644"/>
      <c r="AJ68" s="4644"/>
      <c r="AK68" s="4644"/>
      <c r="AL68" s="4644"/>
      <c r="AM68" s="4644"/>
      <c r="AN68" s="4644"/>
      <c r="AO68" s="4644"/>
      <c r="AP68" s="4644"/>
      <c r="AQ68" s="4644"/>
      <c r="AR68" s="4644"/>
      <c r="AS68" s="4645"/>
    </row>
    <row r="69" spans="1:45" ht="13.5" thickBot="1">
      <c r="A69" s="4095" t="s">
        <v>578</v>
      </c>
      <c r="B69" s="4096"/>
      <c r="C69" s="4096"/>
      <c r="D69" s="4096"/>
      <c r="E69" s="4096"/>
      <c r="F69" s="4096"/>
      <c r="G69" s="4096"/>
      <c r="H69" s="4096"/>
      <c r="I69" s="4096"/>
      <c r="J69" s="4096"/>
      <c r="K69" s="4096"/>
      <c r="L69" s="4096"/>
      <c r="M69" s="4096"/>
      <c r="N69" s="4096"/>
      <c r="O69" s="4096"/>
      <c r="P69" s="4096"/>
      <c r="Q69" s="4096"/>
      <c r="R69" s="4096"/>
      <c r="S69" s="4096"/>
      <c r="T69" s="4096"/>
      <c r="U69" s="4096"/>
      <c r="V69" s="4096"/>
      <c r="W69" s="4096"/>
      <c r="X69" s="4096"/>
      <c r="Y69" s="4096"/>
      <c r="Z69" s="4096"/>
      <c r="AA69" s="4096"/>
      <c r="AB69" s="4096"/>
      <c r="AC69" s="4096"/>
      <c r="AD69" s="4096"/>
      <c r="AE69" s="4096"/>
      <c r="AF69" s="4096"/>
      <c r="AG69" s="4096"/>
      <c r="AH69" s="4096"/>
      <c r="AI69" s="4096"/>
      <c r="AJ69" s="4096"/>
      <c r="AK69" s="4096"/>
      <c r="AL69" s="4096"/>
      <c r="AM69" s="4096"/>
      <c r="AN69" s="4096"/>
      <c r="AO69" s="4096"/>
      <c r="AP69" s="4096"/>
      <c r="AQ69" s="4096"/>
      <c r="AR69" s="4096"/>
      <c r="AS69" s="4097"/>
    </row>
    <row r="70" spans="1:45" ht="13.5" thickBot="1"/>
    <row r="71" spans="1:45">
      <c r="A71" s="4640" t="s">
        <v>290</v>
      </c>
      <c r="B71" s="4641"/>
      <c r="C71" s="4641"/>
      <c r="D71" s="4641"/>
      <c r="E71" s="4642"/>
    </row>
    <row r="72" spans="1:45" ht="14.25" customHeight="1">
      <c r="A72" s="1376" t="s">
        <v>101</v>
      </c>
      <c r="B72" s="1377"/>
      <c r="C72" s="4637" t="s">
        <v>32</v>
      </c>
      <c r="D72" s="4638"/>
      <c r="E72" s="4639"/>
    </row>
    <row r="73" spans="1:45" ht="14.25">
      <c r="A73" s="797" t="s">
        <v>12</v>
      </c>
      <c r="B73" s="798"/>
      <c r="C73" s="4608">
        <v>56</v>
      </c>
      <c r="D73" s="4609"/>
      <c r="E73" s="4610"/>
    </row>
    <row r="74" spans="1:45" ht="14.25">
      <c r="A74" s="797" t="s">
        <v>22</v>
      </c>
      <c r="B74" s="799"/>
      <c r="C74" s="4602">
        <v>48</v>
      </c>
      <c r="D74" s="4603"/>
      <c r="E74" s="4604"/>
    </row>
    <row r="75" spans="1:45" ht="14.25">
      <c r="A75" s="797" t="s">
        <v>25</v>
      </c>
      <c r="B75" s="798"/>
      <c r="C75" s="4605">
        <v>32</v>
      </c>
      <c r="D75" s="4606"/>
      <c r="E75" s="4607"/>
    </row>
    <row r="76" spans="1:45" ht="14.25">
      <c r="A76" s="797" t="s">
        <v>27</v>
      </c>
      <c r="B76" s="798"/>
      <c r="C76" s="4605">
        <v>60</v>
      </c>
      <c r="D76" s="4606"/>
      <c r="E76" s="4607"/>
    </row>
    <row r="77" spans="1:45" ht="14.25">
      <c r="A77" s="797" t="s">
        <v>7</v>
      </c>
      <c r="B77" s="798"/>
      <c r="C77" s="4605">
        <v>60</v>
      </c>
      <c r="D77" s="4606"/>
      <c r="E77" s="4607"/>
    </row>
    <row r="78" spans="1:45" ht="15" thickBot="1">
      <c r="A78" s="800" t="s">
        <v>14</v>
      </c>
      <c r="B78" s="801"/>
      <c r="C78" s="4599">
        <v>60</v>
      </c>
      <c r="D78" s="4600"/>
      <c r="E78" s="4601"/>
    </row>
    <row r="79" spans="1:45" ht="27.75" customHeight="1" thickBot="1">
      <c r="A79" s="4587" t="s">
        <v>496</v>
      </c>
      <c r="B79" s="4588"/>
      <c r="C79" s="4588"/>
      <c r="D79" s="4588"/>
      <c r="E79" s="4589"/>
    </row>
  </sheetData>
  <sheetProtection password="E0BE" sheet="1" objects="1" scenarios="1" selectLockedCells="1"/>
  <mergeCells count="45">
    <mergeCell ref="C72:E72"/>
    <mergeCell ref="A71:E71"/>
    <mergeCell ref="A65:AS65"/>
    <mergeCell ref="A68:AS68"/>
    <mergeCell ref="A66:AS66"/>
    <mergeCell ref="A67:AS67"/>
    <mergeCell ref="A58:AS58"/>
    <mergeCell ref="A59:AS59"/>
    <mergeCell ref="A69:AS69"/>
    <mergeCell ref="A60:AS60"/>
    <mergeCell ref="A61:AS61"/>
    <mergeCell ref="A62:AS62"/>
    <mergeCell ref="A63:AS63"/>
    <mergeCell ref="A1:AS1"/>
    <mergeCell ref="S5:U5"/>
    <mergeCell ref="A64:AS64"/>
    <mergeCell ref="J5:L5"/>
    <mergeCell ref="M5:O5"/>
    <mergeCell ref="A2:AS2"/>
    <mergeCell ref="D3:X3"/>
    <mergeCell ref="V5:X5"/>
    <mergeCell ref="D4:X4"/>
    <mergeCell ref="Y3:AS3"/>
    <mergeCell ref="Y4:AS4"/>
    <mergeCell ref="Y5:AA5"/>
    <mergeCell ref="AQ5:AS5"/>
    <mergeCell ref="AE5:AG5"/>
    <mergeCell ref="A6:AS6"/>
    <mergeCell ref="A28:AS28"/>
    <mergeCell ref="A79:E79"/>
    <mergeCell ref="A46:AS46"/>
    <mergeCell ref="D5:F5"/>
    <mergeCell ref="G5:I5"/>
    <mergeCell ref="AH5:AJ5"/>
    <mergeCell ref="AB5:AD5"/>
    <mergeCell ref="AN5:AP5"/>
    <mergeCell ref="P5:R5"/>
    <mergeCell ref="AK5:AM5"/>
    <mergeCell ref="A5:C5"/>
    <mergeCell ref="C78:E78"/>
    <mergeCell ref="C74:E74"/>
    <mergeCell ref="C75:E75"/>
    <mergeCell ref="C76:E76"/>
    <mergeCell ref="C77:E77"/>
    <mergeCell ref="C73:E73"/>
  </mergeCells>
  <pageMargins left="0.7" right="0.7" top="0.75" bottom="0.75" header="0.3" footer="0.3"/>
  <pageSetup scale="66" orientation="landscape" r:id="rId1"/>
  <headerFooter>
    <oddFooter>&amp;L&amp;A&amp;C&amp;F&amp;R&amp;D</oddFooter>
  </headerFooter>
  <ignoredErrors>
    <ignoredError sqref="AI8:AI18 N8:N18" unlockedFormula="1"/>
  </ignoredErrors>
</worksheet>
</file>

<file path=xl/worksheets/sheet18.xml><?xml version="1.0" encoding="utf-8"?>
<worksheet xmlns="http://schemas.openxmlformats.org/spreadsheetml/2006/main" xmlns:r="http://schemas.openxmlformats.org/officeDocument/2006/relationships">
  <sheetPr codeName="Sheet32">
    <pageSetUpPr fitToPage="1"/>
  </sheetPr>
  <dimension ref="A1:AS79"/>
  <sheetViews>
    <sheetView zoomScale="85" zoomScaleNormal="85" workbookViewId="0">
      <selection activeCell="AC16" sqref="AC16"/>
    </sheetView>
  </sheetViews>
  <sheetFormatPr defaultRowHeight="12.75"/>
  <cols>
    <col min="1" max="1" width="3.42578125" customWidth="1"/>
    <col min="2" max="2" width="21.42578125" customWidth="1"/>
    <col min="3" max="4" width="1.28515625" customWidth="1"/>
    <col min="5" max="5" width="8.7109375" customWidth="1"/>
    <col min="6" max="7" width="1.28515625" customWidth="1"/>
    <col min="8" max="8" width="8.7109375" customWidth="1"/>
    <col min="9" max="9" width="1.28515625" customWidth="1"/>
    <col min="10" max="10" width="1.140625" customWidth="1"/>
    <col min="11" max="11" width="8.7109375" customWidth="1"/>
    <col min="12" max="13" width="1.28515625" customWidth="1"/>
    <col min="14" max="14" width="8.7109375" customWidth="1"/>
    <col min="15" max="16" width="1.28515625" customWidth="1"/>
    <col min="17" max="17" width="9.85546875" customWidth="1"/>
    <col min="18" max="19" width="1.28515625" customWidth="1"/>
    <col min="20" max="20" width="9.85546875" customWidth="1"/>
    <col min="21" max="22" width="1.28515625" customWidth="1"/>
    <col min="23" max="23" width="7.7109375" customWidth="1"/>
    <col min="24" max="24" width="1.28515625" customWidth="1"/>
    <col min="25" max="25" width="1.42578125" customWidth="1"/>
    <col min="26" max="26" width="8.85546875" customWidth="1"/>
    <col min="27" max="28" width="1.28515625" customWidth="1"/>
    <col min="29" max="29" width="8.7109375" customWidth="1"/>
    <col min="30" max="30" width="1.28515625" customWidth="1"/>
    <col min="31" max="31" width="1.42578125" customWidth="1"/>
    <col min="32" max="32" width="8.7109375" customWidth="1"/>
    <col min="33" max="34" width="1.28515625" customWidth="1"/>
    <col min="35" max="35" width="8.7109375" customWidth="1"/>
    <col min="36" max="36" width="1.42578125" customWidth="1"/>
    <col min="37" max="37" width="1.28515625" customWidth="1"/>
    <col min="38" max="38" width="9.85546875" customWidth="1"/>
    <col min="39" max="39" width="1.42578125" customWidth="1"/>
    <col min="40" max="40" width="1.28515625" customWidth="1"/>
    <col min="41" max="41" width="9.85546875" customWidth="1"/>
    <col min="42" max="42" width="1.28515625" customWidth="1"/>
    <col min="43" max="43" width="1.42578125" customWidth="1"/>
    <col min="44" max="44" width="7.7109375" style="1" customWidth="1"/>
    <col min="45" max="45" width="1.85546875" customWidth="1"/>
  </cols>
  <sheetData>
    <row r="1" spans="1:45" s="1705"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7"/>
      <c r="AD1" s="3997"/>
      <c r="AE1" s="3997"/>
      <c r="AF1" s="3997"/>
      <c r="AG1" s="3997"/>
      <c r="AH1" s="3997"/>
      <c r="AI1" s="3997"/>
      <c r="AJ1" s="3997"/>
      <c r="AK1" s="3997"/>
      <c r="AL1" s="3997"/>
      <c r="AM1" s="3997"/>
      <c r="AN1" s="3997"/>
      <c r="AO1" s="3997"/>
      <c r="AP1" s="3997"/>
      <c r="AQ1" s="3997"/>
      <c r="AR1" s="3997"/>
      <c r="AS1" s="3998"/>
    </row>
    <row r="2" spans="1:45" ht="30" customHeight="1">
      <c r="A2" s="3967" t="s">
        <v>988</v>
      </c>
      <c r="B2" s="3968"/>
      <c r="C2" s="3968"/>
      <c r="D2" s="4017"/>
      <c r="E2" s="4017"/>
      <c r="F2" s="4017"/>
      <c r="G2" s="4017"/>
      <c r="H2" s="4017"/>
      <c r="I2" s="4017"/>
      <c r="J2" s="4017"/>
      <c r="K2" s="4017"/>
      <c r="L2" s="4017"/>
      <c r="M2" s="4017"/>
      <c r="N2" s="4017"/>
      <c r="O2" s="4017"/>
      <c r="P2" s="4017"/>
      <c r="Q2" s="4017"/>
      <c r="R2" s="4017"/>
      <c r="S2" s="4017"/>
      <c r="T2" s="4017"/>
      <c r="U2" s="4017"/>
      <c r="V2" s="4017"/>
      <c r="W2" s="4017"/>
      <c r="X2" s="4017"/>
      <c r="Y2" s="4017"/>
      <c r="Z2" s="4017"/>
      <c r="AA2" s="4017"/>
      <c r="AB2" s="4017"/>
      <c r="AC2" s="4017"/>
      <c r="AD2" s="4017"/>
      <c r="AE2" s="4017"/>
      <c r="AF2" s="4017"/>
      <c r="AG2" s="4017"/>
      <c r="AH2" s="4017"/>
      <c r="AI2" s="4017"/>
      <c r="AJ2" s="4017"/>
      <c r="AK2" s="4017"/>
      <c r="AL2" s="4017"/>
      <c r="AM2" s="4017"/>
      <c r="AN2" s="4017"/>
      <c r="AO2" s="4017"/>
      <c r="AP2" s="4017"/>
      <c r="AQ2" s="4017"/>
      <c r="AR2" s="4017"/>
      <c r="AS2" s="4098"/>
    </row>
    <row r="3" spans="1:45" ht="21" customHeight="1">
      <c r="A3" s="3462"/>
      <c r="B3" s="655"/>
      <c r="C3" s="655"/>
      <c r="D3" s="4005" t="str">
        <f>'Chosen Parameters-Part I'!D4</f>
        <v>Scenario 3</v>
      </c>
      <c r="E3" s="4006"/>
      <c r="F3" s="4006"/>
      <c r="G3" s="4006"/>
      <c r="H3" s="4006"/>
      <c r="I3" s="4006"/>
      <c r="J3" s="4006"/>
      <c r="K3" s="4006"/>
      <c r="L3" s="4006"/>
      <c r="M3" s="4006"/>
      <c r="N3" s="4006"/>
      <c r="O3" s="4006"/>
      <c r="P3" s="4006"/>
      <c r="Q3" s="4006"/>
      <c r="R3" s="4006"/>
      <c r="S3" s="4006"/>
      <c r="T3" s="4006"/>
      <c r="U3" s="4006"/>
      <c r="V3" s="4006"/>
      <c r="W3" s="4006"/>
      <c r="X3" s="4111"/>
      <c r="Y3" s="4112" t="str">
        <f>'Chosen Parameters-Part I'!E4</f>
        <v>Scenario 4</v>
      </c>
      <c r="Z3" s="4113"/>
      <c r="AA3" s="4113"/>
      <c r="AB3" s="4113"/>
      <c r="AC3" s="4113"/>
      <c r="AD3" s="4113"/>
      <c r="AE3" s="4113"/>
      <c r="AF3" s="4113"/>
      <c r="AG3" s="4113"/>
      <c r="AH3" s="4113"/>
      <c r="AI3" s="4113"/>
      <c r="AJ3" s="4113"/>
      <c r="AK3" s="4113"/>
      <c r="AL3" s="4113"/>
      <c r="AM3" s="4113"/>
      <c r="AN3" s="4113"/>
      <c r="AO3" s="4113"/>
      <c r="AP3" s="4113"/>
      <c r="AQ3" s="4113"/>
      <c r="AR3" s="4113"/>
      <c r="AS3" s="4114"/>
    </row>
    <row r="4" spans="1:45" ht="23.25" customHeight="1">
      <c r="A4" s="3463"/>
      <c r="B4" s="785"/>
      <c r="C4" s="785"/>
      <c r="D4" s="4662" t="str">
        <f>'Application Setup'!B6</f>
        <v>Intensive Organic Management, Holsteins</v>
      </c>
      <c r="E4" s="4663"/>
      <c r="F4" s="4663"/>
      <c r="G4" s="4663"/>
      <c r="H4" s="4663"/>
      <c r="I4" s="4663"/>
      <c r="J4" s="4663"/>
      <c r="K4" s="4663"/>
      <c r="L4" s="4663"/>
      <c r="M4" s="4663"/>
      <c r="N4" s="4663"/>
      <c r="O4" s="4663"/>
      <c r="P4" s="4663"/>
      <c r="Q4" s="4663"/>
      <c r="R4" s="4663"/>
      <c r="S4" s="4663"/>
      <c r="T4" s="4663"/>
      <c r="U4" s="4663"/>
      <c r="V4" s="4663"/>
      <c r="W4" s="4663"/>
      <c r="X4" s="4664"/>
      <c r="Y4" s="4665" t="str">
        <f>'Application Setup'!B7</f>
        <v>Pasture-Based Organic, Jersey Cows</v>
      </c>
      <c r="Z4" s="4666"/>
      <c r="AA4" s="4666"/>
      <c r="AB4" s="4666"/>
      <c r="AC4" s="4666"/>
      <c r="AD4" s="4666"/>
      <c r="AE4" s="4666"/>
      <c r="AF4" s="4666"/>
      <c r="AG4" s="4666"/>
      <c r="AH4" s="4666"/>
      <c r="AI4" s="4666"/>
      <c r="AJ4" s="4666"/>
      <c r="AK4" s="4666"/>
      <c r="AL4" s="4666"/>
      <c r="AM4" s="4666"/>
      <c r="AN4" s="4666"/>
      <c r="AO4" s="4666"/>
      <c r="AP4" s="4666"/>
      <c r="AQ4" s="4666"/>
      <c r="AR4" s="4666"/>
      <c r="AS4" s="4667"/>
    </row>
    <row r="5" spans="1:45" ht="67.5" customHeight="1">
      <c r="A5" s="4597" t="s">
        <v>0</v>
      </c>
      <c r="B5" s="4598"/>
      <c r="C5" s="4598"/>
      <c r="D5" s="4646" t="s">
        <v>16</v>
      </c>
      <c r="E5" s="4647"/>
      <c r="F5" s="4648"/>
      <c r="G5" s="4649" t="s">
        <v>15</v>
      </c>
      <c r="H5" s="4647"/>
      <c r="I5" s="4648"/>
      <c r="J5" s="4650" t="s">
        <v>2</v>
      </c>
      <c r="K5" s="4651"/>
      <c r="L5" s="4652"/>
      <c r="M5" s="4649" t="s">
        <v>10</v>
      </c>
      <c r="N5" s="4647"/>
      <c r="O5" s="4648"/>
      <c r="P5" s="4649" t="s">
        <v>266</v>
      </c>
      <c r="Q5" s="4647"/>
      <c r="R5" s="4648"/>
      <c r="S5" s="4649" t="s">
        <v>371</v>
      </c>
      <c r="T5" s="4647"/>
      <c r="U5" s="4648"/>
      <c r="V5" s="4649" t="s">
        <v>167</v>
      </c>
      <c r="W5" s="4647"/>
      <c r="X5" s="4653"/>
      <c r="Y5" s="4654" t="s">
        <v>16</v>
      </c>
      <c r="Z5" s="4655"/>
      <c r="AA5" s="4656"/>
      <c r="AB5" s="4657" t="s">
        <v>15</v>
      </c>
      <c r="AC5" s="4655"/>
      <c r="AD5" s="4656"/>
      <c r="AE5" s="4658" t="s">
        <v>2</v>
      </c>
      <c r="AF5" s="4659"/>
      <c r="AG5" s="4660"/>
      <c r="AH5" s="4657" t="s">
        <v>10</v>
      </c>
      <c r="AI5" s="4655"/>
      <c r="AJ5" s="4656"/>
      <c r="AK5" s="4657" t="s">
        <v>266</v>
      </c>
      <c r="AL5" s="4655"/>
      <c r="AM5" s="4656"/>
      <c r="AN5" s="4657" t="s">
        <v>371</v>
      </c>
      <c r="AO5" s="4655"/>
      <c r="AP5" s="4656"/>
      <c r="AQ5" s="4657" t="s">
        <v>167</v>
      </c>
      <c r="AR5" s="4655"/>
      <c r="AS5" s="4661"/>
    </row>
    <row r="6" spans="1:45" ht="21" customHeight="1">
      <c r="A6" s="4028" t="s">
        <v>1259</v>
      </c>
      <c r="B6" s="4029"/>
      <c r="C6" s="4668"/>
      <c r="D6" s="4668"/>
      <c r="E6" s="4668"/>
      <c r="F6" s="4668"/>
      <c r="G6" s="4668"/>
      <c r="H6" s="4668"/>
      <c r="I6" s="4668"/>
      <c r="J6" s="4668"/>
      <c r="K6" s="4668"/>
      <c r="L6" s="4668"/>
      <c r="M6" s="4668"/>
      <c r="N6" s="4668"/>
      <c r="O6" s="4668"/>
      <c r="P6" s="4668"/>
      <c r="Q6" s="4668"/>
      <c r="R6" s="4668"/>
      <c r="S6" s="4668"/>
      <c r="T6" s="4668"/>
      <c r="U6" s="4668"/>
      <c r="V6" s="4668"/>
      <c r="W6" s="4668"/>
      <c r="X6" s="4668"/>
      <c r="Y6" s="4668"/>
      <c r="Z6" s="4668"/>
      <c r="AA6" s="4668"/>
      <c r="AB6" s="4668"/>
      <c r="AC6" s="4668"/>
      <c r="AD6" s="4668"/>
      <c r="AE6" s="4668"/>
      <c r="AF6" s="4668"/>
      <c r="AG6" s="4668"/>
      <c r="AH6" s="4668"/>
      <c r="AI6" s="4668"/>
      <c r="AJ6" s="4668"/>
      <c r="AK6" s="4668"/>
      <c r="AL6" s="4668"/>
      <c r="AM6" s="4668"/>
      <c r="AN6" s="4668"/>
      <c r="AO6" s="4668"/>
      <c r="AP6" s="4668"/>
      <c r="AQ6" s="4668"/>
      <c r="AR6" s="4668"/>
      <c r="AS6" s="4669"/>
    </row>
    <row r="7" spans="1:45" ht="2.25" customHeight="1">
      <c r="A7" s="281"/>
      <c r="B7" s="661"/>
      <c r="C7" s="661"/>
      <c r="D7" s="711"/>
      <c r="E7" s="735"/>
      <c r="F7" s="717"/>
      <c r="G7" s="717"/>
      <c r="H7" s="736"/>
      <c r="I7" s="717"/>
      <c r="J7" s="717"/>
      <c r="K7" s="737"/>
      <c r="L7" s="717"/>
      <c r="M7" s="717"/>
      <c r="N7" s="722"/>
      <c r="O7" s="722"/>
      <c r="P7" s="717"/>
      <c r="Q7" s="419"/>
      <c r="R7" s="722"/>
      <c r="S7" s="717"/>
      <c r="T7" s="419"/>
      <c r="U7" s="722"/>
      <c r="V7" s="723"/>
      <c r="W7" s="510"/>
      <c r="X7" s="738"/>
      <c r="Y7" s="749"/>
      <c r="Z7" s="780"/>
      <c r="AA7" s="755"/>
      <c r="AB7" s="755"/>
      <c r="AC7" s="781"/>
      <c r="AD7" s="755"/>
      <c r="AE7" s="755"/>
      <c r="AF7" s="781"/>
      <c r="AG7" s="755"/>
      <c r="AH7" s="755"/>
      <c r="AI7" s="760"/>
      <c r="AJ7" s="760"/>
      <c r="AK7" s="755"/>
      <c r="AL7" s="449"/>
      <c r="AM7" s="760"/>
      <c r="AN7" s="755"/>
      <c r="AO7" s="449"/>
      <c r="AP7" s="760"/>
      <c r="AQ7" s="761"/>
      <c r="AR7" s="468"/>
      <c r="AS7" s="773"/>
    </row>
    <row r="8" spans="1:45">
      <c r="A8" s="281"/>
      <c r="B8" s="282" t="s">
        <v>104</v>
      </c>
      <c r="C8" s="282"/>
      <c r="D8" s="710"/>
      <c r="E8" s="3460">
        <v>0.9</v>
      </c>
      <c r="F8" s="716"/>
      <c r="G8" s="716"/>
      <c r="H8" s="3459">
        <f>'Step 7a--Feedstuff Required'!H8</f>
        <v>4.5</v>
      </c>
      <c r="I8" s="716"/>
      <c r="J8" s="716"/>
      <c r="K8" s="120" t="s">
        <v>11</v>
      </c>
      <c r="L8" s="716"/>
      <c r="M8" s="716"/>
      <c r="N8" s="121">
        <f>H8*2000</f>
        <v>9000</v>
      </c>
      <c r="O8" s="718"/>
      <c r="P8" s="716"/>
      <c r="Q8" s="1120">
        <v>1.1000000000000001</v>
      </c>
      <c r="R8" s="718"/>
      <c r="S8" s="716"/>
      <c r="T8" s="1575">
        <v>0.5</v>
      </c>
      <c r="U8" s="718"/>
      <c r="V8" s="721"/>
      <c r="W8" s="1116">
        <v>3</v>
      </c>
      <c r="X8" s="734"/>
      <c r="Y8" s="748"/>
      <c r="Z8" s="3460">
        <v>0.9</v>
      </c>
      <c r="AA8" s="754"/>
      <c r="AB8" s="754"/>
      <c r="AC8" s="3459">
        <f>H8</f>
        <v>4.5</v>
      </c>
      <c r="AD8" s="754"/>
      <c r="AE8" s="754"/>
      <c r="AF8" s="3460" t="s">
        <v>11</v>
      </c>
      <c r="AG8" s="754"/>
      <c r="AH8" s="754"/>
      <c r="AI8" s="121">
        <f>AC8*2000</f>
        <v>9000</v>
      </c>
      <c r="AJ8" s="756"/>
      <c r="AK8" s="754"/>
      <c r="AL8" s="1120">
        <v>1.1000000000000001</v>
      </c>
      <c r="AM8" s="756"/>
      <c r="AN8" s="754"/>
      <c r="AO8" s="1575">
        <v>0.5</v>
      </c>
      <c r="AP8" s="756"/>
      <c r="AQ8" s="759"/>
      <c r="AR8" s="1118">
        <v>3</v>
      </c>
      <c r="AS8" s="772"/>
    </row>
    <row r="9" spans="1:45" ht="2.25" customHeight="1">
      <c r="A9" s="281"/>
      <c r="B9" s="661"/>
      <c r="C9" s="661"/>
      <c r="D9" s="711"/>
      <c r="E9" s="735"/>
      <c r="F9" s="717"/>
      <c r="G9" s="717"/>
      <c r="H9" s="736"/>
      <c r="I9" s="717"/>
      <c r="J9" s="717"/>
      <c r="K9" s="737"/>
      <c r="L9" s="717"/>
      <c r="M9" s="717"/>
      <c r="N9" s="722"/>
      <c r="O9" s="722"/>
      <c r="P9" s="717"/>
      <c r="Q9" s="419"/>
      <c r="R9" s="722"/>
      <c r="S9" s="717"/>
      <c r="T9" s="419"/>
      <c r="U9" s="722"/>
      <c r="V9" s="723"/>
      <c r="W9" s="510"/>
      <c r="X9" s="738"/>
      <c r="Y9" s="749"/>
      <c r="Z9" s="780"/>
      <c r="AA9" s="755"/>
      <c r="AB9" s="755"/>
      <c r="AC9" s="781"/>
      <c r="AD9" s="755"/>
      <c r="AE9" s="755"/>
      <c r="AF9" s="781"/>
      <c r="AG9" s="755"/>
      <c r="AH9" s="755"/>
      <c r="AI9" s="760"/>
      <c r="AJ9" s="760"/>
      <c r="AK9" s="755"/>
      <c r="AL9" s="449"/>
      <c r="AM9" s="760"/>
      <c r="AN9" s="755"/>
      <c r="AO9" s="449"/>
      <c r="AP9" s="760"/>
      <c r="AQ9" s="761"/>
      <c r="AR9" s="468"/>
      <c r="AS9" s="773"/>
    </row>
    <row r="10" spans="1:45">
      <c r="A10" s="281"/>
      <c r="B10" s="283" t="s">
        <v>29</v>
      </c>
      <c r="C10" s="283"/>
      <c r="D10" s="712"/>
      <c r="E10" s="3460">
        <v>0.3</v>
      </c>
      <c r="F10" s="718"/>
      <c r="G10" s="718"/>
      <c r="H10" s="3459">
        <f>'Step 7a--Feedstuff Required'!H10</f>
        <v>8</v>
      </c>
      <c r="I10" s="718"/>
      <c r="J10" s="718"/>
      <c r="K10" s="120" t="s">
        <v>11</v>
      </c>
      <c r="L10" s="718"/>
      <c r="M10" s="718"/>
      <c r="N10" s="121">
        <f>H10*2000</f>
        <v>16000</v>
      </c>
      <c r="O10" s="719"/>
      <c r="P10" s="718"/>
      <c r="Q10" s="1120">
        <v>1.1499999999999999</v>
      </c>
      <c r="R10" s="719"/>
      <c r="S10" s="718"/>
      <c r="T10" s="1575">
        <v>0.2</v>
      </c>
      <c r="U10" s="719"/>
      <c r="V10" s="724"/>
      <c r="W10" s="1116">
        <v>4</v>
      </c>
      <c r="X10" s="739"/>
      <c r="Y10" s="750"/>
      <c r="Z10" s="3460">
        <v>0.3</v>
      </c>
      <c r="AA10" s="756"/>
      <c r="AB10" s="756"/>
      <c r="AC10" s="3459">
        <f>H10</f>
        <v>8</v>
      </c>
      <c r="AD10" s="756"/>
      <c r="AE10" s="756"/>
      <c r="AF10" s="3460" t="s">
        <v>11</v>
      </c>
      <c r="AG10" s="756"/>
      <c r="AH10" s="756"/>
      <c r="AI10" s="121">
        <f>AC10*2000</f>
        <v>16000</v>
      </c>
      <c r="AJ10" s="757"/>
      <c r="AK10" s="756"/>
      <c r="AL10" s="1120">
        <v>1.1499999999999999</v>
      </c>
      <c r="AM10" s="757"/>
      <c r="AN10" s="756"/>
      <c r="AO10" s="1575">
        <v>0.2</v>
      </c>
      <c r="AP10" s="757"/>
      <c r="AQ10" s="762"/>
      <c r="AR10" s="1503">
        <v>4</v>
      </c>
      <c r="AS10" s="774"/>
    </row>
    <row r="11" spans="1:45" ht="2.25" customHeight="1">
      <c r="A11" s="281"/>
      <c r="B11" s="661"/>
      <c r="C11" s="661"/>
      <c r="D11" s="711"/>
      <c r="E11" s="735"/>
      <c r="F11" s="717"/>
      <c r="G11" s="717"/>
      <c r="H11" s="736"/>
      <c r="I11" s="717"/>
      <c r="J11" s="717"/>
      <c r="K11" s="737"/>
      <c r="L11" s="717"/>
      <c r="M11" s="717"/>
      <c r="N11" s="722"/>
      <c r="O11" s="722"/>
      <c r="P11" s="717"/>
      <c r="Q11" s="419"/>
      <c r="R11" s="722"/>
      <c r="S11" s="717"/>
      <c r="T11" s="419"/>
      <c r="U11" s="722"/>
      <c r="V11" s="723"/>
      <c r="W11" s="510">
        <v>4</v>
      </c>
      <c r="X11" s="738"/>
      <c r="Y11" s="749"/>
      <c r="Z11" s="780"/>
      <c r="AA11" s="755"/>
      <c r="AB11" s="755"/>
      <c r="AC11" s="781"/>
      <c r="AD11" s="755"/>
      <c r="AE11" s="755"/>
      <c r="AF11" s="781"/>
      <c r="AG11" s="755"/>
      <c r="AH11" s="755"/>
      <c r="AI11" s="760"/>
      <c r="AJ11" s="760"/>
      <c r="AK11" s="755"/>
      <c r="AL11" s="449"/>
      <c r="AM11" s="760"/>
      <c r="AN11" s="755"/>
      <c r="AO11" s="449"/>
      <c r="AP11" s="760"/>
      <c r="AQ11" s="761"/>
      <c r="AR11" s="468"/>
      <c r="AS11" s="773"/>
    </row>
    <row r="12" spans="1:45">
      <c r="A12" s="281"/>
      <c r="B12" s="282" t="s">
        <v>3</v>
      </c>
      <c r="C12" s="284"/>
      <c r="D12" s="713"/>
      <c r="E12" s="3460">
        <v>0.33</v>
      </c>
      <c r="F12" s="718"/>
      <c r="G12" s="718"/>
      <c r="H12" s="3459">
        <f>'Step 7a--Feedstuff Required'!H12</f>
        <v>18.7</v>
      </c>
      <c r="I12" s="718"/>
      <c r="J12" s="718"/>
      <c r="K12" s="120" t="s">
        <v>11</v>
      </c>
      <c r="L12" s="718"/>
      <c r="M12" s="718"/>
      <c r="N12" s="121">
        <f>H12*2000</f>
        <v>37400</v>
      </c>
      <c r="O12" s="716"/>
      <c r="P12" s="718"/>
      <c r="Q12" s="1120">
        <v>1.17</v>
      </c>
      <c r="R12" s="716"/>
      <c r="S12" s="718"/>
      <c r="T12" s="1575">
        <v>1</v>
      </c>
      <c r="U12" s="716"/>
      <c r="V12" s="725"/>
      <c r="W12" s="1116">
        <v>3</v>
      </c>
      <c r="X12" s="740"/>
      <c r="Y12" s="751"/>
      <c r="Z12" s="3460">
        <v>0.33</v>
      </c>
      <c r="AA12" s="756"/>
      <c r="AB12" s="756"/>
      <c r="AC12" s="3459">
        <f>H12</f>
        <v>18.7</v>
      </c>
      <c r="AD12" s="756"/>
      <c r="AE12" s="756"/>
      <c r="AF12" s="3460" t="s">
        <v>11</v>
      </c>
      <c r="AG12" s="756"/>
      <c r="AH12" s="756"/>
      <c r="AI12" s="121">
        <f>AC12*2000</f>
        <v>37400</v>
      </c>
      <c r="AJ12" s="754"/>
      <c r="AK12" s="756"/>
      <c r="AL12" s="1120">
        <v>1.17</v>
      </c>
      <c r="AM12" s="754"/>
      <c r="AN12" s="756"/>
      <c r="AO12" s="1575">
        <v>1</v>
      </c>
      <c r="AP12" s="754"/>
      <c r="AQ12" s="763"/>
      <c r="AR12" s="1118">
        <v>3</v>
      </c>
      <c r="AS12" s="775"/>
    </row>
    <row r="13" spans="1:45" ht="2.25" customHeight="1">
      <c r="A13" s="281"/>
      <c r="B13" s="661"/>
      <c r="C13" s="661"/>
      <c r="D13" s="711"/>
      <c r="E13" s="735"/>
      <c r="F13" s="717"/>
      <c r="G13" s="717"/>
      <c r="H13" s="736"/>
      <c r="I13" s="717"/>
      <c r="J13" s="717"/>
      <c r="K13" s="737"/>
      <c r="L13" s="717"/>
      <c r="M13" s="717"/>
      <c r="N13" s="722"/>
      <c r="O13" s="722"/>
      <c r="P13" s="717"/>
      <c r="Q13" s="419"/>
      <c r="R13" s="722"/>
      <c r="S13" s="717"/>
      <c r="T13" s="419"/>
      <c r="U13" s="722"/>
      <c r="V13" s="723"/>
      <c r="W13" s="510"/>
      <c r="X13" s="738"/>
      <c r="Y13" s="749"/>
      <c r="Z13" s="780"/>
      <c r="AA13" s="755"/>
      <c r="AB13" s="755"/>
      <c r="AC13" s="781"/>
      <c r="AD13" s="755"/>
      <c r="AE13" s="755"/>
      <c r="AF13" s="781"/>
      <c r="AG13" s="755"/>
      <c r="AH13" s="755"/>
      <c r="AI13" s="760"/>
      <c r="AJ13" s="760"/>
      <c r="AK13" s="755"/>
      <c r="AL13" s="449"/>
      <c r="AM13" s="760"/>
      <c r="AN13" s="755"/>
      <c r="AO13" s="449"/>
      <c r="AP13" s="760"/>
      <c r="AQ13" s="761"/>
      <c r="AR13" s="468"/>
      <c r="AS13" s="773"/>
    </row>
    <row r="14" spans="1:45">
      <c r="A14" s="281"/>
      <c r="B14" s="664" t="s">
        <v>35</v>
      </c>
      <c r="C14" s="282"/>
      <c r="D14" s="710"/>
      <c r="E14" s="3460">
        <v>0.9</v>
      </c>
      <c r="F14" s="718"/>
      <c r="G14" s="718"/>
      <c r="H14" s="3459">
        <f>'Step 7a--Feedstuff Required'!H14</f>
        <v>3</v>
      </c>
      <c r="I14" s="718"/>
      <c r="J14" s="718"/>
      <c r="K14" s="120" t="s">
        <v>11</v>
      </c>
      <c r="L14" s="718"/>
      <c r="M14" s="718"/>
      <c r="N14" s="121">
        <f>H14*2000</f>
        <v>6000</v>
      </c>
      <c r="O14" s="718"/>
      <c r="P14" s="718"/>
      <c r="Q14" s="1120">
        <v>1.1000000000000001</v>
      </c>
      <c r="R14" s="718"/>
      <c r="S14" s="718"/>
      <c r="T14" s="1575">
        <v>0.2</v>
      </c>
      <c r="U14" s="718"/>
      <c r="V14" s="721"/>
      <c r="W14" s="1116">
        <v>5</v>
      </c>
      <c r="X14" s="734"/>
      <c r="Y14" s="748"/>
      <c r="Z14" s="3460">
        <v>0.9</v>
      </c>
      <c r="AA14" s="756"/>
      <c r="AB14" s="756"/>
      <c r="AC14" s="3459">
        <f>H14</f>
        <v>3</v>
      </c>
      <c r="AD14" s="756"/>
      <c r="AE14" s="756"/>
      <c r="AF14" s="3460" t="s">
        <v>11</v>
      </c>
      <c r="AG14" s="756"/>
      <c r="AH14" s="756"/>
      <c r="AI14" s="121">
        <f>AC14*2000</f>
        <v>6000</v>
      </c>
      <c r="AJ14" s="756"/>
      <c r="AK14" s="756"/>
      <c r="AL14" s="1120">
        <v>1.1000000000000001</v>
      </c>
      <c r="AM14" s="756"/>
      <c r="AN14" s="756"/>
      <c r="AO14" s="1575">
        <v>0.2</v>
      </c>
      <c r="AP14" s="756"/>
      <c r="AQ14" s="759"/>
      <c r="AR14" s="1118">
        <v>5</v>
      </c>
      <c r="AS14" s="772"/>
    </row>
    <row r="15" spans="1:45" ht="2.25" customHeight="1">
      <c r="A15" s="281"/>
      <c r="B15" s="661"/>
      <c r="C15" s="661"/>
      <c r="D15" s="711"/>
      <c r="E15" s="735"/>
      <c r="F15" s="717"/>
      <c r="G15" s="717"/>
      <c r="H15" s="736"/>
      <c r="I15" s="717"/>
      <c r="J15" s="717"/>
      <c r="K15" s="737"/>
      <c r="L15" s="717"/>
      <c r="M15" s="717"/>
      <c r="N15" s="722"/>
      <c r="O15" s="722"/>
      <c r="P15" s="717"/>
      <c r="Q15" s="419"/>
      <c r="R15" s="722"/>
      <c r="S15" s="717"/>
      <c r="T15" s="419"/>
      <c r="U15" s="722"/>
      <c r="V15" s="723"/>
      <c r="W15" s="510"/>
      <c r="X15" s="738"/>
      <c r="Y15" s="749"/>
      <c r="Z15" s="780"/>
      <c r="AA15" s="755"/>
      <c r="AB15" s="755"/>
      <c r="AC15" s="781"/>
      <c r="AD15" s="755"/>
      <c r="AE15" s="755"/>
      <c r="AF15" s="781"/>
      <c r="AG15" s="755"/>
      <c r="AH15" s="755"/>
      <c r="AI15" s="760"/>
      <c r="AJ15" s="760"/>
      <c r="AK15" s="755"/>
      <c r="AL15" s="449"/>
      <c r="AM15" s="760"/>
      <c r="AN15" s="755"/>
      <c r="AO15" s="449"/>
      <c r="AP15" s="760"/>
      <c r="AQ15" s="761"/>
      <c r="AR15" s="468"/>
      <c r="AS15" s="773"/>
    </row>
    <row r="16" spans="1:45">
      <c r="A16" s="281"/>
      <c r="B16" s="283" t="s">
        <v>19</v>
      </c>
      <c r="C16" s="282"/>
      <c r="D16" s="710"/>
      <c r="E16" s="3460">
        <v>0.3</v>
      </c>
      <c r="F16" s="719"/>
      <c r="G16" s="719"/>
      <c r="H16" s="3739">
        <v>7</v>
      </c>
      <c r="I16" s="719"/>
      <c r="J16" s="719"/>
      <c r="K16" s="120" t="s">
        <v>11</v>
      </c>
      <c r="L16" s="719"/>
      <c r="M16" s="719"/>
      <c r="N16" s="121">
        <f>H16*2000</f>
        <v>14000</v>
      </c>
      <c r="O16" s="718"/>
      <c r="P16" s="719"/>
      <c r="Q16" s="1120">
        <v>1</v>
      </c>
      <c r="R16" s="718"/>
      <c r="S16" s="719"/>
      <c r="T16" s="1575">
        <v>0.1</v>
      </c>
      <c r="U16" s="718"/>
      <c r="V16" s="721"/>
      <c r="W16" s="1116">
        <v>6</v>
      </c>
      <c r="X16" s="734"/>
      <c r="Y16" s="748"/>
      <c r="Z16" s="3460">
        <v>0.3</v>
      </c>
      <c r="AA16" s="757"/>
      <c r="AB16" s="757"/>
      <c r="AC16" s="3739">
        <v>7</v>
      </c>
      <c r="AD16" s="757"/>
      <c r="AE16" s="757"/>
      <c r="AF16" s="3460" t="s">
        <v>11</v>
      </c>
      <c r="AG16" s="757"/>
      <c r="AH16" s="757"/>
      <c r="AI16" s="121">
        <f>AC16*2000</f>
        <v>14000</v>
      </c>
      <c r="AJ16" s="756"/>
      <c r="AK16" s="757"/>
      <c r="AL16" s="1120">
        <v>1</v>
      </c>
      <c r="AM16" s="756"/>
      <c r="AN16" s="757"/>
      <c r="AO16" s="1575">
        <v>0.1</v>
      </c>
      <c r="AP16" s="756"/>
      <c r="AQ16" s="759"/>
      <c r="AR16" s="1118">
        <v>6</v>
      </c>
      <c r="AS16" s="772"/>
    </row>
    <row r="17" spans="1:45" ht="2.25" customHeight="1">
      <c r="A17" s="281"/>
      <c r="B17" s="661"/>
      <c r="C17" s="661"/>
      <c r="D17" s="711"/>
      <c r="E17" s="735"/>
      <c r="F17" s="717"/>
      <c r="G17" s="717"/>
      <c r="H17" s="736"/>
      <c r="I17" s="717"/>
      <c r="J17" s="717"/>
      <c r="K17" s="737"/>
      <c r="L17" s="717"/>
      <c r="M17" s="717"/>
      <c r="N17" s="722"/>
      <c r="O17" s="722"/>
      <c r="P17" s="717"/>
      <c r="Q17" s="419"/>
      <c r="R17" s="722"/>
      <c r="S17" s="717"/>
      <c r="T17" s="419"/>
      <c r="U17" s="722"/>
      <c r="V17" s="723"/>
      <c r="W17" s="510"/>
      <c r="X17" s="738"/>
      <c r="Y17" s="749"/>
      <c r="Z17" s="780"/>
      <c r="AA17" s="755"/>
      <c r="AB17" s="755"/>
      <c r="AC17" s="781"/>
      <c r="AD17" s="755"/>
      <c r="AE17" s="755"/>
      <c r="AF17" s="781"/>
      <c r="AG17" s="755"/>
      <c r="AH17" s="755"/>
      <c r="AI17" s="760"/>
      <c r="AJ17" s="760"/>
      <c r="AK17" s="755"/>
      <c r="AL17" s="449"/>
      <c r="AM17" s="760"/>
      <c r="AN17" s="755"/>
      <c r="AO17" s="449"/>
      <c r="AP17" s="760"/>
      <c r="AQ17" s="761"/>
      <c r="AR17" s="468"/>
      <c r="AS17" s="773"/>
    </row>
    <row r="18" spans="1:45">
      <c r="A18" s="281"/>
      <c r="B18" s="283" t="s">
        <v>31</v>
      </c>
      <c r="C18" s="282"/>
      <c r="D18" s="710"/>
      <c r="E18" s="3460">
        <v>0.3</v>
      </c>
      <c r="F18" s="718"/>
      <c r="G18" s="718"/>
      <c r="H18" s="3739">
        <f>'Step 7a--Feedstuff Required'!H18</f>
        <v>5</v>
      </c>
      <c r="I18" s="718"/>
      <c r="J18" s="718"/>
      <c r="K18" s="120" t="s">
        <v>11</v>
      </c>
      <c r="L18" s="718"/>
      <c r="M18" s="718"/>
      <c r="N18" s="121">
        <f>H18*2000</f>
        <v>10000</v>
      </c>
      <c r="O18" s="718"/>
      <c r="P18" s="718"/>
      <c r="Q18" s="1120">
        <v>1.1000000000000001</v>
      </c>
      <c r="R18" s="718"/>
      <c r="S18" s="718"/>
      <c r="T18" s="1575">
        <v>0.5</v>
      </c>
      <c r="U18" s="718"/>
      <c r="V18" s="721"/>
      <c r="W18" s="1116">
        <v>7</v>
      </c>
      <c r="X18" s="734"/>
      <c r="Y18" s="748"/>
      <c r="Z18" s="3460">
        <v>0.3</v>
      </c>
      <c r="AA18" s="756"/>
      <c r="AB18" s="756"/>
      <c r="AC18" s="3739">
        <f>H18</f>
        <v>5</v>
      </c>
      <c r="AD18" s="756"/>
      <c r="AE18" s="756"/>
      <c r="AF18" s="3460" t="s">
        <v>11</v>
      </c>
      <c r="AG18" s="756"/>
      <c r="AH18" s="756"/>
      <c r="AI18" s="121">
        <f>AC18*2000</f>
        <v>10000</v>
      </c>
      <c r="AJ18" s="756"/>
      <c r="AK18" s="756"/>
      <c r="AL18" s="1120">
        <v>1.1000000000000001</v>
      </c>
      <c r="AM18" s="756"/>
      <c r="AN18" s="756"/>
      <c r="AO18" s="1575">
        <v>0.5</v>
      </c>
      <c r="AP18" s="756"/>
      <c r="AQ18" s="759"/>
      <c r="AR18" s="1118">
        <v>7</v>
      </c>
      <c r="AS18" s="772"/>
    </row>
    <row r="19" spans="1:45" ht="2.25" customHeight="1">
      <c r="A19" s="281"/>
      <c r="B19" s="661"/>
      <c r="C19" s="661"/>
      <c r="D19" s="711"/>
      <c r="E19" s="735"/>
      <c r="F19" s="717"/>
      <c r="G19" s="717"/>
      <c r="H19" s="736"/>
      <c r="I19" s="717"/>
      <c r="J19" s="717"/>
      <c r="K19" s="737"/>
      <c r="L19" s="717"/>
      <c r="M19" s="717"/>
      <c r="N19" s="722"/>
      <c r="O19" s="722"/>
      <c r="P19" s="717"/>
      <c r="Q19" s="419"/>
      <c r="R19" s="722"/>
      <c r="S19" s="717"/>
      <c r="T19" s="419"/>
      <c r="U19" s="722"/>
      <c r="V19" s="723"/>
      <c r="W19" s="510"/>
      <c r="X19" s="738"/>
      <c r="Y19" s="749"/>
      <c r="Z19" s="780"/>
      <c r="AA19" s="755"/>
      <c r="AB19" s="755"/>
      <c r="AC19" s="781"/>
      <c r="AD19" s="755"/>
      <c r="AE19" s="755"/>
      <c r="AF19" s="781"/>
      <c r="AG19" s="755"/>
      <c r="AH19" s="755"/>
      <c r="AI19" s="760"/>
      <c r="AJ19" s="760"/>
      <c r="AK19" s="755"/>
      <c r="AL19" s="760"/>
      <c r="AM19" s="760"/>
      <c r="AN19" s="755"/>
      <c r="AO19" s="449"/>
      <c r="AP19" s="760"/>
      <c r="AQ19" s="761"/>
      <c r="AR19" s="468"/>
      <c r="AS19" s="773"/>
    </row>
    <row r="20" spans="1:45">
      <c r="A20" s="281"/>
      <c r="B20" s="283" t="str">
        <f>IF('Step 7a--Feedstuff Required'!B20="[add forage crop here]"," ",'Step 7a--Feedstuff Required'!B20)</f>
        <v xml:space="preserve"> </v>
      </c>
      <c r="C20" s="282"/>
      <c r="D20" s="710"/>
      <c r="E20" s="3460"/>
      <c r="F20" s="718"/>
      <c r="G20" s="718"/>
      <c r="H20" s="3739"/>
      <c r="I20" s="718"/>
      <c r="J20" s="718"/>
      <c r="K20" s="120"/>
      <c r="L20" s="718"/>
      <c r="M20" s="718"/>
      <c r="N20" s="121"/>
      <c r="O20" s="718"/>
      <c r="P20" s="718"/>
      <c r="Q20" s="1120"/>
      <c r="R20" s="718"/>
      <c r="S20" s="718"/>
      <c r="T20" s="1575"/>
      <c r="U20" s="718"/>
      <c r="V20" s="721"/>
      <c r="W20" s="1116"/>
      <c r="X20" s="734"/>
      <c r="Y20" s="748"/>
      <c r="Z20" s="3460"/>
      <c r="AA20" s="756"/>
      <c r="AB20" s="756"/>
      <c r="AC20" s="3459"/>
      <c r="AD20" s="756"/>
      <c r="AE20" s="756"/>
      <c r="AF20" s="3460"/>
      <c r="AG20" s="756"/>
      <c r="AH20" s="756"/>
      <c r="AI20" s="121"/>
      <c r="AJ20" s="756"/>
      <c r="AK20" s="756"/>
      <c r="AL20" s="1218"/>
      <c r="AM20" s="756"/>
      <c r="AN20" s="756"/>
      <c r="AO20" s="1575"/>
      <c r="AP20" s="756"/>
      <c r="AQ20" s="759"/>
      <c r="AR20" s="1118"/>
      <c r="AS20" s="772"/>
    </row>
    <row r="21" spans="1:45" ht="2.25" customHeight="1">
      <c r="A21" s="281"/>
      <c r="B21" s="283"/>
      <c r="C21" s="661"/>
      <c r="D21" s="711"/>
      <c r="E21" s="735"/>
      <c r="F21" s="717"/>
      <c r="G21" s="717"/>
      <c r="H21" s="736"/>
      <c r="I21" s="717"/>
      <c r="J21" s="717"/>
      <c r="K21" s="737"/>
      <c r="L21" s="717"/>
      <c r="M21" s="717"/>
      <c r="N21" s="722"/>
      <c r="O21" s="722"/>
      <c r="P21" s="717"/>
      <c r="Q21" s="419"/>
      <c r="R21" s="722"/>
      <c r="S21" s="717"/>
      <c r="T21" s="419"/>
      <c r="U21" s="722"/>
      <c r="V21" s="723"/>
      <c r="W21" s="510"/>
      <c r="X21" s="738"/>
      <c r="Y21" s="749"/>
      <c r="Z21" s="780"/>
      <c r="AA21" s="755"/>
      <c r="AB21" s="755"/>
      <c r="AC21" s="781"/>
      <c r="AD21" s="755"/>
      <c r="AE21" s="755"/>
      <c r="AF21" s="781"/>
      <c r="AG21" s="755"/>
      <c r="AH21" s="755"/>
      <c r="AI21" s="760"/>
      <c r="AJ21" s="760"/>
      <c r="AK21" s="755"/>
      <c r="AL21" s="1304"/>
      <c r="AM21" s="760"/>
      <c r="AN21" s="755"/>
      <c r="AO21" s="449"/>
      <c r="AP21" s="760"/>
      <c r="AQ21" s="761"/>
      <c r="AR21" s="468"/>
      <c r="AS21" s="773"/>
    </row>
    <row r="22" spans="1:45">
      <c r="A22" s="281"/>
      <c r="B22" s="283" t="str">
        <f>IF('Step 7a--Feedstuff Required'!B22="[add forage crop here]"," ",'Step 7a--Feedstuff Required'!B22)</f>
        <v xml:space="preserve"> </v>
      </c>
      <c r="C22" s="282"/>
      <c r="D22" s="710"/>
      <c r="E22" s="3460"/>
      <c r="F22" s="718"/>
      <c r="G22" s="718"/>
      <c r="H22" s="3739"/>
      <c r="I22" s="718"/>
      <c r="J22" s="718"/>
      <c r="K22" s="120"/>
      <c r="L22" s="718"/>
      <c r="M22" s="718"/>
      <c r="N22" s="121"/>
      <c r="O22" s="718"/>
      <c r="P22" s="718"/>
      <c r="Q22" s="1120"/>
      <c r="R22" s="718"/>
      <c r="S22" s="718"/>
      <c r="T22" s="1575"/>
      <c r="U22" s="718"/>
      <c r="V22" s="721"/>
      <c r="W22" s="1116"/>
      <c r="X22" s="734"/>
      <c r="Y22" s="748"/>
      <c r="Z22" s="3460"/>
      <c r="AA22" s="756"/>
      <c r="AB22" s="756"/>
      <c r="AC22" s="3459"/>
      <c r="AD22" s="756"/>
      <c r="AE22" s="756"/>
      <c r="AF22" s="3460"/>
      <c r="AG22" s="756"/>
      <c r="AH22" s="756"/>
      <c r="AI22" s="121"/>
      <c r="AJ22" s="756"/>
      <c r="AK22" s="756"/>
      <c r="AL22" s="1218"/>
      <c r="AM22" s="756"/>
      <c r="AN22" s="756"/>
      <c r="AO22" s="1575"/>
      <c r="AP22" s="756"/>
      <c r="AQ22" s="759"/>
      <c r="AR22" s="1118"/>
      <c r="AS22" s="772"/>
    </row>
    <row r="23" spans="1:45" ht="2.25" customHeight="1">
      <c r="A23" s="281"/>
      <c r="B23" s="283"/>
      <c r="C23" s="661"/>
      <c r="D23" s="711"/>
      <c r="E23" s="735"/>
      <c r="F23" s="717"/>
      <c r="G23" s="717"/>
      <c r="H23" s="736"/>
      <c r="I23" s="717"/>
      <c r="J23" s="717"/>
      <c r="K23" s="737"/>
      <c r="L23" s="717"/>
      <c r="M23" s="717"/>
      <c r="N23" s="722"/>
      <c r="O23" s="722"/>
      <c r="P23" s="717"/>
      <c r="Q23" s="419"/>
      <c r="R23" s="722"/>
      <c r="S23" s="717"/>
      <c r="T23" s="419"/>
      <c r="U23" s="722"/>
      <c r="V23" s="723"/>
      <c r="W23" s="510"/>
      <c r="X23" s="738"/>
      <c r="Y23" s="749"/>
      <c r="Z23" s="780"/>
      <c r="AA23" s="755"/>
      <c r="AB23" s="755"/>
      <c r="AC23" s="781"/>
      <c r="AD23" s="755"/>
      <c r="AE23" s="755"/>
      <c r="AF23" s="781"/>
      <c r="AG23" s="755"/>
      <c r="AH23" s="755"/>
      <c r="AI23" s="760"/>
      <c r="AJ23" s="760"/>
      <c r="AK23" s="755"/>
      <c r="AL23" s="1304"/>
      <c r="AM23" s="760"/>
      <c r="AN23" s="755"/>
      <c r="AO23" s="449"/>
      <c r="AP23" s="760"/>
      <c r="AQ23" s="761"/>
      <c r="AR23" s="468"/>
      <c r="AS23" s="773"/>
    </row>
    <row r="24" spans="1:45">
      <c r="A24" s="281"/>
      <c r="B24" s="283" t="str">
        <f>IF('Step 7a--Feedstuff Required'!B24="[add forage crop here]"," ",'Step 7a--Feedstuff Required'!B24)</f>
        <v xml:space="preserve"> </v>
      </c>
      <c r="C24" s="282"/>
      <c r="D24" s="710"/>
      <c r="E24" s="3460"/>
      <c r="F24" s="718"/>
      <c r="G24" s="718"/>
      <c r="H24" s="3739"/>
      <c r="I24" s="718"/>
      <c r="J24" s="718"/>
      <c r="K24" s="120"/>
      <c r="L24" s="718"/>
      <c r="M24" s="718"/>
      <c r="N24" s="121"/>
      <c r="O24" s="718"/>
      <c r="P24" s="718"/>
      <c r="Q24" s="1120"/>
      <c r="R24" s="718"/>
      <c r="S24" s="718"/>
      <c r="T24" s="1575"/>
      <c r="U24" s="718"/>
      <c r="V24" s="721"/>
      <c r="W24" s="1116"/>
      <c r="X24" s="734"/>
      <c r="Y24" s="748"/>
      <c r="Z24" s="3460"/>
      <c r="AA24" s="756"/>
      <c r="AB24" s="756"/>
      <c r="AC24" s="3459"/>
      <c r="AD24" s="756"/>
      <c r="AE24" s="756"/>
      <c r="AF24" s="3460"/>
      <c r="AG24" s="756"/>
      <c r="AH24" s="756"/>
      <c r="AI24" s="121"/>
      <c r="AJ24" s="756"/>
      <c r="AK24" s="756"/>
      <c r="AL24" s="1218"/>
      <c r="AM24" s="756"/>
      <c r="AN24" s="756"/>
      <c r="AO24" s="1575"/>
      <c r="AP24" s="756"/>
      <c r="AQ24" s="759"/>
      <c r="AR24" s="1118"/>
      <c r="AS24" s="772"/>
    </row>
    <row r="25" spans="1:45" ht="6" customHeight="1">
      <c r="A25" s="2081"/>
      <c r="B25" s="2149"/>
      <c r="C25" s="2149"/>
      <c r="D25" s="2154"/>
      <c r="E25" s="2155"/>
      <c r="F25" s="2156"/>
      <c r="G25" s="2156"/>
      <c r="H25" s="2157"/>
      <c r="I25" s="2156"/>
      <c r="J25" s="2156"/>
      <c r="K25" s="2158"/>
      <c r="L25" s="2156"/>
      <c r="M25" s="2156"/>
      <c r="N25" s="2159"/>
      <c r="O25" s="2159"/>
      <c r="P25" s="2156"/>
      <c r="Q25" s="2159"/>
      <c r="R25" s="2159"/>
      <c r="S25" s="2160"/>
      <c r="T25" s="2161"/>
      <c r="U25" s="2162"/>
      <c r="V25" s="2163"/>
      <c r="W25" s="2164"/>
      <c r="X25" s="2165"/>
      <c r="Y25" s="2166"/>
      <c r="Z25" s="2167"/>
      <c r="AA25" s="2168"/>
      <c r="AB25" s="2168"/>
      <c r="AC25" s="2169"/>
      <c r="AD25" s="2168"/>
      <c r="AE25" s="2168"/>
      <c r="AF25" s="2169"/>
      <c r="AG25" s="2168"/>
      <c r="AH25" s="2168"/>
      <c r="AI25" s="2170"/>
      <c r="AJ25" s="2170"/>
      <c r="AK25" s="2168"/>
      <c r="AL25" s="2170"/>
      <c r="AM25" s="2170"/>
      <c r="AN25" s="2171"/>
      <c r="AO25" s="2172"/>
      <c r="AP25" s="2173"/>
      <c r="AQ25" s="2174"/>
      <c r="AR25" s="2175"/>
      <c r="AS25" s="2176"/>
    </row>
    <row r="26" spans="1:45" ht="6" hidden="1" customHeight="1">
      <c r="A26" s="2068"/>
      <c r="B26" s="2177"/>
      <c r="C26" s="2177"/>
      <c r="D26" s="2178"/>
      <c r="E26" s="2179"/>
      <c r="F26" s="2180"/>
      <c r="G26" s="2180"/>
      <c r="H26" s="1262"/>
      <c r="I26" s="2180"/>
      <c r="J26" s="2180"/>
      <c r="K26" s="1264"/>
      <c r="L26" s="2180"/>
      <c r="M26" s="2180"/>
      <c r="N26" s="2181"/>
      <c r="O26" s="2181"/>
      <c r="P26" s="2180"/>
      <c r="Q26" s="2181"/>
      <c r="R26" s="2181"/>
      <c r="S26" s="728"/>
      <c r="T26" s="2144"/>
      <c r="U26" s="728"/>
      <c r="V26" s="2182"/>
      <c r="W26" s="2183"/>
      <c r="X26" s="2184"/>
      <c r="Y26" s="2185"/>
      <c r="Z26" s="2186"/>
      <c r="AA26" s="2187"/>
      <c r="AB26" s="2187"/>
      <c r="AC26" s="1287"/>
      <c r="AD26" s="2187"/>
      <c r="AE26" s="2187"/>
      <c r="AF26" s="1287"/>
      <c r="AG26" s="2187"/>
      <c r="AH26" s="2187"/>
      <c r="AI26" s="2188"/>
      <c r="AJ26" s="2188"/>
      <c r="AK26" s="2187"/>
      <c r="AL26" s="2188"/>
      <c r="AM26" s="2188"/>
      <c r="AN26" s="766"/>
      <c r="AO26" s="2144"/>
      <c r="AP26" s="766"/>
      <c r="AQ26" s="2189"/>
      <c r="AR26" s="2190"/>
      <c r="AS26" s="2191"/>
    </row>
    <row r="27" spans="1:45" ht="6" hidden="1" customHeight="1">
      <c r="A27" s="2068"/>
      <c r="B27" s="2177"/>
      <c r="C27" s="2177"/>
      <c r="D27" s="2178"/>
      <c r="E27" s="2179"/>
      <c r="F27" s="2180"/>
      <c r="G27" s="2180"/>
      <c r="H27" s="1262"/>
      <c r="I27" s="2180"/>
      <c r="J27" s="2180"/>
      <c r="K27" s="1264"/>
      <c r="L27" s="2180"/>
      <c r="M27" s="2180"/>
      <c r="N27" s="2181"/>
      <c r="O27" s="2181"/>
      <c r="P27" s="2180"/>
      <c r="Q27" s="2181"/>
      <c r="R27" s="2181"/>
      <c r="S27" s="2180"/>
      <c r="T27" s="3115"/>
      <c r="U27" s="2181"/>
      <c r="V27" s="2182"/>
      <c r="W27" s="2183"/>
      <c r="X27" s="2184"/>
      <c r="Y27" s="2185"/>
      <c r="Z27" s="2186"/>
      <c r="AA27" s="2187"/>
      <c r="AB27" s="2187"/>
      <c r="AC27" s="1287"/>
      <c r="AD27" s="2187"/>
      <c r="AE27" s="2187"/>
      <c r="AF27" s="1287"/>
      <c r="AG27" s="2187"/>
      <c r="AH27" s="2187"/>
      <c r="AI27" s="2188"/>
      <c r="AJ27" s="2188"/>
      <c r="AK27" s="2187"/>
      <c r="AL27" s="2188"/>
      <c r="AM27" s="2188"/>
      <c r="AN27" s="2187"/>
      <c r="AO27" s="3115"/>
      <c r="AP27" s="2188"/>
      <c r="AQ27" s="2189"/>
      <c r="AR27" s="2190"/>
      <c r="AS27" s="2191"/>
    </row>
    <row r="28" spans="1:45" ht="20.25" customHeight="1">
      <c r="A28" s="4629" t="s">
        <v>1258</v>
      </c>
      <c r="B28" s="4630"/>
      <c r="C28" s="4668"/>
      <c r="D28" s="4668"/>
      <c r="E28" s="4668"/>
      <c r="F28" s="4668"/>
      <c r="G28" s="4668"/>
      <c r="H28" s="4668"/>
      <c r="I28" s="4668"/>
      <c r="J28" s="4668"/>
      <c r="K28" s="4668"/>
      <c r="L28" s="4668"/>
      <c r="M28" s="4668"/>
      <c r="N28" s="4668"/>
      <c r="O28" s="4668"/>
      <c r="P28" s="4668"/>
      <c r="Q28" s="4668"/>
      <c r="R28" s="4668"/>
      <c r="S28" s="4668"/>
      <c r="T28" s="4668"/>
      <c r="U28" s="4668"/>
      <c r="V28" s="4668"/>
      <c r="W28" s="4668"/>
      <c r="X28" s="4668"/>
      <c r="Y28" s="4668"/>
      <c r="Z28" s="4668"/>
      <c r="AA28" s="4668"/>
      <c r="AB28" s="4668"/>
      <c r="AC28" s="4668"/>
      <c r="AD28" s="4668"/>
      <c r="AE28" s="4668"/>
      <c r="AF28" s="4668"/>
      <c r="AG28" s="4668"/>
      <c r="AH28" s="4668"/>
      <c r="AI28" s="4668"/>
      <c r="AJ28" s="4668"/>
      <c r="AK28" s="4668"/>
      <c r="AL28" s="4668"/>
      <c r="AM28" s="4668"/>
      <c r="AN28" s="4668"/>
      <c r="AO28" s="4668"/>
      <c r="AP28" s="4668"/>
      <c r="AQ28" s="4668"/>
      <c r="AR28" s="4668"/>
      <c r="AS28" s="4669"/>
    </row>
    <row r="29" spans="1:45" ht="2.25" customHeight="1">
      <c r="A29" s="281"/>
      <c r="B29" s="661"/>
      <c r="C29" s="661"/>
      <c r="D29" s="711"/>
      <c r="E29" s="735"/>
      <c r="F29" s="717"/>
      <c r="G29" s="717"/>
      <c r="H29" s="736"/>
      <c r="I29" s="717"/>
      <c r="J29" s="717"/>
      <c r="K29" s="737"/>
      <c r="L29" s="717"/>
      <c r="M29" s="717"/>
      <c r="N29" s="722"/>
      <c r="O29" s="722"/>
      <c r="P29" s="717"/>
      <c r="Q29" s="419"/>
      <c r="R29" s="722"/>
      <c r="S29" s="717"/>
      <c r="T29" s="419"/>
      <c r="U29" s="722"/>
      <c r="V29" s="723"/>
      <c r="W29" s="510"/>
      <c r="X29" s="738"/>
      <c r="Y29" s="749"/>
      <c r="Z29" s="780"/>
      <c r="AA29" s="755"/>
      <c r="AB29" s="755"/>
      <c r="AC29" s="781"/>
      <c r="AD29" s="755"/>
      <c r="AE29" s="755"/>
      <c r="AF29" s="781"/>
      <c r="AG29" s="755"/>
      <c r="AH29" s="755"/>
      <c r="AI29" s="760"/>
      <c r="AJ29" s="760"/>
      <c r="AK29" s="755"/>
      <c r="AL29" s="449"/>
      <c r="AM29" s="760"/>
      <c r="AN29" s="755"/>
      <c r="AO29" s="449"/>
      <c r="AP29" s="760"/>
      <c r="AQ29" s="761"/>
      <c r="AR29" s="468"/>
      <c r="AS29" s="773"/>
    </row>
    <row r="30" spans="1:45">
      <c r="A30" s="281"/>
      <c r="B30" s="282" t="s">
        <v>12</v>
      </c>
      <c r="C30" s="282"/>
      <c r="D30" s="710"/>
      <c r="E30" s="3460">
        <v>0.88</v>
      </c>
      <c r="F30" s="718"/>
      <c r="G30" s="718"/>
      <c r="H30" s="3459">
        <f>'Step 7a--Feedstuff Required'!H30</f>
        <v>153.9</v>
      </c>
      <c r="I30" s="718"/>
      <c r="J30" s="718"/>
      <c r="K30" s="120" t="s">
        <v>13</v>
      </c>
      <c r="L30" s="718"/>
      <c r="M30" s="718"/>
      <c r="N30" s="121">
        <f>H30*'Step 7a--Feedstuff Required'!$C$73</f>
        <v>8618.4</v>
      </c>
      <c r="O30" s="718"/>
      <c r="P30" s="718"/>
      <c r="Q30" s="1120">
        <v>1.08</v>
      </c>
      <c r="R30" s="718"/>
      <c r="S30" s="718"/>
      <c r="T30" s="1575">
        <v>1</v>
      </c>
      <c r="U30" s="718"/>
      <c r="V30" s="721"/>
      <c r="W30" s="1116">
        <v>3</v>
      </c>
      <c r="X30" s="734"/>
      <c r="Y30" s="748"/>
      <c r="Z30" s="3460">
        <v>0.88</v>
      </c>
      <c r="AA30" s="756"/>
      <c r="AB30" s="756"/>
      <c r="AC30" s="3459">
        <f>H30</f>
        <v>153.9</v>
      </c>
      <c r="AD30" s="756"/>
      <c r="AE30" s="756"/>
      <c r="AF30" s="3460" t="s">
        <v>13</v>
      </c>
      <c r="AG30" s="756"/>
      <c r="AH30" s="756"/>
      <c r="AI30" s="121">
        <f>AC30*'Step 7a--Feedstuff Required'!$C$73</f>
        <v>8618.4</v>
      </c>
      <c r="AJ30" s="756"/>
      <c r="AK30" s="756"/>
      <c r="AL30" s="1120">
        <v>1.08</v>
      </c>
      <c r="AM30" s="756"/>
      <c r="AN30" s="756"/>
      <c r="AO30" s="1575">
        <v>1</v>
      </c>
      <c r="AP30" s="756"/>
      <c r="AQ30" s="759"/>
      <c r="AR30" s="1118">
        <v>3</v>
      </c>
      <c r="AS30" s="772"/>
    </row>
    <row r="31" spans="1:45" ht="2.25" customHeight="1">
      <c r="A31" s="281"/>
      <c r="B31" s="661"/>
      <c r="C31" s="661"/>
      <c r="D31" s="711"/>
      <c r="E31" s="735"/>
      <c r="F31" s="717"/>
      <c r="G31" s="717"/>
      <c r="H31" s="736"/>
      <c r="I31" s="717"/>
      <c r="J31" s="717"/>
      <c r="K31" s="737"/>
      <c r="L31" s="717"/>
      <c r="M31" s="717"/>
      <c r="N31" s="722"/>
      <c r="O31" s="722"/>
      <c r="P31" s="717"/>
      <c r="Q31" s="419"/>
      <c r="R31" s="722"/>
      <c r="S31" s="717"/>
      <c r="T31" s="419"/>
      <c r="U31" s="722"/>
      <c r="V31" s="723"/>
      <c r="W31" s="510"/>
      <c r="X31" s="738"/>
      <c r="Y31" s="749"/>
      <c r="Z31" s="780"/>
      <c r="AA31" s="755"/>
      <c r="AB31" s="755"/>
      <c r="AC31" s="781"/>
      <c r="AD31" s="755"/>
      <c r="AE31" s="755"/>
      <c r="AF31" s="781"/>
      <c r="AG31" s="755"/>
      <c r="AH31" s="755"/>
      <c r="AI31" s="760"/>
      <c r="AJ31" s="760"/>
      <c r="AK31" s="755"/>
      <c r="AL31" s="449"/>
      <c r="AM31" s="760"/>
      <c r="AN31" s="755"/>
      <c r="AO31" s="449"/>
      <c r="AP31" s="760"/>
      <c r="AQ31" s="761"/>
      <c r="AR31" s="468"/>
      <c r="AS31" s="773"/>
    </row>
    <row r="32" spans="1:45">
      <c r="A32" s="281"/>
      <c r="B32" s="282" t="s">
        <v>22</v>
      </c>
      <c r="C32" s="284"/>
      <c r="D32" s="713"/>
      <c r="E32" s="3460">
        <v>0.88</v>
      </c>
      <c r="F32" s="718"/>
      <c r="G32" s="718"/>
      <c r="H32" s="3459">
        <f>'Step 7a--Feedstuff Required'!H32</f>
        <v>63.6</v>
      </c>
      <c r="I32" s="718"/>
      <c r="J32" s="718"/>
      <c r="K32" s="120" t="s">
        <v>13</v>
      </c>
      <c r="L32" s="718"/>
      <c r="M32" s="718"/>
      <c r="N32" s="121">
        <f>H32*'Step 7a--Feedstuff Required'!$C$74</f>
        <v>3052.8</v>
      </c>
      <c r="O32" s="716"/>
      <c r="P32" s="718"/>
      <c r="Q32" s="1120">
        <v>1.08</v>
      </c>
      <c r="R32" s="716"/>
      <c r="S32" s="718"/>
      <c r="T32" s="1575">
        <v>0.66700000000000004</v>
      </c>
      <c r="U32" s="716"/>
      <c r="V32" s="725"/>
      <c r="W32" s="1116">
        <v>3</v>
      </c>
      <c r="X32" s="740"/>
      <c r="Y32" s="751"/>
      <c r="Z32" s="3460">
        <v>0.88</v>
      </c>
      <c r="AA32" s="756"/>
      <c r="AB32" s="756"/>
      <c r="AC32" s="3459">
        <f>H32</f>
        <v>63.6</v>
      </c>
      <c r="AD32" s="756"/>
      <c r="AE32" s="756"/>
      <c r="AF32" s="3460" t="s">
        <v>13</v>
      </c>
      <c r="AG32" s="756"/>
      <c r="AH32" s="756"/>
      <c r="AI32" s="121">
        <f>AC32*'Step 7a--Feedstuff Required'!$C$74</f>
        <v>3052.8</v>
      </c>
      <c r="AJ32" s="754"/>
      <c r="AK32" s="756"/>
      <c r="AL32" s="1120">
        <v>1.08</v>
      </c>
      <c r="AM32" s="754"/>
      <c r="AN32" s="756"/>
      <c r="AO32" s="1575">
        <v>0.66700000000000004</v>
      </c>
      <c r="AP32" s="754"/>
      <c r="AQ32" s="763"/>
      <c r="AR32" s="1118">
        <v>3</v>
      </c>
      <c r="AS32" s="775"/>
    </row>
    <row r="33" spans="1:45" ht="2.25" customHeight="1">
      <c r="A33" s="281"/>
      <c r="B33" s="661"/>
      <c r="C33" s="661"/>
      <c r="D33" s="711"/>
      <c r="E33" s="735"/>
      <c r="F33" s="717"/>
      <c r="G33" s="717"/>
      <c r="H33" s="736"/>
      <c r="I33" s="717"/>
      <c r="J33" s="717"/>
      <c r="K33" s="737"/>
      <c r="L33" s="717"/>
      <c r="M33" s="717"/>
      <c r="N33" s="722"/>
      <c r="O33" s="722"/>
      <c r="P33" s="717"/>
      <c r="Q33" s="419"/>
      <c r="R33" s="722"/>
      <c r="S33" s="717"/>
      <c r="T33" s="419"/>
      <c r="U33" s="722"/>
      <c r="V33" s="723"/>
      <c r="W33" s="510"/>
      <c r="X33" s="738"/>
      <c r="Y33" s="749"/>
      <c r="Z33" s="780"/>
      <c r="AA33" s="755"/>
      <c r="AB33" s="755"/>
      <c r="AC33" s="781"/>
      <c r="AD33" s="755"/>
      <c r="AE33" s="755"/>
      <c r="AF33" s="781"/>
      <c r="AG33" s="755"/>
      <c r="AH33" s="755"/>
      <c r="AI33" s="760"/>
      <c r="AJ33" s="760"/>
      <c r="AK33" s="755"/>
      <c r="AL33" s="449"/>
      <c r="AM33" s="760"/>
      <c r="AN33" s="755"/>
      <c r="AO33" s="449"/>
      <c r="AP33" s="760"/>
      <c r="AQ33" s="761"/>
      <c r="AR33" s="468"/>
      <c r="AS33" s="773"/>
    </row>
    <row r="34" spans="1:45">
      <c r="A34" s="281"/>
      <c r="B34" s="282" t="s">
        <v>25</v>
      </c>
      <c r="C34" s="282"/>
      <c r="D34" s="710"/>
      <c r="E34" s="3460">
        <v>0.89</v>
      </c>
      <c r="F34" s="718"/>
      <c r="G34" s="718"/>
      <c r="H34" s="3459">
        <f>'Step 7a--Feedstuff Required'!H34</f>
        <v>63.5</v>
      </c>
      <c r="I34" s="718"/>
      <c r="J34" s="718"/>
      <c r="K34" s="120" t="s">
        <v>13</v>
      </c>
      <c r="L34" s="718"/>
      <c r="M34" s="718"/>
      <c r="N34" s="121">
        <f>H34*'Step 7a--Feedstuff Required'!$C$75</f>
        <v>2032</v>
      </c>
      <c r="O34" s="718"/>
      <c r="P34" s="718"/>
      <c r="Q34" s="1120">
        <v>1.08</v>
      </c>
      <c r="R34" s="718"/>
      <c r="S34" s="718"/>
      <c r="T34" s="1575">
        <v>0.66700000000000004</v>
      </c>
      <c r="U34" s="718"/>
      <c r="V34" s="721"/>
      <c r="W34" s="1116">
        <v>3</v>
      </c>
      <c r="X34" s="734"/>
      <c r="Y34" s="748"/>
      <c r="Z34" s="3460">
        <v>0.89</v>
      </c>
      <c r="AA34" s="756"/>
      <c r="AB34" s="756"/>
      <c r="AC34" s="3459">
        <f>H34</f>
        <v>63.5</v>
      </c>
      <c r="AD34" s="756"/>
      <c r="AE34" s="756"/>
      <c r="AF34" s="3460" t="s">
        <v>13</v>
      </c>
      <c r="AG34" s="756"/>
      <c r="AH34" s="756"/>
      <c r="AI34" s="121">
        <f>AC34*'Step 7a--Feedstuff Required'!$C$75</f>
        <v>2032</v>
      </c>
      <c r="AJ34" s="756"/>
      <c r="AK34" s="756"/>
      <c r="AL34" s="1120">
        <v>1.08</v>
      </c>
      <c r="AM34" s="756"/>
      <c r="AN34" s="756"/>
      <c r="AO34" s="1575">
        <v>0.66700000000000004</v>
      </c>
      <c r="AP34" s="756"/>
      <c r="AQ34" s="759"/>
      <c r="AR34" s="1118">
        <v>3</v>
      </c>
      <c r="AS34" s="772"/>
    </row>
    <row r="35" spans="1:45" ht="2.25" customHeight="1">
      <c r="A35" s="281"/>
      <c r="B35" s="661"/>
      <c r="C35" s="661"/>
      <c r="D35" s="711"/>
      <c r="E35" s="735"/>
      <c r="F35" s="717"/>
      <c r="G35" s="717"/>
      <c r="H35" s="736"/>
      <c r="I35" s="717"/>
      <c r="J35" s="717"/>
      <c r="K35" s="737"/>
      <c r="L35" s="717"/>
      <c r="M35" s="717"/>
      <c r="N35" s="722"/>
      <c r="O35" s="722"/>
      <c r="P35" s="717"/>
      <c r="Q35" s="419"/>
      <c r="R35" s="722"/>
      <c r="S35" s="717"/>
      <c r="T35" s="419"/>
      <c r="U35" s="722"/>
      <c r="V35" s="723"/>
      <c r="W35" s="510"/>
      <c r="X35" s="738"/>
      <c r="Y35" s="749"/>
      <c r="Z35" s="780"/>
      <c r="AA35" s="755"/>
      <c r="AB35" s="755"/>
      <c r="AC35" s="781"/>
      <c r="AD35" s="755"/>
      <c r="AE35" s="755"/>
      <c r="AF35" s="781"/>
      <c r="AG35" s="755"/>
      <c r="AH35" s="755"/>
      <c r="AI35" s="760"/>
      <c r="AJ35" s="760"/>
      <c r="AK35" s="755"/>
      <c r="AL35" s="449"/>
      <c r="AM35" s="760"/>
      <c r="AN35" s="755"/>
      <c r="AO35" s="449"/>
      <c r="AP35" s="760"/>
      <c r="AQ35" s="761"/>
      <c r="AR35" s="468"/>
      <c r="AS35" s="773"/>
    </row>
    <row r="36" spans="1:45">
      <c r="A36" s="281"/>
      <c r="B36" s="282" t="s">
        <v>27</v>
      </c>
      <c r="C36" s="282"/>
      <c r="D36" s="710"/>
      <c r="E36" s="3460">
        <v>0.88</v>
      </c>
      <c r="F36" s="716"/>
      <c r="G36" s="716"/>
      <c r="H36" s="3459">
        <f>'Step 7a--Feedstuff Required'!H36</f>
        <v>47.2</v>
      </c>
      <c r="I36" s="716"/>
      <c r="J36" s="716"/>
      <c r="K36" s="120" t="s">
        <v>13</v>
      </c>
      <c r="L36" s="716"/>
      <c r="M36" s="716"/>
      <c r="N36" s="121">
        <f>H36*'Step 7a--Feedstuff Required'!$C$76</f>
        <v>2832</v>
      </c>
      <c r="O36" s="718"/>
      <c r="P36" s="716"/>
      <c r="Q36" s="1120">
        <v>1.45</v>
      </c>
      <c r="R36" s="718"/>
      <c r="S36" s="716"/>
      <c r="T36" s="1575">
        <v>0.66700000000000004</v>
      </c>
      <c r="U36" s="718"/>
      <c r="V36" s="721"/>
      <c r="W36" s="1116">
        <v>3</v>
      </c>
      <c r="X36" s="734"/>
      <c r="Y36" s="748"/>
      <c r="Z36" s="3460">
        <v>0.88</v>
      </c>
      <c r="AA36" s="754"/>
      <c r="AB36" s="754"/>
      <c r="AC36" s="3459">
        <f>H36</f>
        <v>47.2</v>
      </c>
      <c r="AD36" s="754"/>
      <c r="AE36" s="754"/>
      <c r="AF36" s="3460" t="s">
        <v>13</v>
      </c>
      <c r="AG36" s="754"/>
      <c r="AH36" s="754"/>
      <c r="AI36" s="121">
        <f>AC36*'Step 7a--Feedstuff Required'!$C$76</f>
        <v>2832</v>
      </c>
      <c r="AJ36" s="756"/>
      <c r="AK36" s="754"/>
      <c r="AL36" s="1120">
        <v>1.45</v>
      </c>
      <c r="AM36" s="756"/>
      <c r="AN36" s="754"/>
      <c r="AO36" s="1575">
        <v>0.66700000000000004</v>
      </c>
      <c r="AP36" s="756"/>
      <c r="AQ36" s="759"/>
      <c r="AR36" s="1118">
        <v>3</v>
      </c>
      <c r="AS36" s="772"/>
    </row>
    <row r="37" spans="1:45" ht="2.25" customHeight="1">
      <c r="A37" s="281"/>
      <c r="B37" s="661"/>
      <c r="C37" s="661"/>
      <c r="D37" s="711"/>
      <c r="E37" s="735"/>
      <c r="F37" s="717"/>
      <c r="G37" s="717"/>
      <c r="H37" s="736"/>
      <c r="I37" s="717"/>
      <c r="J37" s="717"/>
      <c r="K37" s="737"/>
      <c r="L37" s="717"/>
      <c r="M37" s="717"/>
      <c r="N37" s="722"/>
      <c r="O37" s="722"/>
      <c r="P37" s="717"/>
      <c r="Q37" s="419"/>
      <c r="R37" s="722"/>
      <c r="S37" s="717"/>
      <c r="T37" s="419"/>
      <c r="U37" s="722"/>
      <c r="V37" s="723"/>
      <c r="W37" s="510"/>
      <c r="X37" s="738"/>
      <c r="Y37" s="749"/>
      <c r="Z37" s="780"/>
      <c r="AA37" s="755"/>
      <c r="AB37" s="755"/>
      <c r="AC37" s="781"/>
      <c r="AD37" s="755"/>
      <c r="AE37" s="755"/>
      <c r="AF37" s="781"/>
      <c r="AG37" s="755"/>
      <c r="AH37" s="755"/>
      <c r="AI37" s="760"/>
      <c r="AJ37" s="760"/>
      <c r="AK37" s="755"/>
      <c r="AL37" s="760"/>
      <c r="AM37" s="760"/>
      <c r="AN37" s="755"/>
      <c r="AO37" s="449"/>
      <c r="AP37" s="760"/>
      <c r="AQ37" s="761"/>
      <c r="AR37" s="468"/>
      <c r="AS37" s="773"/>
    </row>
    <row r="38" spans="1:45">
      <c r="A38" s="281"/>
      <c r="B38" s="283" t="str">
        <f>IF('Step 7a--Feedstuff Required'!B38="[add grain crop here]"," ",'Step 7a--Feedstuff Required'!B38)</f>
        <v xml:space="preserve"> </v>
      </c>
      <c r="C38" s="282"/>
      <c r="D38" s="710"/>
      <c r="E38" s="3460"/>
      <c r="F38" s="718"/>
      <c r="G38" s="718"/>
      <c r="H38" s="3459"/>
      <c r="I38" s="718"/>
      <c r="J38" s="718"/>
      <c r="K38" s="120"/>
      <c r="L38" s="718"/>
      <c r="M38" s="718"/>
      <c r="N38" s="121"/>
      <c r="O38" s="718"/>
      <c r="P38" s="718"/>
      <c r="Q38" s="1120"/>
      <c r="R38" s="718"/>
      <c r="S38" s="718"/>
      <c r="T38" s="1575"/>
      <c r="U38" s="718"/>
      <c r="V38" s="721"/>
      <c r="W38" s="1116"/>
      <c r="X38" s="734"/>
      <c r="Y38" s="748"/>
      <c r="Z38" s="3460"/>
      <c r="AA38" s="756"/>
      <c r="AB38" s="756"/>
      <c r="AC38" s="3459"/>
      <c r="AD38" s="756"/>
      <c r="AE38" s="756"/>
      <c r="AF38" s="3460"/>
      <c r="AG38" s="756"/>
      <c r="AH38" s="756"/>
      <c r="AI38" s="121"/>
      <c r="AJ38" s="756"/>
      <c r="AK38" s="756"/>
      <c r="AL38" s="1218"/>
      <c r="AM38" s="756"/>
      <c r="AN38" s="756"/>
      <c r="AO38" s="1575"/>
      <c r="AP38" s="756"/>
      <c r="AQ38" s="759"/>
      <c r="AR38" s="1118"/>
      <c r="AS38" s="772"/>
    </row>
    <row r="39" spans="1:45" ht="2.25" customHeight="1">
      <c r="A39" s="281"/>
      <c r="B39" s="661"/>
      <c r="C39" s="661"/>
      <c r="D39" s="711"/>
      <c r="E39" s="735"/>
      <c r="F39" s="717"/>
      <c r="G39" s="717"/>
      <c r="H39" s="736"/>
      <c r="I39" s="717"/>
      <c r="J39" s="717"/>
      <c r="K39" s="737"/>
      <c r="L39" s="717"/>
      <c r="M39" s="717"/>
      <c r="N39" s="722"/>
      <c r="O39" s="722"/>
      <c r="P39" s="717"/>
      <c r="Q39" s="419"/>
      <c r="R39" s="722"/>
      <c r="S39" s="717"/>
      <c r="T39" s="419"/>
      <c r="U39" s="722"/>
      <c r="V39" s="723"/>
      <c r="W39" s="510"/>
      <c r="X39" s="738"/>
      <c r="Y39" s="749"/>
      <c r="Z39" s="780"/>
      <c r="AA39" s="755"/>
      <c r="AB39" s="755"/>
      <c r="AC39" s="781"/>
      <c r="AD39" s="755"/>
      <c r="AE39" s="755"/>
      <c r="AF39" s="781"/>
      <c r="AG39" s="755"/>
      <c r="AH39" s="755"/>
      <c r="AI39" s="760"/>
      <c r="AJ39" s="760"/>
      <c r="AK39" s="755"/>
      <c r="AL39" s="1304"/>
      <c r="AM39" s="760"/>
      <c r="AN39" s="755"/>
      <c r="AO39" s="449"/>
      <c r="AP39" s="760"/>
      <c r="AQ39" s="761"/>
      <c r="AR39" s="468"/>
      <c r="AS39" s="773"/>
    </row>
    <row r="40" spans="1:45">
      <c r="A40" s="281"/>
      <c r="B40" s="283" t="str">
        <f>IF('Step 7a--Feedstuff Required'!B40="[add grain crop here]"," ",'Step 7a--Feedstuff Required'!B40)</f>
        <v xml:space="preserve"> </v>
      </c>
      <c r="C40" s="282"/>
      <c r="D40" s="710"/>
      <c r="E40" s="3460"/>
      <c r="F40" s="718"/>
      <c r="G40" s="718"/>
      <c r="H40" s="3459"/>
      <c r="I40" s="718"/>
      <c r="J40" s="718"/>
      <c r="K40" s="120"/>
      <c r="L40" s="718"/>
      <c r="M40" s="718"/>
      <c r="N40" s="121"/>
      <c r="O40" s="718"/>
      <c r="P40" s="718"/>
      <c r="Q40" s="1120"/>
      <c r="R40" s="718"/>
      <c r="S40" s="718"/>
      <c r="T40" s="1575"/>
      <c r="U40" s="718"/>
      <c r="V40" s="721"/>
      <c r="W40" s="1116"/>
      <c r="X40" s="734"/>
      <c r="Y40" s="748"/>
      <c r="Z40" s="3460"/>
      <c r="AA40" s="756"/>
      <c r="AB40" s="756"/>
      <c r="AC40" s="3459"/>
      <c r="AD40" s="756"/>
      <c r="AE40" s="756"/>
      <c r="AF40" s="3460"/>
      <c r="AG40" s="756"/>
      <c r="AH40" s="756"/>
      <c r="AI40" s="121"/>
      <c r="AJ40" s="756"/>
      <c r="AK40" s="756"/>
      <c r="AL40" s="1218"/>
      <c r="AM40" s="756"/>
      <c r="AN40" s="756"/>
      <c r="AO40" s="1575"/>
      <c r="AP40" s="756"/>
      <c r="AQ40" s="759"/>
      <c r="AR40" s="1118"/>
      <c r="AS40" s="772"/>
    </row>
    <row r="41" spans="1:45" ht="2.25" customHeight="1">
      <c r="A41" s="281"/>
      <c r="B41" s="661"/>
      <c r="C41" s="661"/>
      <c r="D41" s="711"/>
      <c r="E41" s="735"/>
      <c r="F41" s="717"/>
      <c r="G41" s="717"/>
      <c r="H41" s="736"/>
      <c r="I41" s="717"/>
      <c r="J41" s="717"/>
      <c r="K41" s="737"/>
      <c r="L41" s="717"/>
      <c r="M41" s="717"/>
      <c r="N41" s="722"/>
      <c r="O41" s="722"/>
      <c r="P41" s="717"/>
      <c r="Q41" s="722"/>
      <c r="R41" s="722"/>
      <c r="S41" s="717"/>
      <c r="T41" s="722"/>
      <c r="U41" s="722"/>
      <c r="V41" s="723"/>
      <c r="W41" s="510"/>
      <c r="X41" s="738"/>
      <c r="Y41" s="749"/>
      <c r="Z41" s="780"/>
      <c r="AA41" s="755"/>
      <c r="AB41" s="755"/>
      <c r="AC41" s="781"/>
      <c r="AD41" s="755"/>
      <c r="AE41" s="755"/>
      <c r="AF41" s="781"/>
      <c r="AG41" s="755"/>
      <c r="AH41" s="755"/>
      <c r="AI41" s="1024"/>
      <c r="AJ41" s="760"/>
      <c r="AK41" s="755"/>
      <c r="AL41" s="1304"/>
      <c r="AM41" s="760"/>
      <c r="AN41" s="755"/>
      <c r="AO41" s="760"/>
      <c r="AP41" s="760"/>
      <c r="AQ41" s="761"/>
      <c r="AR41" s="468"/>
      <c r="AS41" s="773"/>
    </row>
    <row r="42" spans="1:45">
      <c r="A42" s="281"/>
      <c r="B42" s="283" t="str">
        <f>IF('Step 7a--Feedstuff Required'!B42="[add grain crop here]"," ",'Step 7a--Feedstuff Required'!B42)</f>
        <v xml:space="preserve"> </v>
      </c>
      <c r="C42" s="282"/>
      <c r="D42" s="710"/>
      <c r="E42" s="3460"/>
      <c r="F42" s="718"/>
      <c r="G42" s="718"/>
      <c r="H42" s="3459"/>
      <c r="I42" s="718"/>
      <c r="J42" s="718"/>
      <c r="K42" s="120"/>
      <c r="L42" s="718"/>
      <c r="M42" s="718"/>
      <c r="N42" s="121"/>
      <c r="O42" s="718"/>
      <c r="P42" s="718"/>
      <c r="Q42" s="1218"/>
      <c r="R42" s="718"/>
      <c r="S42" s="718"/>
      <c r="T42" s="1575"/>
      <c r="U42" s="718"/>
      <c r="V42" s="721"/>
      <c r="W42" s="1116"/>
      <c r="X42" s="734"/>
      <c r="Y42" s="748"/>
      <c r="Z42" s="3460"/>
      <c r="AA42" s="756"/>
      <c r="AB42" s="756"/>
      <c r="AC42" s="120"/>
      <c r="AD42" s="756"/>
      <c r="AE42" s="756"/>
      <c r="AF42" s="3460"/>
      <c r="AG42" s="756"/>
      <c r="AH42" s="756"/>
      <c r="AI42" s="121"/>
      <c r="AJ42" s="756"/>
      <c r="AK42" s="756"/>
      <c r="AL42" s="1218"/>
      <c r="AM42" s="756"/>
      <c r="AN42" s="756"/>
      <c r="AO42" s="1575"/>
      <c r="AP42" s="756"/>
      <c r="AQ42" s="759"/>
      <c r="AR42" s="1118"/>
      <c r="AS42" s="772"/>
    </row>
    <row r="43" spans="1:45" ht="6" customHeight="1">
      <c r="A43" s="286"/>
      <c r="B43" s="287"/>
      <c r="C43" s="287"/>
      <c r="D43" s="714"/>
      <c r="E43" s="741"/>
      <c r="F43" s="720"/>
      <c r="G43" s="720"/>
      <c r="H43" s="742"/>
      <c r="I43" s="720"/>
      <c r="J43" s="720"/>
      <c r="K43" s="743"/>
      <c r="L43" s="720"/>
      <c r="M43" s="720"/>
      <c r="N43" s="726"/>
      <c r="O43" s="726"/>
      <c r="P43" s="720"/>
      <c r="Q43" s="726"/>
      <c r="R43" s="726"/>
      <c r="S43" s="1586"/>
      <c r="T43" s="1587"/>
      <c r="U43" s="1586"/>
      <c r="V43" s="727"/>
      <c r="W43" s="1188"/>
      <c r="X43" s="744"/>
      <c r="Y43" s="752"/>
      <c r="Z43" s="783"/>
      <c r="AA43" s="758"/>
      <c r="AB43" s="758"/>
      <c r="AC43" s="784"/>
      <c r="AD43" s="758"/>
      <c r="AE43" s="758"/>
      <c r="AF43" s="784"/>
      <c r="AG43" s="758"/>
      <c r="AH43" s="758"/>
      <c r="AI43" s="764"/>
      <c r="AJ43" s="764"/>
      <c r="AK43" s="758"/>
      <c r="AL43" s="764"/>
      <c r="AM43" s="764"/>
      <c r="AN43" s="1588"/>
      <c r="AO43" s="1589"/>
      <c r="AP43" s="1588"/>
      <c r="AQ43" s="765"/>
      <c r="AR43" s="1189"/>
      <c r="AS43" s="776"/>
    </row>
    <row r="44" spans="1:45" ht="6" hidden="1" customHeight="1">
      <c r="A44" s="281"/>
      <c r="B44" s="661"/>
      <c r="C44" s="661"/>
      <c r="D44" s="711"/>
      <c r="E44" s="735"/>
      <c r="F44" s="717"/>
      <c r="G44" s="717"/>
      <c r="H44" s="736"/>
      <c r="I44" s="717"/>
      <c r="J44" s="717"/>
      <c r="K44" s="737"/>
      <c r="L44" s="717"/>
      <c r="M44" s="717"/>
      <c r="N44" s="722"/>
      <c r="O44" s="722"/>
      <c r="P44" s="717"/>
      <c r="Q44" s="722"/>
      <c r="R44" s="722"/>
      <c r="S44" s="718"/>
      <c r="T44" s="1517"/>
      <c r="U44" s="718"/>
      <c r="V44" s="723"/>
      <c r="W44" s="510"/>
      <c r="X44" s="738"/>
      <c r="Y44" s="749"/>
      <c r="Z44" s="780"/>
      <c r="AA44" s="755"/>
      <c r="AB44" s="755"/>
      <c r="AC44" s="781"/>
      <c r="AD44" s="755"/>
      <c r="AE44" s="755"/>
      <c r="AF44" s="781"/>
      <c r="AG44" s="755"/>
      <c r="AH44" s="755"/>
      <c r="AI44" s="760"/>
      <c r="AJ44" s="760"/>
      <c r="AK44" s="755"/>
      <c r="AL44" s="760"/>
      <c r="AM44" s="760"/>
      <c r="AN44" s="756"/>
      <c r="AO44" s="1517"/>
      <c r="AP44" s="756"/>
      <c r="AQ44" s="761"/>
      <c r="AR44" s="468"/>
      <c r="AS44" s="773"/>
    </row>
    <row r="45" spans="1:45" ht="6" hidden="1" customHeight="1">
      <c r="A45" s="281"/>
      <c r="B45" s="661"/>
      <c r="C45" s="661"/>
      <c r="D45" s="711"/>
      <c r="E45" s="735"/>
      <c r="F45" s="717"/>
      <c r="G45" s="717"/>
      <c r="H45" s="736"/>
      <c r="I45" s="717"/>
      <c r="J45" s="717"/>
      <c r="K45" s="737"/>
      <c r="L45" s="717"/>
      <c r="M45" s="717"/>
      <c r="N45" s="722"/>
      <c r="O45" s="722"/>
      <c r="P45" s="717"/>
      <c r="Q45" s="722"/>
      <c r="R45" s="722"/>
      <c r="S45" s="717"/>
      <c r="T45" s="674"/>
      <c r="U45" s="722"/>
      <c r="V45" s="723"/>
      <c r="W45" s="510"/>
      <c r="X45" s="738"/>
      <c r="Y45" s="749"/>
      <c r="Z45" s="780"/>
      <c r="AA45" s="755"/>
      <c r="AB45" s="755"/>
      <c r="AC45" s="781"/>
      <c r="AD45" s="755"/>
      <c r="AE45" s="755"/>
      <c r="AF45" s="781"/>
      <c r="AG45" s="755"/>
      <c r="AH45" s="755"/>
      <c r="AI45" s="760"/>
      <c r="AJ45" s="760"/>
      <c r="AK45" s="755"/>
      <c r="AL45" s="760"/>
      <c r="AM45" s="760"/>
      <c r="AN45" s="755"/>
      <c r="AO45" s="674"/>
      <c r="AP45" s="760"/>
      <c r="AQ45" s="761"/>
      <c r="AR45" s="468"/>
      <c r="AS45" s="773"/>
    </row>
    <row r="46" spans="1:45" ht="20.25" customHeight="1">
      <c r="A46" s="4028" t="s">
        <v>1257</v>
      </c>
      <c r="B46" s="4029"/>
      <c r="C46" s="4668"/>
      <c r="D46" s="4668"/>
      <c r="E46" s="4668"/>
      <c r="F46" s="4668"/>
      <c r="G46" s="4668"/>
      <c r="H46" s="4668"/>
      <c r="I46" s="4668"/>
      <c r="J46" s="4668"/>
      <c r="K46" s="4668"/>
      <c r="L46" s="4668"/>
      <c r="M46" s="4668"/>
      <c r="N46" s="4668"/>
      <c r="O46" s="4668"/>
      <c r="P46" s="4668"/>
      <c r="Q46" s="4668"/>
      <c r="R46" s="4668"/>
      <c r="S46" s="4668"/>
      <c r="T46" s="4668"/>
      <c r="U46" s="4668"/>
      <c r="V46" s="4668"/>
      <c r="W46" s="4668"/>
      <c r="X46" s="4668"/>
      <c r="Y46" s="4668"/>
      <c r="Z46" s="4668"/>
      <c r="AA46" s="4668"/>
      <c r="AB46" s="4668"/>
      <c r="AC46" s="4668"/>
      <c r="AD46" s="4668"/>
      <c r="AE46" s="4668"/>
      <c r="AF46" s="4668"/>
      <c r="AG46" s="4668"/>
      <c r="AH46" s="4668"/>
      <c r="AI46" s="4668"/>
      <c r="AJ46" s="4668"/>
      <c r="AK46" s="4668"/>
      <c r="AL46" s="4668"/>
      <c r="AM46" s="4668"/>
      <c r="AN46" s="4668"/>
      <c r="AO46" s="4668"/>
      <c r="AP46" s="4668"/>
      <c r="AQ46" s="4668"/>
      <c r="AR46" s="4668"/>
      <c r="AS46" s="4669"/>
    </row>
    <row r="47" spans="1:45" ht="2.25" customHeight="1">
      <c r="A47" s="281"/>
      <c r="B47" s="661"/>
      <c r="C47" s="661"/>
      <c r="D47" s="711"/>
      <c r="E47" s="735"/>
      <c r="F47" s="717"/>
      <c r="G47" s="717"/>
      <c r="H47" s="736"/>
      <c r="I47" s="717"/>
      <c r="J47" s="717"/>
      <c r="K47" s="737"/>
      <c r="L47" s="717"/>
      <c r="M47" s="717"/>
      <c r="N47" s="722"/>
      <c r="O47" s="722"/>
      <c r="P47" s="717"/>
      <c r="Q47" s="419"/>
      <c r="R47" s="722"/>
      <c r="S47" s="717"/>
      <c r="T47" s="419"/>
      <c r="U47" s="722"/>
      <c r="V47" s="723"/>
      <c r="W47" s="510"/>
      <c r="X47" s="738"/>
      <c r="Y47" s="749"/>
      <c r="Z47" s="780"/>
      <c r="AA47" s="755"/>
      <c r="AB47" s="755"/>
      <c r="AC47" s="781"/>
      <c r="AD47" s="755"/>
      <c r="AE47" s="755"/>
      <c r="AF47" s="781"/>
      <c r="AG47" s="755"/>
      <c r="AH47" s="755"/>
      <c r="AI47" s="760"/>
      <c r="AJ47" s="760"/>
      <c r="AK47" s="755"/>
      <c r="AL47" s="449"/>
      <c r="AM47" s="760"/>
      <c r="AN47" s="755"/>
      <c r="AO47" s="449"/>
      <c r="AP47" s="760"/>
      <c r="AQ47" s="761"/>
      <c r="AR47" s="468"/>
      <c r="AS47" s="773"/>
    </row>
    <row r="48" spans="1:45">
      <c r="A48" s="281"/>
      <c r="B48" s="282" t="s">
        <v>7</v>
      </c>
      <c r="C48" s="282"/>
      <c r="D48" s="710"/>
      <c r="E48" s="3460">
        <v>0.9</v>
      </c>
      <c r="F48" s="718"/>
      <c r="G48" s="718"/>
      <c r="H48" s="3459">
        <f>'Step 7a--Feedstuff Required'!H48</f>
        <v>39.6</v>
      </c>
      <c r="I48" s="718"/>
      <c r="J48" s="718"/>
      <c r="K48" s="120" t="s">
        <v>13</v>
      </c>
      <c r="L48" s="718"/>
      <c r="M48" s="718"/>
      <c r="N48" s="121">
        <f>H48*'Step 7a--Feedstuff Required'!$C$77</f>
        <v>2376</v>
      </c>
      <c r="O48" s="728"/>
      <c r="P48" s="718"/>
      <c r="Q48" s="1120">
        <v>1.1000000000000001</v>
      </c>
      <c r="R48" s="728"/>
      <c r="S48" s="718"/>
      <c r="T48" s="1575">
        <v>1</v>
      </c>
      <c r="U48" s="728"/>
      <c r="V48" s="729"/>
      <c r="W48" s="1116">
        <v>3</v>
      </c>
      <c r="X48" s="745"/>
      <c r="Y48" s="748"/>
      <c r="Z48" s="3460">
        <v>0.9</v>
      </c>
      <c r="AA48" s="756"/>
      <c r="AB48" s="756"/>
      <c r="AC48" s="3459">
        <f>H48</f>
        <v>39.6</v>
      </c>
      <c r="AD48" s="756"/>
      <c r="AE48" s="756"/>
      <c r="AF48" s="3460" t="s">
        <v>13</v>
      </c>
      <c r="AG48" s="756"/>
      <c r="AH48" s="756"/>
      <c r="AI48" s="121">
        <f>AC48*'Step 7a--Feedstuff Required'!$C$77</f>
        <v>2376</v>
      </c>
      <c r="AJ48" s="766"/>
      <c r="AK48" s="756"/>
      <c r="AL48" s="1120">
        <v>1.1000000000000001</v>
      </c>
      <c r="AM48" s="766"/>
      <c r="AN48" s="756"/>
      <c r="AO48" s="1575">
        <v>1</v>
      </c>
      <c r="AP48" s="766"/>
      <c r="AQ48" s="767"/>
      <c r="AR48" s="1118">
        <v>3</v>
      </c>
      <c r="AS48" s="777"/>
    </row>
    <row r="49" spans="1:45" ht="2.25" customHeight="1">
      <c r="A49" s="281"/>
      <c r="B49" s="661"/>
      <c r="C49" s="661"/>
      <c r="D49" s="711"/>
      <c r="E49" s="735"/>
      <c r="F49" s="717"/>
      <c r="G49" s="717"/>
      <c r="H49" s="736"/>
      <c r="I49" s="717"/>
      <c r="J49" s="717"/>
      <c r="K49" s="737"/>
      <c r="L49" s="717"/>
      <c r="M49" s="717"/>
      <c r="N49" s="722"/>
      <c r="O49" s="722"/>
      <c r="P49" s="717"/>
      <c r="Q49" s="419"/>
      <c r="R49" s="722"/>
      <c r="S49" s="717"/>
      <c r="T49" s="419"/>
      <c r="U49" s="722"/>
      <c r="V49" s="723"/>
      <c r="W49" s="510"/>
      <c r="X49" s="738"/>
      <c r="Y49" s="749"/>
      <c r="Z49" s="780"/>
      <c r="AA49" s="755"/>
      <c r="AB49" s="755"/>
      <c r="AC49" s="781"/>
      <c r="AD49" s="755"/>
      <c r="AE49" s="755"/>
      <c r="AF49" s="781"/>
      <c r="AG49" s="755"/>
      <c r="AH49" s="755"/>
      <c r="AI49" s="760"/>
      <c r="AJ49" s="760"/>
      <c r="AK49" s="755"/>
      <c r="AL49" s="449"/>
      <c r="AM49" s="760"/>
      <c r="AN49" s="755"/>
      <c r="AO49" s="449"/>
      <c r="AP49" s="760"/>
      <c r="AQ49" s="761"/>
      <c r="AR49" s="468"/>
      <c r="AS49" s="773"/>
    </row>
    <row r="50" spans="1:45">
      <c r="A50" s="281"/>
      <c r="B50" s="282" t="s">
        <v>8</v>
      </c>
      <c r="C50" s="285"/>
      <c r="D50" s="715"/>
      <c r="E50" s="3460">
        <v>0.9</v>
      </c>
      <c r="F50" s="718"/>
      <c r="G50" s="718"/>
      <c r="H50" s="3459">
        <f>'Step 7a--Feedstuff Required'!H50</f>
        <v>39.6</v>
      </c>
      <c r="I50" s="718"/>
      <c r="J50" s="718"/>
      <c r="K50" s="120" t="s">
        <v>13</v>
      </c>
      <c r="L50" s="718"/>
      <c r="M50" s="718"/>
      <c r="N50" s="121">
        <f>H50*'Step 7a--Feedstuff Required'!$C$78</f>
        <v>2376</v>
      </c>
      <c r="O50" s="730"/>
      <c r="P50" s="718"/>
      <c r="Q50" s="1120">
        <v>1.1000000000000001</v>
      </c>
      <c r="R50" s="730"/>
      <c r="S50" s="718"/>
      <c r="T50" s="1575">
        <v>1</v>
      </c>
      <c r="U50" s="730"/>
      <c r="V50" s="731"/>
      <c r="W50" s="1116"/>
      <c r="X50" s="746"/>
      <c r="Y50" s="753"/>
      <c r="Z50" s="3460">
        <v>0.9</v>
      </c>
      <c r="AA50" s="756"/>
      <c r="AB50" s="756"/>
      <c r="AC50" s="3459">
        <f>H50</f>
        <v>39.6</v>
      </c>
      <c r="AD50" s="756"/>
      <c r="AE50" s="756"/>
      <c r="AF50" s="3460" t="s">
        <v>13</v>
      </c>
      <c r="AG50" s="756"/>
      <c r="AH50" s="756"/>
      <c r="AI50" s="121">
        <f>AC50*'Step 7a--Feedstuff Required'!$C$78</f>
        <v>2376</v>
      </c>
      <c r="AJ50" s="768"/>
      <c r="AK50" s="756"/>
      <c r="AL50" s="1120">
        <v>1.1000000000000001</v>
      </c>
      <c r="AM50" s="768"/>
      <c r="AN50" s="756"/>
      <c r="AO50" s="1575">
        <v>1</v>
      </c>
      <c r="AP50" s="768"/>
      <c r="AQ50" s="769"/>
      <c r="AR50" s="1118"/>
      <c r="AS50" s="778"/>
    </row>
    <row r="51" spans="1:45" ht="2.25" customHeight="1">
      <c r="A51" s="281"/>
      <c r="B51" s="661"/>
      <c r="C51" s="661"/>
      <c r="D51" s="711"/>
      <c r="E51" s="735"/>
      <c r="F51" s="717"/>
      <c r="G51" s="717"/>
      <c r="H51" s="736"/>
      <c r="I51" s="717"/>
      <c r="J51" s="717"/>
      <c r="K51" s="737"/>
      <c r="L51" s="717"/>
      <c r="M51" s="717"/>
      <c r="N51" s="722"/>
      <c r="O51" s="722"/>
      <c r="P51" s="717"/>
      <c r="Q51" s="419"/>
      <c r="R51" s="722"/>
      <c r="S51" s="717"/>
      <c r="T51" s="419"/>
      <c r="U51" s="722"/>
      <c r="V51" s="723"/>
      <c r="W51" s="510"/>
      <c r="X51" s="738"/>
      <c r="Y51" s="749"/>
      <c r="Z51" s="780"/>
      <c r="AA51" s="755"/>
      <c r="AB51" s="755"/>
      <c r="AC51" s="781"/>
      <c r="AD51" s="755"/>
      <c r="AE51" s="755"/>
      <c r="AF51" s="781"/>
      <c r="AG51" s="755"/>
      <c r="AH51" s="755"/>
      <c r="AI51" s="760"/>
      <c r="AJ51" s="760"/>
      <c r="AK51" s="755"/>
      <c r="AL51" s="760"/>
      <c r="AM51" s="760"/>
      <c r="AN51" s="755"/>
      <c r="AO51" s="449"/>
      <c r="AP51" s="760"/>
      <c r="AQ51" s="761"/>
      <c r="AR51" s="468"/>
      <c r="AS51" s="773"/>
    </row>
    <row r="52" spans="1:45">
      <c r="A52" s="281"/>
      <c r="B52" s="283" t="str">
        <f>IF('Step 7a--Feedstuff Required'!B52="[add protein source here]"," ",'Step 7a--Feedstuff Required'!B52)</f>
        <v xml:space="preserve"> </v>
      </c>
      <c r="C52" s="282"/>
      <c r="D52" s="710"/>
      <c r="E52" s="3460"/>
      <c r="F52" s="718"/>
      <c r="G52" s="718"/>
      <c r="H52" s="3459"/>
      <c r="I52" s="718"/>
      <c r="J52" s="718"/>
      <c r="K52" s="120"/>
      <c r="L52" s="718"/>
      <c r="M52" s="718"/>
      <c r="N52" s="121"/>
      <c r="O52" s="718"/>
      <c r="P52" s="718"/>
      <c r="Q52" s="1120"/>
      <c r="R52" s="718"/>
      <c r="S52" s="718"/>
      <c r="T52" s="1575"/>
      <c r="U52" s="718"/>
      <c r="V52" s="721"/>
      <c r="W52" s="1116"/>
      <c r="X52" s="734"/>
      <c r="Y52" s="748"/>
      <c r="Z52" s="3460"/>
      <c r="AA52" s="756"/>
      <c r="AB52" s="756"/>
      <c r="AC52" s="3459"/>
      <c r="AD52" s="756"/>
      <c r="AE52" s="756"/>
      <c r="AF52" s="3460"/>
      <c r="AG52" s="756"/>
      <c r="AH52" s="756"/>
      <c r="AI52" s="121"/>
      <c r="AJ52" s="756"/>
      <c r="AK52" s="756"/>
      <c r="AL52" s="1218"/>
      <c r="AM52" s="756"/>
      <c r="AN52" s="756"/>
      <c r="AO52" s="1575"/>
      <c r="AP52" s="756"/>
      <c r="AQ52" s="759"/>
      <c r="AR52" s="1118"/>
      <c r="AS52" s="772"/>
    </row>
    <row r="53" spans="1:45" ht="2.25" customHeight="1">
      <c r="A53" s="281"/>
      <c r="B53" s="661"/>
      <c r="C53" s="661"/>
      <c r="D53" s="711"/>
      <c r="E53" s="735"/>
      <c r="F53" s="717"/>
      <c r="G53" s="717"/>
      <c r="H53" s="736"/>
      <c r="I53" s="717"/>
      <c r="J53" s="717"/>
      <c r="K53" s="737"/>
      <c r="L53" s="717"/>
      <c r="M53" s="717"/>
      <c r="N53" s="722"/>
      <c r="O53" s="722"/>
      <c r="P53" s="717"/>
      <c r="Q53" s="419"/>
      <c r="R53" s="722"/>
      <c r="S53" s="717"/>
      <c r="T53" s="419"/>
      <c r="U53" s="722"/>
      <c r="V53" s="723"/>
      <c r="W53" s="510"/>
      <c r="X53" s="738"/>
      <c r="Y53" s="749"/>
      <c r="Z53" s="780"/>
      <c r="AA53" s="755"/>
      <c r="AB53" s="755"/>
      <c r="AC53" s="781"/>
      <c r="AD53" s="755"/>
      <c r="AE53" s="755"/>
      <c r="AF53" s="781"/>
      <c r="AG53" s="755"/>
      <c r="AH53" s="755"/>
      <c r="AI53" s="760"/>
      <c r="AJ53" s="760"/>
      <c r="AK53" s="755"/>
      <c r="AL53" s="1304"/>
      <c r="AM53" s="760"/>
      <c r="AN53" s="755"/>
      <c r="AO53" s="449"/>
      <c r="AP53" s="760"/>
      <c r="AQ53" s="761"/>
      <c r="AR53" s="468"/>
      <c r="AS53" s="773"/>
    </row>
    <row r="54" spans="1:45">
      <c r="A54" s="281"/>
      <c r="B54" s="283" t="str">
        <f>IF('Step 7a--Feedstuff Required'!B54="[add protein source here]"," ",'Step 7a--Feedstuff Required'!B54)</f>
        <v xml:space="preserve"> </v>
      </c>
      <c r="C54" s="282"/>
      <c r="D54" s="710"/>
      <c r="E54" s="3460"/>
      <c r="F54" s="718"/>
      <c r="G54" s="718"/>
      <c r="H54" s="3459"/>
      <c r="I54" s="718"/>
      <c r="J54" s="718"/>
      <c r="K54" s="120"/>
      <c r="L54" s="718"/>
      <c r="M54" s="718"/>
      <c r="N54" s="121"/>
      <c r="O54" s="718"/>
      <c r="P54" s="718"/>
      <c r="Q54" s="1120"/>
      <c r="R54" s="718"/>
      <c r="S54" s="718"/>
      <c r="T54" s="1575"/>
      <c r="U54" s="718"/>
      <c r="V54" s="721"/>
      <c r="W54" s="1116"/>
      <c r="X54" s="734"/>
      <c r="Y54" s="748"/>
      <c r="Z54" s="3460"/>
      <c r="AA54" s="756"/>
      <c r="AB54" s="756"/>
      <c r="AC54" s="3459"/>
      <c r="AD54" s="756"/>
      <c r="AE54" s="756"/>
      <c r="AF54" s="3460"/>
      <c r="AG54" s="756"/>
      <c r="AH54" s="756"/>
      <c r="AI54" s="121"/>
      <c r="AJ54" s="756"/>
      <c r="AK54" s="756"/>
      <c r="AL54" s="1218"/>
      <c r="AM54" s="756"/>
      <c r="AN54" s="756"/>
      <c r="AO54" s="1575"/>
      <c r="AP54" s="756"/>
      <c r="AQ54" s="759"/>
      <c r="AR54" s="1118"/>
      <c r="AS54" s="772"/>
    </row>
    <row r="55" spans="1:45" ht="2.25" customHeight="1">
      <c r="A55" s="281"/>
      <c r="B55" s="661"/>
      <c r="C55" s="661"/>
      <c r="D55" s="711"/>
      <c r="E55" s="735"/>
      <c r="F55" s="717"/>
      <c r="G55" s="717"/>
      <c r="H55" s="736"/>
      <c r="I55" s="717"/>
      <c r="J55" s="717"/>
      <c r="K55" s="737"/>
      <c r="L55" s="717"/>
      <c r="M55" s="717"/>
      <c r="N55" s="722"/>
      <c r="O55" s="722"/>
      <c r="P55" s="717"/>
      <c r="Q55" s="722"/>
      <c r="R55" s="722"/>
      <c r="S55" s="717"/>
      <c r="T55" s="722"/>
      <c r="U55" s="722"/>
      <c r="V55" s="723"/>
      <c r="W55" s="510"/>
      <c r="X55" s="738"/>
      <c r="Y55" s="749"/>
      <c r="Z55" s="780"/>
      <c r="AA55" s="755"/>
      <c r="AB55" s="755"/>
      <c r="AC55" s="781"/>
      <c r="AD55" s="755"/>
      <c r="AE55" s="755"/>
      <c r="AF55" s="781"/>
      <c r="AG55" s="755"/>
      <c r="AH55" s="755"/>
      <c r="AI55" s="760"/>
      <c r="AJ55" s="760"/>
      <c r="AK55" s="755"/>
      <c r="AL55" s="1304"/>
      <c r="AM55" s="760"/>
      <c r="AN55" s="755"/>
      <c r="AO55" s="760"/>
      <c r="AP55" s="760"/>
      <c r="AQ55" s="761"/>
      <c r="AR55" s="468"/>
      <c r="AS55" s="773"/>
    </row>
    <row r="56" spans="1:45">
      <c r="A56" s="281"/>
      <c r="B56" s="283" t="str">
        <f>IF('Step 7a--Feedstuff Required'!B56="[add protein source here]"," ",'Step 7a--Feedstuff Required'!B56)</f>
        <v xml:space="preserve"> </v>
      </c>
      <c r="C56" s="282"/>
      <c r="D56" s="710"/>
      <c r="E56" s="3460"/>
      <c r="F56" s="718"/>
      <c r="G56" s="718"/>
      <c r="H56" s="3459"/>
      <c r="I56" s="718"/>
      <c r="J56" s="718"/>
      <c r="K56" s="120"/>
      <c r="L56" s="718"/>
      <c r="M56" s="718"/>
      <c r="N56" s="121"/>
      <c r="O56" s="732"/>
      <c r="P56" s="718"/>
      <c r="Q56" s="1218"/>
      <c r="R56" s="732"/>
      <c r="S56" s="718"/>
      <c r="T56" s="1575"/>
      <c r="U56" s="732"/>
      <c r="V56" s="733"/>
      <c r="W56" s="1116"/>
      <c r="X56" s="747"/>
      <c r="Y56" s="748"/>
      <c r="Z56" s="3460"/>
      <c r="AA56" s="756"/>
      <c r="AB56" s="756"/>
      <c r="AC56" s="120"/>
      <c r="AD56" s="756"/>
      <c r="AE56" s="756"/>
      <c r="AF56" s="3460"/>
      <c r="AG56" s="756"/>
      <c r="AH56" s="756"/>
      <c r="AI56" s="121"/>
      <c r="AJ56" s="770"/>
      <c r="AK56" s="756"/>
      <c r="AL56" s="1218"/>
      <c r="AM56" s="770"/>
      <c r="AN56" s="756"/>
      <c r="AO56" s="1575"/>
      <c r="AP56" s="770"/>
      <c r="AQ56" s="771"/>
      <c r="AR56" s="1118"/>
      <c r="AS56" s="779"/>
    </row>
    <row r="57" spans="1:45" ht="6" customHeight="1">
      <c r="A57" s="286"/>
      <c r="B57" s="287"/>
      <c r="C57" s="287"/>
      <c r="D57" s="714"/>
      <c r="E57" s="741"/>
      <c r="F57" s="720"/>
      <c r="G57" s="720"/>
      <c r="H57" s="742"/>
      <c r="I57" s="720"/>
      <c r="J57" s="720"/>
      <c r="K57" s="742"/>
      <c r="L57" s="720"/>
      <c r="M57" s="720"/>
      <c r="N57" s="726"/>
      <c r="O57" s="726"/>
      <c r="P57" s="720"/>
      <c r="Q57" s="726"/>
      <c r="R57" s="726"/>
      <c r="S57" s="720"/>
      <c r="T57" s="726"/>
      <c r="U57" s="726"/>
      <c r="V57" s="727"/>
      <c r="W57" s="1188"/>
      <c r="X57" s="744"/>
      <c r="Y57" s="752"/>
      <c r="Z57" s="783"/>
      <c r="AA57" s="758"/>
      <c r="AB57" s="758"/>
      <c r="AC57" s="784"/>
      <c r="AD57" s="758"/>
      <c r="AE57" s="758"/>
      <c r="AF57" s="784"/>
      <c r="AG57" s="758"/>
      <c r="AH57" s="758"/>
      <c r="AI57" s="764"/>
      <c r="AJ57" s="764"/>
      <c r="AK57" s="758"/>
      <c r="AL57" s="764"/>
      <c r="AM57" s="764"/>
      <c r="AN57" s="758"/>
      <c r="AO57" s="764"/>
      <c r="AP57" s="764"/>
      <c r="AQ57" s="765"/>
      <c r="AR57" s="1189"/>
      <c r="AS57" s="776"/>
    </row>
    <row r="58" spans="1:45" ht="30" customHeight="1">
      <c r="A58" s="4631" t="s">
        <v>168</v>
      </c>
      <c r="B58" s="4632"/>
      <c r="C58" s="4632"/>
      <c r="D58" s="4632"/>
      <c r="E58" s="4632"/>
      <c r="F58" s="4632"/>
      <c r="G58" s="4632"/>
      <c r="H58" s="4632"/>
      <c r="I58" s="4632"/>
      <c r="J58" s="4632"/>
      <c r="K58" s="4632"/>
      <c r="L58" s="4632"/>
      <c r="M58" s="4632"/>
      <c r="N58" s="4632"/>
      <c r="O58" s="4632"/>
      <c r="P58" s="4632"/>
      <c r="Q58" s="4632"/>
      <c r="R58" s="4632"/>
      <c r="S58" s="4632"/>
      <c r="T58" s="4632"/>
      <c r="U58" s="4632"/>
      <c r="V58" s="4632"/>
      <c r="W58" s="4632"/>
      <c r="X58" s="4632"/>
      <c r="Y58" s="4632"/>
      <c r="Z58" s="4632"/>
      <c r="AA58" s="4632"/>
      <c r="AB58" s="4632"/>
      <c r="AC58" s="4632"/>
      <c r="AD58" s="4632"/>
      <c r="AE58" s="4632"/>
      <c r="AF58" s="4632"/>
      <c r="AG58" s="4632"/>
      <c r="AH58" s="4632"/>
      <c r="AI58" s="4632"/>
      <c r="AJ58" s="4632"/>
      <c r="AK58" s="4632"/>
      <c r="AL58" s="4632"/>
      <c r="AM58" s="4632"/>
      <c r="AN58" s="4632"/>
      <c r="AO58" s="4632"/>
      <c r="AP58" s="4632"/>
      <c r="AQ58" s="4632"/>
      <c r="AR58" s="4632"/>
      <c r="AS58" s="4633"/>
    </row>
    <row r="59" spans="1:45">
      <c r="A59" s="4611" t="s">
        <v>1251</v>
      </c>
      <c r="B59" s="4612"/>
      <c r="C59" s="4612"/>
      <c r="D59" s="4612"/>
      <c r="E59" s="4612"/>
      <c r="F59" s="4612"/>
      <c r="G59" s="4612"/>
      <c r="H59" s="4612"/>
      <c r="I59" s="4612"/>
      <c r="J59" s="4612"/>
      <c r="K59" s="4612"/>
      <c r="L59" s="4612"/>
      <c r="M59" s="4612"/>
      <c r="N59" s="4612"/>
      <c r="O59" s="4612"/>
      <c r="P59" s="4612"/>
      <c r="Q59" s="4612"/>
      <c r="R59" s="4612"/>
      <c r="S59" s="4612"/>
      <c r="T59" s="4612"/>
      <c r="U59" s="4612"/>
      <c r="V59" s="4612"/>
      <c r="W59" s="4612"/>
      <c r="X59" s="4612"/>
      <c r="Y59" s="4612"/>
      <c r="Z59" s="4612"/>
      <c r="AA59" s="4612"/>
      <c r="AB59" s="4612"/>
      <c r="AC59" s="4612"/>
      <c r="AD59" s="4612"/>
      <c r="AE59" s="4612"/>
      <c r="AF59" s="4612"/>
      <c r="AG59" s="4612"/>
      <c r="AH59" s="4612"/>
      <c r="AI59" s="4612"/>
      <c r="AJ59" s="4612"/>
      <c r="AK59" s="4612"/>
      <c r="AL59" s="4612"/>
      <c r="AM59" s="4612"/>
      <c r="AN59" s="4612"/>
      <c r="AO59" s="4612"/>
      <c r="AP59" s="4612"/>
      <c r="AQ59" s="4612"/>
      <c r="AR59" s="4612"/>
      <c r="AS59" s="4613"/>
    </row>
    <row r="60" spans="1:45" ht="25.5" customHeight="1">
      <c r="A60" s="4634" t="s">
        <v>1252</v>
      </c>
      <c r="B60" s="4635"/>
      <c r="C60" s="4635"/>
      <c r="D60" s="4635"/>
      <c r="E60" s="4635"/>
      <c r="F60" s="4635"/>
      <c r="G60" s="4635"/>
      <c r="H60" s="4635"/>
      <c r="I60" s="4635"/>
      <c r="J60" s="4635"/>
      <c r="K60" s="4635"/>
      <c r="L60" s="4635"/>
      <c r="M60" s="4635"/>
      <c r="N60" s="4635"/>
      <c r="O60" s="4635"/>
      <c r="P60" s="4635"/>
      <c r="Q60" s="4635"/>
      <c r="R60" s="4635"/>
      <c r="S60" s="4635"/>
      <c r="T60" s="4635"/>
      <c r="U60" s="4635"/>
      <c r="V60" s="4635"/>
      <c r="W60" s="4635"/>
      <c r="X60" s="4635"/>
      <c r="Y60" s="4635"/>
      <c r="Z60" s="4635"/>
      <c r="AA60" s="4635"/>
      <c r="AB60" s="4635"/>
      <c r="AC60" s="4635"/>
      <c r="AD60" s="4635"/>
      <c r="AE60" s="4635"/>
      <c r="AF60" s="4635"/>
      <c r="AG60" s="4635"/>
      <c r="AH60" s="4635"/>
      <c r="AI60" s="4635"/>
      <c r="AJ60" s="4635"/>
      <c r="AK60" s="4635"/>
      <c r="AL60" s="4635"/>
      <c r="AM60" s="4635"/>
      <c r="AN60" s="4635"/>
      <c r="AO60" s="4635"/>
      <c r="AP60" s="4635"/>
      <c r="AQ60" s="4635"/>
      <c r="AR60" s="4635"/>
      <c r="AS60" s="4636"/>
    </row>
    <row r="61" spans="1:45">
      <c r="A61" s="4611" t="s">
        <v>264</v>
      </c>
      <c r="B61" s="4612"/>
      <c r="C61" s="4612"/>
      <c r="D61" s="4612"/>
      <c r="E61" s="4612"/>
      <c r="F61" s="4612"/>
      <c r="G61" s="4612"/>
      <c r="H61" s="4612"/>
      <c r="I61" s="4612"/>
      <c r="J61" s="4612"/>
      <c r="K61" s="4612"/>
      <c r="L61" s="4612"/>
      <c r="M61" s="4612"/>
      <c r="N61" s="4612"/>
      <c r="O61" s="4612"/>
      <c r="P61" s="4612"/>
      <c r="Q61" s="4612"/>
      <c r="R61" s="4612"/>
      <c r="S61" s="4612"/>
      <c r="T61" s="4612"/>
      <c r="U61" s="4612"/>
      <c r="V61" s="4612"/>
      <c r="W61" s="4612"/>
      <c r="X61" s="4612"/>
      <c r="Y61" s="4612"/>
      <c r="Z61" s="4612"/>
      <c r="AA61" s="4612"/>
      <c r="AB61" s="4612"/>
      <c r="AC61" s="4612"/>
      <c r="AD61" s="4612"/>
      <c r="AE61" s="4612"/>
      <c r="AF61" s="4612"/>
      <c r="AG61" s="4612"/>
      <c r="AH61" s="4612"/>
      <c r="AI61" s="4612"/>
      <c r="AJ61" s="4612"/>
      <c r="AK61" s="4612"/>
      <c r="AL61" s="4612"/>
      <c r="AM61" s="4612"/>
      <c r="AN61" s="4612"/>
      <c r="AO61" s="4612"/>
      <c r="AP61" s="4612"/>
      <c r="AQ61" s="4612"/>
      <c r="AR61" s="4612"/>
      <c r="AS61" s="4613"/>
    </row>
    <row r="62" spans="1:45">
      <c r="A62" s="4611" t="s">
        <v>265</v>
      </c>
      <c r="B62" s="4612"/>
      <c r="C62" s="4612"/>
      <c r="D62" s="4612"/>
      <c r="E62" s="4612"/>
      <c r="F62" s="4612"/>
      <c r="G62" s="4612"/>
      <c r="H62" s="4612"/>
      <c r="I62" s="4612"/>
      <c r="J62" s="4612"/>
      <c r="K62" s="4612"/>
      <c r="L62" s="4612"/>
      <c r="M62" s="4612"/>
      <c r="N62" s="4612"/>
      <c r="O62" s="4612"/>
      <c r="P62" s="4612"/>
      <c r="Q62" s="4612"/>
      <c r="R62" s="4612"/>
      <c r="S62" s="4612"/>
      <c r="T62" s="4612"/>
      <c r="U62" s="4612"/>
      <c r="V62" s="4612"/>
      <c r="W62" s="4612"/>
      <c r="X62" s="4612"/>
      <c r="Y62" s="4612"/>
      <c r="Z62" s="4612"/>
      <c r="AA62" s="4612"/>
      <c r="AB62" s="4612"/>
      <c r="AC62" s="4612"/>
      <c r="AD62" s="4612"/>
      <c r="AE62" s="4612"/>
      <c r="AF62" s="4612"/>
      <c r="AG62" s="4612"/>
      <c r="AH62" s="4612"/>
      <c r="AI62" s="4612"/>
      <c r="AJ62" s="4612"/>
      <c r="AK62" s="4612"/>
      <c r="AL62" s="4612"/>
      <c r="AM62" s="4612"/>
      <c r="AN62" s="4612"/>
      <c r="AO62" s="4612"/>
      <c r="AP62" s="4612"/>
      <c r="AQ62" s="4612"/>
      <c r="AR62" s="4612"/>
      <c r="AS62" s="4613"/>
    </row>
    <row r="63" spans="1:45">
      <c r="A63" s="4611" t="s">
        <v>288</v>
      </c>
      <c r="B63" s="4612"/>
      <c r="C63" s="4612"/>
      <c r="D63" s="4612"/>
      <c r="E63" s="4612"/>
      <c r="F63" s="4612"/>
      <c r="G63" s="4612"/>
      <c r="H63" s="4612"/>
      <c r="I63" s="4612"/>
      <c r="J63" s="4612"/>
      <c r="K63" s="4612"/>
      <c r="L63" s="4612"/>
      <c r="M63" s="4612"/>
      <c r="N63" s="4612"/>
      <c r="O63" s="4612"/>
      <c r="P63" s="4612"/>
      <c r="Q63" s="4612"/>
      <c r="R63" s="4612"/>
      <c r="S63" s="4612"/>
      <c r="T63" s="4612"/>
      <c r="U63" s="4612"/>
      <c r="V63" s="4612"/>
      <c r="W63" s="4612"/>
      <c r="X63" s="4612"/>
      <c r="Y63" s="4612"/>
      <c r="Z63" s="4612"/>
      <c r="AA63" s="4612"/>
      <c r="AB63" s="4612"/>
      <c r="AC63" s="4612"/>
      <c r="AD63" s="4612"/>
      <c r="AE63" s="4612"/>
      <c r="AF63" s="4612"/>
      <c r="AG63" s="4612"/>
      <c r="AH63" s="4612"/>
      <c r="AI63" s="4612"/>
      <c r="AJ63" s="4612"/>
      <c r="AK63" s="4612"/>
      <c r="AL63" s="4612"/>
      <c r="AM63" s="4612"/>
      <c r="AN63" s="4612"/>
      <c r="AO63" s="4612"/>
      <c r="AP63" s="4612"/>
      <c r="AQ63" s="4612"/>
      <c r="AR63" s="4612"/>
      <c r="AS63" s="4613"/>
    </row>
    <row r="64" spans="1:45">
      <c r="A64" s="4611" t="s">
        <v>289</v>
      </c>
      <c r="B64" s="4612"/>
      <c r="C64" s="4612"/>
      <c r="D64" s="4612"/>
      <c r="E64" s="4612"/>
      <c r="F64" s="4612"/>
      <c r="G64" s="4612"/>
      <c r="H64" s="4612"/>
      <c r="I64" s="4612"/>
      <c r="J64" s="4612"/>
      <c r="K64" s="4612"/>
      <c r="L64" s="4612"/>
      <c r="M64" s="4612"/>
      <c r="N64" s="4612"/>
      <c r="O64" s="4612"/>
      <c r="P64" s="4612"/>
      <c r="Q64" s="4612"/>
      <c r="R64" s="4612"/>
      <c r="S64" s="4612"/>
      <c r="T64" s="4612"/>
      <c r="U64" s="4612"/>
      <c r="V64" s="4612"/>
      <c r="W64" s="4612"/>
      <c r="X64" s="4612"/>
      <c r="Y64" s="4612"/>
      <c r="Z64" s="4612"/>
      <c r="AA64" s="4612"/>
      <c r="AB64" s="4612"/>
      <c r="AC64" s="4612"/>
      <c r="AD64" s="4612"/>
      <c r="AE64" s="4612"/>
      <c r="AF64" s="4612"/>
      <c r="AG64" s="4612"/>
      <c r="AH64" s="4612"/>
      <c r="AI64" s="4612"/>
      <c r="AJ64" s="4612"/>
      <c r="AK64" s="4612"/>
      <c r="AL64" s="4612"/>
      <c r="AM64" s="4612"/>
      <c r="AN64" s="4612"/>
      <c r="AO64" s="4612"/>
      <c r="AP64" s="4612"/>
      <c r="AQ64" s="4612"/>
      <c r="AR64" s="4612"/>
      <c r="AS64" s="4613"/>
    </row>
    <row r="65" spans="1:45">
      <c r="A65" s="4611" t="s">
        <v>287</v>
      </c>
      <c r="B65" s="4612"/>
      <c r="C65" s="4612"/>
      <c r="D65" s="4612"/>
      <c r="E65" s="4612"/>
      <c r="F65" s="4612"/>
      <c r="G65" s="4612"/>
      <c r="H65" s="4612"/>
      <c r="I65" s="4612"/>
      <c r="J65" s="4612"/>
      <c r="K65" s="4612"/>
      <c r="L65" s="4612"/>
      <c r="M65" s="4612"/>
      <c r="N65" s="4612"/>
      <c r="O65" s="4612"/>
      <c r="P65" s="4612"/>
      <c r="Q65" s="4612"/>
      <c r="R65" s="4612"/>
      <c r="S65" s="4612"/>
      <c r="T65" s="4612"/>
      <c r="U65" s="4612"/>
      <c r="V65" s="4612"/>
      <c r="W65" s="4612"/>
      <c r="X65" s="4612"/>
      <c r="Y65" s="4612"/>
      <c r="Z65" s="4612"/>
      <c r="AA65" s="4612"/>
      <c r="AB65" s="4612"/>
      <c r="AC65" s="4612"/>
      <c r="AD65" s="4612"/>
      <c r="AE65" s="4612"/>
      <c r="AF65" s="4612"/>
      <c r="AG65" s="4612"/>
      <c r="AH65" s="4612"/>
      <c r="AI65" s="4612"/>
      <c r="AJ65" s="4612"/>
      <c r="AK65" s="4612"/>
      <c r="AL65" s="4612"/>
      <c r="AM65" s="4612"/>
      <c r="AN65" s="4612"/>
      <c r="AO65" s="4612"/>
      <c r="AP65" s="4612"/>
      <c r="AQ65" s="4612"/>
      <c r="AR65" s="4612"/>
      <c r="AS65" s="4613"/>
    </row>
    <row r="66" spans="1:45">
      <c r="A66" s="4643" t="s">
        <v>121</v>
      </c>
      <c r="B66" s="4644"/>
      <c r="C66" s="4644"/>
      <c r="D66" s="4644"/>
      <c r="E66" s="4644"/>
      <c r="F66" s="4644"/>
      <c r="G66" s="4644"/>
      <c r="H66" s="4644"/>
      <c r="I66" s="4644"/>
      <c r="J66" s="4644"/>
      <c r="K66" s="4644"/>
      <c r="L66" s="4644"/>
      <c r="M66" s="4644"/>
      <c r="N66" s="4644"/>
      <c r="O66" s="4644"/>
      <c r="P66" s="4644"/>
      <c r="Q66" s="4644"/>
      <c r="R66" s="4644"/>
      <c r="S66" s="4644"/>
      <c r="T66" s="4644"/>
      <c r="U66" s="4644"/>
      <c r="V66" s="4644"/>
      <c r="W66" s="4644"/>
      <c r="X66" s="4644"/>
      <c r="Y66" s="4644"/>
      <c r="Z66" s="4644"/>
      <c r="AA66" s="4644"/>
      <c r="AB66" s="4644"/>
      <c r="AC66" s="4644"/>
      <c r="AD66" s="4644"/>
      <c r="AE66" s="4644"/>
      <c r="AF66" s="4644"/>
      <c r="AG66" s="4644"/>
      <c r="AH66" s="4644"/>
      <c r="AI66" s="4644"/>
      <c r="AJ66" s="4644"/>
      <c r="AK66" s="4644"/>
      <c r="AL66" s="4644"/>
      <c r="AM66" s="4644"/>
      <c r="AN66" s="4644"/>
      <c r="AO66" s="4644"/>
      <c r="AP66" s="4644"/>
      <c r="AQ66" s="4644"/>
      <c r="AR66" s="4644"/>
      <c r="AS66" s="4645"/>
    </row>
    <row r="67" spans="1:45">
      <c r="A67" s="4643" t="s">
        <v>576</v>
      </c>
      <c r="B67" s="4644"/>
      <c r="C67" s="4644"/>
      <c r="D67" s="4644"/>
      <c r="E67" s="4644"/>
      <c r="F67" s="4644"/>
      <c r="G67" s="4644"/>
      <c r="H67" s="4644"/>
      <c r="I67" s="4644"/>
      <c r="J67" s="4644"/>
      <c r="K67" s="4644"/>
      <c r="L67" s="4644"/>
      <c r="M67" s="4644"/>
      <c r="N67" s="4644"/>
      <c r="O67" s="4644"/>
      <c r="P67" s="4644"/>
      <c r="Q67" s="4644"/>
      <c r="R67" s="4644"/>
      <c r="S67" s="4644"/>
      <c r="T67" s="4644"/>
      <c r="U67" s="4644"/>
      <c r="V67" s="4644"/>
      <c r="W67" s="4644"/>
      <c r="X67" s="4644"/>
      <c r="Y67" s="4644"/>
      <c r="Z67" s="4644"/>
      <c r="AA67" s="4644"/>
      <c r="AB67" s="4644"/>
      <c r="AC67" s="4644"/>
      <c r="AD67" s="4644"/>
      <c r="AE67" s="4644"/>
      <c r="AF67" s="4644"/>
      <c r="AG67" s="4644"/>
      <c r="AH67" s="4644"/>
      <c r="AI67" s="4644"/>
      <c r="AJ67" s="4644"/>
      <c r="AK67" s="4644"/>
      <c r="AL67" s="4644"/>
      <c r="AM67" s="4644"/>
      <c r="AN67" s="4644"/>
      <c r="AO67" s="4644"/>
      <c r="AP67" s="4644"/>
      <c r="AQ67" s="4644"/>
      <c r="AR67" s="4644"/>
      <c r="AS67" s="4645"/>
    </row>
    <row r="68" spans="1:45">
      <c r="A68" s="4643" t="s">
        <v>848</v>
      </c>
      <c r="B68" s="4644"/>
      <c r="C68" s="4644"/>
      <c r="D68" s="4644"/>
      <c r="E68" s="4644"/>
      <c r="F68" s="4644"/>
      <c r="G68" s="4644"/>
      <c r="H68" s="4644"/>
      <c r="I68" s="4644"/>
      <c r="J68" s="4644"/>
      <c r="K68" s="4644"/>
      <c r="L68" s="4644"/>
      <c r="M68" s="4644"/>
      <c r="N68" s="4644"/>
      <c r="O68" s="4644"/>
      <c r="P68" s="4644"/>
      <c r="Q68" s="4644"/>
      <c r="R68" s="4644"/>
      <c r="S68" s="4644"/>
      <c r="T68" s="4644"/>
      <c r="U68" s="4644"/>
      <c r="V68" s="4644"/>
      <c r="W68" s="4644"/>
      <c r="X68" s="4644"/>
      <c r="Y68" s="4644"/>
      <c r="Z68" s="4644"/>
      <c r="AA68" s="4644"/>
      <c r="AB68" s="4644"/>
      <c r="AC68" s="4644"/>
      <c r="AD68" s="4644"/>
      <c r="AE68" s="4644"/>
      <c r="AF68" s="4644"/>
      <c r="AG68" s="4644"/>
      <c r="AH68" s="4644"/>
      <c r="AI68" s="4644"/>
      <c r="AJ68" s="4644"/>
      <c r="AK68" s="4644"/>
      <c r="AL68" s="4644"/>
      <c r="AM68" s="4644"/>
      <c r="AN68" s="4644"/>
      <c r="AO68" s="4644"/>
      <c r="AP68" s="4644"/>
      <c r="AQ68" s="4644"/>
      <c r="AR68" s="4644"/>
      <c r="AS68" s="4645"/>
    </row>
    <row r="69" spans="1:45" ht="13.5" thickBot="1">
      <c r="A69" s="4095" t="s">
        <v>578</v>
      </c>
      <c r="B69" s="4096"/>
      <c r="C69" s="4096"/>
      <c r="D69" s="4096"/>
      <c r="E69" s="4096"/>
      <c r="F69" s="4096"/>
      <c r="G69" s="4096"/>
      <c r="H69" s="4096"/>
      <c r="I69" s="4096"/>
      <c r="J69" s="4096"/>
      <c r="K69" s="4096"/>
      <c r="L69" s="4096"/>
      <c r="M69" s="4096"/>
      <c r="N69" s="4096"/>
      <c r="O69" s="4096"/>
      <c r="P69" s="4096"/>
      <c r="Q69" s="4096"/>
      <c r="R69" s="4096"/>
      <c r="S69" s="4096"/>
      <c r="T69" s="4096"/>
      <c r="U69" s="4096"/>
      <c r="V69" s="4096"/>
      <c r="W69" s="4096"/>
      <c r="X69" s="4096"/>
      <c r="Y69" s="4096"/>
      <c r="Z69" s="4096"/>
      <c r="AA69" s="4096"/>
      <c r="AB69" s="4096"/>
      <c r="AC69" s="4096"/>
      <c r="AD69" s="4096"/>
      <c r="AE69" s="4096"/>
      <c r="AF69" s="4096"/>
      <c r="AG69" s="4096"/>
      <c r="AH69" s="4096"/>
      <c r="AI69" s="4096"/>
      <c r="AJ69" s="4096"/>
      <c r="AK69" s="4096"/>
      <c r="AL69" s="4096"/>
      <c r="AM69" s="4096"/>
      <c r="AN69" s="4096"/>
      <c r="AO69" s="4096"/>
      <c r="AP69" s="4096"/>
      <c r="AQ69" s="4096"/>
      <c r="AR69" s="4096"/>
      <c r="AS69" s="4097"/>
    </row>
    <row r="70" spans="1:45" ht="13.5" thickBot="1"/>
    <row r="71" spans="1:45">
      <c r="A71" s="4640" t="s">
        <v>290</v>
      </c>
      <c r="B71" s="4641"/>
      <c r="C71" s="4641"/>
      <c r="D71" s="4641"/>
      <c r="E71" s="4642"/>
    </row>
    <row r="72" spans="1:45" ht="14.25">
      <c r="A72" s="1376" t="s">
        <v>101</v>
      </c>
      <c r="B72" s="1377"/>
      <c r="C72" s="4637" t="s">
        <v>32</v>
      </c>
      <c r="D72" s="4638"/>
      <c r="E72" s="4639"/>
    </row>
    <row r="73" spans="1:45" ht="14.25">
      <c r="A73" s="797" t="s">
        <v>12</v>
      </c>
      <c r="B73" s="798"/>
      <c r="C73" s="4608">
        <v>56</v>
      </c>
      <c r="D73" s="4609"/>
      <c r="E73" s="4610"/>
    </row>
    <row r="74" spans="1:45" ht="14.25">
      <c r="A74" s="797" t="s">
        <v>22</v>
      </c>
      <c r="B74" s="799"/>
      <c r="C74" s="4602">
        <v>48</v>
      </c>
      <c r="D74" s="4603"/>
      <c r="E74" s="4604"/>
    </row>
    <row r="75" spans="1:45" ht="14.25">
      <c r="A75" s="797" t="s">
        <v>25</v>
      </c>
      <c r="B75" s="798"/>
      <c r="C75" s="4605">
        <v>32</v>
      </c>
      <c r="D75" s="4606"/>
      <c r="E75" s="4607"/>
    </row>
    <row r="76" spans="1:45" ht="14.25">
      <c r="A76" s="797" t="s">
        <v>27</v>
      </c>
      <c r="B76" s="798"/>
      <c r="C76" s="4605">
        <v>60</v>
      </c>
      <c r="D76" s="4606"/>
      <c r="E76" s="4607"/>
    </row>
    <row r="77" spans="1:45" ht="14.25">
      <c r="A77" s="797" t="s">
        <v>7</v>
      </c>
      <c r="B77" s="798"/>
      <c r="C77" s="4605">
        <v>60</v>
      </c>
      <c r="D77" s="4606"/>
      <c r="E77" s="4607"/>
    </row>
    <row r="78" spans="1:45" ht="15" thickBot="1">
      <c r="A78" s="800" t="s">
        <v>14</v>
      </c>
      <c r="B78" s="801"/>
      <c r="C78" s="4599">
        <v>60</v>
      </c>
      <c r="D78" s="4600"/>
      <c r="E78" s="4601"/>
    </row>
    <row r="79" spans="1:45" ht="25.5" customHeight="1" thickBot="1">
      <c r="A79" s="4587" t="s">
        <v>496</v>
      </c>
      <c r="B79" s="4588"/>
      <c r="C79" s="4588"/>
      <c r="D79" s="4588"/>
      <c r="E79" s="4589"/>
    </row>
  </sheetData>
  <sheetProtection password="E0BE" sheet="1" objects="1" scenarios="1" selectLockedCells="1"/>
  <mergeCells count="45">
    <mergeCell ref="A1:AS1"/>
    <mergeCell ref="S5:U5"/>
    <mergeCell ref="A58:AS58"/>
    <mergeCell ref="A65:AS65"/>
    <mergeCell ref="AN5:AP5"/>
    <mergeCell ref="AK5:AM5"/>
    <mergeCell ref="AQ5:AS5"/>
    <mergeCell ref="A2:AS2"/>
    <mergeCell ref="D3:X3"/>
    <mergeCell ref="Y3:AS3"/>
    <mergeCell ref="D4:X4"/>
    <mergeCell ref="Y4:AS4"/>
    <mergeCell ref="AH5:AJ5"/>
    <mergeCell ref="A6:AS6"/>
    <mergeCell ref="A28:AS28"/>
    <mergeCell ref="A46:AS46"/>
    <mergeCell ref="A66:AS66"/>
    <mergeCell ref="A59:AS59"/>
    <mergeCell ref="A60:AS60"/>
    <mergeCell ref="A61:AS61"/>
    <mergeCell ref="A62:AS62"/>
    <mergeCell ref="A63:AS63"/>
    <mergeCell ref="A64:AS64"/>
    <mergeCell ref="P5:R5"/>
    <mergeCell ref="V5:X5"/>
    <mergeCell ref="Y5:AA5"/>
    <mergeCell ref="AB5:AD5"/>
    <mergeCell ref="AE5:AG5"/>
    <mergeCell ref="A5:C5"/>
    <mergeCell ref="D5:F5"/>
    <mergeCell ref="G5:I5"/>
    <mergeCell ref="J5:L5"/>
    <mergeCell ref="M5:O5"/>
    <mergeCell ref="A67:AS67"/>
    <mergeCell ref="A68:AS68"/>
    <mergeCell ref="A69:AS69"/>
    <mergeCell ref="A71:E71"/>
    <mergeCell ref="C72:E72"/>
    <mergeCell ref="C78:E78"/>
    <mergeCell ref="A79:E79"/>
    <mergeCell ref="C73:E73"/>
    <mergeCell ref="C74:E74"/>
    <mergeCell ref="C75:E75"/>
    <mergeCell ref="C76:E76"/>
    <mergeCell ref="C77:E77"/>
  </mergeCells>
  <pageMargins left="0.7" right="0.7" top="0.75" bottom="0.75" header="0.3" footer="0.3"/>
  <pageSetup scale="66" orientation="landscape" r:id="rId1"/>
  <headerFooter>
    <oddFooter>&amp;L&amp;A&amp;C&amp;F&amp;R&amp;D</oddFooter>
  </headerFooter>
</worksheet>
</file>

<file path=xl/worksheets/sheet19.xml><?xml version="1.0" encoding="utf-8"?>
<worksheet xmlns="http://schemas.openxmlformats.org/spreadsheetml/2006/main" xmlns:r="http://schemas.openxmlformats.org/officeDocument/2006/relationships">
  <sheetPr>
    <pageSetUpPr fitToPage="1"/>
  </sheetPr>
  <dimension ref="A1:AC54"/>
  <sheetViews>
    <sheetView topLeftCell="B1" zoomScale="75" zoomScaleNormal="75" workbookViewId="0">
      <selection activeCell="AC20" sqref="AC20"/>
    </sheetView>
  </sheetViews>
  <sheetFormatPr defaultRowHeight="12.75"/>
  <cols>
    <col min="1" max="1" width="21.7109375" customWidth="1"/>
    <col min="2" max="13" width="7.85546875" style="1" customWidth="1"/>
    <col min="14" max="14" width="12.28515625" customWidth="1"/>
    <col min="15" max="15" width="14.5703125" customWidth="1"/>
    <col min="16" max="27" width="7.85546875" customWidth="1"/>
    <col min="28" max="28" width="12.28515625" customWidth="1"/>
    <col min="29" max="29" width="14.5703125" customWidth="1"/>
  </cols>
  <sheetData>
    <row r="1" spans="1:29"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3"/>
    </row>
    <row r="2" spans="1:29" ht="30" customHeight="1">
      <c r="A2" s="4694" t="s">
        <v>961</v>
      </c>
      <c r="B2" s="4695"/>
      <c r="C2" s="4695"/>
      <c r="D2" s="4695"/>
      <c r="E2" s="4695"/>
      <c r="F2" s="4695"/>
      <c r="G2" s="4695"/>
      <c r="H2" s="4695"/>
      <c r="I2" s="4695"/>
      <c r="J2" s="4695"/>
      <c r="K2" s="4695"/>
      <c r="L2" s="4695"/>
      <c r="M2" s="4695"/>
      <c r="N2" s="4695"/>
      <c r="O2" s="4695"/>
      <c r="P2" s="4695"/>
      <c r="Q2" s="4695"/>
      <c r="R2" s="4695"/>
      <c r="S2" s="4695"/>
      <c r="T2" s="4695"/>
      <c r="U2" s="4695"/>
      <c r="V2" s="4695"/>
      <c r="W2" s="4695"/>
      <c r="X2" s="4695"/>
      <c r="Y2" s="4695"/>
      <c r="Z2" s="4695"/>
      <c r="AA2" s="4695"/>
      <c r="AB2" s="4695"/>
      <c r="AC2" s="4696"/>
    </row>
    <row r="3" spans="1:29" ht="21" customHeight="1">
      <c r="A3" s="1722"/>
      <c r="B3" s="4703" t="str">
        <f>'Chosen Parameters-Part I'!B4</f>
        <v>Scenario 1</v>
      </c>
      <c r="C3" s="4704"/>
      <c r="D3" s="4704"/>
      <c r="E3" s="4704"/>
      <c r="F3" s="4704"/>
      <c r="G3" s="4704"/>
      <c r="H3" s="4704"/>
      <c r="I3" s="4704"/>
      <c r="J3" s="4704"/>
      <c r="K3" s="4704"/>
      <c r="L3" s="4704"/>
      <c r="M3" s="4704"/>
      <c r="N3" s="4704"/>
      <c r="O3" s="4705"/>
      <c r="P3" s="4697" t="str">
        <f>'Chosen Parameters-Part I'!C4</f>
        <v>Scenario 2</v>
      </c>
      <c r="Q3" s="4697"/>
      <c r="R3" s="4697"/>
      <c r="S3" s="4697"/>
      <c r="T3" s="4697"/>
      <c r="U3" s="4697"/>
      <c r="V3" s="4697"/>
      <c r="W3" s="4697"/>
      <c r="X3" s="4697"/>
      <c r="Y3" s="4697"/>
      <c r="Z3" s="4697"/>
      <c r="AA3" s="4697"/>
      <c r="AB3" s="4697"/>
      <c r="AC3" s="4698"/>
    </row>
    <row r="4" spans="1:29" ht="22.5" customHeight="1">
      <c r="A4" s="1722"/>
      <c r="B4" s="4706" t="str">
        <f>'Application Setup'!B4</f>
        <v>Intensive Conventional Management with Holsteins and rbST</v>
      </c>
      <c r="C4" s="4707"/>
      <c r="D4" s="4707"/>
      <c r="E4" s="4707"/>
      <c r="F4" s="4707"/>
      <c r="G4" s="4707"/>
      <c r="H4" s="4707"/>
      <c r="I4" s="4707"/>
      <c r="J4" s="4707"/>
      <c r="K4" s="4707"/>
      <c r="L4" s="4707"/>
      <c r="M4" s="4707"/>
      <c r="N4" s="4707"/>
      <c r="O4" s="4708"/>
      <c r="P4" s="4699" t="str">
        <f>'Application Setup'!B5</f>
        <v>Conventional Management, Holsteins</v>
      </c>
      <c r="Q4" s="4699"/>
      <c r="R4" s="4699"/>
      <c r="S4" s="4699"/>
      <c r="T4" s="4699"/>
      <c r="U4" s="4699"/>
      <c r="V4" s="4699"/>
      <c r="W4" s="4699"/>
      <c r="X4" s="4699"/>
      <c r="Y4" s="4699"/>
      <c r="Z4" s="4699"/>
      <c r="AA4" s="4699"/>
      <c r="AB4" s="4699"/>
      <c r="AC4" s="4700"/>
    </row>
    <row r="5" spans="1:29" ht="18" customHeight="1">
      <c r="A5" s="1928"/>
      <c r="B5" s="4709" t="s">
        <v>492</v>
      </c>
      <c r="C5" s="4701"/>
      <c r="D5" s="4701"/>
      <c r="E5" s="4701"/>
      <c r="F5" s="4701"/>
      <c r="G5" s="4701"/>
      <c r="H5" s="4701"/>
      <c r="I5" s="4701"/>
      <c r="J5" s="4701"/>
      <c r="K5" s="4701"/>
      <c r="L5" s="4701"/>
      <c r="M5" s="4701"/>
      <c r="N5" s="4701"/>
      <c r="O5" s="4710"/>
      <c r="P5" s="4701" t="s">
        <v>492</v>
      </c>
      <c r="Q5" s="4701"/>
      <c r="R5" s="4701"/>
      <c r="S5" s="4701"/>
      <c r="T5" s="4701"/>
      <c r="U5" s="4701"/>
      <c r="V5" s="4701"/>
      <c r="W5" s="4701"/>
      <c r="X5" s="4701"/>
      <c r="Y5" s="4701"/>
      <c r="Z5" s="4701"/>
      <c r="AA5" s="4701"/>
      <c r="AB5" s="4701"/>
      <c r="AC5" s="4702"/>
    </row>
    <row r="6" spans="1:29" ht="17.25" customHeight="1">
      <c r="A6" s="1917"/>
      <c r="B6" s="4676" t="s">
        <v>480</v>
      </c>
      <c r="C6" s="4677"/>
      <c r="D6" s="4677"/>
      <c r="E6" s="4677"/>
      <c r="F6" s="4677"/>
      <c r="G6" s="4677"/>
      <c r="H6" s="4677"/>
      <c r="I6" s="4677"/>
      <c r="J6" s="4677"/>
      <c r="K6" s="4677"/>
      <c r="L6" s="4677"/>
      <c r="M6" s="4678"/>
      <c r="N6" s="4685" t="s">
        <v>989</v>
      </c>
      <c r="O6" s="4687" t="s">
        <v>1389</v>
      </c>
      <c r="P6" s="4670" t="s">
        <v>480</v>
      </c>
      <c r="Q6" s="4670"/>
      <c r="R6" s="4670"/>
      <c r="S6" s="4670"/>
      <c r="T6" s="4670"/>
      <c r="U6" s="4670"/>
      <c r="V6" s="4670"/>
      <c r="W6" s="4670"/>
      <c r="X6" s="4670"/>
      <c r="Y6" s="4670"/>
      <c r="Z6" s="4670"/>
      <c r="AA6" s="4671"/>
      <c r="AB6" s="4672" t="s">
        <v>989</v>
      </c>
      <c r="AC6" s="4674" t="s">
        <v>1389</v>
      </c>
    </row>
    <row r="7" spans="1:29" ht="41.25" customHeight="1">
      <c r="A7" s="1918"/>
      <c r="B7" s="1921" t="s">
        <v>501</v>
      </c>
      <c r="C7" s="1721" t="s">
        <v>481</v>
      </c>
      <c r="D7" s="1721" t="s">
        <v>503</v>
      </c>
      <c r="E7" s="1721" t="s">
        <v>483</v>
      </c>
      <c r="F7" s="1721" t="s">
        <v>484</v>
      </c>
      <c r="G7" s="1721" t="s">
        <v>485</v>
      </c>
      <c r="H7" s="1721" t="s">
        <v>486</v>
      </c>
      <c r="I7" s="1721" t="s">
        <v>502</v>
      </c>
      <c r="J7" s="1721" t="s">
        <v>488</v>
      </c>
      <c r="K7" s="1721" t="s">
        <v>489</v>
      </c>
      <c r="L7" s="1721" t="s">
        <v>490</v>
      </c>
      <c r="M7" s="1778" t="s">
        <v>491</v>
      </c>
      <c r="N7" s="4686"/>
      <c r="O7" s="4688"/>
      <c r="P7" s="1923" t="s">
        <v>501</v>
      </c>
      <c r="Q7" s="1913" t="s">
        <v>481</v>
      </c>
      <c r="R7" s="1913" t="s">
        <v>503</v>
      </c>
      <c r="S7" s="1913" t="s">
        <v>483</v>
      </c>
      <c r="T7" s="1913" t="s">
        <v>484</v>
      </c>
      <c r="U7" s="1913" t="s">
        <v>485</v>
      </c>
      <c r="V7" s="1913" t="s">
        <v>486</v>
      </c>
      <c r="W7" s="1913" t="s">
        <v>502</v>
      </c>
      <c r="X7" s="1913" t="s">
        <v>488</v>
      </c>
      <c r="Y7" s="1913" t="s">
        <v>489</v>
      </c>
      <c r="Z7" s="1913" t="s">
        <v>490</v>
      </c>
      <c r="AA7" s="1914" t="s">
        <v>491</v>
      </c>
      <c r="AB7" s="4673"/>
      <c r="AC7" s="4675"/>
    </row>
    <row r="8" spans="1:29" s="3" customFormat="1" ht="20.25" customHeight="1">
      <c r="A8" s="4031" t="s">
        <v>1260</v>
      </c>
      <c r="B8" s="4032"/>
      <c r="C8" s="4032"/>
      <c r="D8" s="4032"/>
      <c r="E8" s="4032"/>
      <c r="F8" s="4032"/>
      <c r="G8" s="4032"/>
      <c r="H8" s="4032"/>
      <c r="I8" s="4032"/>
      <c r="J8" s="4032"/>
      <c r="K8" s="4032"/>
      <c r="L8" s="4032"/>
      <c r="M8" s="4032"/>
      <c r="N8" s="4032"/>
      <c r="O8" s="4032"/>
      <c r="P8" s="4032"/>
      <c r="Q8" s="4032"/>
      <c r="R8" s="4032"/>
      <c r="S8" s="4032"/>
      <c r="T8" s="4032"/>
      <c r="U8" s="4032"/>
      <c r="V8" s="4032"/>
      <c r="W8" s="4032"/>
      <c r="X8" s="4032"/>
      <c r="Y8" s="4032"/>
      <c r="Z8" s="4032"/>
      <c r="AA8" s="4032"/>
      <c r="AB8" s="4032"/>
      <c r="AC8" s="4033"/>
    </row>
    <row r="9" spans="1:29">
      <c r="A9" s="236" t="s">
        <v>34</v>
      </c>
      <c r="B9" s="3132"/>
      <c r="C9" s="3133"/>
      <c r="D9" s="3133"/>
      <c r="E9" s="3133"/>
      <c r="F9" s="3133"/>
      <c r="G9" s="3133"/>
      <c r="H9" s="3133"/>
      <c r="I9" s="3133"/>
      <c r="J9" s="3133"/>
      <c r="K9" s="3133"/>
      <c r="L9" s="3133"/>
      <c r="M9" s="3134"/>
      <c r="N9" s="2241">
        <f>SUM(B9:M9)/12</f>
        <v>0</v>
      </c>
      <c r="O9" s="3699">
        <v>0.2</v>
      </c>
      <c r="P9" s="3135"/>
      <c r="Q9" s="3133"/>
      <c r="R9" s="3133"/>
      <c r="S9" s="3133"/>
      <c r="T9" s="3133"/>
      <c r="U9" s="3133"/>
      <c r="V9" s="3133"/>
      <c r="W9" s="3133"/>
      <c r="X9" s="3133"/>
      <c r="Y9" s="3133"/>
      <c r="Z9" s="3133"/>
      <c r="AA9" s="3134"/>
      <c r="AB9" s="2261">
        <f>SUM(P9:AA9)/12</f>
        <v>0</v>
      </c>
      <c r="AC9" s="3699">
        <v>0.25</v>
      </c>
    </row>
    <row r="10" spans="1:29">
      <c r="A10" s="236" t="s">
        <v>29</v>
      </c>
      <c r="B10" s="3136"/>
      <c r="C10" s="3133"/>
      <c r="D10" s="3133"/>
      <c r="E10" s="3133"/>
      <c r="F10" s="3133"/>
      <c r="G10" s="3133"/>
      <c r="H10" s="3133"/>
      <c r="I10" s="3133"/>
      <c r="J10" s="3133"/>
      <c r="K10" s="3133"/>
      <c r="L10" s="3133"/>
      <c r="M10" s="3134"/>
      <c r="N10" s="2241">
        <f t="shared" ref="N10:N17" si="0">SUM(B10:M10)/12</f>
        <v>0</v>
      </c>
      <c r="O10" s="3699">
        <f>N10</f>
        <v>0</v>
      </c>
      <c r="P10" s="3133"/>
      <c r="Q10" s="3133"/>
      <c r="R10" s="3133"/>
      <c r="S10" s="3133"/>
      <c r="T10" s="3133"/>
      <c r="U10" s="3133"/>
      <c r="V10" s="3133"/>
      <c r="W10" s="3133"/>
      <c r="X10" s="3133"/>
      <c r="Y10" s="3133"/>
      <c r="Z10" s="3133"/>
      <c r="AA10" s="3134"/>
      <c r="AB10" s="2261">
        <f t="shared" ref="AB10:AB17" si="1">SUM(P10:AA10)/12</f>
        <v>0</v>
      </c>
      <c r="AC10" s="3699">
        <v>1.4999999999999999E-2</v>
      </c>
    </row>
    <row r="11" spans="1:29">
      <c r="A11" s="236" t="s">
        <v>3</v>
      </c>
      <c r="B11" s="3132"/>
      <c r="C11" s="3133"/>
      <c r="D11" s="3133"/>
      <c r="E11" s="3133"/>
      <c r="F11" s="3133"/>
      <c r="G11" s="3133"/>
      <c r="H11" s="3133"/>
      <c r="I11" s="3133"/>
      <c r="J11" s="3133"/>
      <c r="K11" s="3133"/>
      <c r="L11" s="3133"/>
      <c r="M11" s="3134"/>
      <c r="N11" s="2241">
        <f t="shared" si="0"/>
        <v>0</v>
      </c>
      <c r="O11" s="3699">
        <v>0.33</v>
      </c>
      <c r="P11" s="3135"/>
      <c r="Q11" s="3133"/>
      <c r="R11" s="3133"/>
      <c r="S11" s="3133"/>
      <c r="T11" s="3133"/>
      <c r="U11" s="3133"/>
      <c r="V11" s="3133"/>
      <c r="W11" s="3133"/>
      <c r="X11" s="3133"/>
      <c r="Y11" s="3133"/>
      <c r="Z11" s="3133"/>
      <c r="AA11" s="3134"/>
      <c r="AB11" s="2261">
        <f t="shared" si="1"/>
        <v>0</v>
      </c>
      <c r="AC11" s="3699">
        <v>0.3</v>
      </c>
    </row>
    <row r="12" spans="1:29">
      <c r="A12" s="236" t="s">
        <v>35</v>
      </c>
      <c r="B12" s="3137"/>
      <c r="C12" s="3138"/>
      <c r="D12" s="3138"/>
      <c r="E12" s="3138"/>
      <c r="F12" s="3138"/>
      <c r="G12" s="3138"/>
      <c r="H12" s="3138"/>
      <c r="I12" s="3138"/>
      <c r="J12" s="3138"/>
      <c r="K12" s="3138"/>
      <c r="L12" s="3138"/>
      <c r="M12" s="3139"/>
      <c r="N12" s="2241">
        <f t="shared" si="0"/>
        <v>0</v>
      </c>
      <c r="O12" s="3699">
        <v>0.03</v>
      </c>
      <c r="P12" s="3138"/>
      <c r="Q12" s="3138"/>
      <c r="R12" s="3138"/>
      <c r="S12" s="3138"/>
      <c r="T12" s="3138"/>
      <c r="U12" s="3138"/>
      <c r="V12" s="3138"/>
      <c r="W12" s="3138"/>
      <c r="X12" s="3138"/>
      <c r="Y12" s="3138"/>
      <c r="Z12" s="3138"/>
      <c r="AA12" s="3139"/>
      <c r="AB12" s="2261">
        <f t="shared" si="1"/>
        <v>0</v>
      </c>
      <c r="AC12" s="3699">
        <v>0.05</v>
      </c>
    </row>
    <row r="13" spans="1:29">
      <c r="A13" s="236" t="s">
        <v>19</v>
      </c>
      <c r="B13" s="3137"/>
      <c r="C13" s="3138"/>
      <c r="D13" s="3138"/>
      <c r="E13" s="3138"/>
      <c r="F13" s="3138"/>
      <c r="G13" s="3138"/>
      <c r="H13" s="3138"/>
      <c r="I13" s="3138"/>
      <c r="J13" s="3138"/>
      <c r="K13" s="3138"/>
      <c r="L13" s="3138"/>
      <c r="M13" s="3139"/>
      <c r="N13" s="2241">
        <f t="shared" si="0"/>
        <v>0</v>
      </c>
      <c r="O13" s="3699">
        <v>0.01</v>
      </c>
      <c r="P13" s="3138"/>
      <c r="Q13" s="3138"/>
      <c r="R13" s="3138"/>
      <c r="S13" s="3138"/>
      <c r="T13" s="3138"/>
      <c r="U13" s="3138"/>
      <c r="V13" s="3138"/>
      <c r="W13" s="3138"/>
      <c r="X13" s="3138"/>
      <c r="Y13" s="3138"/>
      <c r="Z13" s="3138"/>
      <c r="AA13" s="3139"/>
      <c r="AB13" s="2261">
        <f t="shared" si="1"/>
        <v>0</v>
      </c>
      <c r="AC13" s="3699">
        <v>2.5000000000000001E-2</v>
      </c>
    </row>
    <row r="14" spans="1:29">
      <c r="A14" s="236" t="s">
        <v>31</v>
      </c>
      <c r="B14" s="3137"/>
      <c r="C14" s="3138"/>
      <c r="D14" s="3138"/>
      <c r="E14" s="3138"/>
      <c r="F14" s="3138"/>
      <c r="G14" s="3138"/>
      <c r="H14" s="3138"/>
      <c r="I14" s="3138"/>
      <c r="J14" s="3138"/>
      <c r="K14" s="3138"/>
      <c r="L14" s="3138"/>
      <c r="M14" s="3139"/>
      <c r="N14" s="2241">
        <f t="shared" si="0"/>
        <v>0</v>
      </c>
      <c r="O14" s="3699">
        <v>0.02</v>
      </c>
      <c r="P14" s="3138"/>
      <c r="Q14" s="3138"/>
      <c r="R14" s="3138"/>
      <c r="S14" s="3138"/>
      <c r="T14" s="3138"/>
      <c r="U14" s="3138"/>
      <c r="V14" s="3138"/>
      <c r="W14" s="3138"/>
      <c r="X14" s="3138"/>
      <c r="Y14" s="3138"/>
      <c r="Z14" s="3138"/>
      <c r="AA14" s="3139"/>
      <c r="AB14" s="2261">
        <f t="shared" si="1"/>
        <v>0</v>
      </c>
      <c r="AC14" s="3699">
        <v>0.02</v>
      </c>
    </row>
    <row r="15" spans="1:29">
      <c r="A15" s="3657" t="str">
        <f>IF('Step 7a--Feedstuff Required'!B20="[add forage crop here]"," ",'Step 7a--Feedstuff Required'!B20)</f>
        <v xml:space="preserve"> </v>
      </c>
      <c r="B15" s="3137"/>
      <c r="C15" s="3138"/>
      <c r="D15" s="3138"/>
      <c r="E15" s="3138"/>
      <c r="F15" s="3138"/>
      <c r="G15" s="3138"/>
      <c r="H15" s="3138"/>
      <c r="I15" s="3138"/>
      <c r="J15" s="3138"/>
      <c r="K15" s="3138"/>
      <c r="L15" s="3138"/>
      <c r="M15" s="3139"/>
      <c r="N15" s="2241">
        <f t="shared" si="0"/>
        <v>0</v>
      </c>
      <c r="O15" s="3699">
        <v>0.01</v>
      </c>
      <c r="P15" s="3138"/>
      <c r="Q15" s="3138"/>
      <c r="R15" s="3138"/>
      <c r="S15" s="3138"/>
      <c r="T15" s="3138"/>
      <c r="U15" s="3138"/>
      <c r="V15" s="3138"/>
      <c r="W15" s="3138"/>
      <c r="X15" s="3138"/>
      <c r="Y15" s="3138"/>
      <c r="Z15" s="3138"/>
      <c r="AA15" s="3139"/>
      <c r="AB15" s="2261">
        <f t="shared" si="1"/>
        <v>0</v>
      </c>
      <c r="AC15" s="3699">
        <f>AB15</f>
        <v>0</v>
      </c>
    </row>
    <row r="16" spans="1:29">
      <c r="A16" s="3657" t="str">
        <f>IF('Step 7a--Feedstuff Required'!B22="[add forage crop here]"," ",'Step 7a--Feedstuff Required'!B22)</f>
        <v xml:space="preserve"> </v>
      </c>
      <c r="B16" s="3137"/>
      <c r="C16" s="3138"/>
      <c r="D16" s="3138"/>
      <c r="E16" s="3138"/>
      <c r="F16" s="3138"/>
      <c r="G16" s="3138"/>
      <c r="H16" s="3138"/>
      <c r="I16" s="3138"/>
      <c r="J16" s="3138"/>
      <c r="K16" s="3138"/>
      <c r="L16" s="3138"/>
      <c r="M16" s="3139"/>
      <c r="N16" s="2241">
        <f t="shared" si="0"/>
        <v>0</v>
      </c>
      <c r="O16" s="3699">
        <f t="shared" ref="O16:O17" si="2">N16</f>
        <v>0</v>
      </c>
      <c r="P16" s="3138"/>
      <c r="Q16" s="3138"/>
      <c r="R16" s="3138"/>
      <c r="S16" s="3138"/>
      <c r="T16" s="3138"/>
      <c r="U16" s="3138"/>
      <c r="V16" s="3138"/>
      <c r="W16" s="3138"/>
      <c r="X16" s="3138"/>
      <c r="Y16" s="3138"/>
      <c r="Z16" s="3138"/>
      <c r="AA16" s="3139"/>
      <c r="AB16" s="2261">
        <f t="shared" si="1"/>
        <v>0</v>
      </c>
      <c r="AC16" s="3699">
        <f t="shared" ref="AC16:AC17" si="3">AB16</f>
        <v>0</v>
      </c>
    </row>
    <row r="17" spans="1:29">
      <c r="A17" s="3657" t="str">
        <f>IF('Step 7a--Feedstuff Required'!B24="[add forage crop here]"," ",'Step 7a--Feedstuff Required'!B24)</f>
        <v xml:space="preserve"> </v>
      </c>
      <c r="B17" s="3137"/>
      <c r="C17" s="3138"/>
      <c r="D17" s="3138"/>
      <c r="E17" s="3138"/>
      <c r="F17" s="3138"/>
      <c r="G17" s="3138"/>
      <c r="H17" s="3138"/>
      <c r="I17" s="3138"/>
      <c r="J17" s="3138"/>
      <c r="K17" s="3138"/>
      <c r="L17" s="3138"/>
      <c r="M17" s="3139"/>
      <c r="N17" s="2241">
        <f t="shared" si="0"/>
        <v>0</v>
      </c>
      <c r="O17" s="3699">
        <f t="shared" si="2"/>
        <v>0</v>
      </c>
      <c r="P17" s="3138"/>
      <c r="Q17" s="3138"/>
      <c r="R17" s="3138"/>
      <c r="S17" s="3138"/>
      <c r="T17" s="3138"/>
      <c r="U17" s="3138"/>
      <c r="V17" s="3138"/>
      <c r="W17" s="3138"/>
      <c r="X17" s="3138"/>
      <c r="Y17" s="3138"/>
      <c r="Z17" s="3138"/>
      <c r="AA17" s="3139"/>
      <c r="AB17" s="2261">
        <f t="shared" si="1"/>
        <v>0</v>
      </c>
      <c r="AC17" s="3699">
        <f t="shared" si="3"/>
        <v>0</v>
      </c>
    </row>
    <row r="18" spans="1:29" s="3" customFormat="1" ht="15">
      <c r="A18" s="3516" t="s">
        <v>4</v>
      </c>
      <c r="B18" s="3464">
        <f t="shared" ref="B18:N18" si="4">SUM(B9:B17)</f>
        <v>0</v>
      </c>
      <c r="C18" s="3465">
        <f t="shared" si="4"/>
        <v>0</v>
      </c>
      <c r="D18" s="3465">
        <f t="shared" si="4"/>
        <v>0</v>
      </c>
      <c r="E18" s="3465">
        <f t="shared" si="4"/>
        <v>0</v>
      </c>
      <c r="F18" s="3465">
        <f t="shared" si="4"/>
        <v>0</v>
      </c>
      <c r="G18" s="3465">
        <f t="shared" si="4"/>
        <v>0</v>
      </c>
      <c r="H18" s="3465">
        <f t="shared" si="4"/>
        <v>0</v>
      </c>
      <c r="I18" s="3465">
        <f t="shared" si="4"/>
        <v>0</v>
      </c>
      <c r="J18" s="3465">
        <f t="shared" si="4"/>
        <v>0</v>
      </c>
      <c r="K18" s="3465">
        <f t="shared" si="4"/>
        <v>0</v>
      </c>
      <c r="L18" s="3465">
        <f t="shared" si="4"/>
        <v>0</v>
      </c>
      <c r="M18" s="3466">
        <f t="shared" si="4"/>
        <v>0</v>
      </c>
      <c r="N18" s="3467">
        <f t="shared" si="4"/>
        <v>0</v>
      </c>
      <c r="O18" s="3830">
        <f>SUM(O9:O17)</f>
        <v>0.60000000000000009</v>
      </c>
      <c r="P18" s="3468">
        <f t="shared" ref="P18:AB18" si="5">SUM(P9:P17)</f>
        <v>0</v>
      </c>
      <c r="Q18" s="3468">
        <f t="shared" si="5"/>
        <v>0</v>
      </c>
      <c r="R18" s="3468">
        <f t="shared" si="5"/>
        <v>0</v>
      </c>
      <c r="S18" s="3468">
        <f t="shared" si="5"/>
        <v>0</v>
      </c>
      <c r="T18" s="3468">
        <f t="shared" si="5"/>
        <v>0</v>
      </c>
      <c r="U18" s="3468">
        <f t="shared" si="5"/>
        <v>0</v>
      </c>
      <c r="V18" s="3468">
        <f t="shared" si="5"/>
        <v>0</v>
      </c>
      <c r="W18" s="3468">
        <f t="shared" si="5"/>
        <v>0</v>
      </c>
      <c r="X18" s="3468">
        <f t="shared" si="5"/>
        <v>0</v>
      </c>
      <c r="Y18" s="3468">
        <f t="shared" si="5"/>
        <v>0</v>
      </c>
      <c r="Z18" s="3468">
        <f t="shared" si="5"/>
        <v>0</v>
      </c>
      <c r="AA18" s="3469">
        <f t="shared" si="5"/>
        <v>0</v>
      </c>
      <c r="AB18" s="3470">
        <f t="shared" si="5"/>
        <v>0</v>
      </c>
      <c r="AC18" s="3832">
        <f>SUM(AC9:AC17)</f>
        <v>0.66</v>
      </c>
    </row>
    <row r="19" spans="1:29" ht="20.25" customHeight="1">
      <c r="A19" s="4031" t="s">
        <v>1261</v>
      </c>
      <c r="B19" s="4689"/>
      <c r="C19" s="4689"/>
      <c r="D19" s="4689"/>
      <c r="E19" s="4689"/>
      <c r="F19" s="4689"/>
      <c r="G19" s="4689"/>
      <c r="H19" s="4689"/>
      <c r="I19" s="4689"/>
      <c r="J19" s="4689"/>
      <c r="K19" s="4689"/>
      <c r="L19" s="4689"/>
      <c r="M19" s="4689"/>
      <c r="N19" s="4689"/>
      <c r="O19" s="4689"/>
      <c r="P19" s="4689"/>
      <c r="Q19" s="4689"/>
      <c r="R19" s="4689"/>
      <c r="S19" s="4689"/>
      <c r="T19" s="4689"/>
      <c r="U19" s="4689"/>
      <c r="V19" s="4689"/>
      <c r="W19" s="4689"/>
      <c r="X19" s="4689"/>
      <c r="Y19" s="4689"/>
      <c r="Z19" s="4689"/>
      <c r="AA19" s="4689"/>
      <c r="AB19" s="4689"/>
      <c r="AC19" s="4690"/>
    </row>
    <row r="20" spans="1:29">
      <c r="A20" s="3657" t="s">
        <v>406</v>
      </c>
      <c r="B20" s="3137"/>
      <c r="C20" s="3138"/>
      <c r="D20" s="3138"/>
      <c r="E20" s="3138"/>
      <c r="F20" s="3138"/>
      <c r="G20" s="3138"/>
      <c r="H20" s="3138"/>
      <c r="I20" s="3138"/>
      <c r="J20" s="3138"/>
      <c r="K20" s="3138"/>
      <c r="L20" s="3138"/>
      <c r="M20" s="3139"/>
      <c r="N20" s="2241">
        <f>SUM(B20:M20)/12</f>
        <v>0</v>
      </c>
      <c r="O20" s="3699">
        <v>0.26</v>
      </c>
      <c r="P20" s="3138"/>
      <c r="Q20" s="3138"/>
      <c r="R20" s="3138"/>
      <c r="S20" s="3138"/>
      <c r="T20" s="3138"/>
      <c r="U20" s="3138"/>
      <c r="V20" s="3138"/>
      <c r="W20" s="3138"/>
      <c r="X20" s="3138"/>
      <c r="Y20" s="3138"/>
      <c r="Z20" s="3138"/>
      <c r="AA20" s="3139"/>
      <c r="AB20" s="2261">
        <f t="shared" ref="AB20:AB26" si="6">SUM(P20:AA20)/12</f>
        <v>0</v>
      </c>
      <c r="AC20" s="3699">
        <v>0.22</v>
      </c>
    </row>
    <row r="21" spans="1:29">
      <c r="A21" s="3657" t="s">
        <v>22</v>
      </c>
      <c r="B21" s="3137"/>
      <c r="C21" s="3138"/>
      <c r="D21" s="3138"/>
      <c r="E21" s="3138"/>
      <c r="F21" s="3138"/>
      <c r="G21" s="3138"/>
      <c r="H21" s="3138"/>
      <c r="I21" s="3138"/>
      <c r="J21" s="3138"/>
      <c r="K21" s="3138"/>
      <c r="L21" s="3138"/>
      <c r="M21" s="3139"/>
      <c r="N21" s="2241">
        <f t="shared" ref="N21:N26" si="7">SUM(B21:M21)/12</f>
        <v>0</v>
      </c>
      <c r="O21" s="3699">
        <f>N21</f>
        <v>0</v>
      </c>
      <c r="P21" s="3138"/>
      <c r="Q21" s="3138"/>
      <c r="R21" s="3138"/>
      <c r="S21" s="3138"/>
      <c r="T21" s="3138"/>
      <c r="U21" s="3138"/>
      <c r="V21" s="3138"/>
      <c r="W21" s="3138"/>
      <c r="X21" s="3138"/>
      <c r="Y21" s="3138"/>
      <c r="Z21" s="3138"/>
      <c r="AA21" s="3139"/>
      <c r="AB21" s="2261">
        <f t="shared" si="6"/>
        <v>0</v>
      </c>
      <c r="AC21" s="3699">
        <f>AB21</f>
        <v>0</v>
      </c>
    </row>
    <row r="22" spans="1:29">
      <c r="A22" s="3657" t="s">
        <v>25</v>
      </c>
      <c r="B22" s="3137"/>
      <c r="C22" s="3138"/>
      <c r="D22" s="3138"/>
      <c r="E22" s="3138"/>
      <c r="F22" s="3138"/>
      <c r="G22" s="3138"/>
      <c r="H22" s="3138"/>
      <c r="I22" s="3138"/>
      <c r="J22" s="3138"/>
      <c r="K22" s="3138"/>
      <c r="L22" s="3138"/>
      <c r="M22" s="3139"/>
      <c r="N22" s="2241">
        <f t="shared" si="7"/>
        <v>0</v>
      </c>
      <c r="O22" s="3699">
        <f t="shared" ref="O22:O26" si="8">N22</f>
        <v>0</v>
      </c>
      <c r="P22" s="3138"/>
      <c r="Q22" s="3138"/>
      <c r="R22" s="3138"/>
      <c r="S22" s="3138"/>
      <c r="T22" s="3138"/>
      <c r="U22" s="3138"/>
      <c r="V22" s="3138"/>
      <c r="W22" s="3138"/>
      <c r="X22" s="3138"/>
      <c r="Y22" s="3138"/>
      <c r="Z22" s="3138"/>
      <c r="AA22" s="3139"/>
      <c r="AB22" s="2261">
        <f t="shared" si="6"/>
        <v>0</v>
      </c>
      <c r="AC22" s="3699">
        <f t="shared" ref="AC22:AC26" si="9">AB22</f>
        <v>0</v>
      </c>
    </row>
    <row r="23" spans="1:29">
      <c r="A23" s="3657" t="s">
        <v>27</v>
      </c>
      <c r="B23" s="3137"/>
      <c r="C23" s="3138"/>
      <c r="D23" s="3138"/>
      <c r="E23" s="3138"/>
      <c r="F23" s="3138"/>
      <c r="G23" s="3138"/>
      <c r="H23" s="3138"/>
      <c r="I23" s="3138"/>
      <c r="J23" s="3138"/>
      <c r="K23" s="3138"/>
      <c r="L23" s="3138"/>
      <c r="M23" s="3139"/>
      <c r="N23" s="2241">
        <f t="shared" si="7"/>
        <v>0</v>
      </c>
      <c r="O23" s="3699">
        <f t="shared" si="8"/>
        <v>0</v>
      </c>
      <c r="P23" s="3138"/>
      <c r="Q23" s="3138"/>
      <c r="R23" s="3138"/>
      <c r="S23" s="3138"/>
      <c r="T23" s="3138"/>
      <c r="U23" s="3138"/>
      <c r="V23" s="3138"/>
      <c r="W23" s="3138"/>
      <c r="X23" s="3138"/>
      <c r="Y23" s="3138"/>
      <c r="Z23" s="3138"/>
      <c r="AA23" s="3139"/>
      <c r="AB23" s="2261">
        <f t="shared" si="6"/>
        <v>0</v>
      </c>
      <c r="AC23" s="3699">
        <f t="shared" si="9"/>
        <v>0</v>
      </c>
    </row>
    <row r="24" spans="1:29">
      <c r="A24" s="3657" t="str">
        <f>IF('Step 7a--Feedstuff Required'!B38="[add grain crop here]"," ",'Step 7a--Feedstuff Required'!B38)</f>
        <v xml:space="preserve"> </v>
      </c>
      <c r="B24" s="3137"/>
      <c r="C24" s="3138"/>
      <c r="D24" s="3138"/>
      <c r="E24" s="3138"/>
      <c r="F24" s="3138"/>
      <c r="G24" s="3138"/>
      <c r="H24" s="3138"/>
      <c r="I24" s="3138"/>
      <c r="J24" s="3138"/>
      <c r="K24" s="3138"/>
      <c r="L24" s="3138"/>
      <c r="M24" s="3139"/>
      <c r="N24" s="2241">
        <f t="shared" si="7"/>
        <v>0</v>
      </c>
      <c r="O24" s="3699">
        <f t="shared" si="8"/>
        <v>0</v>
      </c>
      <c r="P24" s="3138"/>
      <c r="Q24" s="3138"/>
      <c r="R24" s="3138"/>
      <c r="S24" s="3138"/>
      <c r="T24" s="3138"/>
      <c r="U24" s="3138"/>
      <c r="V24" s="3138"/>
      <c r="W24" s="3138"/>
      <c r="X24" s="3138"/>
      <c r="Y24" s="3138"/>
      <c r="Z24" s="3138"/>
      <c r="AA24" s="3139"/>
      <c r="AB24" s="2261">
        <f t="shared" si="6"/>
        <v>0</v>
      </c>
      <c r="AC24" s="3699">
        <f t="shared" si="9"/>
        <v>0</v>
      </c>
    </row>
    <row r="25" spans="1:29">
      <c r="A25" s="3657" t="str">
        <f>IF('Step 7a--Feedstuff Required'!B40="[add grain crop here]"," ",'Step 7a--Feedstuff Required'!B40)</f>
        <v xml:space="preserve"> </v>
      </c>
      <c r="B25" s="3137"/>
      <c r="C25" s="3138"/>
      <c r="D25" s="3138"/>
      <c r="E25" s="3138"/>
      <c r="F25" s="3138"/>
      <c r="G25" s="3138"/>
      <c r="H25" s="3138"/>
      <c r="I25" s="3138"/>
      <c r="J25" s="3138"/>
      <c r="K25" s="3138"/>
      <c r="L25" s="3138"/>
      <c r="M25" s="3139"/>
      <c r="N25" s="2241">
        <f t="shared" si="7"/>
        <v>0</v>
      </c>
      <c r="O25" s="3699">
        <f t="shared" si="8"/>
        <v>0</v>
      </c>
      <c r="P25" s="3138"/>
      <c r="Q25" s="3138"/>
      <c r="R25" s="3138"/>
      <c r="S25" s="3138"/>
      <c r="T25" s="3138"/>
      <c r="U25" s="3138"/>
      <c r="V25" s="3138"/>
      <c r="W25" s="3138"/>
      <c r="X25" s="3138"/>
      <c r="Y25" s="3138"/>
      <c r="Z25" s="3138"/>
      <c r="AA25" s="3139"/>
      <c r="AB25" s="2261">
        <f t="shared" si="6"/>
        <v>0</v>
      </c>
      <c r="AC25" s="3699">
        <f t="shared" si="9"/>
        <v>0</v>
      </c>
    </row>
    <row r="26" spans="1:29">
      <c r="A26" s="3657" t="str">
        <f>IF('Step 7a--Feedstuff Required'!B42="[add grain crop here]"," ",'Step 7a--Feedstuff Required'!B42)</f>
        <v xml:space="preserve"> </v>
      </c>
      <c r="B26" s="3137"/>
      <c r="C26" s="3138"/>
      <c r="D26" s="3138"/>
      <c r="E26" s="3138"/>
      <c r="F26" s="3138"/>
      <c r="G26" s="3138"/>
      <c r="H26" s="3138"/>
      <c r="I26" s="3138"/>
      <c r="J26" s="3138"/>
      <c r="K26" s="3138"/>
      <c r="L26" s="3138"/>
      <c r="M26" s="3139"/>
      <c r="N26" s="2241">
        <f t="shared" si="7"/>
        <v>0</v>
      </c>
      <c r="O26" s="3699">
        <f t="shared" si="8"/>
        <v>0</v>
      </c>
      <c r="P26" s="3138"/>
      <c r="Q26" s="3138"/>
      <c r="R26" s="3138"/>
      <c r="S26" s="3138"/>
      <c r="T26" s="3138"/>
      <c r="U26" s="3138"/>
      <c r="V26" s="3138"/>
      <c r="W26" s="3138"/>
      <c r="X26" s="3138"/>
      <c r="Y26" s="3138"/>
      <c r="Z26" s="3138"/>
      <c r="AA26" s="3139"/>
      <c r="AB26" s="2261">
        <f t="shared" si="6"/>
        <v>0</v>
      </c>
      <c r="AC26" s="3699">
        <f t="shared" si="9"/>
        <v>0</v>
      </c>
    </row>
    <row r="27" spans="1:29" s="3" customFormat="1" ht="15">
      <c r="A27" s="3516" t="s">
        <v>5</v>
      </c>
      <c r="B27" s="3464">
        <f t="shared" ref="B27:N27" si="10">SUM(B20:B26)</f>
        <v>0</v>
      </c>
      <c r="C27" s="3465">
        <f t="shared" si="10"/>
        <v>0</v>
      </c>
      <c r="D27" s="3465">
        <f t="shared" si="10"/>
        <v>0</v>
      </c>
      <c r="E27" s="3465">
        <f t="shared" si="10"/>
        <v>0</v>
      </c>
      <c r="F27" s="3465">
        <f t="shared" si="10"/>
        <v>0</v>
      </c>
      <c r="G27" s="3465">
        <f t="shared" si="10"/>
        <v>0</v>
      </c>
      <c r="H27" s="3465">
        <f t="shared" si="10"/>
        <v>0</v>
      </c>
      <c r="I27" s="3465">
        <f t="shared" si="10"/>
        <v>0</v>
      </c>
      <c r="J27" s="3465">
        <f t="shared" si="10"/>
        <v>0</v>
      </c>
      <c r="K27" s="3465">
        <f t="shared" si="10"/>
        <v>0</v>
      </c>
      <c r="L27" s="3465">
        <f t="shared" si="10"/>
        <v>0</v>
      </c>
      <c r="M27" s="3466">
        <f t="shared" si="10"/>
        <v>0</v>
      </c>
      <c r="N27" s="3467">
        <f t="shared" si="10"/>
        <v>0</v>
      </c>
      <c r="O27" s="3830">
        <f>SUM(O20:O26)</f>
        <v>0.26</v>
      </c>
      <c r="P27" s="3468">
        <f t="shared" ref="P27:AB27" si="11">SUM(P20:P26)</f>
        <v>0</v>
      </c>
      <c r="Q27" s="3468">
        <f t="shared" si="11"/>
        <v>0</v>
      </c>
      <c r="R27" s="3468">
        <f t="shared" si="11"/>
        <v>0</v>
      </c>
      <c r="S27" s="3468">
        <f t="shared" si="11"/>
        <v>0</v>
      </c>
      <c r="T27" s="3468">
        <f t="shared" si="11"/>
        <v>0</v>
      </c>
      <c r="U27" s="3468">
        <f t="shared" si="11"/>
        <v>0</v>
      </c>
      <c r="V27" s="3468">
        <f t="shared" si="11"/>
        <v>0</v>
      </c>
      <c r="W27" s="3468">
        <f t="shared" si="11"/>
        <v>0</v>
      </c>
      <c r="X27" s="3468">
        <f t="shared" si="11"/>
        <v>0</v>
      </c>
      <c r="Y27" s="3468">
        <f t="shared" si="11"/>
        <v>0</v>
      </c>
      <c r="Z27" s="3468">
        <f t="shared" si="11"/>
        <v>0</v>
      </c>
      <c r="AA27" s="3469">
        <f t="shared" si="11"/>
        <v>0</v>
      </c>
      <c r="AB27" s="3470">
        <f t="shared" si="11"/>
        <v>0</v>
      </c>
      <c r="AC27" s="3832">
        <f>SUM(AC20:AC26)</f>
        <v>0.22</v>
      </c>
    </row>
    <row r="28" spans="1:29" ht="20.25" customHeight="1">
      <c r="A28" s="4031" t="s">
        <v>1262</v>
      </c>
      <c r="B28" s="4689"/>
      <c r="C28" s="4689"/>
      <c r="D28" s="4689"/>
      <c r="E28" s="4689"/>
      <c r="F28" s="4689"/>
      <c r="G28" s="4689"/>
      <c r="H28" s="4689"/>
      <c r="I28" s="4689"/>
      <c r="J28" s="4689"/>
      <c r="K28" s="4689"/>
      <c r="L28" s="4689"/>
      <c r="M28" s="4689"/>
      <c r="N28" s="4689"/>
      <c r="O28" s="4689"/>
      <c r="P28" s="4689"/>
      <c r="Q28" s="4689"/>
      <c r="R28" s="4689"/>
      <c r="S28" s="4689"/>
      <c r="T28" s="4689"/>
      <c r="U28" s="4689"/>
      <c r="V28" s="4689"/>
      <c r="W28" s="4689"/>
      <c r="X28" s="4689"/>
      <c r="Y28" s="4689"/>
      <c r="Z28" s="4689"/>
      <c r="AA28" s="4689"/>
      <c r="AB28" s="4689"/>
      <c r="AC28" s="4690"/>
    </row>
    <row r="29" spans="1:29">
      <c r="A29" s="3657" t="s">
        <v>7</v>
      </c>
      <c r="B29" s="3137"/>
      <c r="C29" s="3138"/>
      <c r="D29" s="3138"/>
      <c r="E29" s="3138"/>
      <c r="F29" s="3138"/>
      <c r="G29" s="3138"/>
      <c r="H29" s="3138"/>
      <c r="I29" s="3138"/>
      <c r="J29" s="3138"/>
      <c r="K29" s="3138"/>
      <c r="L29" s="3138"/>
      <c r="M29" s="3139"/>
      <c r="N29" s="2241">
        <f t="shared" ref="N29:N33" si="12">SUM(B29:M29)/12</f>
        <v>0</v>
      </c>
      <c r="O29" s="3699">
        <v>0.14000000000000001</v>
      </c>
      <c r="P29" s="3138"/>
      <c r="Q29" s="3138"/>
      <c r="R29" s="3138"/>
      <c r="S29" s="3138"/>
      <c r="T29" s="3138"/>
      <c r="U29" s="3138"/>
      <c r="V29" s="3138"/>
      <c r="W29" s="3138"/>
      <c r="X29" s="3138"/>
      <c r="Y29" s="3138"/>
      <c r="Z29" s="3138"/>
      <c r="AA29" s="3139"/>
      <c r="AB29" s="2261">
        <f t="shared" ref="AB29:AB33" si="13">SUM(P29:AA29)/12</f>
        <v>0</v>
      </c>
      <c r="AC29" s="3699">
        <v>0.12</v>
      </c>
    </row>
    <row r="30" spans="1:29">
      <c r="A30" s="3657" t="s">
        <v>8</v>
      </c>
      <c r="B30" s="3137"/>
      <c r="C30" s="3138"/>
      <c r="D30" s="3138"/>
      <c r="E30" s="3138"/>
      <c r="F30" s="3138"/>
      <c r="G30" s="3138"/>
      <c r="H30" s="3138"/>
      <c r="I30" s="3138"/>
      <c r="J30" s="3138"/>
      <c r="K30" s="3138"/>
      <c r="L30" s="3138"/>
      <c r="M30" s="3139"/>
      <c r="N30" s="2241">
        <f t="shared" si="12"/>
        <v>0</v>
      </c>
      <c r="O30" s="3699">
        <f>N30</f>
        <v>0</v>
      </c>
      <c r="P30" s="3138"/>
      <c r="Q30" s="3138"/>
      <c r="R30" s="3138"/>
      <c r="S30" s="3138"/>
      <c r="T30" s="3138"/>
      <c r="U30" s="3138"/>
      <c r="V30" s="3138"/>
      <c r="W30" s="3138"/>
      <c r="X30" s="3138"/>
      <c r="Y30" s="3138"/>
      <c r="Z30" s="3138"/>
      <c r="AA30" s="3139"/>
      <c r="AB30" s="2261">
        <f t="shared" si="13"/>
        <v>0</v>
      </c>
      <c r="AC30" s="3699">
        <f>AB30</f>
        <v>0</v>
      </c>
    </row>
    <row r="31" spans="1:29">
      <c r="A31" s="3657" t="str">
        <f>IF('Step 7a--Feedstuff Required'!B52="[add protein source here]"," ",'Step 7a--Feedstuff Required'!B52)</f>
        <v xml:space="preserve"> </v>
      </c>
      <c r="B31" s="3137"/>
      <c r="C31" s="3138"/>
      <c r="D31" s="3138"/>
      <c r="E31" s="3138"/>
      <c r="F31" s="3138"/>
      <c r="G31" s="3138"/>
      <c r="H31" s="3138"/>
      <c r="I31" s="3138"/>
      <c r="J31" s="3138"/>
      <c r="K31" s="3138"/>
      <c r="L31" s="3138"/>
      <c r="M31" s="3139"/>
      <c r="N31" s="2241">
        <f t="shared" si="12"/>
        <v>0</v>
      </c>
      <c r="O31" s="3699">
        <f t="shared" ref="O31:O33" si="14">N31</f>
        <v>0</v>
      </c>
      <c r="P31" s="3138"/>
      <c r="Q31" s="3138"/>
      <c r="R31" s="3138"/>
      <c r="S31" s="3138"/>
      <c r="T31" s="3138"/>
      <c r="U31" s="3138"/>
      <c r="V31" s="3138"/>
      <c r="W31" s="3138"/>
      <c r="X31" s="3138"/>
      <c r="Y31" s="3138"/>
      <c r="Z31" s="3138"/>
      <c r="AA31" s="3139"/>
      <c r="AB31" s="2261">
        <f t="shared" si="13"/>
        <v>0</v>
      </c>
      <c r="AC31" s="3699">
        <f t="shared" ref="AC31:AC33" si="15">AB31</f>
        <v>0</v>
      </c>
    </row>
    <row r="32" spans="1:29">
      <c r="A32" s="3657" t="str">
        <f>IF('Step 7a--Feedstuff Required'!B54="[add protein source here]"," ",'Step 7a--Feedstuff Required'!B54)</f>
        <v xml:space="preserve"> </v>
      </c>
      <c r="B32" s="3137"/>
      <c r="C32" s="3138"/>
      <c r="D32" s="3138"/>
      <c r="E32" s="3138"/>
      <c r="F32" s="3138"/>
      <c r="G32" s="3138"/>
      <c r="H32" s="3138"/>
      <c r="I32" s="3138"/>
      <c r="J32" s="3138"/>
      <c r="K32" s="3138"/>
      <c r="L32" s="3138"/>
      <c r="M32" s="3139"/>
      <c r="N32" s="2241">
        <f t="shared" si="12"/>
        <v>0</v>
      </c>
      <c r="O32" s="3699">
        <f t="shared" si="14"/>
        <v>0</v>
      </c>
      <c r="P32" s="3138"/>
      <c r="Q32" s="3138"/>
      <c r="R32" s="3138"/>
      <c r="S32" s="3138"/>
      <c r="T32" s="3138"/>
      <c r="U32" s="3138"/>
      <c r="V32" s="3138"/>
      <c r="W32" s="3138"/>
      <c r="X32" s="3138"/>
      <c r="Y32" s="3138"/>
      <c r="Z32" s="3138"/>
      <c r="AA32" s="3139"/>
      <c r="AB32" s="2261">
        <f t="shared" si="13"/>
        <v>0</v>
      </c>
      <c r="AC32" s="3699">
        <f t="shared" si="15"/>
        <v>0</v>
      </c>
    </row>
    <row r="33" spans="1:29">
      <c r="A33" s="3657" t="str">
        <f>IF('Step 7a--Feedstuff Required'!B56="[add protein source here]"," ",'Step 7a--Feedstuff Required'!B56)</f>
        <v xml:space="preserve"> </v>
      </c>
      <c r="B33" s="3137"/>
      <c r="C33" s="3138"/>
      <c r="D33" s="3138"/>
      <c r="E33" s="3138"/>
      <c r="F33" s="3138"/>
      <c r="G33" s="3138"/>
      <c r="H33" s="3138"/>
      <c r="I33" s="3138"/>
      <c r="J33" s="3138"/>
      <c r="K33" s="3138"/>
      <c r="L33" s="3138"/>
      <c r="M33" s="3139"/>
      <c r="N33" s="2241">
        <f t="shared" si="12"/>
        <v>0</v>
      </c>
      <c r="O33" s="3699">
        <f t="shared" si="14"/>
        <v>0</v>
      </c>
      <c r="P33" s="3138"/>
      <c r="Q33" s="3138"/>
      <c r="R33" s="3138"/>
      <c r="S33" s="3138"/>
      <c r="T33" s="3138"/>
      <c r="U33" s="3138"/>
      <c r="V33" s="3138"/>
      <c r="W33" s="3138"/>
      <c r="X33" s="3138"/>
      <c r="Y33" s="3138"/>
      <c r="Z33" s="3138"/>
      <c r="AA33" s="3139"/>
      <c r="AB33" s="2261">
        <f t="shared" si="13"/>
        <v>0</v>
      </c>
      <c r="AC33" s="3699">
        <f t="shared" si="15"/>
        <v>0</v>
      </c>
    </row>
    <row r="34" spans="1:29" s="3" customFormat="1" ht="15.75" thickBot="1">
      <c r="A34" s="3517" t="s">
        <v>286</v>
      </c>
      <c r="B34" s="1922">
        <f t="shared" ref="B34:N34" si="16">SUM(B29:B33)</f>
        <v>0</v>
      </c>
      <c r="C34" s="1724">
        <f t="shared" si="16"/>
        <v>0</v>
      </c>
      <c r="D34" s="1724">
        <f t="shared" si="16"/>
        <v>0</v>
      </c>
      <c r="E34" s="1724">
        <f t="shared" si="16"/>
        <v>0</v>
      </c>
      <c r="F34" s="1724">
        <f t="shared" si="16"/>
        <v>0</v>
      </c>
      <c r="G34" s="1724">
        <f t="shared" si="16"/>
        <v>0</v>
      </c>
      <c r="H34" s="1724">
        <f t="shared" si="16"/>
        <v>0</v>
      </c>
      <c r="I34" s="1724">
        <f t="shared" si="16"/>
        <v>0</v>
      </c>
      <c r="J34" s="1724">
        <f t="shared" si="16"/>
        <v>0</v>
      </c>
      <c r="K34" s="1724">
        <f t="shared" si="16"/>
        <v>0</v>
      </c>
      <c r="L34" s="1724">
        <f t="shared" si="16"/>
        <v>0</v>
      </c>
      <c r="M34" s="1725">
        <f t="shared" si="16"/>
        <v>0</v>
      </c>
      <c r="N34" s="1926">
        <f t="shared" si="16"/>
        <v>0</v>
      </c>
      <c r="O34" s="3831">
        <f>SUM(O29:O33)</f>
        <v>0.14000000000000001</v>
      </c>
      <c r="P34" s="1915">
        <f t="shared" ref="P34:AB34" si="17">SUM(P29:P33)</f>
        <v>0</v>
      </c>
      <c r="Q34" s="1915">
        <f t="shared" si="17"/>
        <v>0</v>
      </c>
      <c r="R34" s="1915">
        <f t="shared" si="17"/>
        <v>0</v>
      </c>
      <c r="S34" s="1915">
        <f t="shared" si="17"/>
        <v>0</v>
      </c>
      <c r="T34" s="1915">
        <f t="shared" si="17"/>
        <v>0</v>
      </c>
      <c r="U34" s="1915">
        <f t="shared" si="17"/>
        <v>0</v>
      </c>
      <c r="V34" s="1915">
        <f t="shared" si="17"/>
        <v>0</v>
      </c>
      <c r="W34" s="1915">
        <f t="shared" si="17"/>
        <v>0</v>
      </c>
      <c r="X34" s="1915">
        <f t="shared" si="17"/>
        <v>0</v>
      </c>
      <c r="Y34" s="1915">
        <f t="shared" si="17"/>
        <v>0</v>
      </c>
      <c r="Z34" s="1915">
        <f t="shared" si="17"/>
        <v>0</v>
      </c>
      <c r="AA34" s="1916">
        <f t="shared" si="17"/>
        <v>0</v>
      </c>
      <c r="AB34" s="1927">
        <f t="shared" si="17"/>
        <v>0</v>
      </c>
      <c r="AC34" s="3833">
        <f>SUM(AC29:AC33)</f>
        <v>0.12</v>
      </c>
    </row>
    <row r="35" spans="1:29" s="3" customFormat="1" ht="30.75" customHeight="1" thickTop="1" thickBot="1">
      <c r="A35" s="3656" t="s">
        <v>493</v>
      </c>
      <c r="B35" s="1937">
        <f t="shared" ref="B35:O35" si="18">B18+B27+B34</f>
        <v>0</v>
      </c>
      <c r="C35" s="1938">
        <f t="shared" si="18"/>
        <v>0</v>
      </c>
      <c r="D35" s="1938">
        <f t="shared" si="18"/>
        <v>0</v>
      </c>
      <c r="E35" s="1938">
        <f t="shared" si="18"/>
        <v>0</v>
      </c>
      <c r="F35" s="1938">
        <f t="shared" si="18"/>
        <v>0</v>
      </c>
      <c r="G35" s="1938">
        <f t="shared" si="18"/>
        <v>0</v>
      </c>
      <c r="H35" s="1938">
        <f t="shared" si="18"/>
        <v>0</v>
      </c>
      <c r="I35" s="1938">
        <f t="shared" si="18"/>
        <v>0</v>
      </c>
      <c r="J35" s="1938">
        <f t="shared" si="18"/>
        <v>0</v>
      </c>
      <c r="K35" s="1938">
        <f t="shared" si="18"/>
        <v>0</v>
      </c>
      <c r="L35" s="1938">
        <f t="shared" si="18"/>
        <v>0</v>
      </c>
      <c r="M35" s="1939">
        <f t="shared" si="18"/>
        <v>0</v>
      </c>
      <c r="N35" s="1940">
        <f t="shared" si="18"/>
        <v>0</v>
      </c>
      <c r="O35" s="3835">
        <f t="shared" si="18"/>
        <v>1</v>
      </c>
      <c r="P35" s="1929">
        <f t="shared" ref="P35:AC35" si="19">P18+P27+P34</f>
        <v>0</v>
      </c>
      <c r="Q35" s="1929">
        <f t="shared" si="19"/>
        <v>0</v>
      </c>
      <c r="R35" s="1929">
        <f t="shared" si="19"/>
        <v>0</v>
      </c>
      <c r="S35" s="1929">
        <f t="shared" si="19"/>
        <v>0</v>
      </c>
      <c r="T35" s="1929">
        <f t="shared" si="19"/>
        <v>0</v>
      </c>
      <c r="U35" s="1929">
        <f t="shared" si="19"/>
        <v>0</v>
      </c>
      <c r="V35" s="1929">
        <f t="shared" si="19"/>
        <v>0</v>
      </c>
      <c r="W35" s="1929">
        <f t="shared" si="19"/>
        <v>0</v>
      </c>
      <c r="X35" s="1929">
        <f t="shared" si="19"/>
        <v>0</v>
      </c>
      <c r="Y35" s="1929">
        <f t="shared" si="19"/>
        <v>0</v>
      </c>
      <c r="Z35" s="1929">
        <f t="shared" si="19"/>
        <v>0</v>
      </c>
      <c r="AA35" s="1930">
        <f t="shared" si="19"/>
        <v>0</v>
      </c>
      <c r="AB35" s="1929">
        <f t="shared" si="19"/>
        <v>0</v>
      </c>
      <c r="AC35" s="3834">
        <f t="shared" si="19"/>
        <v>1</v>
      </c>
    </row>
    <row r="36" spans="1:29" ht="21" customHeight="1">
      <c r="A36" s="4679" t="s">
        <v>1390</v>
      </c>
      <c r="B36" s="4680"/>
      <c r="C36" s="4680"/>
      <c r="D36" s="4680"/>
      <c r="E36" s="4680"/>
      <c r="F36" s="4680"/>
      <c r="G36" s="4680"/>
      <c r="H36" s="4680"/>
      <c r="I36" s="4680"/>
      <c r="J36" s="4680"/>
      <c r="K36" s="4680"/>
      <c r="L36" s="4680"/>
      <c r="M36" s="4680"/>
      <c r="N36" s="4680"/>
      <c r="O36" s="4680"/>
      <c r="P36" s="4680"/>
      <c r="Q36" s="4680"/>
      <c r="R36" s="4680"/>
      <c r="S36" s="4680"/>
      <c r="T36" s="4680"/>
      <c r="U36" s="4680"/>
      <c r="V36" s="4680"/>
      <c r="W36" s="4680"/>
      <c r="X36" s="4680"/>
      <c r="Y36" s="4680"/>
      <c r="Z36" s="4680"/>
      <c r="AA36" s="4680"/>
      <c r="AB36" s="4680"/>
      <c r="AC36" s="4681"/>
    </row>
    <row r="37" spans="1:29" ht="14.25" customHeight="1" thickBot="1">
      <c r="A37" s="4682"/>
      <c r="B37" s="4683"/>
      <c r="C37" s="4683"/>
      <c r="D37" s="4683"/>
      <c r="E37" s="4683"/>
      <c r="F37" s="4683"/>
      <c r="G37" s="4683"/>
      <c r="H37" s="4683"/>
      <c r="I37" s="4683"/>
      <c r="J37" s="4683"/>
      <c r="K37" s="4683"/>
      <c r="L37" s="4683"/>
      <c r="M37" s="4683"/>
      <c r="N37" s="4683"/>
      <c r="O37" s="4683"/>
      <c r="P37" s="4683"/>
      <c r="Q37" s="4683"/>
      <c r="R37" s="4683"/>
      <c r="S37" s="4683"/>
      <c r="T37" s="4683"/>
      <c r="U37" s="4683"/>
      <c r="V37" s="4683"/>
      <c r="W37" s="4683"/>
      <c r="X37" s="4683"/>
      <c r="Y37" s="4683"/>
      <c r="Z37" s="4683"/>
      <c r="AA37" s="4683"/>
      <c r="AB37" s="4683"/>
      <c r="AC37" s="4684"/>
    </row>
    <row r="38" spans="1:29" ht="14.25">
      <c r="A38" s="1931"/>
      <c r="N38" s="1"/>
      <c r="O38" s="1"/>
    </row>
    <row r="39" spans="1:29" ht="14.25">
      <c r="A39" s="1932"/>
      <c r="J39" s="1723"/>
      <c r="N39" s="1"/>
      <c r="O39" s="1"/>
    </row>
    <row r="40" spans="1:29" ht="14.25">
      <c r="A40" s="1933"/>
      <c r="N40" s="1"/>
      <c r="O40" s="1"/>
    </row>
    <row r="41" spans="1:29" ht="15">
      <c r="A41" s="1934"/>
      <c r="N41" s="1"/>
      <c r="O41" s="1"/>
    </row>
    <row r="42" spans="1:29" ht="14.25">
      <c r="A42" s="1933"/>
    </row>
    <row r="43" spans="1:29" ht="15">
      <c r="A43" s="1935"/>
    </row>
    <row r="44" spans="1:29" ht="14.25">
      <c r="A44" s="1931"/>
    </row>
    <row r="45" spans="1:29" ht="14.25">
      <c r="A45" s="1931"/>
    </row>
    <row r="46" spans="1:29" ht="14.25">
      <c r="A46" s="1931"/>
    </row>
    <row r="47" spans="1:29" ht="14.25">
      <c r="A47" s="1931"/>
    </row>
    <row r="48" spans="1:29" ht="14.25">
      <c r="A48" s="1932"/>
    </row>
    <row r="49" spans="1:1" ht="14.25">
      <c r="A49" s="1931"/>
    </row>
    <row r="50" spans="1:1" ht="14.25">
      <c r="A50" s="1932"/>
    </row>
    <row r="51" spans="1:1" ht="14.25">
      <c r="A51" s="1931"/>
    </row>
    <row r="52" spans="1:1" ht="14.25">
      <c r="A52" s="1932"/>
    </row>
    <row r="53" spans="1:1" ht="14.25">
      <c r="A53" s="1933"/>
    </row>
    <row r="54" spans="1:1" ht="15">
      <c r="A54" s="1936"/>
    </row>
  </sheetData>
  <sheetProtection password="E0BE" sheet="1" objects="1" scenarios="1" selectLockedCells="1"/>
  <mergeCells count="18">
    <mergeCell ref="A1:AC1"/>
    <mergeCell ref="A2:AC2"/>
    <mergeCell ref="P3:AC3"/>
    <mergeCell ref="P4:AC4"/>
    <mergeCell ref="P5:AC5"/>
    <mergeCell ref="B3:O3"/>
    <mergeCell ref="B4:O4"/>
    <mergeCell ref="B5:O5"/>
    <mergeCell ref="P6:AA6"/>
    <mergeCell ref="AB6:AB7"/>
    <mergeCell ref="AC6:AC7"/>
    <mergeCell ref="B6:M6"/>
    <mergeCell ref="A36:AC37"/>
    <mergeCell ref="N6:N7"/>
    <mergeCell ref="O6:O7"/>
    <mergeCell ref="A8:AC8"/>
    <mergeCell ref="A19:AC19"/>
    <mergeCell ref="A28:AC28"/>
  </mergeCells>
  <conditionalFormatting sqref="O35 AC35">
    <cfRule type="cellIs" dxfId="31" priority="3" operator="lessThan">
      <formula>1</formula>
    </cfRule>
    <cfRule type="cellIs" dxfId="30" priority="4" operator="greaterThan">
      <formula>1</formula>
    </cfRule>
  </conditionalFormatting>
  <printOptions gridLines="1"/>
  <pageMargins left="0.7" right="0.7" top="0.75" bottom="0.75" header="0.3" footer="0.3"/>
  <pageSetup scale="47" orientation="landscape" horizontalDpi="1200" verticalDpi="1200" r:id="rId1"/>
  <headerFooter>
    <oddFooter>&amp;L&amp;A&amp;C&amp;F&amp;R&amp;D</oddFooter>
  </headerFooter>
  <colBreaks count="1" manualBreakCount="1">
    <brk id="15" max="34" man="1"/>
  </colBreaks>
  <ignoredErrors>
    <ignoredError sqref="N18:N19 N27:N28" unlockedFormula="1"/>
    <ignoredError sqref="AB18:AB19 AB27:AB28 AB34 AB9:AB14 AB20:AB23 AB29:AB30" formulaRange="1"/>
  </ignoredErrors>
</worksheet>
</file>

<file path=xl/worksheets/sheet2.xml><?xml version="1.0" encoding="utf-8"?>
<worksheet xmlns="http://schemas.openxmlformats.org/spreadsheetml/2006/main" xmlns:r="http://schemas.openxmlformats.org/officeDocument/2006/relationships">
  <sheetPr>
    <pageSetUpPr fitToPage="1"/>
  </sheetPr>
  <dimension ref="A1:AA7"/>
  <sheetViews>
    <sheetView zoomScale="85" zoomScaleNormal="85" workbookViewId="0">
      <selection activeCell="M28" sqref="M28"/>
    </sheetView>
  </sheetViews>
  <sheetFormatPr defaultRowHeight="12.75"/>
  <cols>
    <col min="1" max="1" width="27.28515625" customWidth="1"/>
    <col min="4" max="4" width="13.140625" customWidth="1"/>
    <col min="5" max="5" width="8.42578125" customWidth="1"/>
    <col min="6" max="6" width="40" customWidth="1"/>
    <col min="10" max="10" width="11.28515625" customWidth="1"/>
  </cols>
  <sheetData>
    <row r="1" spans="1:27" s="1627" customFormat="1" ht="39" customHeight="1">
      <c r="A1" s="3892" t="s">
        <v>1085</v>
      </c>
      <c r="B1" s="3893"/>
      <c r="C1" s="3893"/>
      <c r="D1" s="3893"/>
      <c r="E1" s="3893"/>
      <c r="F1" s="3893"/>
      <c r="G1" s="3893"/>
      <c r="H1" s="3893"/>
      <c r="I1" s="3893"/>
      <c r="J1" s="3894"/>
      <c r="K1" s="40"/>
      <c r="L1" s="40"/>
      <c r="M1" s="40"/>
      <c r="N1" s="40"/>
      <c r="O1" s="40"/>
      <c r="P1" s="40"/>
      <c r="Q1" s="40"/>
      <c r="R1" s="40"/>
      <c r="S1" s="40"/>
      <c r="T1" s="40"/>
      <c r="U1" s="40"/>
      <c r="V1" s="40"/>
      <c r="W1" s="40"/>
      <c r="X1" s="40"/>
      <c r="Y1" s="40"/>
      <c r="Z1" s="40"/>
      <c r="AA1" s="40"/>
    </row>
    <row r="2" spans="1:27" s="1627" customFormat="1" ht="33" customHeight="1" thickBot="1">
      <c r="A2" s="3889" t="s">
        <v>1086</v>
      </c>
      <c r="B2" s="3890"/>
      <c r="C2" s="3890"/>
      <c r="D2" s="3890"/>
      <c r="E2" s="3890"/>
      <c r="F2" s="3890"/>
      <c r="G2" s="3890"/>
      <c r="H2" s="3890"/>
      <c r="I2" s="3890"/>
      <c r="J2" s="3891"/>
      <c r="K2" s="40"/>
      <c r="L2" s="40"/>
      <c r="M2" s="40"/>
      <c r="N2" s="40"/>
      <c r="O2" s="40"/>
      <c r="P2" s="40"/>
      <c r="Q2" s="40"/>
      <c r="R2" s="40"/>
      <c r="S2" s="40"/>
      <c r="T2" s="40"/>
      <c r="U2" s="40"/>
      <c r="V2" s="40"/>
      <c r="W2" s="40"/>
      <c r="X2" s="40"/>
      <c r="Y2" s="40"/>
      <c r="Z2" s="40"/>
      <c r="AA2" s="40"/>
    </row>
    <row r="3" spans="1:27" ht="27.75" customHeight="1" thickTop="1">
      <c r="A3" s="3488" t="s">
        <v>384</v>
      </c>
      <c r="B3" s="3895" t="s">
        <v>1515</v>
      </c>
      <c r="C3" s="3895"/>
      <c r="D3" s="3895"/>
      <c r="E3" s="3895"/>
      <c r="F3" s="3896"/>
      <c r="G3" s="3897" t="s">
        <v>1087</v>
      </c>
      <c r="H3" s="3898"/>
      <c r="I3" s="3898"/>
      <c r="J3" s="3899"/>
      <c r="K3" s="40"/>
      <c r="L3" s="40"/>
      <c r="M3" s="40"/>
      <c r="N3" s="40"/>
      <c r="O3" s="40"/>
      <c r="P3" s="40"/>
      <c r="Q3" s="40"/>
      <c r="R3" s="40"/>
      <c r="S3" s="40"/>
      <c r="T3" s="40"/>
      <c r="U3" s="40"/>
      <c r="V3" s="40"/>
      <c r="W3" s="40"/>
      <c r="X3" s="40"/>
      <c r="Y3" s="40"/>
      <c r="Z3" s="40"/>
      <c r="AA3" s="40"/>
    </row>
    <row r="4" spans="1:27" ht="28.5" customHeight="1">
      <c r="A4" s="1679" t="s">
        <v>397</v>
      </c>
      <c r="B4" s="3900" t="s">
        <v>1516</v>
      </c>
      <c r="C4" s="3900"/>
      <c r="D4" s="3900"/>
      <c r="E4" s="3900"/>
      <c r="F4" s="3489" t="s">
        <v>385</v>
      </c>
      <c r="G4" s="3903" t="s">
        <v>1520</v>
      </c>
      <c r="H4" s="3903"/>
      <c r="I4" s="3903"/>
      <c r="J4" s="3904"/>
      <c r="K4" s="2353"/>
      <c r="L4" s="40"/>
      <c r="M4" s="40"/>
      <c r="N4" s="40"/>
      <c r="O4" s="40"/>
      <c r="P4" s="40"/>
      <c r="Q4" s="40"/>
      <c r="R4" s="40"/>
      <c r="S4" s="40"/>
      <c r="T4" s="40"/>
      <c r="U4" s="40"/>
      <c r="V4" s="40"/>
      <c r="W4" s="40"/>
      <c r="X4" s="40"/>
      <c r="Y4" s="40"/>
      <c r="Z4" s="40"/>
      <c r="AA4" s="40"/>
    </row>
    <row r="5" spans="1:27" ht="28.5" customHeight="1">
      <c r="A5" s="1680" t="s">
        <v>398</v>
      </c>
      <c r="B5" s="3901" t="s">
        <v>1517</v>
      </c>
      <c r="C5" s="3901"/>
      <c r="D5" s="3901"/>
      <c r="E5" s="3901"/>
      <c r="F5" s="3490" t="s">
        <v>386</v>
      </c>
      <c r="G5" s="3905" t="s">
        <v>1521</v>
      </c>
      <c r="H5" s="3905"/>
      <c r="I5" s="3905"/>
      <c r="J5" s="3906"/>
      <c r="K5" s="2353"/>
      <c r="L5" s="40"/>
      <c r="M5" s="40"/>
      <c r="N5" s="40"/>
      <c r="O5" s="40"/>
      <c r="P5" s="40"/>
      <c r="Q5" s="40"/>
      <c r="R5" s="40"/>
      <c r="S5" s="40"/>
      <c r="T5" s="40"/>
      <c r="U5" s="40"/>
      <c r="V5" s="40"/>
      <c r="W5" s="40"/>
      <c r="X5" s="40"/>
      <c r="Y5" s="40"/>
      <c r="Z5" s="40"/>
      <c r="AA5" s="40"/>
    </row>
    <row r="6" spans="1:27" ht="28.5" customHeight="1">
      <c r="A6" s="1681" t="s">
        <v>399</v>
      </c>
      <c r="B6" s="3901" t="s">
        <v>1518</v>
      </c>
      <c r="C6" s="3901"/>
      <c r="D6" s="3901"/>
      <c r="E6" s="3901"/>
      <c r="F6" s="3491" t="s">
        <v>387</v>
      </c>
      <c r="G6" s="3905" t="s">
        <v>1522</v>
      </c>
      <c r="H6" s="3905"/>
      <c r="I6" s="3905"/>
      <c r="J6" s="3906"/>
      <c r="K6" s="2353"/>
      <c r="L6" s="40"/>
      <c r="M6" s="40"/>
      <c r="N6" s="40"/>
      <c r="O6" s="40"/>
      <c r="P6" s="40"/>
      <c r="Q6" s="40"/>
      <c r="R6" s="40"/>
      <c r="S6" s="40"/>
      <c r="T6" s="40"/>
      <c r="U6" s="40"/>
      <c r="V6" s="40"/>
      <c r="W6" s="40"/>
      <c r="X6" s="40"/>
      <c r="Y6" s="40"/>
      <c r="Z6" s="40"/>
      <c r="AA6" s="40"/>
    </row>
    <row r="7" spans="1:27" ht="28.5" customHeight="1" thickBot="1">
      <c r="A7" s="3820" t="s">
        <v>400</v>
      </c>
      <c r="B7" s="3902" t="s">
        <v>1519</v>
      </c>
      <c r="C7" s="3902"/>
      <c r="D7" s="3902"/>
      <c r="E7" s="3902"/>
      <c r="F7" s="3821" t="s">
        <v>388</v>
      </c>
      <c r="G7" s="3907" t="s">
        <v>1523</v>
      </c>
      <c r="H7" s="3907"/>
      <c r="I7" s="3907"/>
      <c r="J7" s="3908"/>
      <c r="K7" s="2353"/>
      <c r="L7" s="40"/>
      <c r="M7" s="40"/>
      <c r="N7" s="40"/>
      <c r="O7" s="40"/>
      <c r="P7" s="40"/>
      <c r="Q7" s="40"/>
      <c r="R7" s="40"/>
      <c r="S7" s="40"/>
      <c r="T7" s="40"/>
      <c r="U7" s="40"/>
      <c r="V7" s="40"/>
      <c r="W7" s="40"/>
      <c r="X7" s="40"/>
      <c r="Y7" s="40"/>
      <c r="Z7" s="40"/>
      <c r="AA7" s="40"/>
    </row>
  </sheetData>
  <sheetProtection password="E0BE" sheet="1" objects="1" scenarios="1"/>
  <mergeCells count="12">
    <mergeCell ref="B6:E6"/>
    <mergeCell ref="B7:E7"/>
    <mergeCell ref="G4:J4"/>
    <mergeCell ref="G5:J5"/>
    <mergeCell ref="G6:J6"/>
    <mergeCell ref="G7:J7"/>
    <mergeCell ref="B5:E5"/>
    <mergeCell ref="A2:J2"/>
    <mergeCell ref="A1:J1"/>
    <mergeCell ref="B3:F3"/>
    <mergeCell ref="G3:J3"/>
    <mergeCell ref="B4:E4"/>
  </mergeCells>
  <pageMargins left="0.7" right="0.7" top="0.75" bottom="0.75" header="0.3" footer="0.3"/>
  <pageSetup scale="85" orientation="landscape" horizontalDpi="1200" verticalDpi="1200" r:id="rId1"/>
  <headerFooter>
    <oddFooter>&amp;L&amp;A&amp;C&amp;F&amp;R&amp;D</oddFooter>
  </headerFooter>
  <legacyDrawing r:id="rId2"/>
</worksheet>
</file>

<file path=xl/worksheets/sheet20.xml><?xml version="1.0" encoding="utf-8"?>
<worksheet xmlns="http://schemas.openxmlformats.org/spreadsheetml/2006/main" xmlns:r="http://schemas.openxmlformats.org/officeDocument/2006/relationships">
  <sheetPr>
    <pageSetUpPr fitToPage="1"/>
  </sheetPr>
  <dimension ref="A1:AC56"/>
  <sheetViews>
    <sheetView topLeftCell="A4" zoomScale="75" zoomScaleNormal="75" workbookViewId="0">
      <selection activeCell="J12" sqref="J12"/>
    </sheetView>
  </sheetViews>
  <sheetFormatPr defaultRowHeight="12.75"/>
  <cols>
    <col min="1" max="1" width="21.7109375" customWidth="1"/>
    <col min="2" max="13" width="7.85546875" style="1" customWidth="1"/>
    <col min="14" max="14" width="12.28515625" customWidth="1"/>
    <col min="15" max="15" width="14.5703125" customWidth="1"/>
    <col min="16" max="27" width="7.85546875" customWidth="1"/>
    <col min="28" max="28" width="12.28515625" customWidth="1"/>
    <col min="29" max="29" width="14.5703125" customWidth="1"/>
  </cols>
  <sheetData>
    <row r="1" spans="1:29"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3"/>
    </row>
    <row r="2" spans="1:29" ht="30" customHeight="1">
      <c r="A2" s="4694" t="s">
        <v>500</v>
      </c>
      <c r="B2" s="4695"/>
      <c r="C2" s="4695"/>
      <c r="D2" s="4695"/>
      <c r="E2" s="4695"/>
      <c r="F2" s="4695"/>
      <c r="G2" s="4695"/>
      <c r="H2" s="4695"/>
      <c r="I2" s="4695"/>
      <c r="J2" s="4695"/>
      <c r="K2" s="4695"/>
      <c r="L2" s="4695"/>
      <c r="M2" s="4695"/>
      <c r="N2" s="4695"/>
      <c r="O2" s="4695"/>
      <c r="P2" s="4695"/>
      <c r="Q2" s="4695"/>
      <c r="R2" s="4695"/>
      <c r="S2" s="4695"/>
      <c r="T2" s="4695"/>
      <c r="U2" s="4695"/>
      <c r="V2" s="4695"/>
      <c r="W2" s="4695"/>
      <c r="X2" s="4695"/>
      <c r="Y2" s="4695"/>
      <c r="Z2" s="4695"/>
      <c r="AA2" s="4695"/>
      <c r="AB2" s="4695"/>
      <c r="AC2" s="4696"/>
    </row>
    <row r="3" spans="1:29" ht="21" customHeight="1">
      <c r="A3" s="1722"/>
      <c r="B3" s="4724" t="str">
        <f>'Chosen Parameters-Part I'!D4</f>
        <v>Scenario 3</v>
      </c>
      <c r="C3" s="4725"/>
      <c r="D3" s="4725"/>
      <c r="E3" s="4725"/>
      <c r="F3" s="4725"/>
      <c r="G3" s="4725"/>
      <c r="H3" s="4725"/>
      <c r="I3" s="4725"/>
      <c r="J3" s="4725"/>
      <c r="K3" s="4725"/>
      <c r="L3" s="4725"/>
      <c r="M3" s="4725"/>
      <c r="N3" s="4725"/>
      <c r="O3" s="4726"/>
      <c r="P3" s="4727" t="str">
        <f>'Chosen Parameters-Part I'!E4</f>
        <v>Scenario 4</v>
      </c>
      <c r="Q3" s="4727"/>
      <c r="R3" s="4727"/>
      <c r="S3" s="4727"/>
      <c r="T3" s="4727"/>
      <c r="U3" s="4727"/>
      <c r="V3" s="4727"/>
      <c r="W3" s="4727"/>
      <c r="X3" s="4727"/>
      <c r="Y3" s="4727"/>
      <c r="Z3" s="4727"/>
      <c r="AA3" s="4727"/>
      <c r="AB3" s="4727"/>
      <c r="AC3" s="4728"/>
    </row>
    <row r="4" spans="1:29" ht="22.5" customHeight="1">
      <c r="A4" s="1722"/>
      <c r="B4" s="4729" t="str">
        <f>'Application Setup'!B6</f>
        <v>Intensive Organic Management, Holsteins</v>
      </c>
      <c r="C4" s="4730"/>
      <c r="D4" s="4730"/>
      <c r="E4" s="4730"/>
      <c r="F4" s="4730"/>
      <c r="G4" s="4730"/>
      <c r="H4" s="4730"/>
      <c r="I4" s="4730"/>
      <c r="J4" s="4730"/>
      <c r="K4" s="4730"/>
      <c r="L4" s="4730"/>
      <c r="M4" s="4730"/>
      <c r="N4" s="4730"/>
      <c r="O4" s="4731"/>
      <c r="P4" s="4732" t="str">
        <f>'Application Setup'!B7</f>
        <v>Pasture-Based Organic, Jersey Cows</v>
      </c>
      <c r="Q4" s="4732"/>
      <c r="R4" s="4732"/>
      <c r="S4" s="4732"/>
      <c r="T4" s="4732"/>
      <c r="U4" s="4732"/>
      <c r="V4" s="4732"/>
      <c r="W4" s="4732"/>
      <c r="X4" s="4732"/>
      <c r="Y4" s="4732"/>
      <c r="Z4" s="4732"/>
      <c r="AA4" s="4732"/>
      <c r="AB4" s="4732"/>
      <c r="AC4" s="4733"/>
    </row>
    <row r="5" spans="1:29" ht="18" customHeight="1">
      <c r="A5" s="1928"/>
      <c r="B5" s="4709" t="s">
        <v>492</v>
      </c>
      <c r="C5" s="4701"/>
      <c r="D5" s="4701"/>
      <c r="E5" s="4701"/>
      <c r="F5" s="4701"/>
      <c r="G5" s="4701"/>
      <c r="H5" s="4701"/>
      <c r="I5" s="4701"/>
      <c r="J5" s="4701"/>
      <c r="K5" s="4701"/>
      <c r="L5" s="4701"/>
      <c r="M5" s="4701"/>
      <c r="N5" s="4701"/>
      <c r="O5" s="4710"/>
      <c r="P5" s="4701" t="s">
        <v>492</v>
      </c>
      <c r="Q5" s="4701"/>
      <c r="R5" s="4701"/>
      <c r="S5" s="4701"/>
      <c r="T5" s="4701"/>
      <c r="U5" s="4701"/>
      <c r="V5" s="4701"/>
      <c r="W5" s="4701"/>
      <c r="X5" s="4701"/>
      <c r="Y5" s="4701"/>
      <c r="Z5" s="4701"/>
      <c r="AA5" s="4701"/>
      <c r="AB5" s="4701"/>
      <c r="AC5" s="4702"/>
    </row>
    <row r="6" spans="1:29" ht="17.25" customHeight="1">
      <c r="A6" s="1917"/>
      <c r="B6" s="4711" t="s">
        <v>480</v>
      </c>
      <c r="C6" s="4712"/>
      <c r="D6" s="4712"/>
      <c r="E6" s="4712"/>
      <c r="F6" s="4712"/>
      <c r="G6" s="4712"/>
      <c r="H6" s="4712"/>
      <c r="I6" s="4712"/>
      <c r="J6" s="4712"/>
      <c r="K6" s="4712"/>
      <c r="L6" s="4712"/>
      <c r="M6" s="4713"/>
      <c r="N6" s="4714" t="s">
        <v>989</v>
      </c>
      <c r="O6" s="4716" t="s">
        <v>1389</v>
      </c>
      <c r="P6" s="4718" t="s">
        <v>480</v>
      </c>
      <c r="Q6" s="4718"/>
      <c r="R6" s="4718"/>
      <c r="S6" s="4718"/>
      <c r="T6" s="4718"/>
      <c r="U6" s="4718"/>
      <c r="V6" s="4718"/>
      <c r="W6" s="4718"/>
      <c r="X6" s="4718"/>
      <c r="Y6" s="4718"/>
      <c r="Z6" s="4718"/>
      <c r="AA6" s="4719"/>
      <c r="AB6" s="4720" t="s">
        <v>989</v>
      </c>
      <c r="AC6" s="4722" t="s">
        <v>1389</v>
      </c>
    </row>
    <row r="7" spans="1:29" ht="41.25" customHeight="1">
      <c r="A7" s="1918"/>
      <c r="B7" s="1941" t="s">
        <v>501</v>
      </c>
      <c r="C7" s="1942" t="s">
        <v>481</v>
      </c>
      <c r="D7" s="1942" t="s">
        <v>482</v>
      </c>
      <c r="E7" s="1942" t="s">
        <v>483</v>
      </c>
      <c r="F7" s="1942" t="s">
        <v>484</v>
      </c>
      <c r="G7" s="1942" t="s">
        <v>485</v>
      </c>
      <c r="H7" s="1942" t="s">
        <v>486</v>
      </c>
      <c r="I7" s="1942" t="s">
        <v>487</v>
      </c>
      <c r="J7" s="1942" t="s">
        <v>488</v>
      </c>
      <c r="K7" s="1942" t="s">
        <v>489</v>
      </c>
      <c r="L7" s="1942" t="s">
        <v>490</v>
      </c>
      <c r="M7" s="1943" t="s">
        <v>491</v>
      </c>
      <c r="N7" s="4715"/>
      <c r="O7" s="4717"/>
      <c r="P7" s="3652" t="s">
        <v>501</v>
      </c>
      <c r="Q7" s="1953" t="s">
        <v>481</v>
      </c>
      <c r="R7" s="1953" t="s">
        <v>482</v>
      </c>
      <c r="S7" s="1953" t="s">
        <v>483</v>
      </c>
      <c r="T7" s="1953" t="s">
        <v>484</v>
      </c>
      <c r="U7" s="1953" t="s">
        <v>485</v>
      </c>
      <c r="V7" s="1953" t="s">
        <v>486</v>
      </c>
      <c r="W7" s="1953" t="s">
        <v>487</v>
      </c>
      <c r="X7" s="1953" t="s">
        <v>488</v>
      </c>
      <c r="Y7" s="1953" t="s">
        <v>489</v>
      </c>
      <c r="Z7" s="1953" t="s">
        <v>490</v>
      </c>
      <c r="AA7" s="1954" t="s">
        <v>491</v>
      </c>
      <c r="AB7" s="4721"/>
      <c r="AC7" s="4723"/>
    </row>
    <row r="8" spans="1:29" ht="20.25" customHeight="1">
      <c r="A8" s="4031" t="s">
        <v>1263</v>
      </c>
      <c r="B8" s="4032"/>
      <c r="C8" s="4032"/>
      <c r="D8" s="4032"/>
      <c r="E8" s="4032"/>
      <c r="F8" s="4032"/>
      <c r="G8" s="4032"/>
      <c r="H8" s="4032"/>
      <c r="I8" s="4032"/>
      <c r="J8" s="4032"/>
      <c r="K8" s="4032"/>
      <c r="L8" s="4032"/>
      <c r="M8" s="4032"/>
      <c r="N8" s="4032"/>
      <c r="O8" s="4032"/>
      <c r="P8" s="4032"/>
      <c r="Q8" s="4032"/>
      <c r="R8" s="4032"/>
      <c r="S8" s="4032"/>
      <c r="T8" s="4032"/>
      <c r="U8" s="4032"/>
      <c r="V8" s="4032"/>
      <c r="W8" s="4032"/>
      <c r="X8" s="4032"/>
      <c r="Y8" s="4032"/>
      <c r="Z8" s="4032"/>
      <c r="AA8" s="4032"/>
      <c r="AB8" s="4032"/>
      <c r="AC8" s="4033"/>
    </row>
    <row r="9" spans="1:29">
      <c r="A9" s="236" t="s">
        <v>34</v>
      </c>
      <c r="B9" s="3132"/>
      <c r="C9" s="3133"/>
      <c r="D9" s="3133"/>
      <c r="E9" s="3133"/>
      <c r="F9" s="3133"/>
      <c r="G9" s="3133"/>
      <c r="H9" s="3133"/>
      <c r="I9" s="3133"/>
      <c r="J9" s="3133"/>
      <c r="K9" s="3133"/>
      <c r="L9" s="3133"/>
      <c r="M9" s="3134"/>
      <c r="N9" s="2811">
        <f>SUM(B9:M9)/12</f>
        <v>0</v>
      </c>
      <c r="O9" s="3699">
        <v>0.27</v>
      </c>
      <c r="P9" s="3135"/>
      <c r="Q9" s="3133"/>
      <c r="R9" s="3133"/>
      <c r="S9" s="3133"/>
      <c r="T9" s="3133"/>
      <c r="U9" s="3133"/>
      <c r="V9" s="3133"/>
      <c r="W9" s="3133"/>
      <c r="X9" s="3133"/>
      <c r="Y9" s="3133"/>
      <c r="Z9" s="3133"/>
      <c r="AA9" s="3134"/>
      <c r="AB9" s="2663">
        <f>SUM(P9:AA9)/12</f>
        <v>0</v>
      </c>
      <c r="AC9" s="3699">
        <v>0.17</v>
      </c>
    </row>
    <row r="10" spans="1:29">
      <c r="A10" s="3657" t="s">
        <v>29</v>
      </c>
      <c r="B10" s="3136"/>
      <c r="C10" s="3133"/>
      <c r="D10" s="3133"/>
      <c r="E10" s="3133"/>
      <c r="F10" s="3133"/>
      <c r="G10" s="3133"/>
      <c r="H10" s="3133"/>
      <c r="I10" s="3133"/>
      <c r="J10" s="3133"/>
      <c r="K10" s="3133"/>
      <c r="L10" s="3133"/>
      <c r="M10" s="3134"/>
      <c r="N10" s="2811">
        <f t="shared" ref="N10:N17" si="0">SUM(B10:M10)/12</f>
        <v>0</v>
      </c>
      <c r="O10" s="3699">
        <v>0.09</v>
      </c>
      <c r="P10" s="3133"/>
      <c r="Q10" s="3133"/>
      <c r="R10" s="3133"/>
      <c r="S10" s="3133"/>
      <c r="T10" s="3133"/>
      <c r="U10" s="3133"/>
      <c r="V10" s="3133"/>
      <c r="W10" s="3133"/>
      <c r="X10" s="3133"/>
      <c r="Y10" s="3133"/>
      <c r="Z10" s="3133"/>
      <c r="AA10" s="3134"/>
      <c r="AB10" s="2663">
        <f t="shared" ref="AB10:AB17" si="1">SUM(P10:AA10)/12</f>
        <v>0</v>
      </c>
      <c r="AC10" s="3699">
        <v>0.153</v>
      </c>
    </row>
    <row r="11" spans="1:29">
      <c r="A11" s="3657" t="s">
        <v>3</v>
      </c>
      <c r="B11" s="3132"/>
      <c r="C11" s="3133"/>
      <c r="D11" s="3133"/>
      <c r="E11" s="3133"/>
      <c r="F11" s="3133"/>
      <c r="G11" s="3133"/>
      <c r="H11" s="3133"/>
      <c r="I11" s="3133"/>
      <c r="J11" s="3133"/>
      <c r="K11" s="3133"/>
      <c r="L11" s="3133"/>
      <c r="M11" s="3134"/>
      <c r="N11" s="2811">
        <f t="shared" si="0"/>
        <v>0</v>
      </c>
      <c r="O11" s="3699">
        <v>0.08</v>
      </c>
      <c r="P11" s="3135"/>
      <c r="Q11" s="3133"/>
      <c r="R11" s="3133"/>
      <c r="S11" s="3133"/>
      <c r="T11" s="3133"/>
      <c r="U11" s="3133"/>
      <c r="V11" s="3133"/>
      <c r="W11" s="3133"/>
      <c r="X11" s="3133"/>
      <c r="Y11" s="3133"/>
      <c r="Z11" s="3133"/>
      <c r="AA11" s="3134"/>
      <c r="AB11" s="2663">
        <f t="shared" si="1"/>
        <v>0</v>
      </c>
      <c r="AC11" s="3699">
        <v>0.05</v>
      </c>
    </row>
    <row r="12" spans="1:29">
      <c r="A12" s="3657" t="s">
        <v>35</v>
      </c>
      <c r="B12" s="3137"/>
      <c r="C12" s="3138"/>
      <c r="D12" s="3138"/>
      <c r="E12" s="3138"/>
      <c r="F12" s="3138"/>
      <c r="G12" s="3138"/>
      <c r="H12" s="3138"/>
      <c r="I12" s="3138"/>
      <c r="J12" s="3138"/>
      <c r="K12" s="3138"/>
      <c r="L12" s="3138"/>
      <c r="M12" s="3139"/>
      <c r="N12" s="2811">
        <f t="shared" si="0"/>
        <v>0</v>
      </c>
      <c r="O12" s="3699">
        <v>0.08</v>
      </c>
      <c r="P12" s="3138"/>
      <c r="Q12" s="3138"/>
      <c r="R12" s="3138"/>
      <c r="S12" s="3138"/>
      <c r="T12" s="3138"/>
      <c r="U12" s="3138"/>
      <c r="V12" s="3138"/>
      <c r="W12" s="3138"/>
      <c r="X12" s="3138"/>
      <c r="Y12" s="3138"/>
      <c r="Z12" s="3138"/>
      <c r="AA12" s="3139"/>
      <c r="AB12" s="2663">
        <f t="shared" si="1"/>
        <v>0</v>
      </c>
      <c r="AC12" s="3699">
        <v>0.08</v>
      </c>
    </row>
    <row r="13" spans="1:29">
      <c r="A13" s="3657" t="s">
        <v>19</v>
      </c>
      <c r="B13" s="3137"/>
      <c r="C13" s="3138"/>
      <c r="D13" s="3138"/>
      <c r="E13" s="3138"/>
      <c r="F13" s="3138"/>
      <c r="G13" s="3138"/>
      <c r="H13" s="3138"/>
      <c r="I13" s="3138"/>
      <c r="J13" s="3138"/>
      <c r="K13" s="3138"/>
      <c r="L13" s="3138"/>
      <c r="M13" s="3139"/>
      <c r="N13" s="2811">
        <f t="shared" si="0"/>
        <v>0</v>
      </c>
      <c r="O13" s="3699">
        <v>0.25</v>
      </c>
      <c r="P13" s="3138"/>
      <c r="Q13" s="3138"/>
      <c r="R13" s="3138"/>
      <c r="S13" s="3138"/>
      <c r="T13" s="3138"/>
      <c r="U13" s="3138"/>
      <c r="V13" s="3138"/>
      <c r="W13" s="3138"/>
      <c r="X13" s="3138"/>
      <c r="Y13" s="3138"/>
      <c r="Z13" s="3138"/>
      <c r="AA13" s="3139"/>
      <c r="AB13" s="2663">
        <f t="shared" si="1"/>
        <v>0</v>
      </c>
      <c r="AC13" s="3699">
        <v>0.35</v>
      </c>
    </row>
    <row r="14" spans="1:29">
      <c r="A14" s="3657" t="s">
        <v>31</v>
      </c>
      <c r="B14" s="3137"/>
      <c r="C14" s="3138"/>
      <c r="D14" s="3138"/>
      <c r="E14" s="3138"/>
      <c r="F14" s="3138"/>
      <c r="G14" s="3138"/>
      <c r="H14" s="3138"/>
      <c r="I14" s="3138"/>
      <c r="J14" s="3138"/>
      <c r="K14" s="3138"/>
      <c r="L14" s="3138"/>
      <c r="M14" s="3139"/>
      <c r="N14" s="2811">
        <f t="shared" si="0"/>
        <v>0</v>
      </c>
      <c r="O14" s="3699">
        <v>0.04</v>
      </c>
      <c r="P14" s="3138"/>
      <c r="Q14" s="3138"/>
      <c r="R14" s="3138"/>
      <c r="S14" s="3138"/>
      <c r="T14" s="3138"/>
      <c r="U14" s="3138"/>
      <c r="V14" s="3138"/>
      <c r="W14" s="3138"/>
      <c r="X14" s="3138"/>
      <c r="Y14" s="3138"/>
      <c r="Z14" s="3138"/>
      <c r="AA14" s="3139"/>
      <c r="AB14" s="2663">
        <f t="shared" si="1"/>
        <v>0</v>
      </c>
      <c r="AC14" s="3699">
        <v>0.03</v>
      </c>
    </row>
    <row r="15" spans="1:29">
      <c r="A15" s="3657" t="str">
        <f>IF('Step 7b--Feedstuff Required'!B20="[add forage crop here]"," ",'Step 7b--Feedstuff Required'!B20)</f>
        <v xml:space="preserve"> </v>
      </c>
      <c r="B15" s="3137"/>
      <c r="C15" s="3138"/>
      <c r="D15" s="3138"/>
      <c r="E15" s="3138"/>
      <c r="F15" s="3138"/>
      <c r="G15" s="3138"/>
      <c r="H15" s="3138"/>
      <c r="I15" s="3138"/>
      <c r="J15" s="3138"/>
      <c r="K15" s="3138"/>
      <c r="L15" s="3138"/>
      <c r="M15" s="3139"/>
      <c r="N15" s="2811">
        <f t="shared" si="0"/>
        <v>0</v>
      </c>
      <c r="O15" s="3699">
        <f>N15</f>
        <v>0</v>
      </c>
      <c r="P15" s="3138"/>
      <c r="Q15" s="3138"/>
      <c r="R15" s="3138"/>
      <c r="S15" s="3138"/>
      <c r="T15" s="3138"/>
      <c r="U15" s="3138"/>
      <c r="V15" s="3138"/>
      <c r="W15" s="3138"/>
      <c r="X15" s="3138"/>
      <c r="Y15" s="3138"/>
      <c r="Z15" s="3138"/>
      <c r="AA15" s="3139"/>
      <c r="AB15" s="2663">
        <f t="shared" si="1"/>
        <v>0</v>
      </c>
      <c r="AC15" s="3699"/>
    </row>
    <row r="16" spans="1:29">
      <c r="A16" s="3657" t="str">
        <f>IF('Step 7b--Feedstuff Required'!B22="[add forage crop here]"," ",'Step 7b--Feedstuff Required'!B22)</f>
        <v xml:space="preserve"> </v>
      </c>
      <c r="B16" s="3137"/>
      <c r="C16" s="3138"/>
      <c r="D16" s="3138"/>
      <c r="E16" s="3138"/>
      <c r="F16" s="3138"/>
      <c r="G16" s="3138"/>
      <c r="H16" s="3138"/>
      <c r="I16" s="3138"/>
      <c r="J16" s="3138"/>
      <c r="K16" s="3138"/>
      <c r="L16" s="3138"/>
      <c r="M16" s="3139"/>
      <c r="N16" s="2811">
        <f t="shared" si="0"/>
        <v>0</v>
      </c>
      <c r="O16" s="3699">
        <f t="shared" ref="O16:O17" si="2">N16</f>
        <v>0</v>
      </c>
      <c r="P16" s="3138"/>
      <c r="Q16" s="3138"/>
      <c r="R16" s="3138"/>
      <c r="S16" s="3138"/>
      <c r="T16" s="3138"/>
      <c r="U16" s="3138"/>
      <c r="V16" s="3138"/>
      <c r="W16" s="3138"/>
      <c r="X16" s="3138"/>
      <c r="Y16" s="3138"/>
      <c r="Z16" s="3138"/>
      <c r="AA16" s="3139"/>
      <c r="AB16" s="2663">
        <f t="shared" si="1"/>
        <v>0</v>
      </c>
      <c r="AC16" s="3699"/>
    </row>
    <row r="17" spans="1:29">
      <c r="A17" s="3657" t="str">
        <f>IF('Step 7b--Feedstuff Required'!B24="[add forage crop here]"," ",'Step 7b--Feedstuff Required'!B24)</f>
        <v xml:space="preserve"> </v>
      </c>
      <c r="B17" s="3137"/>
      <c r="C17" s="3138"/>
      <c r="D17" s="3138"/>
      <c r="E17" s="3138"/>
      <c r="F17" s="3138"/>
      <c r="G17" s="3138"/>
      <c r="H17" s="3138"/>
      <c r="I17" s="3138"/>
      <c r="J17" s="3138"/>
      <c r="K17" s="3138"/>
      <c r="L17" s="3138"/>
      <c r="M17" s="3139"/>
      <c r="N17" s="2811">
        <f t="shared" si="0"/>
        <v>0</v>
      </c>
      <c r="O17" s="3699">
        <f t="shared" si="2"/>
        <v>0</v>
      </c>
      <c r="P17" s="3138"/>
      <c r="Q17" s="3138"/>
      <c r="R17" s="3138"/>
      <c r="S17" s="3138"/>
      <c r="T17" s="3138"/>
      <c r="U17" s="3138"/>
      <c r="V17" s="3138"/>
      <c r="W17" s="3138"/>
      <c r="X17" s="3138"/>
      <c r="Y17" s="3138"/>
      <c r="Z17" s="3138"/>
      <c r="AA17" s="3139"/>
      <c r="AB17" s="2663">
        <f t="shared" si="1"/>
        <v>0</v>
      </c>
      <c r="AC17" s="3699"/>
    </row>
    <row r="18" spans="1:29" s="3" customFormat="1" ht="15">
      <c r="A18" s="1919" t="s">
        <v>4</v>
      </c>
      <c r="B18" s="3471">
        <f t="shared" ref="B18:N18" si="3">SUM(B9:B17)</f>
        <v>0</v>
      </c>
      <c r="C18" s="3472">
        <f t="shared" si="3"/>
        <v>0</v>
      </c>
      <c r="D18" s="3472">
        <f t="shared" si="3"/>
        <v>0</v>
      </c>
      <c r="E18" s="3472">
        <f t="shared" si="3"/>
        <v>0</v>
      </c>
      <c r="F18" s="3472">
        <f t="shared" si="3"/>
        <v>0</v>
      </c>
      <c r="G18" s="3472">
        <f t="shared" si="3"/>
        <v>0</v>
      </c>
      <c r="H18" s="3472">
        <f t="shared" si="3"/>
        <v>0</v>
      </c>
      <c r="I18" s="3472">
        <f t="shared" si="3"/>
        <v>0</v>
      </c>
      <c r="J18" s="3472">
        <f t="shared" si="3"/>
        <v>0</v>
      </c>
      <c r="K18" s="3472">
        <f t="shared" si="3"/>
        <v>0</v>
      </c>
      <c r="L18" s="3472">
        <f t="shared" si="3"/>
        <v>0</v>
      </c>
      <c r="M18" s="3473">
        <f t="shared" si="3"/>
        <v>0</v>
      </c>
      <c r="N18" s="3474">
        <f t="shared" si="3"/>
        <v>0</v>
      </c>
      <c r="O18" s="3826">
        <f>SUM(O9:O17)</f>
        <v>0.81</v>
      </c>
      <c r="P18" s="3475">
        <f t="shared" ref="P18:AB18" si="4">SUM(P9:P17)</f>
        <v>0</v>
      </c>
      <c r="Q18" s="3475">
        <f t="shared" si="4"/>
        <v>0</v>
      </c>
      <c r="R18" s="3475">
        <f t="shared" si="4"/>
        <v>0</v>
      </c>
      <c r="S18" s="3475">
        <f t="shared" si="4"/>
        <v>0</v>
      </c>
      <c r="T18" s="3475">
        <f t="shared" si="4"/>
        <v>0</v>
      </c>
      <c r="U18" s="3475">
        <f t="shared" si="4"/>
        <v>0</v>
      </c>
      <c r="V18" s="3475">
        <f t="shared" si="4"/>
        <v>0</v>
      </c>
      <c r="W18" s="3475">
        <f t="shared" si="4"/>
        <v>0</v>
      </c>
      <c r="X18" s="3475">
        <f t="shared" si="4"/>
        <v>0</v>
      </c>
      <c r="Y18" s="3475">
        <f t="shared" si="4"/>
        <v>0</v>
      </c>
      <c r="Z18" s="3475">
        <f t="shared" si="4"/>
        <v>0</v>
      </c>
      <c r="AA18" s="3476">
        <f t="shared" si="4"/>
        <v>0</v>
      </c>
      <c r="AB18" s="3477">
        <f t="shared" si="4"/>
        <v>0</v>
      </c>
      <c r="AC18" s="3824">
        <f>SUM(AC9:AC17)</f>
        <v>0.83299999999999996</v>
      </c>
    </row>
    <row r="19" spans="1:29" ht="20.25" customHeight="1">
      <c r="A19" s="4031" t="s">
        <v>1264</v>
      </c>
      <c r="B19" s="4689"/>
      <c r="C19" s="4689"/>
      <c r="D19" s="4689"/>
      <c r="E19" s="4689"/>
      <c r="F19" s="4689"/>
      <c r="G19" s="4689"/>
      <c r="H19" s="4689"/>
      <c r="I19" s="4689"/>
      <c r="J19" s="4689"/>
      <c r="K19" s="4689"/>
      <c r="L19" s="4689"/>
      <c r="M19" s="4689"/>
      <c r="N19" s="4689"/>
      <c r="O19" s="4689"/>
      <c r="P19" s="4689"/>
      <c r="Q19" s="4689"/>
      <c r="R19" s="4689"/>
      <c r="S19" s="4689"/>
      <c r="T19" s="4689"/>
      <c r="U19" s="4689"/>
      <c r="V19" s="4689"/>
      <c r="W19" s="4689"/>
      <c r="X19" s="4689"/>
      <c r="Y19" s="4689"/>
      <c r="Z19" s="4689"/>
      <c r="AA19" s="4689"/>
      <c r="AB19" s="4689"/>
      <c r="AC19" s="4690"/>
    </row>
    <row r="20" spans="1:29">
      <c r="A20" s="236" t="s">
        <v>406</v>
      </c>
      <c r="B20" s="3137"/>
      <c r="C20" s="3138"/>
      <c r="D20" s="3138"/>
      <c r="E20" s="3138"/>
      <c r="F20" s="3138"/>
      <c r="G20" s="3138"/>
      <c r="H20" s="3138"/>
      <c r="I20" s="3138"/>
      <c r="J20" s="3138"/>
      <c r="K20" s="3138"/>
      <c r="L20" s="3138"/>
      <c r="M20" s="3139"/>
      <c r="N20" s="2811">
        <f t="shared" ref="N20:N26" si="5">SUM(B20:M20)/12</f>
        <v>0</v>
      </c>
      <c r="O20" s="3699">
        <v>0.1</v>
      </c>
      <c r="P20" s="3138"/>
      <c r="Q20" s="3138"/>
      <c r="R20" s="3138"/>
      <c r="S20" s="3138"/>
      <c r="T20" s="3138"/>
      <c r="U20" s="3138"/>
      <c r="V20" s="3138"/>
      <c r="W20" s="3138"/>
      <c r="X20" s="3138"/>
      <c r="Y20" s="3138"/>
      <c r="Z20" s="3138"/>
      <c r="AA20" s="3139"/>
      <c r="AB20" s="2663">
        <f>SUM(P20:AA20)/12</f>
        <v>0</v>
      </c>
      <c r="AC20" s="3699">
        <v>0.1</v>
      </c>
    </row>
    <row r="21" spans="1:29">
      <c r="A21" s="3657" t="s">
        <v>22</v>
      </c>
      <c r="B21" s="3137"/>
      <c r="C21" s="3138"/>
      <c r="D21" s="3138"/>
      <c r="E21" s="3138"/>
      <c r="F21" s="3138"/>
      <c r="G21" s="3138"/>
      <c r="H21" s="3138"/>
      <c r="I21" s="3138"/>
      <c r="J21" s="3138"/>
      <c r="K21" s="3138"/>
      <c r="L21" s="3138"/>
      <c r="M21" s="3139"/>
      <c r="N21" s="2811">
        <f t="shared" si="5"/>
        <v>0</v>
      </c>
      <c r="O21" s="3699">
        <v>0.02</v>
      </c>
      <c r="P21" s="3138"/>
      <c r="Q21" s="3138"/>
      <c r="R21" s="3138"/>
      <c r="S21" s="3138"/>
      <c r="T21" s="3138"/>
      <c r="U21" s="3138"/>
      <c r="V21" s="3138"/>
      <c r="W21" s="3138"/>
      <c r="X21" s="3138"/>
      <c r="Y21" s="3138"/>
      <c r="Z21" s="3138"/>
      <c r="AA21" s="3139"/>
      <c r="AB21" s="2663">
        <f t="shared" ref="AB21:AB26" si="6">SUM(P21:AA21)/12</f>
        <v>0</v>
      </c>
      <c r="AC21" s="3699">
        <v>2.3E-2</v>
      </c>
    </row>
    <row r="22" spans="1:29">
      <c r="A22" s="3657" t="s">
        <v>25</v>
      </c>
      <c r="B22" s="3137"/>
      <c r="C22" s="3138"/>
      <c r="D22" s="3138"/>
      <c r="E22" s="3138"/>
      <c r="F22" s="3138"/>
      <c r="G22" s="3138"/>
      <c r="H22" s="3138"/>
      <c r="I22" s="3138"/>
      <c r="J22" s="3138"/>
      <c r="K22" s="3138"/>
      <c r="L22" s="3138"/>
      <c r="M22" s="3139"/>
      <c r="N22" s="2811">
        <f t="shared" si="5"/>
        <v>0</v>
      </c>
      <c r="O22" s="3699">
        <v>0.02</v>
      </c>
      <c r="P22" s="3138"/>
      <c r="Q22" s="3138"/>
      <c r="R22" s="3138"/>
      <c r="S22" s="3138"/>
      <c r="T22" s="3138"/>
      <c r="U22" s="3138"/>
      <c r="V22" s="3138"/>
      <c r="W22" s="3138"/>
      <c r="X22" s="3138"/>
      <c r="Y22" s="3138"/>
      <c r="Z22" s="3138"/>
      <c r="AA22" s="3139"/>
      <c r="AB22" s="2663">
        <f t="shared" si="6"/>
        <v>0</v>
      </c>
      <c r="AC22" s="3699">
        <v>2.4E-2</v>
      </c>
    </row>
    <row r="23" spans="1:29">
      <c r="A23" s="3657" t="s">
        <v>27</v>
      </c>
      <c r="B23" s="3137"/>
      <c r="C23" s="3138"/>
      <c r="D23" s="3138"/>
      <c r="E23" s="3138"/>
      <c r="F23" s="3138"/>
      <c r="G23" s="3138"/>
      <c r="H23" s="3138"/>
      <c r="I23" s="3138"/>
      <c r="J23" s="3138"/>
      <c r="K23" s="3138"/>
      <c r="L23" s="3138"/>
      <c r="M23" s="3139"/>
      <c r="N23" s="2811">
        <f t="shared" si="5"/>
        <v>0</v>
      </c>
      <c r="O23" s="3699">
        <f t="shared" ref="O23:O26" si="7">N23</f>
        <v>0</v>
      </c>
      <c r="P23" s="3138"/>
      <c r="Q23" s="3138"/>
      <c r="R23" s="3138"/>
      <c r="S23" s="3138"/>
      <c r="T23" s="3138"/>
      <c r="U23" s="3138"/>
      <c r="V23" s="3138"/>
      <c r="W23" s="3138"/>
      <c r="X23" s="3138"/>
      <c r="Y23" s="3138"/>
      <c r="Z23" s="3138"/>
      <c r="AA23" s="3139"/>
      <c r="AB23" s="2663">
        <f t="shared" si="6"/>
        <v>0</v>
      </c>
      <c r="AC23" s="3699">
        <v>0</v>
      </c>
    </row>
    <row r="24" spans="1:29">
      <c r="A24" s="3657" t="str">
        <f>IF('Step 7b--Feedstuff Required'!B38="[add grain crop here]"," ",'Step 7b--Feedstuff Required'!B38)</f>
        <v xml:space="preserve"> </v>
      </c>
      <c r="B24" s="3137"/>
      <c r="C24" s="3138"/>
      <c r="D24" s="3138"/>
      <c r="E24" s="3138"/>
      <c r="F24" s="3138"/>
      <c r="G24" s="3138"/>
      <c r="H24" s="3138"/>
      <c r="I24" s="3138"/>
      <c r="J24" s="3138"/>
      <c r="K24" s="3138"/>
      <c r="L24" s="3138"/>
      <c r="M24" s="3139"/>
      <c r="N24" s="2811">
        <f t="shared" si="5"/>
        <v>0</v>
      </c>
      <c r="O24" s="3699">
        <f t="shared" si="7"/>
        <v>0</v>
      </c>
      <c r="P24" s="3138"/>
      <c r="Q24" s="3138"/>
      <c r="R24" s="3138"/>
      <c r="S24" s="3138"/>
      <c r="T24" s="3138"/>
      <c r="U24" s="3138"/>
      <c r="V24" s="3138"/>
      <c r="W24" s="3138"/>
      <c r="X24" s="3138"/>
      <c r="Y24" s="3138"/>
      <c r="Z24" s="3138"/>
      <c r="AA24" s="3139"/>
      <c r="AB24" s="2663">
        <f t="shared" si="6"/>
        <v>0</v>
      </c>
      <c r="AC24" s="3699">
        <f t="shared" ref="AC24:AC26" si="8">AB24</f>
        <v>0</v>
      </c>
    </row>
    <row r="25" spans="1:29">
      <c r="A25" s="3657" t="str">
        <f>IF('Step 7b--Feedstuff Required'!B40="[add grain crop here]"," ",'Step 7b--Feedstuff Required'!B40)</f>
        <v xml:space="preserve"> </v>
      </c>
      <c r="B25" s="3137"/>
      <c r="C25" s="3138"/>
      <c r="D25" s="3138"/>
      <c r="E25" s="3138"/>
      <c r="F25" s="3138"/>
      <c r="G25" s="3138"/>
      <c r="H25" s="3138"/>
      <c r="I25" s="3138"/>
      <c r="J25" s="3138"/>
      <c r="K25" s="3138"/>
      <c r="L25" s="3138"/>
      <c r="M25" s="3139"/>
      <c r="N25" s="2811">
        <f t="shared" si="5"/>
        <v>0</v>
      </c>
      <c r="O25" s="3699">
        <f t="shared" si="7"/>
        <v>0</v>
      </c>
      <c r="P25" s="3138"/>
      <c r="Q25" s="3138"/>
      <c r="R25" s="3138"/>
      <c r="S25" s="3138"/>
      <c r="T25" s="3138"/>
      <c r="U25" s="3138"/>
      <c r="V25" s="3138"/>
      <c r="W25" s="3138"/>
      <c r="X25" s="3138"/>
      <c r="Y25" s="3138"/>
      <c r="Z25" s="3138"/>
      <c r="AA25" s="3139"/>
      <c r="AB25" s="2663">
        <f t="shared" si="6"/>
        <v>0</v>
      </c>
      <c r="AC25" s="3699">
        <f t="shared" si="8"/>
        <v>0</v>
      </c>
    </row>
    <row r="26" spans="1:29">
      <c r="A26" s="3657" t="str">
        <f>IF('Step 7b--Feedstuff Required'!B42="[add grain crop here]"," ",'Step 7b--Feedstuff Required'!B42)</f>
        <v xml:space="preserve"> </v>
      </c>
      <c r="B26" s="3137"/>
      <c r="C26" s="3138"/>
      <c r="D26" s="3138"/>
      <c r="E26" s="3138"/>
      <c r="F26" s="3138"/>
      <c r="G26" s="3138"/>
      <c r="H26" s="3138"/>
      <c r="I26" s="3138"/>
      <c r="J26" s="3138"/>
      <c r="K26" s="3138"/>
      <c r="L26" s="3138"/>
      <c r="M26" s="3139"/>
      <c r="N26" s="2811">
        <f t="shared" si="5"/>
        <v>0</v>
      </c>
      <c r="O26" s="3699">
        <f t="shared" si="7"/>
        <v>0</v>
      </c>
      <c r="P26" s="3138"/>
      <c r="Q26" s="3138"/>
      <c r="R26" s="3138"/>
      <c r="S26" s="3138"/>
      <c r="T26" s="3138"/>
      <c r="U26" s="3138"/>
      <c r="V26" s="3138"/>
      <c r="W26" s="3138"/>
      <c r="X26" s="3138"/>
      <c r="Y26" s="3138"/>
      <c r="Z26" s="3138"/>
      <c r="AA26" s="3139"/>
      <c r="AB26" s="2663">
        <f t="shared" si="6"/>
        <v>0</v>
      </c>
      <c r="AC26" s="3699">
        <f t="shared" si="8"/>
        <v>0</v>
      </c>
    </row>
    <row r="27" spans="1:29" s="3" customFormat="1" ht="15">
      <c r="A27" s="3516" t="s">
        <v>5</v>
      </c>
      <c r="B27" s="3471">
        <f t="shared" ref="B27:N27" si="9">SUM(B20:B26)</f>
        <v>0</v>
      </c>
      <c r="C27" s="3472">
        <f t="shared" si="9"/>
        <v>0</v>
      </c>
      <c r="D27" s="3472">
        <f t="shared" si="9"/>
        <v>0</v>
      </c>
      <c r="E27" s="3472">
        <f t="shared" si="9"/>
        <v>0</v>
      </c>
      <c r="F27" s="3472">
        <f t="shared" si="9"/>
        <v>0</v>
      </c>
      <c r="G27" s="3472">
        <f t="shared" si="9"/>
        <v>0</v>
      </c>
      <c r="H27" s="3472">
        <f t="shared" si="9"/>
        <v>0</v>
      </c>
      <c r="I27" s="3472">
        <f t="shared" si="9"/>
        <v>0</v>
      </c>
      <c r="J27" s="3472">
        <f t="shared" si="9"/>
        <v>0</v>
      </c>
      <c r="K27" s="3472">
        <f t="shared" si="9"/>
        <v>0</v>
      </c>
      <c r="L27" s="3472">
        <f t="shared" si="9"/>
        <v>0</v>
      </c>
      <c r="M27" s="3473">
        <f t="shared" si="9"/>
        <v>0</v>
      </c>
      <c r="N27" s="3474">
        <f t="shared" si="9"/>
        <v>0</v>
      </c>
      <c r="O27" s="3826">
        <f>SUM(O20:O26)</f>
        <v>0.14000000000000001</v>
      </c>
      <c r="P27" s="3475">
        <f t="shared" ref="P27:AB27" si="10">SUM(P20:P26)</f>
        <v>0</v>
      </c>
      <c r="Q27" s="3475">
        <f t="shared" si="10"/>
        <v>0</v>
      </c>
      <c r="R27" s="3475">
        <f t="shared" si="10"/>
        <v>0</v>
      </c>
      <c r="S27" s="3475">
        <f t="shared" si="10"/>
        <v>0</v>
      </c>
      <c r="T27" s="3475">
        <f t="shared" si="10"/>
        <v>0</v>
      </c>
      <c r="U27" s="3475">
        <f t="shared" si="10"/>
        <v>0</v>
      </c>
      <c r="V27" s="3475">
        <f t="shared" si="10"/>
        <v>0</v>
      </c>
      <c r="W27" s="3475">
        <f t="shared" si="10"/>
        <v>0</v>
      </c>
      <c r="X27" s="3475">
        <f t="shared" si="10"/>
        <v>0</v>
      </c>
      <c r="Y27" s="3475">
        <f t="shared" si="10"/>
        <v>0</v>
      </c>
      <c r="Z27" s="3475">
        <f t="shared" si="10"/>
        <v>0</v>
      </c>
      <c r="AA27" s="3476">
        <f t="shared" si="10"/>
        <v>0</v>
      </c>
      <c r="AB27" s="3477">
        <f t="shared" si="10"/>
        <v>0</v>
      </c>
      <c r="AC27" s="3824">
        <f>SUM(AC20:AC26)</f>
        <v>0.14699999999999999</v>
      </c>
    </row>
    <row r="28" spans="1:29" ht="20.25" customHeight="1">
      <c r="A28" s="4031" t="s">
        <v>1265</v>
      </c>
      <c r="B28" s="4689"/>
      <c r="C28" s="4689"/>
      <c r="D28" s="4689"/>
      <c r="E28" s="4689"/>
      <c r="F28" s="4689"/>
      <c r="G28" s="4689"/>
      <c r="H28" s="4689"/>
      <c r="I28" s="4689"/>
      <c r="J28" s="4689"/>
      <c r="K28" s="4689"/>
      <c r="L28" s="4689"/>
      <c r="M28" s="4689"/>
      <c r="N28" s="4689"/>
      <c r="O28" s="4689"/>
      <c r="P28" s="4689"/>
      <c r="Q28" s="4689"/>
      <c r="R28" s="4689"/>
      <c r="S28" s="4689"/>
      <c r="T28" s="4689"/>
      <c r="U28" s="4689"/>
      <c r="V28" s="4689"/>
      <c r="W28" s="4689"/>
      <c r="X28" s="4689"/>
      <c r="Y28" s="4689"/>
      <c r="Z28" s="4689"/>
      <c r="AA28" s="4689"/>
      <c r="AB28" s="4689"/>
      <c r="AC28" s="4690"/>
    </row>
    <row r="29" spans="1:29">
      <c r="A29" s="3657" t="s">
        <v>7</v>
      </c>
      <c r="B29" s="3137"/>
      <c r="C29" s="3138"/>
      <c r="D29" s="3138"/>
      <c r="E29" s="3138"/>
      <c r="F29" s="3138"/>
      <c r="G29" s="3138"/>
      <c r="H29" s="3138"/>
      <c r="I29" s="3138"/>
      <c r="J29" s="3138"/>
      <c r="K29" s="3138"/>
      <c r="L29" s="3138"/>
      <c r="M29" s="3139"/>
      <c r="N29" s="2811">
        <f t="shared" ref="N29:N33" si="11">SUM(B29:M29)/12</f>
        <v>0</v>
      </c>
      <c r="O29" s="3699">
        <v>0.05</v>
      </c>
      <c r="P29" s="3138"/>
      <c r="Q29" s="3138"/>
      <c r="R29" s="3138"/>
      <c r="S29" s="3138"/>
      <c r="T29" s="3138"/>
      <c r="U29" s="3138"/>
      <c r="V29" s="3138"/>
      <c r="W29" s="3138"/>
      <c r="X29" s="3138"/>
      <c r="Y29" s="3138"/>
      <c r="Z29" s="3138"/>
      <c r="AA29" s="3139"/>
      <c r="AB29" s="2663">
        <f>SUM(P29:AA29)/12</f>
        <v>0</v>
      </c>
      <c r="AC29" s="3699">
        <v>0.02</v>
      </c>
    </row>
    <row r="30" spans="1:29">
      <c r="A30" s="3657" t="s">
        <v>8</v>
      </c>
      <c r="B30" s="3137"/>
      <c r="C30" s="3138"/>
      <c r="D30" s="3138"/>
      <c r="E30" s="3138"/>
      <c r="F30" s="3138"/>
      <c r="G30" s="3138"/>
      <c r="H30" s="3138"/>
      <c r="I30" s="3138"/>
      <c r="J30" s="3138"/>
      <c r="K30" s="3138"/>
      <c r="L30" s="3138"/>
      <c r="M30" s="3139"/>
      <c r="N30" s="2811">
        <f t="shared" si="11"/>
        <v>0</v>
      </c>
      <c r="O30" s="3699">
        <f>N30</f>
        <v>0</v>
      </c>
      <c r="P30" s="3138"/>
      <c r="Q30" s="3138"/>
      <c r="R30" s="3138"/>
      <c r="S30" s="3138"/>
      <c r="T30" s="3138"/>
      <c r="U30" s="3138"/>
      <c r="V30" s="3138"/>
      <c r="W30" s="3138"/>
      <c r="X30" s="3138"/>
      <c r="Y30" s="3138"/>
      <c r="Z30" s="3138"/>
      <c r="AA30" s="3139"/>
      <c r="AB30" s="2663">
        <f t="shared" ref="AB30:AB33" si="12">SUM(P30:AA30)/12</f>
        <v>0</v>
      </c>
      <c r="AC30" s="3699">
        <f>AB30</f>
        <v>0</v>
      </c>
    </row>
    <row r="31" spans="1:29">
      <c r="A31" s="3657" t="str">
        <f>IF('Step 7b--Feedstuff Required'!B52="[add protein source here]"," ",'Step 7b--Feedstuff Required'!B52)</f>
        <v xml:space="preserve"> </v>
      </c>
      <c r="B31" s="3137"/>
      <c r="C31" s="3138"/>
      <c r="D31" s="3138"/>
      <c r="E31" s="3138"/>
      <c r="F31" s="3138"/>
      <c r="G31" s="3138"/>
      <c r="H31" s="3138"/>
      <c r="I31" s="3138"/>
      <c r="J31" s="3138"/>
      <c r="K31" s="3138"/>
      <c r="L31" s="3138"/>
      <c r="M31" s="3139"/>
      <c r="N31" s="2811">
        <f t="shared" si="11"/>
        <v>0</v>
      </c>
      <c r="O31" s="3699">
        <f t="shared" ref="O31:O33" si="13">N31</f>
        <v>0</v>
      </c>
      <c r="P31" s="3138"/>
      <c r="Q31" s="3138"/>
      <c r="R31" s="3138"/>
      <c r="S31" s="3138"/>
      <c r="T31" s="3138"/>
      <c r="U31" s="3138"/>
      <c r="V31" s="3138"/>
      <c r="W31" s="3138"/>
      <c r="X31" s="3138"/>
      <c r="Y31" s="3138"/>
      <c r="Z31" s="3138"/>
      <c r="AA31" s="3139"/>
      <c r="AB31" s="2663">
        <f t="shared" si="12"/>
        <v>0</v>
      </c>
      <c r="AC31" s="3699">
        <f t="shared" ref="AC31:AC33" si="14">AB31</f>
        <v>0</v>
      </c>
    </row>
    <row r="32" spans="1:29">
      <c r="A32" s="3657" t="str">
        <f>IF('Step 7b--Feedstuff Required'!B54="[add protein source here]"," ",'Step 7b--Feedstuff Required'!B54)</f>
        <v xml:space="preserve"> </v>
      </c>
      <c r="B32" s="3137"/>
      <c r="C32" s="3138"/>
      <c r="D32" s="3138"/>
      <c r="E32" s="3138"/>
      <c r="F32" s="3138"/>
      <c r="G32" s="3138"/>
      <c r="H32" s="3138"/>
      <c r="I32" s="3138"/>
      <c r="J32" s="3138"/>
      <c r="K32" s="3138"/>
      <c r="L32" s="3138"/>
      <c r="M32" s="3139"/>
      <c r="N32" s="2811">
        <f t="shared" si="11"/>
        <v>0</v>
      </c>
      <c r="O32" s="3699">
        <f t="shared" si="13"/>
        <v>0</v>
      </c>
      <c r="P32" s="3138"/>
      <c r="Q32" s="3138"/>
      <c r="R32" s="3138"/>
      <c r="S32" s="3138"/>
      <c r="T32" s="3138"/>
      <c r="U32" s="3138"/>
      <c r="V32" s="3138"/>
      <c r="W32" s="3138"/>
      <c r="X32" s="3138"/>
      <c r="Y32" s="3138"/>
      <c r="Z32" s="3138"/>
      <c r="AA32" s="3139"/>
      <c r="AB32" s="2663">
        <f t="shared" si="12"/>
        <v>0</v>
      </c>
      <c r="AC32" s="3699">
        <f t="shared" si="14"/>
        <v>0</v>
      </c>
    </row>
    <row r="33" spans="1:29">
      <c r="A33" s="3657" t="str">
        <f>IF('Step 7b--Feedstuff Required'!B56="[add protein source here]"," ",'Step 7b--Feedstuff Required'!B56)</f>
        <v xml:space="preserve"> </v>
      </c>
      <c r="B33" s="3137"/>
      <c r="C33" s="3138"/>
      <c r="D33" s="3138"/>
      <c r="E33" s="3138"/>
      <c r="F33" s="3138"/>
      <c r="G33" s="3138"/>
      <c r="H33" s="3138"/>
      <c r="I33" s="3138"/>
      <c r="J33" s="3138"/>
      <c r="K33" s="3138"/>
      <c r="L33" s="3138"/>
      <c r="M33" s="3139"/>
      <c r="N33" s="2811">
        <f t="shared" si="11"/>
        <v>0</v>
      </c>
      <c r="O33" s="3699">
        <f t="shared" si="13"/>
        <v>0</v>
      </c>
      <c r="P33" s="3138"/>
      <c r="Q33" s="3138"/>
      <c r="R33" s="3138"/>
      <c r="S33" s="3138"/>
      <c r="T33" s="3138"/>
      <c r="U33" s="3138"/>
      <c r="V33" s="3138"/>
      <c r="W33" s="3138"/>
      <c r="X33" s="3138"/>
      <c r="Y33" s="3138"/>
      <c r="Z33" s="3138"/>
      <c r="AA33" s="3139"/>
      <c r="AB33" s="2663">
        <f t="shared" si="12"/>
        <v>0</v>
      </c>
      <c r="AC33" s="3699">
        <f t="shared" si="14"/>
        <v>0</v>
      </c>
    </row>
    <row r="34" spans="1:29" s="3" customFormat="1" ht="15.75" thickBot="1">
      <c r="A34" s="1920" t="s">
        <v>286</v>
      </c>
      <c r="B34" s="1947">
        <f t="shared" ref="B34:N34" si="15">SUM(B29:B33)</f>
        <v>0</v>
      </c>
      <c r="C34" s="1948">
        <f t="shared" si="15"/>
        <v>0</v>
      </c>
      <c r="D34" s="1948">
        <f t="shared" si="15"/>
        <v>0</v>
      </c>
      <c r="E34" s="1948">
        <f t="shared" si="15"/>
        <v>0</v>
      </c>
      <c r="F34" s="1948">
        <f t="shared" si="15"/>
        <v>0</v>
      </c>
      <c r="G34" s="1948">
        <f t="shared" si="15"/>
        <v>0</v>
      </c>
      <c r="H34" s="1948">
        <f t="shared" si="15"/>
        <v>0</v>
      </c>
      <c r="I34" s="1948">
        <f t="shared" si="15"/>
        <v>0</v>
      </c>
      <c r="J34" s="1948">
        <f t="shared" si="15"/>
        <v>0</v>
      </c>
      <c r="K34" s="1948">
        <f t="shared" si="15"/>
        <v>0</v>
      </c>
      <c r="L34" s="1948">
        <f t="shared" si="15"/>
        <v>0</v>
      </c>
      <c r="M34" s="1949">
        <f t="shared" si="15"/>
        <v>0</v>
      </c>
      <c r="N34" s="1945">
        <f t="shared" si="15"/>
        <v>0</v>
      </c>
      <c r="O34" s="3827">
        <f>SUM(O29:O33)</f>
        <v>0.05</v>
      </c>
      <c r="P34" s="1958">
        <f t="shared" ref="P34:AB34" si="16">SUM(P29:P33)</f>
        <v>0</v>
      </c>
      <c r="Q34" s="1958">
        <f t="shared" si="16"/>
        <v>0</v>
      </c>
      <c r="R34" s="1958">
        <f t="shared" si="16"/>
        <v>0</v>
      </c>
      <c r="S34" s="1958">
        <f t="shared" si="16"/>
        <v>0</v>
      </c>
      <c r="T34" s="1958">
        <f t="shared" si="16"/>
        <v>0</v>
      </c>
      <c r="U34" s="1958">
        <f t="shared" si="16"/>
        <v>0</v>
      </c>
      <c r="V34" s="1958">
        <f t="shared" si="16"/>
        <v>0</v>
      </c>
      <c r="W34" s="1958">
        <f t="shared" si="16"/>
        <v>0</v>
      </c>
      <c r="X34" s="1958">
        <f t="shared" si="16"/>
        <v>0</v>
      </c>
      <c r="Y34" s="1958">
        <f t="shared" si="16"/>
        <v>0</v>
      </c>
      <c r="Z34" s="1958">
        <f t="shared" si="16"/>
        <v>0</v>
      </c>
      <c r="AA34" s="1959">
        <f t="shared" si="16"/>
        <v>0</v>
      </c>
      <c r="AB34" s="1956">
        <f t="shared" si="16"/>
        <v>0</v>
      </c>
      <c r="AC34" s="3825">
        <f>SUM(AC29:AC33)</f>
        <v>0.02</v>
      </c>
    </row>
    <row r="35" spans="1:29" s="3" customFormat="1" ht="30.75" customHeight="1" thickTop="1" thickBot="1">
      <c r="A35" s="3655" t="s">
        <v>493</v>
      </c>
      <c r="B35" s="1950">
        <f t="shared" ref="B35:AC35" si="17">B18+B27+B34</f>
        <v>0</v>
      </c>
      <c r="C35" s="1951">
        <f t="shared" si="17"/>
        <v>0</v>
      </c>
      <c r="D35" s="1951">
        <f t="shared" si="17"/>
        <v>0</v>
      </c>
      <c r="E35" s="1951">
        <f t="shared" si="17"/>
        <v>0</v>
      </c>
      <c r="F35" s="1951">
        <f t="shared" si="17"/>
        <v>0</v>
      </c>
      <c r="G35" s="1951">
        <f t="shared" si="17"/>
        <v>0</v>
      </c>
      <c r="H35" s="1951">
        <f t="shared" si="17"/>
        <v>0</v>
      </c>
      <c r="I35" s="1951">
        <f t="shared" si="17"/>
        <v>0</v>
      </c>
      <c r="J35" s="1951">
        <f t="shared" si="17"/>
        <v>0</v>
      </c>
      <c r="K35" s="1951">
        <f t="shared" si="17"/>
        <v>0</v>
      </c>
      <c r="L35" s="1951">
        <f t="shared" si="17"/>
        <v>0</v>
      </c>
      <c r="M35" s="1952">
        <f t="shared" si="17"/>
        <v>0</v>
      </c>
      <c r="N35" s="1946">
        <f t="shared" si="17"/>
        <v>0</v>
      </c>
      <c r="O35" s="3828">
        <f t="shared" si="17"/>
        <v>1</v>
      </c>
      <c r="P35" s="1957">
        <f t="shared" si="17"/>
        <v>0</v>
      </c>
      <c r="Q35" s="1957">
        <f t="shared" si="17"/>
        <v>0</v>
      </c>
      <c r="R35" s="1957">
        <f t="shared" si="17"/>
        <v>0</v>
      </c>
      <c r="S35" s="1957">
        <f t="shared" si="17"/>
        <v>0</v>
      </c>
      <c r="T35" s="1957">
        <f t="shared" si="17"/>
        <v>0</v>
      </c>
      <c r="U35" s="1957">
        <f t="shared" si="17"/>
        <v>0</v>
      </c>
      <c r="V35" s="1957">
        <f t="shared" si="17"/>
        <v>0</v>
      </c>
      <c r="W35" s="1957">
        <f t="shared" si="17"/>
        <v>0</v>
      </c>
      <c r="X35" s="1957">
        <f t="shared" si="17"/>
        <v>0</v>
      </c>
      <c r="Y35" s="1957">
        <f t="shared" si="17"/>
        <v>0</v>
      </c>
      <c r="Z35" s="1957">
        <f t="shared" si="17"/>
        <v>0</v>
      </c>
      <c r="AA35" s="1960">
        <f t="shared" si="17"/>
        <v>0</v>
      </c>
      <c r="AB35" s="1957">
        <f t="shared" si="17"/>
        <v>0</v>
      </c>
      <c r="AC35" s="3829">
        <f t="shared" si="17"/>
        <v>1</v>
      </c>
    </row>
    <row r="36" spans="1:29" ht="21" customHeight="1">
      <c r="A36" s="4679" t="s">
        <v>1390</v>
      </c>
      <c r="B36" s="4680"/>
      <c r="C36" s="4680"/>
      <c r="D36" s="4680"/>
      <c r="E36" s="4680"/>
      <c r="F36" s="4680"/>
      <c r="G36" s="4680"/>
      <c r="H36" s="4680"/>
      <c r="I36" s="4680"/>
      <c r="J36" s="4680"/>
      <c r="K36" s="4680"/>
      <c r="L36" s="4680"/>
      <c r="M36" s="4680"/>
      <c r="N36" s="4680"/>
      <c r="O36" s="4680"/>
      <c r="P36" s="4680"/>
      <c r="Q36" s="4680"/>
      <c r="R36" s="4680"/>
      <c r="S36" s="4680"/>
      <c r="T36" s="4680"/>
      <c r="U36" s="4680"/>
      <c r="V36" s="4680"/>
      <c r="W36" s="4680"/>
      <c r="X36" s="4680"/>
      <c r="Y36" s="4680"/>
      <c r="Z36" s="4680"/>
      <c r="AA36" s="4680"/>
      <c r="AB36" s="4680"/>
      <c r="AC36" s="4681"/>
    </row>
    <row r="37" spans="1:29" ht="14.25" customHeight="1" thickBot="1">
      <c r="A37" s="4682"/>
      <c r="B37" s="4683"/>
      <c r="C37" s="4683"/>
      <c r="D37" s="4683"/>
      <c r="E37" s="4683"/>
      <c r="F37" s="4683"/>
      <c r="G37" s="4683"/>
      <c r="H37" s="4683"/>
      <c r="I37" s="4683"/>
      <c r="J37" s="4683"/>
      <c r="K37" s="4683"/>
      <c r="L37" s="4683"/>
      <c r="M37" s="4683"/>
      <c r="N37" s="4683"/>
      <c r="O37" s="4683"/>
      <c r="P37" s="4683"/>
      <c r="Q37" s="4683"/>
      <c r="R37" s="4683"/>
      <c r="S37" s="4683"/>
      <c r="T37" s="4683"/>
      <c r="U37" s="4683"/>
      <c r="V37" s="4683"/>
      <c r="W37" s="4683"/>
      <c r="X37" s="4683"/>
      <c r="Y37" s="4683"/>
      <c r="Z37" s="4683"/>
      <c r="AA37" s="4683"/>
      <c r="AB37" s="4683"/>
      <c r="AC37" s="4684"/>
    </row>
    <row r="38" spans="1:29" ht="14.25">
      <c r="A38" s="1931"/>
      <c r="N38" s="1"/>
      <c r="O38" s="1"/>
    </row>
    <row r="39" spans="1:29" ht="14.25">
      <c r="A39" s="1932"/>
      <c r="J39" s="1723"/>
      <c r="N39" s="1"/>
      <c r="O39" s="1"/>
    </row>
    <row r="40" spans="1:29" ht="14.25">
      <c r="A40" s="1933"/>
      <c r="N40" s="1"/>
      <c r="O40" s="1"/>
    </row>
    <row r="41" spans="1:29" ht="15">
      <c r="A41" s="1934"/>
      <c r="N41" s="1"/>
      <c r="O41" s="1"/>
    </row>
    <row r="42" spans="1:29" ht="14.25">
      <c r="A42" s="1933"/>
    </row>
    <row r="43" spans="1:29" ht="15">
      <c r="A43" s="1935"/>
    </row>
    <row r="44" spans="1:29" ht="14.25">
      <c r="A44" s="1931"/>
    </row>
    <row r="45" spans="1:29" ht="14.25">
      <c r="A45" s="1931"/>
    </row>
    <row r="46" spans="1:29" ht="14.25">
      <c r="A46" s="1931"/>
    </row>
    <row r="47" spans="1:29" ht="14.25">
      <c r="A47" s="1931"/>
    </row>
    <row r="48" spans="1:29" ht="14.25">
      <c r="A48" s="1932"/>
    </row>
    <row r="49" spans="1:29" ht="14.25">
      <c r="A49" s="1931"/>
    </row>
    <row r="50" spans="1:29" s="1" customFormat="1" ht="14.25">
      <c r="A50" s="1932"/>
      <c r="N50"/>
      <c r="O50"/>
      <c r="P50"/>
      <c r="Q50"/>
      <c r="R50"/>
      <c r="S50"/>
      <c r="T50"/>
      <c r="U50"/>
      <c r="V50"/>
      <c r="W50"/>
      <c r="X50"/>
      <c r="Y50"/>
      <c r="Z50"/>
      <c r="AA50"/>
      <c r="AB50"/>
      <c r="AC50"/>
    </row>
    <row r="51" spans="1:29" s="1" customFormat="1" ht="14.25">
      <c r="A51" s="1931"/>
      <c r="N51"/>
      <c r="O51"/>
      <c r="P51"/>
      <c r="Q51"/>
      <c r="R51"/>
      <c r="S51"/>
      <c r="T51"/>
      <c r="U51"/>
      <c r="V51"/>
      <c r="W51"/>
      <c r="X51"/>
      <c r="Y51"/>
      <c r="Z51"/>
      <c r="AA51"/>
      <c r="AB51"/>
      <c r="AC51"/>
    </row>
    <row r="52" spans="1:29" s="1" customFormat="1" ht="14.25">
      <c r="A52" s="1932"/>
      <c r="N52"/>
      <c r="O52"/>
      <c r="P52"/>
      <c r="Q52"/>
      <c r="R52"/>
      <c r="S52"/>
      <c r="T52"/>
      <c r="U52"/>
      <c r="V52"/>
      <c r="W52"/>
      <c r="X52"/>
      <c r="Y52"/>
      <c r="Z52"/>
      <c r="AA52"/>
      <c r="AB52"/>
      <c r="AC52"/>
    </row>
    <row r="53" spans="1:29" s="1" customFormat="1" ht="14.25">
      <c r="A53" s="1933"/>
      <c r="N53"/>
      <c r="O53"/>
      <c r="P53"/>
      <c r="Q53"/>
      <c r="R53"/>
      <c r="S53"/>
      <c r="T53"/>
      <c r="U53"/>
      <c r="V53"/>
      <c r="W53"/>
      <c r="X53"/>
      <c r="Y53"/>
      <c r="Z53"/>
      <c r="AA53"/>
      <c r="AB53"/>
      <c r="AC53"/>
    </row>
    <row r="54" spans="1:29" s="1" customFormat="1" ht="15">
      <c r="A54" s="1936"/>
      <c r="N54"/>
      <c r="O54"/>
      <c r="P54"/>
      <c r="Q54"/>
      <c r="R54"/>
      <c r="S54"/>
      <c r="T54"/>
      <c r="U54"/>
      <c r="V54"/>
      <c r="W54"/>
      <c r="X54"/>
      <c r="Y54"/>
      <c r="Z54"/>
      <c r="AA54"/>
      <c r="AB54"/>
      <c r="AC54"/>
    </row>
    <row r="55" spans="1:29">
      <c r="A55" s="40"/>
    </row>
    <row r="56" spans="1:29">
      <c r="A56" s="40"/>
    </row>
  </sheetData>
  <sheetProtection password="E0BE" sheet="1" objects="1" scenarios="1" selectLockedCells="1"/>
  <mergeCells count="18">
    <mergeCell ref="A19:AC19"/>
    <mergeCell ref="A28:AC28"/>
    <mergeCell ref="A36:AC37"/>
    <mergeCell ref="A1:AC1"/>
    <mergeCell ref="B6:M6"/>
    <mergeCell ref="N6:N7"/>
    <mergeCell ref="O6:O7"/>
    <mergeCell ref="P6:AA6"/>
    <mergeCell ref="AB6:AB7"/>
    <mergeCell ref="AC6:AC7"/>
    <mergeCell ref="A2:AC2"/>
    <mergeCell ref="B3:O3"/>
    <mergeCell ref="P3:AC3"/>
    <mergeCell ref="B4:O4"/>
    <mergeCell ref="P4:AC4"/>
    <mergeCell ref="B5:O5"/>
    <mergeCell ref="P5:AC5"/>
    <mergeCell ref="A8:AC8"/>
  </mergeCells>
  <conditionalFormatting sqref="O35 AC35">
    <cfRule type="cellIs" dxfId="29" priority="1" operator="lessThan">
      <formula>1</formula>
    </cfRule>
    <cfRule type="cellIs" dxfId="28" priority="2" operator="greaterThan">
      <formula>1</formula>
    </cfRule>
  </conditionalFormatting>
  <printOptions gridLines="1"/>
  <pageMargins left="0.7" right="0.7" top="0.75" bottom="0.75" header="0.3" footer="0.3"/>
  <pageSetup scale="47" orientation="landscape" horizontalDpi="1200" verticalDpi="1200" r:id="rId1"/>
  <headerFooter>
    <oddFooter>&amp;L&amp;A&amp;C&amp;F&amp;R&amp;D</oddFooter>
  </headerFooter>
  <rowBreaks count="1" manualBreakCount="1">
    <brk id="35" max="16383" man="1"/>
  </rowBreaks>
  <colBreaks count="1" manualBreakCount="1">
    <brk id="15" max="1048575" man="1"/>
  </colBreaks>
  <ignoredErrors>
    <ignoredError sqref="AB18:AB19 AB27:AB28 AB9:AB14 AB20:AB23 AB29:AB30" formulaRange="1"/>
  </ignoredErrors>
</worksheet>
</file>

<file path=xl/worksheets/sheet21.xml><?xml version="1.0" encoding="utf-8"?>
<worksheet xmlns="http://schemas.openxmlformats.org/spreadsheetml/2006/main" xmlns:r="http://schemas.openxmlformats.org/officeDocument/2006/relationships">
  <sheetPr codeName="Sheet33">
    <pageSetUpPr fitToPage="1"/>
  </sheetPr>
  <dimension ref="A1:BD75"/>
  <sheetViews>
    <sheetView zoomScale="75" zoomScaleNormal="75" workbookViewId="0">
      <selection activeCell="J12" sqref="J12"/>
    </sheetView>
  </sheetViews>
  <sheetFormatPr defaultRowHeight="12.75"/>
  <cols>
    <col min="1" max="1" width="29.7109375" customWidth="1"/>
    <col min="2" max="3" width="1.28515625" customWidth="1"/>
    <col min="4" max="4" width="7.7109375" customWidth="1"/>
    <col min="5" max="5" width="1.42578125" style="40" customWidth="1"/>
    <col min="6" max="6" width="8.7109375" customWidth="1"/>
    <col min="7" max="7" width="4.7109375" customWidth="1"/>
    <col min="8" max="9" width="1.28515625" customWidth="1"/>
    <col min="10" max="10" width="7.7109375" style="795" customWidth="1"/>
    <col min="11" max="11" width="1.42578125" style="795" customWidth="1"/>
    <col min="12" max="12" width="7.85546875" customWidth="1"/>
    <col min="13" max="13" width="4.7109375" customWidth="1"/>
    <col min="14" max="15" width="1.28515625" customWidth="1"/>
    <col min="16" max="16" width="7.7109375" style="796" customWidth="1"/>
    <col min="17" max="17" width="1.42578125" style="795" customWidth="1"/>
    <col min="18" max="18" width="8.42578125" customWidth="1"/>
    <col min="19" max="19" width="4.7109375" customWidth="1"/>
    <col min="20" max="21" width="1.28515625" customWidth="1"/>
    <col min="22" max="22" width="7.7109375" customWidth="1"/>
    <col min="23" max="23" width="1.42578125" style="795" customWidth="1"/>
    <col min="24" max="24" width="7.85546875" customWidth="1"/>
    <col min="25" max="25" width="4.7109375" customWidth="1"/>
    <col min="26" max="27" width="1.28515625" customWidth="1"/>
    <col min="28" max="28" width="10.28515625" customWidth="1"/>
    <col min="29" max="29" width="3.5703125" style="795" customWidth="1"/>
    <col min="30" max="30" width="1.28515625" customWidth="1"/>
    <col min="31" max="31" width="7.7109375" customWidth="1"/>
    <col min="32" max="32" width="1.42578125" style="40" customWidth="1"/>
    <col min="33" max="33" width="8.7109375" customWidth="1"/>
    <col min="34" max="34" width="4.7109375" customWidth="1"/>
    <col min="35" max="36" width="1.28515625" customWidth="1"/>
    <col min="37" max="37" width="7.7109375" style="795" customWidth="1"/>
    <col min="38" max="38" width="1.42578125" style="795" customWidth="1"/>
    <col min="39" max="39" width="7.85546875" customWidth="1"/>
    <col min="40" max="40" width="4.7109375" customWidth="1"/>
    <col min="41" max="42" width="1.28515625" customWidth="1"/>
    <col min="43" max="43" width="7.7109375" style="796" customWidth="1"/>
    <col min="44" max="44" width="1.42578125" style="795" customWidth="1"/>
    <col min="45" max="45" width="7.85546875" customWidth="1"/>
    <col min="46" max="46" width="4.7109375" customWidth="1"/>
    <col min="47" max="48" width="1.28515625" customWidth="1"/>
    <col min="49" max="49" width="7.7109375" customWidth="1"/>
    <col min="50" max="50" width="1.42578125" style="795" customWidth="1"/>
    <col min="51" max="51" width="7.85546875" customWidth="1"/>
    <col min="52" max="52" width="4.7109375" customWidth="1"/>
    <col min="53" max="54" width="1.28515625" customWidth="1"/>
    <col min="55" max="55" width="10" customWidth="1"/>
    <col min="56" max="56" width="3.5703125" style="795" customWidth="1"/>
  </cols>
  <sheetData>
    <row r="1" spans="1:56" ht="29.25"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2"/>
      <c r="AL1" s="4692"/>
      <c r="AM1" s="4692"/>
      <c r="AN1" s="4692"/>
      <c r="AO1" s="4692"/>
      <c r="AP1" s="4692"/>
      <c r="AQ1" s="4692"/>
      <c r="AR1" s="4692"/>
      <c r="AS1" s="4692"/>
      <c r="AT1" s="4692"/>
      <c r="AU1" s="4692"/>
      <c r="AV1" s="4692"/>
      <c r="AW1" s="4692"/>
      <c r="AX1" s="4692"/>
      <c r="AY1" s="4692"/>
      <c r="AZ1" s="4692"/>
      <c r="BA1" s="4692"/>
      <c r="BB1" s="4692"/>
      <c r="BC1" s="4692"/>
      <c r="BD1" s="4693"/>
    </row>
    <row r="2" spans="1:56" ht="29.25" customHeight="1">
      <c r="A2" s="4769" t="s">
        <v>1096</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0"/>
      <c r="AG2" s="4770"/>
      <c r="AH2" s="4770"/>
      <c r="AI2" s="4770"/>
      <c r="AJ2" s="4770"/>
      <c r="AK2" s="4770"/>
      <c r="AL2" s="4770"/>
      <c r="AM2" s="4770"/>
      <c r="AN2" s="4770"/>
      <c r="AO2" s="4770"/>
      <c r="AP2" s="4770"/>
      <c r="AQ2" s="4770"/>
      <c r="AR2" s="4770"/>
      <c r="AS2" s="4770"/>
      <c r="AT2" s="4770"/>
      <c r="AU2" s="4770"/>
      <c r="AV2" s="4770"/>
      <c r="AW2" s="4770"/>
      <c r="AX2" s="4770"/>
      <c r="AY2" s="4770"/>
      <c r="AZ2" s="4770"/>
      <c r="BA2" s="4770"/>
      <c r="BB2" s="4770"/>
      <c r="BC2" s="4770"/>
      <c r="BD2" s="4771"/>
    </row>
    <row r="3" spans="1:56" ht="21" customHeight="1">
      <c r="A3" s="1183"/>
      <c r="B3" s="1175"/>
      <c r="C3" s="4784" t="str">
        <f>'Chosen Parameters-Part I'!B4</f>
        <v>Scenario 1</v>
      </c>
      <c r="D3" s="4785"/>
      <c r="E3" s="4785"/>
      <c r="F3" s="4785"/>
      <c r="G3" s="4785"/>
      <c r="H3" s="4785"/>
      <c r="I3" s="4785"/>
      <c r="J3" s="4785"/>
      <c r="K3" s="4785"/>
      <c r="L3" s="4785"/>
      <c r="M3" s="4785"/>
      <c r="N3" s="4785"/>
      <c r="O3" s="4785"/>
      <c r="P3" s="4785"/>
      <c r="Q3" s="4785"/>
      <c r="R3" s="4785"/>
      <c r="S3" s="4785"/>
      <c r="T3" s="4785"/>
      <c r="U3" s="4785"/>
      <c r="V3" s="4785"/>
      <c r="W3" s="4785"/>
      <c r="X3" s="4785"/>
      <c r="Y3" s="4785"/>
      <c r="Z3" s="4785"/>
      <c r="AA3" s="4785"/>
      <c r="AB3" s="4785"/>
      <c r="AC3" s="4786"/>
      <c r="AD3" s="4787" t="str">
        <f>'Chosen Parameters-Part I'!C4</f>
        <v>Scenario 2</v>
      </c>
      <c r="AE3" s="4788"/>
      <c r="AF3" s="4788"/>
      <c r="AG3" s="4788"/>
      <c r="AH3" s="4788"/>
      <c r="AI3" s="4788"/>
      <c r="AJ3" s="4788"/>
      <c r="AK3" s="4788"/>
      <c r="AL3" s="4788"/>
      <c r="AM3" s="4788"/>
      <c r="AN3" s="4788"/>
      <c r="AO3" s="4788"/>
      <c r="AP3" s="4788"/>
      <c r="AQ3" s="4788"/>
      <c r="AR3" s="4788"/>
      <c r="AS3" s="4788"/>
      <c r="AT3" s="4788"/>
      <c r="AU3" s="4788"/>
      <c r="AV3" s="4788"/>
      <c r="AW3" s="4788"/>
      <c r="AX3" s="4788"/>
      <c r="AY3" s="4788"/>
      <c r="AZ3" s="4788"/>
      <c r="BA3" s="4788"/>
      <c r="BB3" s="4788"/>
      <c r="BC3" s="4788"/>
      <c r="BD3" s="4789"/>
    </row>
    <row r="4" spans="1:56" ht="23.25" customHeight="1">
      <c r="A4" s="1184"/>
      <c r="B4" s="1176"/>
      <c r="C4" s="4118" t="str">
        <f>'Application Setup'!B4</f>
        <v>Intensive Conventional Management with Holsteins and rbST</v>
      </c>
      <c r="D4" s="4119"/>
      <c r="E4" s="4119"/>
      <c r="F4" s="4119"/>
      <c r="G4" s="4119"/>
      <c r="H4" s="4119"/>
      <c r="I4" s="4119"/>
      <c r="J4" s="4119"/>
      <c r="K4" s="4119"/>
      <c r="L4" s="4119"/>
      <c r="M4" s="4119"/>
      <c r="N4" s="4119"/>
      <c r="O4" s="4119"/>
      <c r="P4" s="4119"/>
      <c r="Q4" s="4119"/>
      <c r="R4" s="4119"/>
      <c r="S4" s="4119"/>
      <c r="T4" s="4119"/>
      <c r="U4" s="4119"/>
      <c r="V4" s="4119"/>
      <c r="W4" s="4119"/>
      <c r="X4" s="4119"/>
      <c r="Y4" s="4119"/>
      <c r="Z4" s="4119"/>
      <c r="AA4" s="4119"/>
      <c r="AB4" s="4119"/>
      <c r="AC4" s="4120"/>
      <c r="AD4" s="4121" t="str">
        <f>'Application Setup'!B5</f>
        <v>Conventional Management, Holsteins</v>
      </c>
      <c r="AE4" s="4122"/>
      <c r="AF4" s="4122"/>
      <c r="AG4" s="4122"/>
      <c r="AH4" s="4122"/>
      <c r="AI4" s="4122"/>
      <c r="AJ4" s="4122"/>
      <c r="AK4" s="4122"/>
      <c r="AL4" s="4122"/>
      <c r="AM4" s="4122"/>
      <c r="AN4" s="4122"/>
      <c r="AO4" s="4122"/>
      <c r="AP4" s="4122"/>
      <c r="AQ4" s="4122"/>
      <c r="AR4" s="4122"/>
      <c r="AS4" s="4122"/>
      <c r="AT4" s="4122"/>
      <c r="AU4" s="4122"/>
      <c r="AV4" s="4122"/>
      <c r="AW4" s="4122"/>
      <c r="AX4" s="4122"/>
      <c r="AY4" s="4122"/>
      <c r="AZ4" s="4122"/>
      <c r="BA4" s="4122"/>
      <c r="BB4" s="4122"/>
      <c r="BC4" s="4122"/>
      <c r="BD4" s="4123"/>
    </row>
    <row r="5" spans="1:56" s="3499" customFormat="1" ht="26.25" customHeight="1">
      <c r="A5" s="4772" t="s">
        <v>1088</v>
      </c>
      <c r="B5" s="4773"/>
      <c r="C5" s="4774" t="s">
        <v>53</v>
      </c>
      <c r="D5" s="4775"/>
      <c r="E5" s="4775"/>
      <c r="F5" s="4775"/>
      <c r="G5" s="4775"/>
      <c r="H5" s="4776"/>
      <c r="I5" s="4780" t="s">
        <v>51</v>
      </c>
      <c r="J5" s="4781"/>
      <c r="K5" s="4781"/>
      <c r="L5" s="4781"/>
      <c r="M5" s="4781"/>
      <c r="N5" s="4782"/>
      <c r="O5" s="4780" t="s">
        <v>281</v>
      </c>
      <c r="P5" s="4781"/>
      <c r="Q5" s="4781"/>
      <c r="R5" s="4781"/>
      <c r="S5" s="4781"/>
      <c r="T5" s="4782"/>
      <c r="U5" s="4783" t="s">
        <v>678</v>
      </c>
      <c r="V5" s="4775"/>
      <c r="W5" s="4775"/>
      <c r="X5" s="4775"/>
      <c r="Y5" s="4775"/>
      <c r="Z5" s="4776"/>
      <c r="AA5" s="4777"/>
      <c r="AB5" s="4778"/>
      <c r="AC5" s="4779"/>
      <c r="AD5" s="4762" t="s">
        <v>53</v>
      </c>
      <c r="AE5" s="4763"/>
      <c r="AF5" s="4763"/>
      <c r="AG5" s="4763"/>
      <c r="AH5" s="4763"/>
      <c r="AI5" s="4764"/>
      <c r="AJ5" s="4765" t="s">
        <v>51</v>
      </c>
      <c r="AK5" s="4766"/>
      <c r="AL5" s="4766"/>
      <c r="AM5" s="4766"/>
      <c r="AN5" s="4766"/>
      <c r="AO5" s="4767"/>
      <c r="AP5" s="4765" t="s">
        <v>281</v>
      </c>
      <c r="AQ5" s="4766"/>
      <c r="AR5" s="4766"/>
      <c r="AS5" s="4766"/>
      <c r="AT5" s="4766"/>
      <c r="AU5" s="4767"/>
      <c r="AV5" s="4768" t="s">
        <v>678</v>
      </c>
      <c r="AW5" s="4763"/>
      <c r="AX5" s="4763"/>
      <c r="AY5" s="4763"/>
      <c r="AZ5" s="4763"/>
      <c r="BA5" s="4764"/>
      <c r="BB5" s="3496"/>
      <c r="BC5" s="3497"/>
      <c r="BD5" s="3498"/>
    </row>
    <row r="6" spans="1:56" s="1749" customFormat="1" ht="32.25" customHeight="1">
      <c r="A6" s="1204" t="s">
        <v>1089</v>
      </c>
      <c r="B6" s="1700"/>
      <c r="C6" s="1750"/>
      <c r="D6" s="4791">
        <v>1</v>
      </c>
      <c r="E6" s="4791"/>
      <c r="F6" s="4791"/>
      <c r="G6" s="4791"/>
      <c r="H6" s="1751"/>
      <c r="I6" s="1752"/>
      <c r="J6" s="4790">
        <f>F1_Dry_Cow_Units</f>
        <v>0.14097037755756678</v>
      </c>
      <c r="K6" s="4790"/>
      <c r="L6" s="4790"/>
      <c r="M6" s="4790"/>
      <c r="N6" s="1751"/>
      <c r="O6" s="1753"/>
      <c r="P6" s="4790">
        <f>F1_Heifer_Units</f>
        <v>0.64208606291772286</v>
      </c>
      <c r="Q6" s="4790"/>
      <c r="R6" s="4790"/>
      <c r="S6" s="4790"/>
      <c r="T6" s="1751"/>
      <c r="U6" s="1754"/>
      <c r="V6" s="4790">
        <f>F1_Heifer_Calf_Units</f>
        <v>0.65518986012012537</v>
      </c>
      <c r="W6" s="4790"/>
      <c r="X6" s="4790"/>
      <c r="Y6" s="4790"/>
      <c r="Z6" s="1751"/>
      <c r="AA6" s="3500"/>
      <c r="AB6" s="1755"/>
      <c r="AC6" s="1756"/>
      <c r="AD6" s="1757"/>
      <c r="AE6" s="4748">
        <v>1</v>
      </c>
      <c r="AF6" s="4748"/>
      <c r="AG6" s="4748"/>
      <c r="AH6" s="4748"/>
      <c r="AI6" s="1758"/>
      <c r="AJ6" s="1759"/>
      <c r="AK6" s="4746">
        <f>F2_Dry_Cow_Units</f>
        <v>0.14765955875110809</v>
      </c>
      <c r="AL6" s="4746"/>
      <c r="AM6" s="4746"/>
      <c r="AN6" s="4746"/>
      <c r="AO6" s="1758"/>
      <c r="AP6" s="1760"/>
      <c r="AQ6" s="4746">
        <f>F2_Heifer_Units</f>
        <v>0.53983446268238322</v>
      </c>
      <c r="AR6" s="4746"/>
      <c r="AS6" s="4746"/>
      <c r="AT6" s="4746"/>
      <c r="AU6" s="1758"/>
      <c r="AV6" s="1761"/>
      <c r="AW6" s="4746">
        <f>F2_Heifer_Calf_Units</f>
        <v>0.54972959539957567</v>
      </c>
      <c r="AX6" s="4746"/>
      <c r="AY6" s="4746"/>
      <c r="AZ6" s="4746"/>
      <c r="BA6" s="1758"/>
      <c r="BB6" s="3495"/>
      <c r="BC6" s="1762"/>
      <c r="BD6" s="1763"/>
    </row>
    <row r="7" spans="1:56" ht="21" customHeight="1">
      <c r="A7" s="787"/>
      <c r="B7" s="788"/>
      <c r="C7" s="1179"/>
      <c r="D7" s="4750" t="s">
        <v>1090</v>
      </c>
      <c r="E7" s="4750"/>
      <c r="F7" s="4750"/>
      <c r="G7" s="4750"/>
      <c r="H7" s="1126"/>
      <c r="I7" s="1199"/>
      <c r="J7" s="4750" t="s">
        <v>1090</v>
      </c>
      <c r="K7" s="4750"/>
      <c r="L7" s="4750"/>
      <c r="M7" s="4750"/>
      <c r="N7" s="1196"/>
      <c r="O7" s="1126"/>
      <c r="P7" s="4750" t="s">
        <v>1090</v>
      </c>
      <c r="Q7" s="4750"/>
      <c r="R7" s="4750"/>
      <c r="S7" s="4750"/>
      <c r="T7" s="1196"/>
      <c r="U7" s="1126"/>
      <c r="V7" s="4750" t="s">
        <v>1090</v>
      </c>
      <c r="W7" s="4750"/>
      <c r="X7" s="4750"/>
      <c r="Y7" s="4750"/>
      <c r="Z7" s="1196"/>
      <c r="AA7" s="4752" t="s">
        <v>1091</v>
      </c>
      <c r="AB7" s="4753"/>
      <c r="AC7" s="4754"/>
      <c r="AD7" s="1207"/>
      <c r="AE7" s="4749" t="s">
        <v>1090</v>
      </c>
      <c r="AF7" s="4749"/>
      <c r="AG7" s="4749"/>
      <c r="AH7" s="4749"/>
      <c r="AI7" s="1153"/>
      <c r="AJ7" s="1208"/>
      <c r="AK7" s="4749" t="s">
        <v>1090</v>
      </c>
      <c r="AL7" s="4749"/>
      <c r="AM7" s="4749"/>
      <c r="AN7" s="4749"/>
      <c r="AO7" s="1209"/>
      <c r="AP7" s="1153"/>
      <c r="AQ7" s="4749" t="s">
        <v>1090</v>
      </c>
      <c r="AR7" s="4749"/>
      <c r="AS7" s="4749"/>
      <c r="AT7" s="4749"/>
      <c r="AU7" s="1209"/>
      <c r="AV7" s="1153"/>
      <c r="AW7" s="4749" t="s">
        <v>1090</v>
      </c>
      <c r="AX7" s="4749"/>
      <c r="AY7" s="4749"/>
      <c r="AZ7" s="4749"/>
      <c r="BA7" s="1209"/>
      <c r="BB7" s="4760" t="s">
        <v>1091</v>
      </c>
      <c r="BC7" s="4761"/>
      <c r="BD7" s="5228"/>
    </row>
    <row r="8" spans="1:56" ht="15.75" customHeight="1">
      <c r="A8" s="3125"/>
      <c r="B8" s="788"/>
      <c r="C8" s="1179"/>
      <c r="D8" s="1764" t="s">
        <v>278</v>
      </c>
      <c r="E8" s="1728"/>
      <c r="F8" s="4751" t="s">
        <v>195</v>
      </c>
      <c r="G8" s="4751"/>
      <c r="H8" s="1765"/>
      <c r="I8" s="1731"/>
      <c r="J8" s="1764" t="s">
        <v>278</v>
      </c>
      <c r="K8" s="1728"/>
      <c r="L8" s="4751" t="s">
        <v>195</v>
      </c>
      <c r="M8" s="4751"/>
      <c r="N8" s="1766"/>
      <c r="O8" s="1728"/>
      <c r="P8" s="1764" t="s">
        <v>278</v>
      </c>
      <c r="Q8" s="1728"/>
      <c r="R8" s="4751" t="s">
        <v>195</v>
      </c>
      <c r="S8" s="4751"/>
      <c r="T8" s="1766"/>
      <c r="U8" s="1728"/>
      <c r="V8" s="1764" t="s">
        <v>278</v>
      </c>
      <c r="W8" s="1728"/>
      <c r="X8" s="4751" t="s">
        <v>195</v>
      </c>
      <c r="Y8" s="4751"/>
      <c r="Z8" s="1766"/>
      <c r="AA8" s="4755" t="s">
        <v>1092</v>
      </c>
      <c r="AB8" s="4756"/>
      <c r="AC8" s="4757"/>
      <c r="AD8" s="1207"/>
      <c r="AE8" s="1767" t="s">
        <v>278</v>
      </c>
      <c r="AF8" s="1737"/>
      <c r="AG8" s="4747" t="s">
        <v>195</v>
      </c>
      <c r="AH8" s="4747"/>
      <c r="AI8" s="3480"/>
      <c r="AJ8" s="1740"/>
      <c r="AK8" s="1767" t="s">
        <v>278</v>
      </c>
      <c r="AL8" s="1737"/>
      <c r="AM8" s="4747" t="s">
        <v>195</v>
      </c>
      <c r="AN8" s="4747"/>
      <c r="AO8" s="1768"/>
      <c r="AP8" s="1737"/>
      <c r="AQ8" s="1767" t="s">
        <v>278</v>
      </c>
      <c r="AR8" s="1737"/>
      <c r="AS8" s="4747" t="s">
        <v>195</v>
      </c>
      <c r="AT8" s="4747"/>
      <c r="AU8" s="1768"/>
      <c r="AV8" s="1737"/>
      <c r="AW8" s="1767" t="s">
        <v>278</v>
      </c>
      <c r="AX8" s="1737"/>
      <c r="AY8" s="4747" t="s">
        <v>195</v>
      </c>
      <c r="AZ8" s="4747"/>
      <c r="BA8" s="1768"/>
      <c r="BB8" s="4758" t="s">
        <v>1092</v>
      </c>
      <c r="BC8" s="4759"/>
      <c r="BD8" s="5229"/>
    </row>
    <row r="9" spans="1:56" ht="3.75" customHeight="1">
      <c r="A9" s="281"/>
      <c r="B9" s="786"/>
      <c r="C9" s="1177"/>
      <c r="D9" s="673"/>
      <c r="E9" s="1121"/>
      <c r="F9" s="1121"/>
      <c r="G9" s="1121"/>
      <c r="H9" s="1121"/>
      <c r="I9" s="1200"/>
      <c r="J9" s="1122"/>
      <c r="K9" s="1122"/>
      <c r="L9" s="1121"/>
      <c r="M9" s="1121"/>
      <c r="N9" s="1197"/>
      <c r="O9" s="1121"/>
      <c r="P9" s="1123"/>
      <c r="Q9" s="1122"/>
      <c r="R9" s="1121"/>
      <c r="S9" s="1121"/>
      <c r="T9" s="1197"/>
      <c r="U9" s="1121"/>
      <c r="V9" s="1124"/>
      <c r="W9" s="1122"/>
      <c r="X9" s="1121"/>
      <c r="Y9" s="1121"/>
      <c r="Z9" s="1197"/>
      <c r="AA9" s="1121"/>
      <c r="AB9" s="1124"/>
      <c r="AC9" s="1203"/>
      <c r="AD9" s="1210"/>
      <c r="AE9" s="93"/>
      <c r="AF9" s="1148"/>
      <c r="AG9" s="1148"/>
      <c r="AH9" s="1148"/>
      <c r="AI9" s="1148"/>
      <c r="AJ9" s="1211"/>
      <c r="AK9" s="1149"/>
      <c r="AL9" s="1149"/>
      <c r="AM9" s="1148"/>
      <c r="AN9" s="1148"/>
      <c r="AO9" s="1212"/>
      <c r="AP9" s="1148"/>
      <c r="AQ9" s="1150"/>
      <c r="AR9" s="1149"/>
      <c r="AS9" s="1148"/>
      <c r="AT9" s="1148"/>
      <c r="AU9" s="1212"/>
      <c r="AV9" s="1148"/>
      <c r="AW9" s="1151"/>
      <c r="AX9" s="1149"/>
      <c r="AY9" s="1148"/>
      <c r="AZ9" s="1148"/>
      <c r="BA9" s="1212"/>
      <c r="BB9" s="1148"/>
      <c r="BC9" s="1151"/>
      <c r="BD9" s="1249"/>
    </row>
    <row r="10" spans="1:56" ht="19.5" customHeight="1">
      <c r="A10" s="4031" t="s">
        <v>962</v>
      </c>
      <c r="B10" s="4032"/>
      <c r="C10" s="4032"/>
      <c r="D10" s="4032"/>
      <c r="E10" s="4032"/>
      <c r="F10" s="4032"/>
      <c r="G10" s="4032"/>
      <c r="H10" s="4032"/>
      <c r="I10" s="4032"/>
      <c r="J10" s="4032"/>
      <c r="K10" s="4032"/>
      <c r="L10" s="4032"/>
      <c r="M10" s="4032"/>
      <c r="N10" s="4032"/>
      <c r="O10" s="4032"/>
      <c r="P10" s="4032"/>
      <c r="Q10" s="4032"/>
      <c r="R10" s="4032"/>
      <c r="S10" s="4032"/>
      <c r="T10" s="4032"/>
      <c r="U10" s="4032"/>
      <c r="V10" s="4032"/>
      <c r="W10" s="4032"/>
      <c r="X10" s="4032"/>
      <c r="Y10" s="4032"/>
      <c r="Z10" s="4032"/>
      <c r="AA10" s="4032"/>
      <c r="AB10" s="4032"/>
      <c r="AC10" s="4032"/>
      <c r="AD10" s="4032"/>
      <c r="AE10" s="4032"/>
      <c r="AF10" s="4032"/>
      <c r="AG10" s="4032"/>
      <c r="AH10" s="4032"/>
      <c r="AI10" s="4032"/>
      <c r="AJ10" s="4032"/>
      <c r="AK10" s="4032"/>
      <c r="AL10" s="4032"/>
      <c r="AM10" s="4032"/>
      <c r="AN10" s="4032"/>
      <c r="AO10" s="4032"/>
      <c r="AP10" s="4032"/>
      <c r="AQ10" s="4032"/>
      <c r="AR10" s="4032"/>
      <c r="AS10" s="4032"/>
      <c r="AT10" s="4032"/>
      <c r="AU10" s="4032"/>
      <c r="AV10" s="4032"/>
      <c r="AW10" s="4032"/>
      <c r="AX10" s="4032"/>
      <c r="AY10" s="4032"/>
      <c r="AZ10" s="4032"/>
      <c r="BA10" s="4032"/>
      <c r="BB10" s="4032"/>
      <c r="BC10" s="4032"/>
      <c r="BD10" s="4033"/>
    </row>
    <row r="11" spans="1:56" ht="4.5" customHeight="1">
      <c r="A11" s="787"/>
      <c r="B11" s="788"/>
      <c r="C11" s="1179"/>
      <c r="D11" s="794"/>
      <c r="E11" s="794"/>
      <c r="F11" s="794"/>
      <c r="G11" s="1126"/>
      <c r="H11" s="1126"/>
      <c r="I11" s="1199"/>
      <c r="J11" s="794"/>
      <c r="K11" s="1127"/>
      <c r="L11" s="794"/>
      <c r="M11" s="1126"/>
      <c r="N11" s="1196"/>
      <c r="O11" s="1126"/>
      <c r="P11" s="794"/>
      <c r="Q11" s="1127"/>
      <c r="R11" s="794"/>
      <c r="S11" s="1126"/>
      <c r="T11" s="1196"/>
      <c r="U11" s="1126"/>
      <c r="V11" s="794"/>
      <c r="W11" s="1127"/>
      <c r="X11" s="794"/>
      <c r="Y11" s="1126"/>
      <c r="Z11" s="1196"/>
      <c r="AA11" s="1126"/>
      <c r="AB11" s="1130"/>
      <c r="AC11" s="1202"/>
      <c r="AD11" s="1207"/>
      <c r="AE11" s="95"/>
      <c r="AF11" s="95"/>
      <c r="AG11" s="95"/>
      <c r="AH11" s="1153"/>
      <c r="AI11" s="1153"/>
      <c r="AJ11" s="1208"/>
      <c r="AK11" s="95"/>
      <c r="AL11" s="1154"/>
      <c r="AM11" s="95"/>
      <c r="AN11" s="1153"/>
      <c r="AO11" s="1209"/>
      <c r="AP11" s="1153"/>
      <c r="AQ11" s="95"/>
      <c r="AR11" s="1154"/>
      <c r="AS11" s="95"/>
      <c r="AT11" s="1153"/>
      <c r="AU11" s="1209"/>
      <c r="AV11" s="1153"/>
      <c r="AW11" s="95"/>
      <c r="AX11" s="1154"/>
      <c r="AY11" s="95"/>
      <c r="AZ11" s="1153"/>
      <c r="BA11" s="1209"/>
      <c r="BB11" s="1153"/>
      <c r="BC11" s="1157"/>
      <c r="BD11" s="1248"/>
    </row>
    <row r="12" spans="1:56" s="21" customFormat="1">
      <c r="A12" s="209" t="s">
        <v>34</v>
      </c>
      <c r="B12" s="1726"/>
      <c r="C12" s="194"/>
      <c r="D12" s="1727">
        <f>'Step 8a--DMI Worksheet'!O9</f>
        <v>0.2</v>
      </c>
      <c r="E12" s="1728"/>
      <c r="F12" s="1729">
        <f>D12*F1_DMI_Lact_Cow_lb</f>
        <v>10.054000000000002</v>
      </c>
      <c r="G12" s="1730" t="s">
        <v>277</v>
      </c>
      <c r="H12" s="1730"/>
      <c r="I12" s="1731"/>
      <c r="J12" s="1575">
        <v>0.5</v>
      </c>
      <c r="K12" s="1732"/>
      <c r="L12" s="1729">
        <f>J12*F1_DMI_Dry_Cow_lb*F1_Dry_Cow_Units</f>
        <v>1.6160899907468971</v>
      </c>
      <c r="M12" s="1730" t="s">
        <v>277</v>
      </c>
      <c r="N12" s="1733"/>
      <c r="O12" s="1728"/>
      <c r="P12" s="1575">
        <v>0.5</v>
      </c>
      <c r="Q12" s="1732"/>
      <c r="R12" s="1729">
        <f>P12*F1_DMI_Heifer_lb*F1_Heifer_Units</f>
        <v>5.9028756185403726</v>
      </c>
      <c r="S12" s="1730" t="s">
        <v>277</v>
      </c>
      <c r="T12" s="1733"/>
      <c r="U12" s="1728"/>
      <c r="V12" s="1575">
        <v>0.5</v>
      </c>
      <c r="W12" s="1732"/>
      <c r="X12" s="1729">
        <f>V12*F1_DMI_Heifer_Calf_lb*F1_Heifer_Calf_Units</f>
        <v>2.4370783032263161</v>
      </c>
      <c r="Y12" s="1730" t="s">
        <v>277</v>
      </c>
      <c r="Z12" s="1733"/>
      <c r="AA12" s="1728"/>
      <c r="AB12" s="1734">
        <f>F12+L12+R12+X12</f>
        <v>20.010043912513588</v>
      </c>
      <c r="AC12" s="1735"/>
      <c r="AD12" s="1736"/>
      <c r="AE12" s="1961">
        <f>'Step 8a--DMI Worksheet'!AC9</f>
        <v>0.25</v>
      </c>
      <c r="AF12" s="1737"/>
      <c r="AG12" s="1738">
        <f>AE12*F2_DMI_Lact_Cow_lb</f>
        <v>12.1</v>
      </c>
      <c r="AH12" s="1739" t="s">
        <v>277</v>
      </c>
      <c r="AI12" s="1739"/>
      <c r="AJ12" s="1740"/>
      <c r="AK12" s="1575">
        <v>0.5</v>
      </c>
      <c r="AL12" s="1741"/>
      <c r="AM12" s="1738">
        <f>AK12*F2_DMI_Dry_Cow_lb*F2_Dry_Cow_Units</f>
        <v>1.6927750288412298</v>
      </c>
      <c r="AN12" s="1739" t="s">
        <v>277</v>
      </c>
      <c r="AO12" s="1742"/>
      <c r="AP12" s="1737"/>
      <c r="AQ12" s="1575">
        <v>0.5</v>
      </c>
      <c r="AR12" s="1741"/>
      <c r="AS12" s="1738">
        <f>AQ12*F2_DMI_Heifer_lb*F2_Heifer_Units</f>
        <v>4.9628482408346732</v>
      </c>
      <c r="AT12" s="1739" t="s">
        <v>277</v>
      </c>
      <c r="AU12" s="1742"/>
      <c r="AV12" s="1737"/>
      <c r="AW12" s="1575">
        <v>0.5</v>
      </c>
      <c r="AX12" s="1741"/>
      <c r="AY12" s="1738">
        <f>AW12*F2_DMI_Heifer_Calf_lb*F2_Heifer_Calf_Units</f>
        <v>2.0448028138653647</v>
      </c>
      <c r="AZ12" s="1739" t="s">
        <v>277</v>
      </c>
      <c r="BA12" s="1742"/>
      <c r="BB12" s="1737"/>
      <c r="BC12" s="1743">
        <f>AG12+AM12+AS12+AY12</f>
        <v>20.800426083541264</v>
      </c>
      <c r="BD12" s="1744"/>
    </row>
    <row r="13" spans="1:56" s="21" customFormat="1" ht="3.75" customHeight="1">
      <c r="A13" s="209"/>
      <c r="B13" s="1726"/>
      <c r="C13" s="194"/>
      <c r="D13" s="1728"/>
      <c r="E13" s="1728"/>
      <c r="F13" s="1729"/>
      <c r="G13" s="1730"/>
      <c r="H13" s="1730"/>
      <c r="I13" s="1731"/>
      <c r="J13" s="1745"/>
      <c r="K13" s="1732"/>
      <c r="L13" s="1728"/>
      <c r="M13" s="1728"/>
      <c r="N13" s="1733"/>
      <c r="O13" s="1728"/>
      <c r="P13" s="1745"/>
      <c r="Q13" s="1732"/>
      <c r="R13" s="1728"/>
      <c r="S13" s="1728"/>
      <c r="T13" s="1733"/>
      <c r="U13" s="1728"/>
      <c r="V13" s="1745"/>
      <c r="W13" s="1732"/>
      <c r="X13" s="1728"/>
      <c r="Y13" s="1728"/>
      <c r="Z13" s="1733"/>
      <c r="AA13" s="1728"/>
      <c r="AB13" s="1746"/>
      <c r="AC13" s="1735"/>
      <c r="AD13" s="1736"/>
      <c r="AE13" s="1747"/>
      <c r="AF13" s="1737"/>
      <c r="AG13" s="1738"/>
      <c r="AH13" s="1739"/>
      <c r="AI13" s="1739"/>
      <c r="AJ13" s="1740"/>
      <c r="AK13" s="1747"/>
      <c r="AL13" s="1741"/>
      <c r="AM13" s="1737"/>
      <c r="AN13" s="1737"/>
      <c r="AO13" s="1742"/>
      <c r="AP13" s="1737"/>
      <c r="AQ13" s="1747"/>
      <c r="AR13" s="1741"/>
      <c r="AS13" s="1737"/>
      <c r="AT13" s="1737"/>
      <c r="AU13" s="1742"/>
      <c r="AV13" s="1737"/>
      <c r="AW13" s="1747"/>
      <c r="AX13" s="1741"/>
      <c r="AY13" s="1737"/>
      <c r="AZ13" s="1737"/>
      <c r="BA13" s="1742"/>
      <c r="BB13" s="1737"/>
      <c r="BC13" s="1748"/>
      <c r="BD13" s="1744"/>
    </row>
    <row r="14" spans="1:56" s="21" customFormat="1">
      <c r="A14" s="209" t="s">
        <v>29</v>
      </c>
      <c r="B14" s="1726"/>
      <c r="C14" s="194"/>
      <c r="D14" s="1727">
        <f>'Step 8a--DMI Worksheet'!O10</f>
        <v>0</v>
      </c>
      <c r="E14" s="1728"/>
      <c r="F14" s="1729">
        <f>D14*F1_DMI_Lact_Cow_lb</f>
        <v>0</v>
      </c>
      <c r="G14" s="1730" t="s">
        <v>277</v>
      </c>
      <c r="H14" s="1730"/>
      <c r="I14" s="1731"/>
      <c r="J14" s="1575"/>
      <c r="K14" s="1732"/>
      <c r="L14" s="1729">
        <f>J14*F1_DMI_Dry_Cow_lb*F1_Dry_Cow_Units</f>
        <v>0</v>
      </c>
      <c r="M14" s="1730" t="s">
        <v>277</v>
      </c>
      <c r="N14" s="1733"/>
      <c r="O14" s="1728"/>
      <c r="P14" s="1575"/>
      <c r="Q14" s="1732"/>
      <c r="R14" s="1729">
        <f>P14*F1_DMI_Heifer_lb*F1_Heifer_Units</f>
        <v>0</v>
      </c>
      <c r="S14" s="1730" t="s">
        <v>277</v>
      </c>
      <c r="T14" s="1733"/>
      <c r="U14" s="1728"/>
      <c r="V14" s="1575"/>
      <c r="W14" s="1732"/>
      <c r="X14" s="1729">
        <f>V14*F1_DMI_Heifer_Calf_lb*F1_Heifer_Calf_Units</f>
        <v>0</v>
      </c>
      <c r="Y14" s="1730" t="s">
        <v>277</v>
      </c>
      <c r="Z14" s="1733"/>
      <c r="AA14" s="1728"/>
      <c r="AB14" s="1734">
        <f>F14+L14+R14+X14</f>
        <v>0</v>
      </c>
      <c r="AC14" s="1735"/>
      <c r="AD14" s="1736"/>
      <c r="AE14" s="1961">
        <f>'Step 8a--DMI Worksheet'!AC10</f>
        <v>1.4999999999999999E-2</v>
      </c>
      <c r="AF14" s="1737"/>
      <c r="AG14" s="1738">
        <f>AE14*F2_DMI_Lact_Cow_lb</f>
        <v>0.72599999999999998</v>
      </c>
      <c r="AH14" s="1739" t="s">
        <v>277</v>
      </c>
      <c r="AI14" s="1739"/>
      <c r="AJ14" s="1740"/>
      <c r="AK14" s="1575"/>
      <c r="AL14" s="1741"/>
      <c r="AM14" s="1738">
        <f>AK14*F2_DMI_Dry_Cow_lb*F2_Dry_Cow_Units</f>
        <v>0</v>
      </c>
      <c r="AN14" s="1739" t="s">
        <v>277</v>
      </c>
      <c r="AO14" s="1742"/>
      <c r="AP14" s="1737"/>
      <c r="AQ14" s="1575"/>
      <c r="AR14" s="1741"/>
      <c r="AS14" s="1738">
        <f>AQ14*F2_DMI_Heifer_lb*F2_Heifer_Units</f>
        <v>0</v>
      </c>
      <c r="AT14" s="1739" t="s">
        <v>277</v>
      </c>
      <c r="AU14" s="1742"/>
      <c r="AV14" s="1737"/>
      <c r="AW14" s="1575"/>
      <c r="AX14" s="1741"/>
      <c r="AY14" s="1738">
        <f>AW14*F2_DMI_Heifer_Calf_lb*F2_Heifer_Calf_Units</f>
        <v>0</v>
      </c>
      <c r="AZ14" s="1739" t="s">
        <v>277</v>
      </c>
      <c r="BA14" s="1742"/>
      <c r="BB14" s="1737"/>
      <c r="BC14" s="1743">
        <f>AG14+AM14+AS14+AY14</f>
        <v>0.72599999999999998</v>
      </c>
      <c r="BD14" s="1744"/>
    </row>
    <row r="15" spans="1:56" s="21" customFormat="1" ht="3.75" customHeight="1">
      <c r="A15" s="209"/>
      <c r="B15" s="1726"/>
      <c r="C15" s="194"/>
      <c r="D15" s="1728"/>
      <c r="E15" s="1728"/>
      <c r="F15" s="1729"/>
      <c r="G15" s="1730"/>
      <c r="H15" s="1730"/>
      <c r="I15" s="1731"/>
      <c r="J15" s="1745"/>
      <c r="K15" s="1732"/>
      <c r="L15" s="1728"/>
      <c r="M15" s="1728"/>
      <c r="N15" s="1733"/>
      <c r="O15" s="1728"/>
      <c r="P15" s="1745"/>
      <c r="Q15" s="1732"/>
      <c r="R15" s="1728"/>
      <c r="S15" s="1728"/>
      <c r="T15" s="1733"/>
      <c r="U15" s="1728"/>
      <c r="V15" s="1745"/>
      <c r="W15" s="1732"/>
      <c r="X15" s="1728"/>
      <c r="Y15" s="1728"/>
      <c r="Z15" s="1733"/>
      <c r="AA15" s="1728"/>
      <c r="AB15" s="1746"/>
      <c r="AC15" s="1735"/>
      <c r="AD15" s="1736"/>
      <c r="AE15" s="1747"/>
      <c r="AF15" s="1737"/>
      <c r="AG15" s="1738"/>
      <c r="AH15" s="1739"/>
      <c r="AI15" s="1739"/>
      <c r="AJ15" s="1740"/>
      <c r="AK15" s="1747"/>
      <c r="AL15" s="1741"/>
      <c r="AM15" s="1737"/>
      <c r="AN15" s="1737"/>
      <c r="AO15" s="1742"/>
      <c r="AP15" s="1737"/>
      <c r="AQ15" s="1747"/>
      <c r="AR15" s="1741"/>
      <c r="AS15" s="1737"/>
      <c r="AT15" s="1737"/>
      <c r="AU15" s="1742"/>
      <c r="AV15" s="1737"/>
      <c r="AW15" s="1747"/>
      <c r="AX15" s="1741"/>
      <c r="AY15" s="1737"/>
      <c r="AZ15" s="1737"/>
      <c r="BA15" s="1742"/>
      <c r="BB15" s="1737"/>
      <c r="BC15" s="1748"/>
      <c r="BD15" s="1744"/>
    </row>
    <row r="16" spans="1:56" s="21" customFormat="1">
      <c r="A16" s="209" t="s">
        <v>3</v>
      </c>
      <c r="B16" s="1726"/>
      <c r="C16" s="194"/>
      <c r="D16" s="1727">
        <f>'Step 8a--DMI Worksheet'!O11</f>
        <v>0.33</v>
      </c>
      <c r="E16" s="1728"/>
      <c r="F16" s="1729">
        <f>D16*F1_DMI_Lact_Cow_lb</f>
        <v>16.589100000000002</v>
      </c>
      <c r="G16" s="1730" t="s">
        <v>277</v>
      </c>
      <c r="H16" s="1730"/>
      <c r="I16" s="1731"/>
      <c r="J16" s="1575"/>
      <c r="K16" s="1732"/>
      <c r="L16" s="1729">
        <f>J16*F1_DMI_Dry_Cow_lb*F1_Dry_Cow_Units</f>
        <v>0</v>
      </c>
      <c r="M16" s="1730" t="s">
        <v>277</v>
      </c>
      <c r="N16" s="1733"/>
      <c r="O16" s="1728"/>
      <c r="P16" s="1575"/>
      <c r="Q16" s="1732"/>
      <c r="R16" s="1729">
        <f>P16*F1_DMI_Heifer_lb*F1_Heifer_Units</f>
        <v>0</v>
      </c>
      <c r="S16" s="1730" t="s">
        <v>277</v>
      </c>
      <c r="T16" s="1733"/>
      <c r="U16" s="1728"/>
      <c r="V16" s="1575"/>
      <c r="W16" s="1732"/>
      <c r="X16" s="1729">
        <f>V16*F1_DMI_Heifer_Calf_lb*F1_Heifer_Calf_Units</f>
        <v>0</v>
      </c>
      <c r="Y16" s="1730" t="s">
        <v>277</v>
      </c>
      <c r="Z16" s="1733"/>
      <c r="AA16" s="1728"/>
      <c r="AB16" s="1734">
        <f>F16+L16+R16+X16</f>
        <v>16.589100000000002</v>
      </c>
      <c r="AC16" s="1735"/>
      <c r="AD16" s="1736"/>
      <c r="AE16" s="1961">
        <f>'Step 8a--DMI Worksheet'!AC11</f>
        <v>0.3</v>
      </c>
      <c r="AF16" s="1737"/>
      <c r="AG16" s="1738">
        <f>AE16*F2_DMI_Lact_Cow_lb</f>
        <v>14.52</v>
      </c>
      <c r="AH16" s="1739" t="s">
        <v>277</v>
      </c>
      <c r="AI16" s="1739"/>
      <c r="AJ16" s="1740"/>
      <c r="AK16" s="1575"/>
      <c r="AL16" s="1741"/>
      <c r="AM16" s="1738">
        <f>AK16*F2_DMI_Dry_Cow_lb*F2_Dry_Cow_Units</f>
        <v>0</v>
      </c>
      <c r="AN16" s="1739" t="s">
        <v>277</v>
      </c>
      <c r="AO16" s="1742"/>
      <c r="AP16" s="1737"/>
      <c r="AQ16" s="1575"/>
      <c r="AR16" s="1741"/>
      <c r="AS16" s="1738">
        <f>AQ16*F2_DMI_Heifer_lb*F2_Heifer_Units</f>
        <v>0</v>
      </c>
      <c r="AT16" s="1739" t="s">
        <v>277</v>
      </c>
      <c r="AU16" s="1742"/>
      <c r="AV16" s="1737"/>
      <c r="AW16" s="1575"/>
      <c r="AX16" s="1741"/>
      <c r="AY16" s="1738">
        <f>AW16*F2_DMI_Heifer_Calf_lb*F2_Heifer_Calf_Units</f>
        <v>0</v>
      </c>
      <c r="AZ16" s="1739" t="s">
        <v>277</v>
      </c>
      <c r="BA16" s="1742"/>
      <c r="BB16" s="1737"/>
      <c r="BC16" s="1743">
        <f>AG16+AM16+AS16+AY16</f>
        <v>14.52</v>
      </c>
      <c r="BD16" s="1744"/>
    </row>
    <row r="17" spans="1:56" s="21" customFormat="1" ht="3.75" customHeight="1">
      <c r="A17" s="209"/>
      <c r="B17" s="1726"/>
      <c r="C17" s="194"/>
      <c r="D17" s="1728"/>
      <c r="E17" s="1728"/>
      <c r="F17" s="1729"/>
      <c r="G17" s="1730"/>
      <c r="H17" s="1730"/>
      <c r="I17" s="1731"/>
      <c r="J17" s="1745"/>
      <c r="K17" s="1732"/>
      <c r="L17" s="1728"/>
      <c r="M17" s="1728"/>
      <c r="N17" s="1733"/>
      <c r="O17" s="1728"/>
      <c r="P17" s="1745"/>
      <c r="Q17" s="1732"/>
      <c r="R17" s="1728"/>
      <c r="S17" s="1728"/>
      <c r="T17" s="1733"/>
      <c r="U17" s="1728"/>
      <c r="V17" s="1745"/>
      <c r="W17" s="1732"/>
      <c r="X17" s="1728"/>
      <c r="Y17" s="1728"/>
      <c r="Z17" s="1733"/>
      <c r="AA17" s="1728"/>
      <c r="AB17" s="1746"/>
      <c r="AC17" s="1735"/>
      <c r="AD17" s="1736"/>
      <c r="AE17" s="1747"/>
      <c r="AF17" s="1737"/>
      <c r="AG17" s="1738"/>
      <c r="AH17" s="1739"/>
      <c r="AI17" s="1739"/>
      <c r="AJ17" s="1740"/>
      <c r="AK17" s="1747"/>
      <c r="AL17" s="1741"/>
      <c r="AM17" s="1737"/>
      <c r="AN17" s="1737"/>
      <c r="AO17" s="1742"/>
      <c r="AP17" s="1737"/>
      <c r="AQ17" s="1747"/>
      <c r="AR17" s="1741"/>
      <c r="AS17" s="1737"/>
      <c r="AT17" s="1737"/>
      <c r="AU17" s="1742"/>
      <c r="AV17" s="1737"/>
      <c r="AW17" s="1747"/>
      <c r="AX17" s="1741"/>
      <c r="AY17" s="1737"/>
      <c r="AZ17" s="1737"/>
      <c r="BA17" s="1742"/>
      <c r="BB17" s="1737"/>
      <c r="BC17" s="1748"/>
      <c r="BD17" s="1744"/>
    </row>
    <row r="18" spans="1:56" s="21" customFormat="1">
      <c r="A18" s="209" t="s">
        <v>35</v>
      </c>
      <c r="B18" s="1726"/>
      <c r="C18" s="194"/>
      <c r="D18" s="1727">
        <f>'Step 8a--DMI Worksheet'!O12</f>
        <v>0.03</v>
      </c>
      <c r="E18" s="1728"/>
      <c r="F18" s="1729">
        <f>D18*F1_DMI_Lact_Cow_lb</f>
        <v>1.5081</v>
      </c>
      <c r="G18" s="1730" t="s">
        <v>277</v>
      </c>
      <c r="H18" s="1730"/>
      <c r="I18" s="1731"/>
      <c r="J18" s="1575">
        <v>0.15</v>
      </c>
      <c r="K18" s="1732"/>
      <c r="L18" s="1729">
        <f>J18*F1_DMI_Dry_Cow_lb*F1_Dry_Cow_Units</f>
        <v>0.48482699722406908</v>
      </c>
      <c r="M18" s="1730" t="s">
        <v>277</v>
      </c>
      <c r="N18" s="1733"/>
      <c r="O18" s="1728"/>
      <c r="P18" s="1575">
        <v>0.15</v>
      </c>
      <c r="Q18" s="1732"/>
      <c r="R18" s="1729">
        <f>P18*F1_DMI_Heifer_lb*F1_Heifer_Units</f>
        <v>1.7708626855621115</v>
      </c>
      <c r="S18" s="1730" t="s">
        <v>277</v>
      </c>
      <c r="T18" s="1733"/>
      <c r="U18" s="1728"/>
      <c r="V18" s="1575">
        <v>0.15</v>
      </c>
      <c r="W18" s="1732"/>
      <c r="X18" s="1729">
        <f>V18*F1_DMI_Heifer_Calf_lb*F1_Heifer_Calf_Units</f>
        <v>0.73112349096789475</v>
      </c>
      <c r="Y18" s="1730" t="s">
        <v>277</v>
      </c>
      <c r="Z18" s="1733"/>
      <c r="AA18" s="1728"/>
      <c r="AB18" s="1734">
        <f>F18+L18+R18+X18</f>
        <v>4.4949131737540755</v>
      </c>
      <c r="AC18" s="1735"/>
      <c r="AD18" s="1736"/>
      <c r="AE18" s="1961">
        <f>'Step 8a--DMI Worksheet'!AC12</f>
        <v>0.05</v>
      </c>
      <c r="AF18" s="1737"/>
      <c r="AG18" s="1738">
        <f>AE18*F2_DMI_Lact_Cow_lb</f>
        <v>2.42</v>
      </c>
      <c r="AH18" s="1739" t="s">
        <v>277</v>
      </c>
      <c r="AI18" s="1739"/>
      <c r="AJ18" s="1740"/>
      <c r="AK18" s="1575">
        <v>0.15</v>
      </c>
      <c r="AL18" s="1741"/>
      <c r="AM18" s="1738">
        <f>AK18*F2_DMI_Dry_Cow_lb*F2_Dry_Cow_Units</f>
        <v>0.50783250865236895</v>
      </c>
      <c r="AN18" s="1739" t="s">
        <v>277</v>
      </c>
      <c r="AO18" s="1742"/>
      <c r="AP18" s="1737"/>
      <c r="AQ18" s="1575">
        <v>0.15</v>
      </c>
      <c r="AR18" s="1741"/>
      <c r="AS18" s="1738">
        <f>AQ18*F2_DMI_Heifer_lb*F2_Heifer_Units</f>
        <v>1.488854472250402</v>
      </c>
      <c r="AT18" s="1739" t="s">
        <v>277</v>
      </c>
      <c r="AU18" s="1742"/>
      <c r="AV18" s="1737"/>
      <c r="AW18" s="1575">
        <v>0.15</v>
      </c>
      <c r="AX18" s="1741"/>
      <c r="AY18" s="1738">
        <f>AW18*F2_DMI_Heifer_Calf_lb*F2_Heifer_Calf_Units</f>
        <v>0.61344084415960931</v>
      </c>
      <c r="AZ18" s="1739" t="s">
        <v>277</v>
      </c>
      <c r="BA18" s="1742"/>
      <c r="BB18" s="1737"/>
      <c r="BC18" s="1743">
        <f>AG18+AM18+AS18+AY18</f>
        <v>5.0301278250623804</v>
      </c>
      <c r="BD18" s="1744"/>
    </row>
    <row r="19" spans="1:56" s="21" customFormat="1" ht="3.75" customHeight="1">
      <c r="A19" s="209"/>
      <c r="B19" s="1726"/>
      <c r="C19" s="194"/>
      <c r="D19" s="1728"/>
      <c r="E19" s="1728"/>
      <c r="F19" s="1729"/>
      <c r="G19" s="1730"/>
      <c r="H19" s="1730"/>
      <c r="I19" s="1731"/>
      <c r="J19" s="1745"/>
      <c r="K19" s="1732"/>
      <c r="L19" s="1728"/>
      <c r="M19" s="1728"/>
      <c r="N19" s="1733"/>
      <c r="O19" s="1728"/>
      <c r="P19" s="1745"/>
      <c r="Q19" s="1732"/>
      <c r="R19" s="1728"/>
      <c r="S19" s="1728"/>
      <c r="T19" s="1733"/>
      <c r="U19" s="1728"/>
      <c r="V19" s="1745"/>
      <c r="W19" s="1732"/>
      <c r="X19" s="1728"/>
      <c r="Y19" s="1728"/>
      <c r="Z19" s="1733"/>
      <c r="AA19" s="1728"/>
      <c r="AB19" s="1746"/>
      <c r="AC19" s="1735"/>
      <c r="AD19" s="1736"/>
      <c r="AE19" s="1747"/>
      <c r="AF19" s="1737"/>
      <c r="AG19" s="1738"/>
      <c r="AH19" s="1739"/>
      <c r="AI19" s="1739"/>
      <c r="AJ19" s="1740"/>
      <c r="AK19" s="1747"/>
      <c r="AL19" s="1741"/>
      <c r="AM19" s="1737"/>
      <c r="AN19" s="1737"/>
      <c r="AO19" s="1742"/>
      <c r="AP19" s="1737"/>
      <c r="AQ19" s="1747"/>
      <c r="AR19" s="1741"/>
      <c r="AS19" s="1737"/>
      <c r="AT19" s="1737"/>
      <c r="AU19" s="1742"/>
      <c r="AV19" s="1737"/>
      <c r="AW19" s="1747"/>
      <c r="AX19" s="1741"/>
      <c r="AY19" s="1737"/>
      <c r="AZ19" s="1737"/>
      <c r="BA19" s="1742"/>
      <c r="BB19" s="1737"/>
      <c r="BC19" s="1748"/>
      <c r="BD19" s="1744"/>
    </row>
    <row r="20" spans="1:56" s="21" customFormat="1">
      <c r="A20" s="209" t="s">
        <v>19</v>
      </c>
      <c r="B20" s="1726"/>
      <c r="C20" s="194"/>
      <c r="D20" s="1727">
        <f>'Step 8a--DMI Worksheet'!O13</f>
        <v>0.01</v>
      </c>
      <c r="E20" s="1728"/>
      <c r="F20" s="1729">
        <f>D20*F1_DMI_Lact_Cow_lb</f>
        <v>0.50270000000000004</v>
      </c>
      <c r="G20" s="1730" t="s">
        <v>277</v>
      </c>
      <c r="H20" s="1730"/>
      <c r="I20" s="1731"/>
      <c r="J20" s="1575">
        <v>0.25</v>
      </c>
      <c r="K20" s="1732"/>
      <c r="L20" s="1729">
        <f>J20*F1_DMI_Dry_Cow_lb*F1_Dry_Cow_Units</f>
        <v>0.80804499537344854</v>
      </c>
      <c r="M20" s="1730" t="s">
        <v>277</v>
      </c>
      <c r="N20" s="1733"/>
      <c r="O20" s="1728"/>
      <c r="P20" s="1575">
        <v>0.25</v>
      </c>
      <c r="Q20" s="1732"/>
      <c r="R20" s="1729">
        <f>P20*F1_DMI_Heifer_lb*F1_Heifer_Units</f>
        <v>2.9514378092701863</v>
      </c>
      <c r="S20" s="1730" t="s">
        <v>277</v>
      </c>
      <c r="T20" s="1733"/>
      <c r="U20" s="1728"/>
      <c r="V20" s="1575">
        <v>0.25</v>
      </c>
      <c r="W20" s="1732"/>
      <c r="X20" s="1729">
        <f>V20*F1_DMI_Heifer_Calf_lb*F1_Heifer_Calf_Units</f>
        <v>1.2185391516131581</v>
      </c>
      <c r="Y20" s="1730" t="s">
        <v>277</v>
      </c>
      <c r="Z20" s="1733"/>
      <c r="AA20" s="1728"/>
      <c r="AB20" s="1734">
        <f>F20+L20+R20+X20</f>
        <v>5.4807219562567928</v>
      </c>
      <c r="AC20" s="1735"/>
      <c r="AD20" s="1736"/>
      <c r="AE20" s="1961">
        <f>'Step 8a--DMI Worksheet'!AC13</f>
        <v>2.5000000000000001E-2</v>
      </c>
      <c r="AF20" s="1737"/>
      <c r="AG20" s="1738">
        <f>AE20*F2_DMI_Lact_Cow_lb</f>
        <v>1.21</v>
      </c>
      <c r="AH20" s="1739" t="s">
        <v>277</v>
      </c>
      <c r="AI20" s="1739"/>
      <c r="AJ20" s="1740"/>
      <c r="AK20" s="1575">
        <v>0.25</v>
      </c>
      <c r="AL20" s="1741"/>
      <c r="AM20" s="1738">
        <f>AK20*F2_DMI_Dry_Cow_lb*F2_Dry_Cow_Units</f>
        <v>0.84638751442061488</v>
      </c>
      <c r="AN20" s="1739" t="s">
        <v>277</v>
      </c>
      <c r="AO20" s="1742"/>
      <c r="AP20" s="1737"/>
      <c r="AQ20" s="1575">
        <v>0.25</v>
      </c>
      <c r="AR20" s="1741"/>
      <c r="AS20" s="1738">
        <f>AQ20*F2_DMI_Heifer_lb*F2_Heifer_Units</f>
        <v>2.4814241204173366</v>
      </c>
      <c r="AT20" s="1739" t="s">
        <v>277</v>
      </c>
      <c r="AU20" s="1742"/>
      <c r="AV20" s="1737"/>
      <c r="AW20" s="1575">
        <v>0.25</v>
      </c>
      <c r="AX20" s="1741"/>
      <c r="AY20" s="1738">
        <f>AW20*F2_DMI_Heifer_Calf_lb*F2_Heifer_Calf_Units</f>
        <v>1.0224014069326823</v>
      </c>
      <c r="AZ20" s="1739" t="s">
        <v>277</v>
      </c>
      <c r="BA20" s="1742"/>
      <c r="BB20" s="1737"/>
      <c r="BC20" s="1743">
        <f>AG20+AM20+AS20+AY20</f>
        <v>5.5602130417706341</v>
      </c>
      <c r="BD20" s="1744"/>
    </row>
    <row r="21" spans="1:56" s="21" customFormat="1" ht="3.75" customHeight="1">
      <c r="A21" s="209"/>
      <c r="B21" s="1726"/>
      <c r="C21" s="194"/>
      <c r="D21" s="1728"/>
      <c r="E21" s="1728"/>
      <c r="F21" s="1729"/>
      <c r="G21" s="1730"/>
      <c r="H21" s="1730"/>
      <c r="I21" s="1731"/>
      <c r="J21" s="1745"/>
      <c r="K21" s="1732"/>
      <c r="L21" s="1728"/>
      <c r="M21" s="1728"/>
      <c r="N21" s="1733"/>
      <c r="O21" s="1728"/>
      <c r="P21" s="1745"/>
      <c r="Q21" s="1732"/>
      <c r="R21" s="1728"/>
      <c r="S21" s="1728"/>
      <c r="T21" s="1733"/>
      <c r="U21" s="1728"/>
      <c r="V21" s="1745"/>
      <c r="W21" s="1732"/>
      <c r="X21" s="1728"/>
      <c r="Y21" s="1728"/>
      <c r="Z21" s="1733"/>
      <c r="AA21" s="1728"/>
      <c r="AB21" s="1746"/>
      <c r="AC21" s="1735"/>
      <c r="AD21" s="1736"/>
      <c r="AE21" s="1747"/>
      <c r="AF21" s="1737"/>
      <c r="AG21" s="1738"/>
      <c r="AH21" s="1739"/>
      <c r="AI21" s="1739"/>
      <c r="AJ21" s="1740"/>
      <c r="AK21" s="1747"/>
      <c r="AL21" s="1741"/>
      <c r="AM21" s="1737"/>
      <c r="AN21" s="1737"/>
      <c r="AO21" s="1742"/>
      <c r="AP21" s="1737"/>
      <c r="AQ21" s="1747"/>
      <c r="AR21" s="1741"/>
      <c r="AS21" s="1737"/>
      <c r="AT21" s="1737"/>
      <c r="AU21" s="1742"/>
      <c r="AV21" s="1737"/>
      <c r="AW21" s="1747"/>
      <c r="AX21" s="1741"/>
      <c r="AY21" s="1737"/>
      <c r="AZ21" s="1737"/>
      <c r="BA21" s="1742"/>
      <c r="BB21" s="1737"/>
      <c r="BC21" s="1748"/>
      <c r="BD21" s="1744"/>
    </row>
    <row r="22" spans="1:56" s="21" customFormat="1">
      <c r="A22" s="209" t="s">
        <v>31</v>
      </c>
      <c r="B22" s="1726"/>
      <c r="C22" s="194"/>
      <c r="D22" s="1727">
        <f>'Step 8a--DMI Worksheet'!O14</f>
        <v>0.02</v>
      </c>
      <c r="E22" s="1728"/>
      <c r="F22" s="1729">
        <f>D22*F1_DMI_Lact_Cow_lb</f>
        <v>1.0054000000000001</v>
      </c>
      <c r="G22" s="1730" t="s">
        <v>277</v>
      </c>
      <c r="H22" s="1730"/>
      <c r="I22" s="1731"/>
      <c r="J22" s="1575">
        <v>0.1</v>
      </c>
      <c r="K22" s="1732"/>
      <c r="L22" s="1729">
        <f>J22*F1_DMI_Dry_Cow_lb*F1_Dry_Cow_Units</f>
        <v>0.3232179981493794</v>
      </c>
      <c r="M22" s="1730" t="s">
        <v>277</v>
      </c>
      <c r="N22" s="1733"/>
      <c r="O22" s="1728"/>
      <c r="P22" s="1575">
        <v>0.1</v>
      </c>
      <c r="Q22" s="1732"/>
      <c r="R22" s="1729">
        <f>P22*F1_DMI_Heifer_lb*F1_Heifer_Units</f>
        <v>1.1805751237080746</v>
      </c>
      <c r="S22" s="1730" t="s">
        <v>277</v>
      </c>
      <c r="T22" s="1733"/>
      <c r="U22" s="1728"/>
      <c r="V22" s="1575">
        <v>0.1</v>
      </c>
      <c r="W22" s="1732"/>
      <c r="X22" s="1729">
        <f>V22*F1_DMI_Heifer_Calf_lb*F1_Heifer_Calf_Units</f>
        <v>0.4874156606452632</v>
      </c>
      <c r="Y22" s="1730" t="s">
        <v>277</v>
      </c>
      <c r="Z22" s="1733"/>
      <c r="AA22" s="1728"/>
      <c r="AB22" s="1734">
        <f>F22+L22+R22+X22</f>
        <v>2.9966087825027174</v>
      </c>
      <c r="AC22" s="1735"/>
      <c r="AD22" s="1736"/>
      <c r="AE22" s="1961">
        <f>'Step 8a--DMI Worksheet'!AC14</f>
        <v>0.02</v>
      </c>
      <c r="AF22" s="1737"/>
      <c r="AG22" s="1738">
        <f>AE22*F2_DMI_Lact_Cow_lb</f>
        <v>0.96799999999999997</v>
      </c>
      <c r="AH22" s="1739" t="s">
        <v>277</v>
      </c>
      <c r="AI22" s="1739"/>
      <c r="AJ22" s="1740"/>
      <c r="AK22" s="1575">
        <v>0.1</v>
      </c>
      <c r="AL22" s="1741"/>
      <c r="AM22" s="1738">
        <f>AK22*F2_DMI_Dry_Cow_lb*F2_Dry_Cow_Units</f>
        <v>0.33855500576824599</v>
      </c>
      <c r="AN22" s="1739" t="s">
        <v>277</v>
      </c>
      <c r="AO22" s="1742"/>
      <c r="AP22" s="1737"/>
      <c r="AQ22" s="1575">
        <v>0.1</v>
      </c>
      <c r="AR22" s="1741"/>
      <c r="AS22" s="1738">
        <f>AQ22*F2_DMI_Heifer_lb*F2_Heifer_Units</f>
        <v>0.99256964816693483</v>
      </c>
      <c r="AT22" s="1739" t="s">
        <v>277</v>
      </c>
      <c r="AU22" s="1742"/>
      <c r="AV22" s="1737"/>
      <c r="AW22" s="1575">
        <v>0.1</v>
      </c>
      <c r="AX22" s="1741"/>
      <c r="AY22" s="1738">
        <f>AW22*F2_DMI_Heifer_Calf_lb*F2_Heifer_Calf_Units</f>
        <v>0.40896056277307297</v>
      </c>
      <c r="AZ22" s="1739" t="s">
        <v>277</v>
      </c>
      <c r="BA22" s="1742"/>
      <c r="BB22" s="1737"/>
      <c r="BC22" s="1743">
        <f>AG22+AM22+AS22+AY22</f>
        <v>2.7080852167082536</v>
      </c>
      <c r="BD22" s="1744"/>
    </row>
    <row r="23" spans="1:56" s="21" customFormat="1" ht="3.75" customHeight="1">
      <c r="A23" s="209"/>
      <c r="B23" s="1726"/>
      <c r="C23" s="194"/>
      <c r="D23" s="1728"/>
      <c r="E23" s="1728"/>
      <c r="F23" s="1729"/>
      <c r="G23" s="1730"/>
      <c r="H23" s="1730"/>
      <c r="I23" s="1731"/>
      <c r="J23" s="1745"/>
      <c r="K23" s="1732"/>
      <c r="L23" s="1728"/>
      <c r="M23" s="1728"/>
      <c r="N23" s="1733"/>
      <c r="O23" s="1728"/>
      <c r="P23" s="1745"/>
      <c r="Q23" s="1732"/>
      <c r="R23" s="1728"/>
      <c r="S23" s="1728"/>
      <c r="T23" s="1733"/>
      <c r="U23" s="1728"/>
      <c r="V23" s="1745"/>
      <c r="W23" s="1732"/>
      <c r="X23" s="1728"/>
      <c r="Y23" s="1728"/>
      <c r="Z23" s="1733"/>
      <c r="AA23" s="1728"/>
      <c r="AB23" s="1746"/>
      <c r="AC23" s="1735"/>
      <c r="AD23" s="1736"/>
      <c r="AE23" s="1747"/>
      <c r="AF23" s="1737"/>
      <c r="AG23" s="1738"/>
      <c r="AH23" s="1739"/>
      <c r="AI23" s="1739"/>
      <c r="AJ23" s="1740"/>
      <c r="AK23" s="1747"/>
      <c r="AL23" s="1741"/>
      <c r="AM23" s="1737"/>
      <c r="AN23" s="1737"/>
      <c r="AO23" s="1742"/>
      <c r="AP23" s="1737"/>
      <c r="AQ23" s="1747"/>
      <c r="AR23" s="1741"/>
      <c r="AS23" s="1737"/>
      <c r="AT23" s="1737"/>
      <c r="AU23" s="1742"/>
      <c r="AV23" s="1737"/>
      <c r="AW23" s="1747"/>
      <c r="AX23" s="1741"/>
      <c r="AY23" s="1737"/>
      <c r="AZ23" s="1737"/>
      <c r="BA23" s="1742"/>
      <c r="BB23" s="1737"/>
      <c r="BC23" s="1748"/>
      <c r="BD23" s="1744"/>
    </row>
    <row r="24" spans="1:56" s="21" customFormat="1">
      <c r="A24" s="3515" t="str">
        <f>IF('Step 7a--Feedstuff Required'!B20="[add forage crop here]"," ",'Step 7a--Feedstuff Required'!B20)</f>
        <v xml:space="preserve"> </v>
      </c>
      <c r="B24" s="1726"/>
      <c r="C24" s="194"/>
      <c r="D24" s="1727">
        <f>'Step 8a--DMI Worksheet'!O15</f>
        <v>0.01</v>
      </c>
      <c r="E24" s="1728"/>
      <c r="F24" s="1729">
        <f>D24*F1_DMI_Lact_Cow_lb</f>
        <v>0.50270000000000004</v>
      </c>
      <c r="G24" s="1730" t="s">
        <v>277</v>
      </c>
      <c r="H24" s="1730"/>
      <c r="I24" s="1731"/>
      <c r="J24" s="1575"/>
      <c r="K24" s="1732"/>
      <c r="L24" s="1729">
        <f>J24*F1_DMI_Dry_Cow_lb*F1_Dry_Cow_Units</f>
        <v>0</v>
      </c>
      <c r="M24" s="1730" t="s">
        <v>277</v>
      </c>
      <c r="N24" s="1733"/>
      <c r="O24" s="1728"/>
      <c r="P24" s="1575"/>
      <c r="Q24" s="1732"/>
      <c r="R24" s="1729">
        <f>P24*F1_DMI_Heifer_lb*F1_Heifer_Units</f>
        <v>0</v>
      </c>
      <c r="S24" s="1730" t="s">
        <v>277</v>
      </c>
      <c r="T24" s="1733"/>
      <c r="U24" s="1728"/>
      <c r="V24" s="1575"/>
      <c r="W24" s="1732"/>
      <c r="X24" s="1729">
        <f>V24*F1_DMI_Heifer_Calf_lb*F1_Heifer_Calf_Units</f>
        <v>0</v>
      </c>
      <c r="Y24" s="1730" t="s">
        <v>277</v>
      </c>
      <c r="Z24" s="1733"/>
      <c r="AA24" s="1728"/>
      <c r="AB24" s="1734">
        <f>F24+L24+R24+X24</f>
        <v>0.50270000000000004</v>
      </c>
      <c r="AC24" s="1735"/>
      <c r="AD24" s="1736"/>
      <c r="AE24" s="1961">
        <f>'Step 8a--DMI Worksheet'!AC15</f>
        <v>0</v>
      </c>
      <c r="AF24" s="1737"/>
      <c r="AG24" s="1738">
        <f>AE24*F2_DMI_Lact_Cow_lb</f>
        <v>0</v>
      </c>
      <c r="AH24" s="1739" t="s">
        <v>277</v>
      </c>
      <c r="AI24" s="1739"/>
      <c r="AJ24" s="1740"/>
      <c r="AK24" s="1575"/>
      <c r="AL24" s="1741"/>
      <c r="AM24" s="1738">
        <f>AK24*F2_DMI_Dry_Cow_lb*F2_Dry_Cow_Units</f>
        <v>0</v>
      </c>
      <c r="AN24" s="1739" t="s">
        <v>277</v>
      </c>
      <c r="AO24" s="1742"/>
      <c r="AP24" s="1737"/>
      <c r="AQ24" s="1575"/>
      <c r="AR24" s="1741"/>
      <c r="AS24" s="1738">
        <f>AQ24*F2_DMI_Heifer_lb*F2_Heifer_Units</f>
        <v>0</v>
      </c>
      <c r="AT24" s="1739" t="s">
        <v>277</v>
      </c>
      <c r="AU24" s="1742"/>
      <c r="AV24" s="1737"/>
      <c r="AW24" s="1575"/>
      <c r="AX24" s="1741"/>
      <c r="AY24" s="1738">
        <f>AW24*F2_DMI_Heifer_Calf_lb*F2_Heifer_Calf_Units</f>
        <v>0</v>
      </c>
      <c r="AZ24" s="1739" t="s">
        <v>277</v>
      </c>
      <c r="BA24" s="1742"/>
      <c r="BB24" s="1737"/>
      <c r="BC24" s="1743">
        <f>AG24+AM24+AS24+AY24</f>
        <v>0</v>
      </c>
      <c r="BD24" s="1744"/>
    </row>
    <row r="25" spans="1:56" s="21" customFormat="1" ht="3.75" customHeight="1">
      <c r="A25" s="3515"/>
      <c r="B25" s="1726"/>
      <c r="C25" s="194"/>
      <c r="D25" s="1728"/>
      <c r="E25" s="1728"/>
      <c r="F25" s="1729"/>
      <c r="G25" s="1730"/>
      <c r="H25" s="1730"/>
      <c r="I25" s="1731"/>
      <c r="J25" s="1745"/>
      <c r="K25" s="1732"/>
      <c r="L25" s="1728"/>
      <c r="M25" s="1728"/>
      <c r="N25" s="1733"/>
      <c r="O25" s="1728"/>
      <c r="P25" s="1745"/>
      <c r="Q25" s="1732"/>
      <c r="R25" s="1728"/>
      <c r="S25" s="1728"/>
      <c r="T25" s="1733"/>
      <c r="U25" s="1728"/>
      <c r="V25" s="1745"/>
      <c r="W25" s="1732"/>
      <c r="X25" s="1728"/>
      <c r="Y25" s="1728"/>
      <c r="Z25" s="1733"/>
      <c r="AA25" s="1728"/>
      <c r="AB25" s="1746"/>
      <c r="AC25" s="1735"/>
      <c r="AD25" s="1736"/>
      <c r="AE25" s="1747"/>
      <c r="AF25" s="1737"/>
      <c r="AG25" s="1738"/>
      <c r="AH25" s="1739"/>
      <c r="AI25" s="1739"/>
      <c r="AJ25" s="1740"/>
      <c r="AK25" s="1747"/>
      <c r="AL25" s="1741"/>
      <c r="AM25" s="1737"/>
      <c r="AN25" s="1737"/>
      <c r="AO25" s="1742"/>
      <c r="AP25" s="1737"/>
      <c r="AQ25" s="1747"/>
      <c r="AR25" s="1741"/>
      <c r="AS25" s="1737"/>
      <c r="AT25" s="1737"/>
      <c r="AU25" s="1742"/>
      <c r="AV25" s="1737"/>
      <c r="AW25" s="1747"/>
      <c r="AX25" s="1741"/>
      <c r="AY25" s="1737"/>
      <c r="AZ25" s="1737"/>
      <c r="BA25" s="1742"/>
      <c r="BB25" s="1737"/>
      <c r="BC25" s="1748"/>
      <c r="BD25" s="1744"/>
    </row>
    <row r="26" spans="1:56" s="21" customFormat="1">
      <c r="A26" s="3515" t="str">
        <f>IF('Step 7a--Feedstuff Required'!B22="[add forage crop here]"," ",'Step 7a--Feedstuff Required'!B22)</f>
        <v xml:space="preserve"> </v>
      </c>
      <c r="B26" s="1726"/>
      <c r="C26" s="194"/>
      <c r="D26" s="1727">
        <f>'Step 8a--DMI Worksheet'!O16</f>
        <v>0</v>
      </c>
      <c r="E26" s="1728"/>
      <c r="F26" s="1729">
        <f>D26*F1_DMI_Lact_Cow_lb</f>
        <v>0</v>
      </c>
      <c r="G26" s="1730" t="s">
        <v>277</v>
      </c>
      <c r="H26" s="1730"/>
      <c r="I26" s="1731"/>
      <c r="J26" s="1575"/>
      <c r="K26" s="1732"/>
      <c r="L26" s="1729">
        <f>J26*F1_DMI_Dry_Cow_lb*F1_Dry_Cow_Units</f>
        <v>0</v>
      </c>
      <c r="M26" s="1730" t="s">
        <v>277</v>
      </c>
      <c r="N26" s="1733"/>
      <c r="O26" s="1728"/>
      <c r="P26" s="1575"/>
      <c r="Q26" s="1732"/>
      <c r="R26" s="1729">
        <f>P26*F1_DMI_Heifer_lb*F1_Heifer_Units</f>
        <v>0</v>
      </c>
      <c r="S26" s="1730" t="s">
        <v>277</v>
      </c>
      <c r="T26" s="1733"/>
      <c r="U26" s="1728"/>
      <c r="V26" s="1575"/>
      <c r="W26" s="1732"/>
      <c r="X26" s="1729">
        <f>V26*F1_DMI_Heifer_Calf_lb*F1_Heifer_Calf_Units</f>
        <v>0</v>
      </c>
      <c r="Y26" s="1730" t="s">
        <v>277</v>
      </c>
      <c r="Z26" s="1733"/>
      <c r="AA26" s="1728"/>
      <c r="AB26" s="1734">
        <f>F26+L26+R26+X26</f>
        <v>0</v>
      </c>
      <c r="AC26" s="1735"/>
      <c r="AD26" s="1736"/>
      <c r="AE26" s="1961">
        <f>'Step 8a--DMI Worksheet'!AC16</f>
        <v>0</v>
      </c>
      <c r="AF26" s="1737"/>
      <c r="AG26" s="1738">
        <f>AE26*F2_DMI_Lact_Cow_lb</f>
        <v>0</v>
      </c>
      <c r="AH26" s="1739" t="s">
        <v>277</v>
      </c>
      <c r="AI26" s="1739"/>
      <c r="AJ26" s="1740"/>
      <c r="AK26" s="1575"/>
      <c r="AL26" s="1741"/>
      <c r="AM26" s="1738">
        <f>AK26*F2_DMI_Dry_Cow_lb*F2_Dry_Cow_Units</f>
        <v>0</v>
      </c>
      <c r="AN26" s="1739" t="s">
        <v>277</v>
      </c>
      <c r="AO26" s="1742"/>
      <c r="AP26" s="1737"/>
      <c r="AQ26" s="1575"/>
      <c r="AR26" s="1741"/>
      <c r="AS26" s="1738">
        <f>AQ26*F2_DMI_Heifer_lb*F2_Heifer_Units</f>
        <v>0</v>
      </c>
      <c r="AT26" s="1739" t="s">
        <v>277</v>
      </c>
      <c r="AU26" s="1742"/>
      <c r="AV26" s="1737"/>
      <c r="AW26" s="1575"/>
      <c r="AX26" s="1741"/>
      <c r="AY26" s="1738">
        <f>AW26*F2_DMI_Heifer_Calf_lb*F2_Heifer_Calf_Units</f>
        <v>0</v>
      </c>
      <c r="AZ26" s="1739" t="s">
        <v>277</v>
      </c>
      <c r="BA26" s="1742"/>
      <c r="BB26" s="1737"/>
      <c r="BC26" s="1743">
        <f>AG26+AM26+AS26+AY26</f>
        <v>0</v>
      </c>
      <c r="BD26" s="1744"/>
    </row>
    <row r="27" spans="1:56" s="21" customFormat="1" ht="3.75" customHeight="1">
      <c r="A27" s="3515"/>
      <c r="B27" s="1726"/>
      <c r="C27" s="194"/>
      <c r="D27" s="1728"/>
      <c r="E27" s="1728"/>
      <c r="F27" s="1729"/>
      <c r="G27" s="1730"/>
      <c r="H27" s="1730"/>
      <c r="I27" s="1731"/>
      <c r="J27" s="1745"/>
      <c r="K27" s="1732"/>
      <c r="L27" s="1728"/>
      <c r="M27" s="1728"/>
      <c r="N27" s="1733"/>
      <c r="O27" s="1728"/>
      <c r="P27" s="1745"/>
      <c r="Q27" s="1732"/>
      <c r="R27" s="1728"/>
      <c r="S27" s="1728"/>
      <c r="T27" s="1733"/>
      <c r="U27" s="1728"/>
      <c r="V27" s="1745"/>
      <c r="W27" s="1732"/>
      <c r="X27" s="1728"/>
      <c r="Y27" s="1728"/>
      <c r="Z27" s="1733"/>
      <c r="AA27" s="1728"/>
      <c r="AB27" s="1746"/>
      <c r="AC27" s="1735"/>
      <c r="AD27" s="1736"/>
      <c r="AE27" s="1747"/>
      <c r="AF27" s="1737"/>
      <c r="AG27" s="1738"/>
      <c r="AH27" s="1739"/>
      <c r="AI27" s="1739"/>
      <c r="AJ27" s="1740"/>
      <c r="AK27" s="1747"/>
      <c r="AL27" s="1741"/>
      <c r="AM27" s="1737"/>
      <c r="AN27" s="1737"/>
      <c r="AO27" s="1742"/>
      <c r="AP27" s="1737"/>
      <c r="AQ27" s="1747"/>
      <c r="AR27" s="1741"/>
      <c r="AS27" s="1737"/>
      <c r="AT27" s="1737"/>
      <c r="AU27" s="1742"/>
      <c r="AV27" s="1737"/>
      <c r="AW27" s="1747"/>
      <c r="AX27" s="1741"/>
      <c r="AY27" s="1737"/>
      <c r="AZ27" s="1737"/>
      <c r="BA27" s="1742"/>
      <c r="BB27" s="1737"/>
      <c r="BC27" s="1748"/>
      <c r="BD27" s="1744"/>
    </row>
    <row r="28" spans="1:56" s="21" customFormat="1">
      <c r="A28" s="3515" t="str">
        <f>IF('Step 7a--Feedstuff Required'!B24="[add forage crop here]"," ",'Step 7a--Feedstuff Required'!B24)</f>
        <v xml:space="preserve"> </v>
      </c>
      <c r="B28" s="1726"/>
      <c r="C28" s="194"/>
      <c r="D28" s="1727">
        <f>'Step 8a--DMI Worksheet'!O17</f>
        <v>0</v>
      </c>
      <c r="E28" s="1728"/>
      <c r="F28" s="1729">
        <f>D28*F1_DMI_Lact_Cow_lb</f>
        <v>0</v>
      </c>
      <c r="G28" s="1730" t="s">
        <v>277</v>
      </c>
      <c r="H28" s="1730"/>
      <c r="I28" s="1731"/>
      <c r="J28" s="1575"/>
      <c r="K28" s="1732"/>
      <c r="L28" s="1729">
        <f>J28*F1_DMI_Dry_Cow_lb*F1_Dry_Cow_Units</f>
        <v>0</v>
      </c>
      <c r="M28" s="1730" t="s">
        <v>277</v>
      </c>
      <c r="N28" s="1733"/>
      <c r="O28" s="1728"/>
      <c r="P28" s="1575"/>
      <c r="Q28" s="1732"/>
      <c r="R28" s="1729">
        <f>P28*F1_DMI_Heifer_lb*F1_Heifer_Units</f>
        <v>0</v>
      </c>
      <c r="S28" s="1730" t="s">
        <v>277</v>
      </c>
      <c r="T28" s="1733"/>
      <c r="U28" s="1728"/>
      <c r="V28" s="1575"/>
      <c r="W28" s="1732"/>
      <c r="X28" s="1729">
        <f>V28*F1_DMI_Heifer_Calf_lb*F1_Heifer_Calf_Units</f>
        <v>0</v>
      </c>
      <c r="Y28" s="1730" t="s">
        <v>277</v>
      </c>
      <c r="Z28" s="1733"/>
      <c r="AA28" s="1728"/>
      <c r="AB28" s="1734">
        <f>F28+L28+R28+X28</f>
        <v>0</v>
      </c>
      <c r="AC28" s="1735"/>
      <c r="AD28" s="1736"/>
      <c r="AE28" s="1961">
        <f>'Step 8a--DMI Worksheet'!AC17</f>
        <v>0</v>
      </c>
      <c r="AF28" s="1737"/>
      <c r="AG28" s="1738">
        <f>AE28*F2_DMI_Lact_Cow_lb</f>
        <v>0</v>
      </c>
      <c r="AH28" s="1739" t="s">
        <v>277</v>
      </c>
      <c r="AI28" s="1739"/>
      <c r="AJ28" s="1740"/>
      <c r="AK28" s="1575"/>
      <c r="AL28" s="1741"/>
      <c r="AM28" s="1738">
        <f>AK28*F2_DMI_Dry_Cow_lb*F2_Dry_Cow_Units</f>
        <v>0</v>
      </c>
      <c r="AN28" s="1739" t="s">
        <v>277</v>
      </c>
      <c r="AO28" s="1742"/>
      <c r="AP28" s="1737"/>
      <c r="AQ28" s="1575"/>
      <c r="AR28" s="1741"/>
      <c r="AS28" s="1738">
        <f>AQ28*F2_DMI_Heifer_lb*F2_Heifer_Units</f>
        <v>0</v>
      </c>
      <c r="AT28" s="1739" t="s">
        <v>277</v>
      </c>
      <c r="AU28" s="1742"/>
      <c r="AV28" s="1737"/>
      <c r="AW28" s="1575"/>
      <c r="AX28" s="1741"/>
      <c r="AY28" s="1738">
        <f>AW28*F2_DMI_Heifer_Calf_lb*F2_Heifer_Calf_Units</f>
        <v>0</v>
      </c>
      <c r="AZ28" s="1739" t="s">
        <v>277</v>
      </c>
      <c r="BA28" s="1742"/>
      <c r="BB28" s="1737"/>
      <c r="BC28" s="1743">
        <f>AG28+AM28+AS28+AY28</f>
        <v>0</v>
      </c>
      <c r="BD28" s="1744"/>
    </row>
    <row r="29" spans="1:56" ht="3.75" customHeight="1">
      <c r="A29" s="3518"/>
      <c r="B29" s="788"/>
      <c r="C29" s="1179"/>
      <c r="D29" s="1126"/>
      <c r="E29" s="1126"/>
      <c r="F29" s="1201"/>
      <c r="G29" s="1195"/>
      <c r="H29" s="1195"/>
      <c r="I29" s="1199"/>
      <c r="J29" s="794"/>
      <c r="K29" s="1127"/>
      <c r="L29" s="1126"/>
      <c r="M29" s="1126"/>
      <c r="N29" s="1198"/>
      <c r="O29" s="1126"/>
      <c r="P29" s="794"/>
      <c r="Q29" s="1127"/>
      <c r="R29" s="1126"/>
      <c r="S29" s="1126"/>
      <c r="T29" s="1198"/>
      <c r="U29" s="1126"/>
      <c r="V29" s="794"/>
      <c r="W29" s="1127"/>
      <c r="X29" s="1126"/>
      <c r="Y29" s="1126"/>
      <c r="Z29" s="1198"/>
      <c r="AA29" s="1126"/>
      <c r="AB29" s="1134"/>
      <c r="AC29" s="1202"/>
      <c r="AD29" s="1207"/>
      <c r="AE29" s="95"/>
      <c r="AF29" s="1153"/>
      <c r="AG29" s="1214"/>
      <c r="AH29" s="1213"/>
      <c r="AI29" s="1213"/>
      <c r="AJ29" s="1208"/>
      <c r="AK29" s="95"/>
      <c r="AL29" s="1154"/>
      <c r="AM29" s="1153"/>
      <c r="AN29" s="1153"/>
      <c r="AO29" s="1216"/>
      <c r="AP29" s="1153"/>
      <c r="AQ29" s="95"/>
      <c r="AR29" s="1154"/>
      <c r="AS29" s="1153"/>
      <c r="AT29" s="1153"/>
      <c r="AU29" s="1216"/>
      <c r="AV29" s="1153"/>
      <c r="AW29" s="95"/>
      <c r="AX29" s="1154"/>
      <c r="AY29" s="1153"/>
      <c r="AZ29" s="1153"/>
      <c r="BA29" s="1216"/>
      <c r="BB29" s="1153"/>
      <c r="BC29" s="1161"/>
      <c r="BD29" s="1248"/>
    </row>
    <row r="30" spans="1:56" s="20" customFormat="1" ht="18.75" customHeight="1" thickBot="1">
      <c r="A30" s="3519" t="s">
        <v>4</v>
      </c>
      <c r="B30" s="1726"/>
      <c r="C30" s="194"/>
      <c r="D30" s="1779">
        <f>SUM(D12:D28)</f>
        <v>0.60000000000000009</v>
      </c>
      <c r="E30" s="1780"/>
      <c r="F30" s="1781">
        <f>SUM(F12:F28)</f>
        <v>30.162000000000006</v>
      </c>
      <c r="G30" s="1782" t="s">
        <v>277</v>
      </c>
      <c r="H30" s="1783"/>
      <c r="I30" s="1784"/>
      <c r="J30" s="1785">
        <f>SUM(J12:J28)</f>
        <v>1</v>
      </c>
      <c r="K30" s="1780"/>
      <c r="L30" s="1781">
        <f>SUM(L12:L28)</f>
        <v>3.2321799814937937</v>
      </c>
      <c r="M30" s="1782" t="s">
        <v>277</v>
      </c>
      <c r="N30" s="1783"/>
      <c r="O30" s="1786"/>
      <c r="P30" s="1785">
        <f>SUM(P12:P28)</f>
        <v>1</v>
      </c>
      <c r="Q30" s="1780"/>
      <c r="R30" s="1781">
        <f>SUM(R12:R28)</f>
        <v>11.805751237080745</v>
      </c>
      <c r="S30" s="1782" t="s">
        <v>277</v>
      </c>
      <c r="T30" s="1783"/>
      <c r="U30" s="1786"/>
      <c r="V30" s="1785">
        <f>SUM(V12:V28)</f>
        <v>1</v>
      </c>
      <c r="W30" s="1780"/>
      <c r="X30" s="1781">
        <f>SUM(X12:X28)</f>
        <v>4.8741566064526323</v>
      </c>
      <c r="Y30" s="1782" t="s">
        <v>277</v>
      </c>
      <c r="Z30" s="1783"/>
      <c r="AA30" s="1787"/>
      <c r="AB30" s="1788">
        <f>F30+L30+R30+X30</f>
        <v>50.074087825027178</v>
      </c>
      <c r="AC30" s="1789"/>
      <c r="AD30" s="1736"/>
      <c r="AE30" s="1790">
        <f>SUM(AE12:AE28)</f>
        <v>0.66</v>
      </c>
      <c r="AF30" s="1791"/>
      <c r="AG30" s="1792">
        <f>SUM(AG12:AG28)</f>
        <v>31.943999999999999</v>
      </c>
      <c r="AH30" s="1793" t="s">
        <v>277</v>
      </c>
      <c r="AI30" s="1794"/>
      <c r="AJ30" s="1795"/>
      <c r="AK30" s="1790">
        <f>SUM(AK12:AK28)</f>
        <v>1</v>
      </c>
      <c r="AL30" s="1791"/>
      <c r="AM30" s="1792">
        <f>SUM(AM12:AM28)</f>
        <v>3.3855500576824595</v>
      </c>
      <c r="AN30" s="1793" t="s">
        <v>277</v>
      </c>
      <c r="AO30" s="1794"/>
      <c r="AP30" s="1796"/>
      <c r="AQ30" s="1790">
        <f>SUM(AQ12:AQ28)</f>
        <v>1</v>
      </c>
      <c r="AR30" s="1791"/>
      <c r="AS30" s="1792">
        <f>SUM(AS12:AS28)</f>
        <v>9.9256964816693465</v>
      </c>
      <c r="AT30" s="1793" t="s">
        <v>277</v>
      </c>
      <c r="AU30" s="1794"/>
      <c r="AV30" s="1796"/>
      <c r="AW30" s="1790">
        <f>SUM(AW12:AW28)</f>
        <v>1</v>
      </c>
      <c r="AX30" s="1791"/>
      <c r="AY30" s="1792">
        <f>SUM(AY12:AY28)</f>
        <v>4.0896056277307293</v>
      </c>
      <c r="AZ30" s="1793" t="s">
        <v>277</v>
      </c>
      <c r="BA30" s="1794"/>
      <c r="BB30" s="1797"/>
      <c r="BC30" s="1798">
        <f>AG30+AM30+AS30+AY30</f>
        <v>49.344852167082536</v>
      </c>
      <c r="BD30" s="1799"/>
    </row>
    <row r="31" spans="1:56" ht="15" thickTop="1">
      <c r="A31" s="787"/>
      <c r="B31" s="788"/>
      <c r="C31" s="1179"/>
      <c r="D31" s="1121"/>
      <c r="E31" s="1121"/>
      <c r="F31" s="1127"/>
      <c r="G31" s="1121"/>
      <c r="H31" s="1121"/>
      <c r="I31" s="1200"/>
      <c r="J31" s="673"/>
      <c r="K31" s="1127"/>
      <c r="L31" s="1121"/>
      <c r="M31" s="1121"/>
      <c r="N31" s="1197"/>
      <c r="O31" s="1121"/>
      <c r="P31" s="673"/>
      <c r="Q31" s="1127"/>
      <c r="R31" s="1121"/>
      <c r="S31" s="1121"/>
      <c r="T31" s="1197"/>
      <c r="U31" s="1121"/>
      <c r="V31" s="673"/>
      <c r="W31" s="1127"/>
      <c r="X31" s="1121"/>
      <c r="Y31" s="1121"/>
      <c r="Z31" s="1197"/>
      <c r="AA31" s="1121"/>
      <c r="AB31" s="1124"/>
      <c r="AC31" s="1202"/>
      <c r="AD31" s="1207"/>
      <c r="AE31" s="1148"/>
      <c r="AF31" s="1148"/>
      <c r="AG31" s="1154"/>
      <c r="AH31" s="1148"/>
      <c r="AI31" s="1148"/>
      <c r="AJ31" s="1211"/>
      <c r="AK31" s="93"/>
      <c r="AL31" s="1154"/>
      <c r="AM31" s="1148"/>
      <c r="AN31" s="1148"/>
      <c r="AO31" s="1212"/>
      <c r="AP31" s="1148"/>
      <c r="AQ31" s="93"/>
      <c r="AR31" s="1154"/>
      <c r="AS31" s="1148"/>
      <c r="AT31" s="1148"/>
      <c r="AU31" s="1212"/>
      <c r="AV31" s="1148"/>
      <c r="AW31" s="93"/>
      <c r="AX31" s="1154"/>
      <c r="AY31" s="1148"/>
      <c r="AZ31" s="1148"/>
      <c r="BA31" s="1212"/>
      <c r="BB31" s="1148"/>
      <c r="BC31" s="1151"/>
      <c r="BD31" s="1248"/>
    </row>
    <row r="32" spans="1:56" ht="20.25" customHeight="1">
      <c r="A32" s="4031" t="s">
        <v>963</v>
      </c>
      <c r="B32" s="4032"/>
      <c r="C32" s="4032"/>
      <c r="D32" s="4032"/>
      <c r="E32" s="4032"/>
      <c r="F32" s="4032"/>
      <c r="G32" s="4032"/>
      <c r="H32" s="4032"/>
      <c r="I32" s="4032"/>
      <c r="J32" s="4032"/>
      <c r="K32" s="4032"/>
      <c r="L32" s="4032"/>
      <c r="M32" s="4032"/>
      <c r="N32" s="4032"/>
      <c r="O32" s="4032"/>
      <c r="P32" s="4032"/>
      <c r="Q32" s="4032"/>
      <c r="R32" s="4032"/>
      <c r="S32" s="4032"/>
      <c r="T32" s="4032"/>
      <c r="U32" s="4032"/>
      <c r="V32" s="4032"/>
      <c r="W32" s="4032"/>
      <c r="X32" s="4032"/>
      <c r="Y32" s="4032"/>
      <c r="Z32" s="4032"/>
      <c r="AA32" s="4032"/>
      <c r="AB32" s="4032"/>
      <c r="AC32" s="4032"/>
      <c r="AD32" s="4032"/>
      <c r="AE32" s="4032"/>
      <c r="AF32" s="4032"/>
      <c r="AG32" s="4032"/>
      <c r="AH32" s="4032"/>
      <c r="AI32" s="4032"/>
      <c r="AJ32" s="4032"/>
      <c r="AK32" s="4032"/>
      <c r="AL32" s="4032"/>
      <c r="AM32" s="4032"/>
      <c r="AN32" s="4032"/>
      <c r="AO32" s="4032"/>
      <c r="AP32" s="4032"/>
      <c r="AQ32" s="4032"/>
      <c r="AR32" s="4032"/>
      <c r="AS32" s="4032"/>
      <c r="AT32" s="4032"/>
      <c r="AU32" s="4032"/>
      <c r="AV32" s="4032"/>
      <c r="AW32" s="4032"/>
      <c r="AX32" s="4032"/>
      <c r="AY32" s="4032"/>
      <c r="AZ32" s="4032"/>
      <c r="BA32" s="4032"/>
      <c r="BB32" s="4032"/>
      <c r="BC32" s="4032"/>
      <c r="BD32" s="4033"/>
    </row>
    <row r="33" spans="1:56" ht="4.5" customHeight="1">
      <c r="A33" s="787"/>
      <c r="B33" s="788"/>
      <c r="C33" s="1179"/>
      <c r="D33" s="794"/>
      <c r="E33" s="794"/>
      <c r="F33" s="794"/>
      <c r="G33" s="1126"/>
      <c r="H33" s="1126"/>
      <c r="I33" s="1199"/>
      <c r="J33" s="794"/>
      <c r="K33" s="1127"/>
      <c r="L33" s="794"/>
      <c r="M33" s="1126"/>
      <c r="N33" s="1196"/>
      <c r="O33" s="1126"/>
      <c r="P33" s="794"/>
      <c r="Q33" s="1127"/>
      <c r="R33" s="794"/>
      <c r="S33" s="1126"/>
      <c r="T33" s="1196"/>
      <c r="U33" s="1126"/>
      <c r="V33" s="794"/>
      <c r="W33" s="1127"/>
      <c r="X33" s="794"/>
      <c r="Y33" s="1126"/>
      <c r="Z33" s="1196"/>
      <c r="AA33" s="1126"/>
      <c r="AB33" s="1130"/>
      <c r="AC33" s="1202"/>
      <c r="AD33" s="1207"/>
      <c r="AE33" s="95"/>
      <c r="AF33" s="95"/>
      <c r="AG33" s="95"/>
      <c r="AH33" s="1153"/>
      <c r="AI33" s="1153"/>
      <c r="AJ33" s="1208"/>
      <c r="AK33" s="95"/>
      <c r="AL33" s="1154"/>
      <c r="AM33" s="95"/>
      <c r="AN33" s="1153"/>
      <c r="AO33" s="1209"/>
      <c r="AP33" s="1153"/>
      <c r="AQ33" s="95"/>
      <c r="AR33" s="1154"/>
      <c r="AS33" s="95"/>
      <c r="AT33" s="1153"/>
      <c r="AU33" s="1209"/>
      <c r="AV33" s="1153"/>
      <c r="AW33" s="95"/>
      <c r="AX33" s="1154"/>
      <c r="AY33" s="95"/>
      <c r="AZ33" s="1153"/>
      <c r="BA33" s="1209"/>
      <c r="BB33" s="1153"/>
      <c r="BC33" s="1157"/>
      <c r="BD33" s="1248"/>
    </row>
    <row r="34" spans="1:56" s="21" customFormat="1">
      <c r="A34" s="209" t="s">
        <v>33</v>
      </c>
      <c r="B34" s="1769"/>
      <c r="C34" s="1770"/>
      <c r="D34" s="1727">
        <f>'Step 8a--DMI Worksheet'!O20</f>
        <v>0.26</v>
      </c>
      <c r="E34" s="1728"/>
      <c r="F34" s="1729">
        <f>D34*F1_DMI_Lact_Cow_lb</f>
        <v>13.070200000000002</v>
      </c>
      <c r="G34" s="1730" t="s">
        <v>277</v>
      </c>
      <c r="H34" s="1730"/>
      <c r="I34" s="1731"/>
      <c r="J34" s="1575"/>
      <c r="K34" s="1732"/>
      <c r="L34" s="1729">
        <f>J34*F1_DMI_Dry_Cow_lb*F1_Dry_Cow_Units</f>
        <v>0</v>
      </c>
      <c r="M34" s="1730" t="s">
        <v>277</v>
      </c>
      <c r="N34" s="1733"/>
      <c r="O34" s="1728"/>
      <c r="P34" s="1575"/>
      <c r="Q34" s="1732"/>
      <c r="R34" s="1729">
        <f>P34*F1_DMI_Heifer_lb*F1_Heifer_Units</f>
        <v>0</v>
      </c>
      <c r="S34" s="1730" t="s">
        <v>277</v>
      </c>
      <c r="T34" s="1733"/>
      <c r="U34" s="1728"/>
      <c r="V34" s="1575"/>
      <c r="W34" s="1732"/>
      <c r="X34" s="1729">
        <f>V34*F1_DMI_Heifer_Calf_lb*F1_Heifer_Calf_Units</f>
        <v>0</v>
      </c>
      <c r="Y34" s="1730" t="s">
        <v>277</v>
      </c>
      <c r="Z34" s="1733"/>
      <c r="AA34" s="1728"/>
      <c r="AB34" s="1734">
        <f>F34+L34+R34+X34</f>
        <v>13.070200000000002</v>
      </c>
      <c r="AC34" s="1735"/>
      <c r="AD34" s="1771"/>
      <c r="AE34" s="1961">
        <f>'Step 8a--DMI Worksheet'!AC20</f>
        <v>0.22</v>
      </c>
      <c r="AF34" s="1737"/>
      <c r="AG34" s="1738">
        <f>AE34*F2_DMI_Lact_Cow_lb</f>
        <v>10.648</v>
      </c>
      <c r="AH34" s="1739" t="s">
        <v>277</v>
      </c>
      <c r="AI34" s="1739"/>
      <c r="AJ34" s="1740"/>
      <c r="AK34" s="1575"/>
      <c r="AL34" s="1741"/>
      <c r="AM34" s="1738">
        <f>AK34*F2_DMI_Dry_Cow_lb*F2_Dry_Cow_Units</f>
        <v>0</v>
      </c>
      <c r="AN34" s="1739" t="s">
        <v>277</v>
      </c>
      <c r="AO34" s="1742"/>
      <c r="AP34" s="1737"/>
      <c r="AQ34" s="1575"/>
      <c r="AR34" s="1741"/>
      <c r="AS34" s="1738">
        <f>AQ34*F2_DMI_Heifer_lb*F2_Heifer_Units</f>
        <v>0</v>
      </c>
      <c r="AT34" s="1739" t="s">
        <v>277</v>
      </c>
      <c r="AU34" s="1742"/>
      <c r="AV34" s="1737"/>
      <c r="AW34" s="1575"/>
      <c r="AX34" s="1741"/>
      <c r="AY34" s="1738">
        <f>AW34*F2_DMI_Heifer_Calf_lb*F2_Heifer_Calf_Units</f>
        <v>0</v>
      </c>
      <c r="AZ34" s="1739" t="s">
        <v>277</v>
      </c>
      <c r="BA34" s="1742"/>
      <c r="BB34" s="1737"/>
      <c r="BC34" s="1743">
        <f>AG34+AM34+AS34+AY34</f>
        <v>10.648</v>
      </c>
      <c r="BD34" s="1744"/>
    </row>
    <row r="35" spans="1:56" s="21" customFormat="1" ht="3.75" customHeight="1">
      <c r="A35" s="209"/>
      <c r="B35" s="1726"/>
      <c r="C35" s="194"/>
      <c r="D35" s="1728"/>
      <c r="E35" s="1728"/>
      <c r="F35" s="1729"/>
      <c r="G35" s="1730"/>
      <c r="H35" s="1730"/>
      <c r="I35" s="1731"/>
      <c r="J35" s="1745"/>
      <c r="K35" s="1732"/>
      <c r="L35" s="1728"/>
      <c r="M35" s="1728"/>
      <c r="N35" s="1733"/>
      <c r="O35" s="1728"/>
      <c r="P35" s="1745"/>
      <c r="Q35" s="1732"/>
      <c r="R35" s="1728"/>
      <c r="S35" s="1728"/>
      <c r="T35" s="1733"/>
      <c r="U35" s="1728"/>
      <c r="V35" s="1745"/>
      <c r="W35" s="1732"/>
      <c r="X35" s="1728"/>
      <c r="Y35" s="1728"/>
      <c r="Z35" s="1733"/>
      <c r="AA35" s="1728"/>
      <c r="AB35" s="1746"/>
      <c r="AC35" s="1735"/>
      <c r="AD35" s="1736"/>
      <c r="AE35" s="1737"/>
      <c r="AF35" s="1737"/>
      <c r="AG35" s="1738"/>
      <c r="AH35" s="1739"/>
      <c r="AI35" s="1739"/>
      <c r="AJ35" s="1740"/>
      <c r="AK35" s="1747"/>
      <c r="AL35" s="1741"/>
      <c r="AM35" s="1737"/>
      <c r="AN35" s="1737"/>
      <c r="AO35" s="1742"/>
      <c r="AP35" s="1737"/>
      <c r="AQ35" s="1747"/>
      <c r="AR35" s="1741"/>
      <c r="AS35" s="1737"/>
      <c r="AT35" s="1737"/>
      <c r="AU35" s="1742"/>
      <c r="AV35" s="1737"/>
      <c r="AW35" s="1747"/>
      <c r="AX35" s="1741"/>
      <c r="AY35" s="1737"/>
      <c r="AZ35" s="1737"/>
      <c r="BA35" s="1742"/>
      <c r="BB35" s="1737"/>
      <c r="BC35" s="1748"/>
      <c r="BD35" s="1744"/>
    </row>
    <row r="36" spans="1:56" s="21" customFormat="1">
      <c r="A36" s="209" t="s">
        <v>22</v>
      </c>
      <c r="B36" s="1726"/>
      <c r="C36" s="194"/>
      <c r="D36" s="1727">
        <f>'Step 8a--DMI Worksheet'!O21</f>
        <v>0</v>
      </c>
      <c r="E36" s="1728"/>
      <c r="F36" s="1729">
        <f>D36*F1_DMI_Lact_Cow_lb</f>
        <v>0</v>
      </c>
      <c r="G36" s="1730" t="s">
        <v>277</v>
      </c>
      <c r="H36" s="1730"/>
      <c r="I36" s="1731"/>
      <c r="J36" s="1575"/>
      <c r="K36" s="1732"/>
      <c r="L36" s="1729">
        <f>J36*F1_DMI_Dry_Cow_lb*F1_Dry_Cow_Units</f>
        <v>0</v>
      </c>
      <c r="M36" s="1730" t="s">
        <v>277</v>
      </c>
      <c r="N36" s="1733"/>
      <c r="O36" s="1728"/>
      <c r="P36" s="1575"/>
      <c r="Q36" s="1732"/>
      <c r="R36" s="1729">
        <f>P36*F1_DMI_Heifer_lb*F1_Heifer_Units</f>
        <v>0</v>
      </c>
      <c r="S36" s="1730" t="s">
        <v>277</v>
      </c>
      <c r="T36" s="1733"/>
      <c r="U36" s="1728"/>
      <c r="V36" s="1575"/>
      <c r="W36" s="1732"/>
      <c r="X36" s="1729">
        <f>V36*F1_DMI_Heifer_Calf_lb*F1_Heifer_Calf_Units</f>
        <v>0</v>
      </c>
      <c r="Y36" s="1730" t="s">
        <v>277</v>
      </c>
      <c r="Z36" s="1733"/>
      <c r="AA36" s="1728"/>
      <c r="AB36" s="1734">
        <f>F36+L36+R36+X36</f>
        <v>0</v>
      </c>
      <c r="AC36" s="1735"/>
      <c r="AD36" s="1736"/>
      <c r="AE36" s="1961">
        <f>'Step 8a--DMI Worksheet'!AC21</f>
        <v>0</v>
      </c>
      <c r="AF36" s="1737"/>
      <c r="AG36" s="1738">
        <f>AE36*F2_DMI_Lact_Cow_lb</f>
        <v>0</v>
      </c>
      <c r="AH36" s="1739" t="s">
        <v>277</v>
      </c>
      <c r="AI36" s="1739"/>
      <c r="AJ36" s="1740"/>
      <c r="AK36" s="1575"/>
      <c r="AL36" s="1741"/>
      <c r="AM36" s="1738">
        <f>AK36*F2_DMI_Dry_Cow_lb*F2_Dry_Cow_Units</f>
        <v>0</v>
      </c>
      <c r="AN36" s="1739" t="s">
        <v>277</v>
      </c>
      <c r="AO36" s="1742"/>
      <c r="AP36" s="1737"/>
      <c r="AQ36" s="1575"/>
      <c r="AR36" s="1741"/>
      <c r="AS36" s="1738">
        <f>AQ36*F2_DMI_Heifer_lb*F2_Heifer_Units</f>
        <v>0</v>
      </c>
      <c r="AT36" s="1739" t="s">
        <v>277</v>
      </c>
      <c r="AU36" s="1742"/>
      <c r="AV36" s="1737"/>
      <c r="AW36" s="1575"/>
      <c r="AX36" s="1741"/>
      <c r="AY36" s="1738">
        <f>AW36*F2_DMI_Heifer_Calf_lb*F2_Heifer_Calf_Units</f>
        <v>0</v>
      </c>
      <c r="AZ36" s="1739" t="s">
        <v>277</v>
      </c>
      <c r="BA36" s="1742"/>
      <c r="BB36" s="1737"/>
      <c r="BC36" s="1743">
        <f>AG36+AM36+AS36+AY36</f>
        <v>0</v>
      </c>
      <c r="BD36" s="1744"/>
    </row>
    <row r="37" spans="1:56" s="21" customFormat="1" ht="3.75" customHeight="1">
      <c r="A37" s="209"/>
      <c r="B37" s="1726"/>
      <c r="C37" s="194"/>
      <c r="D37" s="1728"/>
      <c r="E37" s="1728"/>
      <c r="F37" s="1729"/>
      <c r="G37" s="1730"/>
      <c r="H37" s="1730"/>
      <c r="I37" s="1731"/>
      <c r="J37" s="1745"/>
      <c r="K37" s="1732"/>
      <c r="L37" s="1728"/>
      <c r="M37" s="1728"/>
      <c r="N37" s="1733"/>
      <c r="O37" s="1728"/>
      <c r="P37" s="1745"/>
      <c r="Q37" s="1732"/>
      <c r="R37" s="1728"/>
      <c r="S37" s="1728"/>
      <c r="T37" s="1733"/>
      <c r="U37" s="1728"/>
      <c r="V37" s="1745"/>
      <c r="W37" s="1732"/>
      <c r="X37" s="1728"/>
      <c r="Y37" s="1728"/>
      <c r="Z37" s="1733"/>
      <c r="AA37" s="1728"/>
      <c r="AB37" s="1746"/>
      <c r="AC37" s="1735"/>
      <c r="AD37" s="1736"/>
      <c r="AE37" s="1737"/>
      <c r="AF37" s="1737"/>
      <c r="AG37" s="1738"/>
      <c r="AH37" s="1739"/>
      <c r="AI37" s="1739"/>
      <c r="AJ37" s="1740"/>
      <c r="AK37" s="1747"/>
      <c r="AL37" s="1741"/>
      <c r="AM37" s="1737"/>
      <c r="AN37" s="1737"/>
      <c r="AO37" s="1742"/>
      <c r="AP37" s="1737"/>
      <c r="AQ37" s="1747"/>
      <c r="AR37" s="1741"/>
      <c r="AS37" s="1737"/>
      <c r="AT37" s="1737"/>
      <c r="AU37" s="1742"/>
      <c r="AV37" s="1737"/>
      <c r="AW37" s="1747"/>
      <c r="AX37" s="1741"/>
      <c r="AY37" s="1737"/>
      <c r="AZ37" s="1737"/>
      <c r="BA37" s="1742"/>
      <c r="BB37" s="1737"/>
      <c r="BC37" s="1748"/>
      <c r="BD37" s="1744"/>
    </row>
    <row r="38" spans="1:56" s="21" customFormat="1">
      <c r="A38" s="209" t="s">
        <v>25</v>
      </c>
      <c r="B38" s="1772"/>
      <c r="C38" s="1773"/>
      <c r="D38" s="1727">
        <f>'Step 8a--DMI Worksheet'!O22</f>
        <v>0</v>
      </c>
      <c r="E38" s="1728"/>
      <c r="F38" s="1729">
        <f>D38*F1_DMI_Lact_Cow_lb</f>
        <v>0</v>
      </c>
      <c r="G38" s="1730" t="s">
        <v>277</v>
      </c>
      <c r="H38" s="1730"/>
      <c r="I38" s="1731"/>
      <c r="J38" s="1575"/>
      <c r="K38" s="1732"/>
      <c r="L38" s="1729">
        <f>J38*F1_DMI_Dry_Cow_lb*F1_Dry_Cow_Units</f>
        <v>0</v>
      </c>
      <c r="M38" s="1730" t="s">
        <v>277</v>
      </c>
      <c r="N38" s="1733"/>
      <c r="O38" s="1728"/>
      <c r="P38" s="1575"/>
      <c r="Q38" s="1732"/>
      <c r="R38" s="1729">
        <f>P38*F1_DMI_Heifer_lb*F1_Heifer_Units</f>
        <v>0</v>
      </c>
      <c r="S38" s="1730" t="s">
        <v>277</v>
      </c>
      <c r="T38" s="1733"/>
      <c r="U38" s="1728"/>
      <c r="V38" s="1575"/>
      <c r="W38" s="1732"/>
      <c r="X38" s="1729">
        <f>V38*F1_DMI_Heifer_Calf_lb*F1_Heifer_Calf_Units</f>
        <v>0</v>
      </c>
      <c r="Y38" s="1730" t="s">
        <v>277</v>
      </c>
      <c r="Z38" s="1733"/>
      <c r="AA38" s="1728"/>
      <c r="AB38" s="1734">
        <f>F38+L38+R38+X38</f>
        <v>0</v>
      </c>
      <c r="AC38" s="1735"/>
      <c r="AD38" s="1774"/>
      <c r="AE38" s="1961">
        <f>'Step 8a--DMI Worksheet'!AC22</f>
        <v>0</v>
      </c>
      <c r="AF38" s="1737"/>
      <c r="AG38" s="1738">
        <f>AE38*F2_DMI_Lact_Cow_lb</f>
        <v>0</v>
      </c>
      <c r="AH38" s="1739" t="s">
        <v>277</v>
      </c>
      <c r="AI38" s="1739"/>
      <c r="AJ38" s="1740"/>
      <c r="AK38" s="1575"/>
      <c r="AL38" s="1741"/>
      <c r="AM38" s="1738">
        <f>AK38*F2_DMI_Dry_Cow_lb*F2_Dry_Cow_Units</f>
        <v>0</v>
      </c>
      <c r="AN38" s="1739" t="s">
        <v>277</v>
      </c>
      <c r="AO38" s="1742"/>
      <c r="AP38" s="1737"/>
      <c r="AQ38" s="1575"/>
      <c r="AR38" s="1741"/>
      <c r="AS38" s="1738">
        <f>AQ38*F2_DMI_Heifer_lb*F2_Heifer_Units</f>
        <v>0</v>
      </c>
      <c r="AT38" s="1739" t="s">
        <v>277</v>
      </c>
      <c r="AU38" s="1742"/>
      <c r="AV38" s="1737"/>
      <c r="AW38" s="1575"/>
      <c r="AX38" s="1741"/>
      <c r="AY38" s="1738">
        <f>AW38*F2_DMI_Heifer_Calf_lb*F2_Heifer_Calf_Units</f>
        <v>0</v>
      </c>
      <c r="AZ38" s="1739" t="s">
        <v>277</v>
      </c>
      <c r="BA38" s="1742"/>
      <c r="BB38" s="1737"/>
      <c r="BC38" s="1743">
        <f>AG38+AM38+AS38+AY38</f>
        <v>0</v>
      </c>
      <c r="BD38" s="1744"/>
    </row>
    <row r="39" spans="1:56" s="21" customFormat="1" ht="3.75" customHeight="1">
      <c r="A39" s="209"/>
      <c r="B39" s="1726"/>
      <c r="C39" s="194"/>
      <c r="D39" s="1728"/>
      <c r="E39" s="1728"/>
      <c r="F39" s="1729"/>
      <c r="G39" s="1730"/>
      <c r="H39" s="1730"/>
      <c r="I39" s="1731"/>
      <c r="J39" s="1745"/>
      <c r="K39" s="1732"/>
      <c r="L39" s="1728"/>
      <c r="M39" s="1728"/>
      <c r="N39" s="1733"/>
      <c r="O39" s="1728"/>
      <c r="P39" s="1745"/>
      <c r="Q39" s="1732"/>
      <c r="R39" s="1728"/>
      <c r="S39" s="1728"/>
      <c r="T39" s="1733"/>
      <c r="U39" s="1728"/>
      <c r="V39" s="1745"/>
      <c r="W39" s="1732"/>
      <c r="X39" s="1728"/>
      <c r="Y39" s="1728"/>
      <c r="Z39" s="1733"/>
      <c r="AA39" s="1728"/>
      <c r="AB39" s="1746"/>
      <c r="AC39" s="1735"/>
      <c r="AD39" s="1736"/>
      <c r="AE39" s="1737"/>
      <c r="AF39" s="1737"/>
      <c r="AG39" s="1738"/>
      <c r="AH39" s="1739"/>
      <c r="AI39" s="1739"/>
      <c r="AJ39" s="1740"/>
      <c r="AK39" s="1747"/>
      <c r="AL39" s="1741"/>
      <c r="AM39" s="1737"/>
      <c r="AN39" s="1737"/>
      <c r="AO39" s="1742"/>
      <c r="AP39" s="1737"/>
      <c r="AQ39" s="1747"/>
      <c r="AR39" s="1741"/>
      <c r="AS39" s="1737"/>
      <c r="AT39" s="1737"/>
      <c r="AU39" s="1742"/>
      <c r="AV39" s="1737"/>
      <c r="AW39" s="1747"/>
      <c r="AX39" s="1741"/>
      <c r="AY39" s="1737"/>
      <c r="AZ39" s="1737"/>
      <c r="BA39" s="1742"/>
      <c r="BB39" s="1737"/>
      <c r="BC39" s="1748"/>
      <c r="BD39" s="1744"/>
    </row>
    <row r="40" spans="1:56" s="21" customFormat="1">
      <c r="A40" s="209" t="s">
        <v>27</v>
      </c>
      <c r="B40" s="1726"/>
      <c r="C40" s="194"/>
      <c r="D40" s="1727">
        <f>'Step 8a--DMI Worksheet'!O23</f>
        <v>0</v>
      </c>
      <c r="E40" s="1728"/>
      <c r="F40" s="1729">
        <f>D40*F1_DMI_Lact_Cow_lb</f>
        <v>0</v>
      </c>
      <c r="G40" s="1730" t="s">
        <v>277</v>
      </c>
      <c r="H40" s="1730"/>
      <c r="I40" s="1731"/>
      <c r="J40" s="1575"/>
      <c r="K40" s="1732"/>
      <c r="L40" s="1729">
        <f>J40*F1_DMI_Dry_Cow_lb*F1_Dry_Cow_Units</f>
        <v>0</v>
      </c>
      <c r="M40" s="1730" t="s">
        <v>277</v>
      </c>
      <c r="N40" s="1733"/>
      <c r="O40" s="1728"/>
      <c r="P40" s="1575"/>
      <c r="Q40" s="1732"/>
      <c r="R40" s="1729">
        <f>P40*F1_DMI_Heifer_lb*F1_Heifer_Units</f>
        <v>0</v>
      </c>
      <c r="S40" s="1730" t="s">
        <v>277</v>
      </c>
      <c r="T40" s="1733"/>
      <c r="U40" s="1728"/>
      <c r="V40" s="1575"/>
      <c r="W40" s="1732"/>
      <c r="X40" s="1729">
        <f>V40*F1_DMI_Heifer_Calf_lb*F1_Heifer_Calf_Units</f>
        <v>0</v>
      </c>
      <c r="Y40" s="1730" t="s">
        <v>277</v>
      </c>
      <c r="Z40" s="1733"/>
      <c r="AA40" s="1728"/>
      <c r="AB40" s="1734">
        <f>F40+L40+R40+X40</f>
        <v>0</v>
      </c>
      <c r="AC40" s="1735"/>
      <c r="AD40" s="1736"/>
      <c r="AE40" s="1961">
        <f>'Step 8a--DMI Worksheet'!AC23</f>
        <v>0</v>
      </c>
      <c r="AF40" s="1737"/>
      <c r="AG40" s="1738">
        <f>AE40*F2_DMI_Lact_Cow_lb</f>
        <v>0</v>
      </c>
      <c r="AH40" s="1739" t="s">
        <v>277</v>
      </c>
      <c r="AI40" s="1739"/>
      <c r="AJ40" s="1740"/>
      <c r="AK40" s="1575"/>
      <c r="AL40" s="1741"/>
      <c r="AM40" s="1738">
        <f>AK40*F2_DMI_Dry_Cow_lb*F2_Dry_Cow_Units</f>
        <v>0</v>
      </c>
      <c r="AN40" s="1739" t="s">
        <v>277</v>
      </c>
      <c r="AO40" s="1742"/>
      <c r="AP40" s="1737"/>
      <c r="AQ40" s="1575"/>
      <c r="AR40" s="1741"/>
      <c r="AS40" s="1738">
        <f>AQ40*F2_DMI_Heifer_lb*F2_Heifer_Units</f>
        <v>0</v>
      </c>
      <c r="AT40" s="1739" t="s">
        <v>277</v>
      </c>
      <c r="AU40" s="1742"/>
      <c r="AV40" s="1737"/>
      <c r="AW40" s="1575"/>
      <c r="AX40" s="1741"/>
      <c r="AY40" s="1738">
        <f>AW40*F2_DMI_Heifer_Calf_lb*F2_Heifer_Calf_Units</f>
        <v>0</v>
      </c>
      <c r="AZ40" s="1739" t="s">
        <v>277</v>
      </c>
      <c r="BA40" s="1742"/>
      <c r="BB40" s="1737"/>
      <c r="BC40" s="1743">
        <f>AG40+AM40+AS40+AY40</f>
        <v>0</v>
      </c>
      <c r="BD40" s="1744"/>
    </row>
    <row r="41" spans="1:56" s="21" customFormat="1" ht="3.75" customHeight="1">
      <c r="A41" s="209"/>
      <c r="B41" s="1726"/>
      <c r="C41" s="194"/>
      <c r="D41" s="1728"/>
      <c r="E41" s="1728"/>
      <c r="F41" s="1729"/>
      <c r="G41" s="1730"/>
      <c r="H41" s="1730"/>
      <c r="I41" s="1731"/>
      <c r="J41" s="1745"/>
      <c r="K41" s="1732"/>
      <c r="L41" s="1728"/>
      <c r="M41" s="1728"/>
      <c r="N41" s="1733"/>
      <c r="O41" s="1728"/>
      <c r="P41" s="1745"/>
      <c r="Q41" s="1732"/>
      <c r="R41" s="1728"/>
      <c r="S41" s="1728"/>
      <c r="T41" s="1733"/>
      <c r="U41" s="1728"/>
      <c r="V41" s="1745"/>
      <c r="W41" s="1732"/>
      <c r="X41" s="1728"/>
      <c r="Y41" s="1728"/>
      <c r="Z41" s="1733"/>
      <c r="AA41" s="1728"/>
      <c r="AB41" s="1746"/>
      <c r="AC41" s="1735"/>
      <c r="AD41" s="1736"/>
      <c r="AE41" s="1737"/>
      <c r="AF41" s="1737"/>
      <c r="AG41" s="1738"/>
      <c r="AH41" s="1739"/>
      <c r="AI41" s="1739"/>
      <c r="AJ41" s="1740"/>
      <c r="AK41" s="1747"/>
      <c r="AL41" s="1741"/>
      <c r="AM41" s="1737"/>
      <c r="AN41" s="1737"/>
      <c r="AO41" s="1742"/>
      <c r="AP41" s="1737"/>
      <c r="AQ41" s="1747"/>
      <c r="AR41" s="1741"/>
      <c r="AS41" s="1737"/>
      <c r="AT41" s="1737"/>
      <c r="AU41" s="1742"/>
      <c r="AV41" s="1737"/>
      <c r="AW41" s="1747"/>
      <c r="AX41" s="1741"/>
      <c r="AY41" s="1737"/>
      <c r="AZ41" s="1737"/>
      <c r="BA41" s="1742"/>
      <c r="BB41" s="1737"/>
      <c r="BC41" s="1748"/>
      <c r="BD41" s="1744"/>
    </row>
    <row r="42" spans="1:56" s="21" customFormat="1">
      <c r="A42" s="3515" t="str">
        <f>IF('Step 7a--Feedstuff Required'!B38="[add grain crop here]"," ",'Step 7a--Feedstuff Required'!B38)</f>
        <v xml:space="preserve"> </v>
      </c>
      <c r="B42" s="1726"/>
      <c r="C42" s="194"/>
      <c r="D42" s="1727">
        <f>'Step 8a--DMI Worksheet'!O24</f>
        <v>0</v>
      </c>
      <c r="E42" s="1728"/>
      <c r="F42" s="1729">
        <f>D42*F1_DMI_Lact_Cow_lb</f>
        <v>0</v>
      </c>
      <c r="G42" s="1730" t="s">
        <v>277</v>
      </c>
      <c r="H42" s="1730"/>
      <c r="I42" s="1731"/>
      <c r="J42" s="1575"/>
      <c r="K42" s="1732"/>
      <c r="L42" s="1729">
        <f>J42*F1_DMI_Dry_Cow_lb*F1_Dry_Cow_Units</f>
        <v>0</v>
      </c>
      <c r="M42" s="1730" t="s">
        <v>277</v>
      </c>
      <c r="N42" s="1733"/>
      <c r="O42" s="1728"/>
      <c r="P42" s="1575"/>
      <c r="Q42" s="1732"/>
      <c r="R42" s="1729">
        <f>P42*F1_DMI_Heifer_lb*F1_Heifer_Units</f>
        <v>0</v>
      </c>
      <c r="S42" s="1730" t="s">
        <v>277</v>
      </c>
      <c r="T42" s="1733"/>
      <c r="U42" s="1728"/>
      <c r="V42" s="1575"/>
      <c r="W42" s="1732"/>
      <c r="X42" s="1729">
        <f>V42*F1_DMI_Heifer_Calf_lb*F1_Heifer_Calf_Units</f>
        <v>0</v>
      </c>
      <c r="Y42" s="1730" t="s">
        <v>277</v>
      </c>
      <c r="Z42" s="1733"/>
      <c r="AA42" s="1728"/>
      <c r="AB42" s="1734">
        <f>F42+L42+R42+X42</f>
        <v>0</v>
      </c>
      <c r="AC42" s="1735"/>
      <c r="AD42" s="1736"/>
      <c r="AE42" s="1961">
        <f>'Step 8a--DMI Worksheet'!AC24</f>
        <v>0</v>
      </c>
      <c r="AF42" s="1737"/>
      <c r="AG42" s="1738">
        <f>AE42*F2_DMI_Lact_Cow_lb</f>
        <v>0</v>
      </c>
      <c r="AH42" s="1739" t="s">
        <v>277</v>
      </c>
      <c r="AI42" s="1739"/>
      <c r="AJ42" s="1740"/>
      <c r="AK42" s="1575"/>
      <c r="AL42" s="1741"/>
      <c r="AM42" s="1738">
        <f>AK42*F2_DMI_Dry_Cow_lb*F2_Dry_Cow_Units</f>
        <v>0</v>
      </c>
      <c r="AN42" s="1739" t="s">
        <v>277</v>
      </c>
      <c r="AO42" s="1742"/>
      <c r="AP42" s="1737"/>
      <c r="AQ42" s="1575"/>
      <c r="AR42" s="1741"/>
      <c r="AS42" s="1738">
        <f>AQ42*F2_DMI_Heifer_lb*F2_Heifer_Units</f>
        <v>0</v>
      </c>
      <c r="AT42" s="1739" t="s">
        <v>277</v>
      </c>
      <c r="AU42" s="1742"/>
      <c r="AV42" s="1737"/>
      <c r="AW42" s="1575"/>
      <c r="AX42" s="1741"/>
      <c r="AY42" s="1738">
        <f>AW42*F2_DMI_Heifer_Calf_lb*F2_Heifer_Calf_Units</f>
        <v>0</v>
      </c>
      <c r="AZ42" s="1739" t="s">
        <v>277</v>
      </c>
      <c r="BA42" s="1742"/>
      <c r="BB42" s="1737"/>
      <c r="BC42" s="1743">
        <f>AG42+AM42+AS42+AY42</f>
        <v>0</v>
      </c>
      <c r="BD42" s="1744"/>
    </row>
    <row r="43" spans="1:56" s="21" customFormat="1" ht="3.75" customHeight="1">
      <c r="A43" s="3515"/>
      <c r="B43" s="1726"/>
      <c r="C43" s="194"/>
      <c r="D43" s="1728"/>
      <c r="E43" s="1728"/>
      <c r="F43" s="1729"/>
      <c r="G43" s="1730"/>
      <c r="H43" s="1730"/>
      <c r="I43" s="1731"/>
      <c r="J43" s="1745"/>
      <c r="K43" s="1732"/>
      <c r="L43" s="1728"/>
      <c r="M43" s="1728"/>
      <c r="N43" s="1733"/>
      <c r="O43" s="1728"/>
      <c r="P43" s="1745"/>
      <c r="Q43" s="1732"/>
      <c r="R43" s="1728"/>
      <c r="S43" s="1728"/>
      <c r="T43" s="1733"/>
      <c r="U43" s="1728"/>
      <c r="V43" s="1745"/>
      <c r="W43" s="1732"/>
      <c r="X43" s="1728"/>
      <c r="Y43" s="1728"/>
      <c r="Z43" s="1733"/>
      <c r="AA43" s="1728"/>
      <c r="AB43" s="1746"/>
      <c r="AC43" s="1735"/>
      <c r="AD43" s="1736"/>
      <c r="AE43" s="1737"/>
      <c r="AF43" s="1737"/>
      <c r="AG43" s="1738"/>
      <c r="AH43" s="1739"/>
      <c r="AI43" s="1739"/>
      <c r="AJ43" s="1740"/>
      <c r="AK43" s="1747"/>
      <c r="AL43" s="1741"/>
      <c r="AM43" s="1737"/>
      <c r="AN43" s="1737"/>
      <c r="AO43" s="1742"/>
      <c r="AP43" s="1737"/>
      <c r="AQ43" s="1747"/>
      <c r="AR43" s="1741"/>
      <c r="AS43" s="1737"/>
      <c r="AT43" s="1737"/>
      <c r="AU43" s="1742"/>
      <c r="AV43" s="1737"/>
      <c r="AW43" s="1747"/>
      <c r="AX43" s="1741"/>
      <c r="AY43" s="1737"/>
      <c r="AZ43" s="1737"/>
      <c r="BA43" s="1742"/>
      <c r="BB43" s="1737"/>
      <c r="BC43" s="1748"/>
      <c r="BD43" s="1744"/>
    </row>
    <row r="44" spans="1:56" s="21" customFormat="1">
      <c r="A44" s="3515" t="str">
        <f>IF('Step 7a--Feedstuff Required'!B40="[add grain crop here]"," ",'Step 7a--Feedstuff Required'!B40)</f>
        <v xml:space="preserve"> </v>
      </c>
      <c r="B44" s="1726"/>
      <c r="C44" s="194"/>
      <c r="D44" s="1727">
        <f>'Step 8a--DMI Worksheet'!O25</f>
        <v>0</v>
      </c>
      <c r="E44" s="1728"/>
      <c r="F44" s="1729">
        <f>D44*F1_DMI_Lact_Cow_lb</f>
        <v>0</v>
      </c>
      <c r="G44" s="1730" t="s">
        <v>277</v>
      </c>
      <c r="H44" s="1730"/>
      <c r="I44" s="1731"/>
      <c r="J44" s="1575"/>
      <c r="K44" s="1732"/>
      <c r="L44" s="1729">
        <f>J44*F1_DMI_Dry_Cow_lb*F1_Dry_Cow_Units</f>
        <v>0</v>
      </c>
      <c r="M44" s="1730" t="s">
        <v>277</v>
      </c>
      <c r="N44" s="1733"/>
      <c r="O44" s="1728"/>
      <c r="P44" s="1575"/>
      <c r="Q44" s="1732"/>
      <c r="R44" s="1729">
        <f>P44*F1_DMI_Heifer_lb*F1_Heifer_Units</f>
        <v>0</v>
      </c>
      <c r="S44" s="1730" t="s">
        <v>277</v>
      </c>
      <c r="T44" s="1733"/>
      <c r="U44" s="1728"/>
      <c r="V44" s="1575"/>
      <c r="W44" s="1732"/>
      <c r="X44" s="1729">
        <f>V44*F1_DMI_Heifer_Calf_lb*F1_Heifer_Calf_Units</f>
        <v>0</v>
      </c>
      <c r="Y44" s="1730" t="s">
        <v>277</v>
      </c>
      <c r="Z44" s="1733"/>
      <c r="AA44" s="1728"/>
      <c r="AB44" s="1734">
        <f>F44+L44+R44+X44</f>
        <v>0</v>
      </c>
      <c r="AC44" s="1735"/>
      <c r="AD44" s="1736"/>
      <c r="AE44" s="1961">
        <f>'Step 8a--DMI Worksheet'!AC25</f>
        <v>0</v>
      </c>
      <c r="AF44" s="1737"/>
      <c r="AG44" s="1738">
        <f>AE44*F2_DMI_Lact_Cow_lb</f>
        <v>0</v>
      </c>
      <c r="AH44" s="1739" t="s">
        <v>277</v>
      </c>
      <c r="AI44" s="1739"/>
      <c r="AJ44" s="1740"/>
      <c r="AK44" s="1575"/>
      <c r="AL44" s="1741"/>
      <c r="AM44" s="1738">
        <f>AK44*F2_DMI_Dry_Cow_lb*F2_Dry_Cow_Units</f>
        <v>0</v>
      </c>
      <c r="AN44" s="1739" t="s">
        <v>277</v>
      </c>
      <c r="AO44" s="1742"/>
      <c r="AP44" s="1737"/>
      <c r="AQ44" s="1575"/>
      <c r="AR44" s="1741"/>
      <c r="AS44" s="1738">
        <f>AQ44*F2_DMI_Heifer_lb*F2_Heifer_Units</f>
        <v>0</v>
      </c>
      <c r="AT44" s="1739" t="s">
        <v>277</v>
      </c>
      <c r="AU44" s="1742"/>
      <c r="AV44" s="1737"/>
      <c r="AW44" s="1575"/>
      <c r="AX44" s="1741"/>
      <c r="AY44" s="1738">
        <f>AW44*F2_DMI_Heifer_Calf_lb*F2_Heifer_Calf_Units</f>
        <v>0</v>
      </c>
      <c r="AZ44" s="1739" t="s">
        <v>277</v>
      </c>
      <c r="BA44" s="1742"/>
      <c r="BB44" s="1737"/>
      <c r="BC44" s="1743">
        <f>AG44+AM44+AS44+AY44</f>
        <v>0</v>
      </c>
      <c r="BD44" s="1744"/>
    </row>
    <row r="45" spans="1:56" s="21" customFormat="1" ht="3.75" customHeight="1">
      <c r="A45" s="3515"/>
      <c r="B45" s="1726"/>
      <c r="C45" s="194"/>
      <c r="D45" s="1728"/>
      <c r="E45" s="1728"/>
      <c r="F45" s="1729"/>
      <c r="G45" s="1730"/>
      <c r="H45" s="1730"/>
      <c r="I45" s="1731"/>
      <c r="J45" s="1745"/>
      <c r="K45" s="1732"/>
      <c r="L45" s="1728"/>
      <c r="M45" s="1728"/>
      <c r="N45" s="1733"/>
      <c r="O45" s="1728"/>
      <c r="P45" s="1745"/>
      <c r="Q45" s="1732"/>
      <c r="R45" s="1728"/>
      <c r="S45" s="1728"/>
      <c r="T45" s="1733"/>
      <c r="U45" s="1728"/>
      <c r="V45" s="1745"/>
      <c r="W45" s="1732"/>
      <c r="X45" s="1728"/>
      <c r="Y45" s="1728"/>
      <c r="Z45" s="1733"/>
      <c r="AA45" s="1728"/>
      <c r="AB45" s="1746"/>
      <c r="AC45" s="1735"/>
      <c r="AD45" s="1736"/>
      <c r="AE45" s="1737"/>
      <c r="AF45" s="1737"/>
      <c r="AG45" s="1738"/>
      <c r="AH45" s="1739"/>
      <c r="AI45" s="1739"/>
      <c r="AJ45" s="1740"/>
      <c r="AK45" s="1747"/>
      <c r="AL45" s="1741"/>
      <c r="AM45" s="1737"/>
      <c r="AN45" s="1737"/>
      <c r="AO45" s="1742"/>
      <c r="AP45" s="1737"/>
      <c r="AQ45" s="1747"/>
      <c r="AR45" s="1741"/>
      <c r="AS45" s="1737"/>
      <c r="AT45" s="1737"/>
      <c r="AU45" s="1742"/>
      <c r="AV45" s="1737"/>
      <c r="AW45" s="1747"/>
      <c r="AX45" s="1741"/>
      <c r="AY45" s="1737"/>
      <c r="AZ45" s="1737"/>
      <c r="BA45" s="1742"/>
      <c r="BB45" s="1737"/>
      <c r="BC45" s="1748"/>
      <c r="BD45" s="1744"/>
    </row>
    <row r="46" spans="1:56" s="21" customFormat="1">
      <c r="A46" s="3515" t="str">
        <f>IF('Step 7a--Feedstuff Required'!B42="[add grain crop here]"," ",'Step 7a--Feedstuff Required'!B42)</f>
        <v xml:space="preserve"> </v>
      </c>
      <c r="B46" s="1726"/>
      <c r="C46" s="194"/>
      <c r="D46" s="1727">
        <f>'Step 8a--DMI Worksheet'!O26</f>
        <v>0</v>
      </c>
      <c r="E46" s="1728"/>
      <c r="F46" s="1729">
        <f>D46*F1_DMI_Lact_Cow_lb</f>
        <v>0</v>
      </c>
      <c r="G46" s="1730" t="s">
        <v>277</v>
      </c>
      <c r="H46" s="1730"/>
      <c r="I46" s="1731"/>
      <c r="J46" s="1575"/>
      <c r="K46" s="1732"/>
      <c r="L46" s="1729">
        <f>J46*F1_DMI_Dry_Cow_lb*F1_Dry_Cow_Units</f>
        <v>0</v>
      </c>
      <c r="M46" s="1730" t="s">
        <v>277</v>
      </c>
      <c r="N46" s="1733"/>
      <c r="O46" s="1728"/>
      <c r="P46" s="1575"/>
      <c r="Q46" s="1732"/>
      <c r="R46" s="1729">
        <f>P46*F1_DMI_Heifer_lb*F1_Heifer_Units</f>
        <v>0</v>
      </c>
      <c r="S46" s="1730" t="s">
        <v>277</v>
      </c>
      <c r="T46" s="1733"/>
      <c r="U46" s="1728"/>
      <c r="V46" s="1575"/>
      <c r="W46" s="1732"/>
      <c r="X46" s="1729">
        <f>V46*F1_DMI_Heifer_Calf_lb*F1_Heifer_Calf_Units</f>
        <v>0</v>
      </c>
      <c r="Y46" s="1730" t="s">
        <v>277</v>
      </c>
      <c r="Z46" s="1733"/>
      <c r="AA46" s="1728"/>
      <c r="AB46" s="1734">
        <f>F46+L46+R46+X46</f>
        <v>0</v>
      </c>
      <c r="AC46" s="1735"/>
      <c r="AD46" s="1736"/>
      <c r="AE46" s="1961">
        <f>'Step 8a--DMI Worksheet'!AC26</f>
        <v>0</v>
      </c>
      <c r="AF46" s="1737"/>
      <c r="AG46" s="1738">
        <f>AE46*F2_DMI_Lact_Cow_lb</f>
        <v>0</v>
      </c>
      <c r="AH46" s="1739" t="s">
        <v>277</v>
      </c>
      <c r="AI46" s="1739"/>
      <c r="AJ46" s="1740"/>
      <c r="AK46" s="1575"/>
      <c r="AL46" s="1741"/>
      <c r="AM46" s="1738">
        <f>AK46*F2_DMI_Dry_Cow_lb*F2_Dry_Cow_Units</f>
        <v>0</v>
      </c>
      <c r="AN46" s="1739" t="s">
        <v>277</v>
      </c>
      <c r="AO46" s="1742"/>
      <c r="AP46" s="1737"/>
      <c r="AQ46" s="1575"/>
      <c r="AR46" s="1741"/>
      <c r="AS46" s="1738">
        <f>AQ46*F2_DMI_Heifer_lb*F2_Heifer_Units</f>
        <v>0</v>
      </c>
      <c r="AT46" s="1739" t="s">
        <v>277</v>
      </c>
      <c r="AU46" s="1742"/>
      <c r="AV46" s="1737"/>
      <c r="AW46" s="1575"/>
      <c r="AX46" s="1741"/>
      <c r="AY46" s="1738">
        <f>AW46*F2_DMI_Heifer_Calf_lb*F2_Heifer_Calf_Units</f>
        <v>0</v>
      </c>
      <c r="AZ46" s="1739" t="s">
        <v>277</v>
      </c>
      <c r="BA46" s="1742"/>
      <c r="BB46" s="1737"/>
      <c r="BC46" s="1743">
        <f>AG46+AM46+AS46+AY46</f>
        <v>0</v>
      </c>
      <c r="BD46" s="1744"/>
    </row>
    <row r="47" spans="1:56" ht="3.75" customHeight="1">
      <c r="A47" s="3518"/>
      <c r="B47" s="788"/>
      <c r="C47" s="1179"/>
      <c r="D47" s="1126"/>
      <c r="E47" s="1126"/>
      <c r="F47" s="1127"/>
      <c r="G47" s="1126"/>
      <c r="H47" s="1126"/>
      <c r="I47" s="1199"/>
      <c r="J47" s="794"/>
      <c r="K47" s="1127"/>
      <c r="L47" s="1126"/>
      <c r="M47" s="1126"/>
      <c r="N47" s="1196"/>
      <c r="O47" s="1126"/>
      <c r="P47" s="794"/>
      <c r="Q47" s="1127"/>
      <c r="R47" s="1126"/>
      <c r="S47" s="1126"/>
      <c r="T47" s="1196"/>
      <c r="U47" s="1126"/>
      <c r="V47" s="794"/>
      <c r="W47" s="1127"/>
      <c r="X47" s="1126"/>
      <c r="Y47" s="1126"/>
      <c r="Z47" s="1196"/>
      <c r="AA47" s="1126"/>
      <c r="AB47" s="1134"/>
      <c r="AC47" s="1202"/>
      <c r="AD47" s="1207"/>
      <c r="AE47" s="1153"/>
      <c r="AF47" s="1153"/>
      <c r="AG47" s="1154"/>
      <c r="AH47" s="1153"/>
      <c r="AI47" s="1153"/>
      <c r="AJ47" s="1208"/>
      <c r="AK47" s="95"/>
      <c r="AL47" s="1154"/>
      <c r="AM47" s="1153"/>
      <c r="AN47" s="1153"/>
      <c r="AO47" s="1209"/>
      <c r="AP47" s="1153"/>
      <c r="AQ47" s="95"/>
      <c r="AR47" s="1154"/>
      <c r="AS47" s="1153"/>
      <c r="AT47" s="1153"/>
      <c r="AU47" s="1209"/>
      <c r="AV47" s="1153"/>
      <c r="AW47" s="95"/>
      <c r="AX47" s="1154"/>
      <c r="AY47" s="1153"/>
      <c r="AZ47" s="1153"/>
      <c r="BA47" s="1209"/>
      <c r="BB47" s="1153"/>
      <c r="BC47" s="1161"/>
      <c r="BD47" s="1248"/>
    </row>
    <row r="48" spans="1:56" s="20" customFormat="1" ht="13.5" thickBot="1">
      <c r="A48" s="3519" t="s">
        <v>5</v>
      </c>
      <c r="B48" s="1726"/>
      <c r="C48" s="194"/>
      <c r="D48" s="1779">
        <f>SUM(D34:D46)</f>
        <v>0.26</v>
      </c>
      <c r="E48" s="1780"/>
      <c r="F48" s="1781">
        <f>SUM(F34:F46)</f>
        <v>13.070200000000002</v>
      </c>
      <c r="G48" s="1800" t="s">
        <v>277</v>
      </c>
      <c r="H48" s="1801"/>
      <c r="I48" s="1802"/>
      <c r="J48" s="1785">
        <f>SUM(J34:J46)</f>
        <v>0</v>
      </c>
      <c r="K48" s="1780"/>
      <c r="L48" s="1781">
        <f>SUM(L34:L46)</f>
        <v>0</v>
      </c>
      <c r="M48" s="1800" t="s">
        <v>277</v>
      </c>
      <c r="N48" s="1801"/>
      <c r="O48" s="1787"/>
      <c r="P48" s="1785">
        <f>SUM(P34:P46)</f>
        <v>0</v>
      </c>
      <c r="Q48" s="1780"/>
      <c r="R48" s="1781">
        <f>SUM(R34:R46)</f>
        <v>0</v>
      </c>
      <c r="S48" s="1800" t="s">
        <v>277</v>
      </c>
      <c r="T48" s="1801"/>
      <c r="U48" s="1787"/>
      <c r="V48" s="1785">
        <f>SUM(V34:V46)</f>
        <v>0</v>
      </c>
      <c r="W48" s="1780"/>
      <c r="X48" s="1781">
        <f>SUM(X34:X46)</f>
        <v>0</v>
      </c>
      <c r="Y48" s="1800" t="s">
        <v>277</v>
      </c>
      <c r="Z48" s="1801"/>
      <c r="AA48" s="1787"/>
      <c r="AB48" s="1788">
        <f>F48+L48+R48+X48</f>
        <v>13.070200000000002</v>
      </c>
      <c r="AC48" s="1789"/>
      <c r="AD48" s="1736"/>
      <c r="AE48" s="3432">
        <f>SUM(AE34:AE46)</f>
        <v>0.22</v>
      </c>
      <c r="AF48" s="1791"/>
      <c r="AG48" s="1792">
        <f>SUM(AG34:AG46)</f>
        <v>10.648</v>
      </c>
      <c r="AH48" s="1803" t="s">
        <v>277</v>
      </c>
      <c r="AI48" s="1804"/>
      <c r="AJ48" s="1805"/>
      <c r="AK48" s="1790">
        <f>SUM(AK34:AK46)</f>
        <v>0</v>
      </c>
      <c r="AL48" s="1791"/>
      <c r="AM48" s="1792">
        <f>SUM(AM34:AM46)</f>
        <v>0</v>
      </c>
      <c r="AN48" s="1803" t="s">
        <v>277</v>
      </c>
      <c r="AO48" s="1804"/>
      <c r="AP48" s="1797"/>
      <c r="AQ48" s="1790">
        <f>SUM(AQ34:AQ46)</f>
        <v>0</v>
      </c>
      <c r="AR48" s="1791"/>
      <c r="AS48" s="1792">
        <f>SUM(AS34:AS46)</f>
        <v>0</v>
      </c>
      <c r="AT48" s="1803" t="s">
        <v>277</v>
      </c>
      <c r="AU48" s="1804"/>
      <c r="AV48" s="1797"/>
      <c r="AW48" s="1790">
        <f>SUM(AW34:AW46)</f>
        <v>0</v>
      </c>
      <c r="AX48" s="1791"/>
      <c r="AY48" s="1792">
        <f>SUM(AY34:AY46)</f>
        <v>0</v>
      </c>
      <c r="AZ48" s="1803" t="s">
        <v>277</v>
      </c>
      <c r="BA48" s="1804"/>
      <c r="BB48" s="1797"/>
      <c r="BC48" s="1798">
        <f>AG48+AM48+AS48+AY48</f>
        <v>10.648</v>
      </c>
      <c r="BD48" s="1799"/>
    </row>
    <row r="49" spans="1:56" ht="15" thickTop="1">
      <c r="A49" s="3518"/>
      <c r="B49" s="788"/>
      <c r="C49" s="1179"/>
      <c r="D49" s="1121"/>
      <c r="E49" s="1121"/>
      <c r="F49" s="1121"/>
      <c r="G49" s="1121"/>
      <c r="H49" s="1121"/>
      <c r="I49" s="1200"/>
      <c r="J49" s="673"/>
      <c r="K49" s="1127"/>
      <c r="L49" s="1121"/>
      <c r="M49" s="1121"/>
      <c r="N49" s="1197"/>
      <c r="O49" s="1121"/>
      <c r="P49" s="673"/>
      <c r="Q49" s="1127"/>
      <c r="R49" s="1121"/>
      <c r="S49" s="1121"/>
      <c r="T49" s="1197"/>
      <c r="U49" s="1121"/>
      <c r="V49" s="673"/>
      <c r="W49" s="1127"/>
      <c r="X49" s="1121"/>
      <c r="Y49" s="1121"/>
      <c r="Z49" s="1197"/>
      <c r="AA49" s="1121"/>
      <c r="AB49" s="1124"/>
      <c r="AC49" s="1202"/>
      <c r="AD49" s="1207"/>
      <c r="AE49" s="1148"/>
      <c r="AF49" s="1148"/>
      <c r="AG49" s="1148"/>
      <c r="AH49" s="1148"/>
      <c r="AI49" s="1148"/>
      <c r="AJ49" s="1211"/>
      <c r="AK49" s="93"/>
      <c r="AL49" s="1154"/>
      <c r="AM49" s="1148"/>
      <c r="AN49" s="1148"/>
      <c r="AO49" s="1212"/>
      <c r="AP49" s="1148"/>
      <c r="AQ49" s="93"/>
      <c r="AR49" s="1154"/>
      <c r="AS49" s="1148"/>
      <c r="AT49" s="1148"/>
      <c r="AU49" s="1212"/>
      <c r="AV49" s="1148"/>
      <c r="AW49" s="93"/>
      <c r="AX49" s="1154"/>
      <c r="AY49" s="1148"/>
      <c r="AZ49" s="1148"/>
      <c r="BA49" s="1212"/>
      <c r="BB49" s="1148"/>
      <c r="BC49" s="1151"/>
      <c r="BD49" s="1248"/>
    </row>
    <row r="50" spans="1:56" ht="20.25" customHeight="1">
      <c r="A50" s="4031" t="s">
        <v>964</v>
      </c>
      <c r="B50" s="4032"/>
      <c r="C50" s="4032"/>
      <c r="D50" s="4032"/>
      <c r="E50" s="4032"/>
      <c r="F50" s="4032"/>
      <c r="G50" s="4032"/>
      <c r="H50" s="4032"/>
      <c r="I50" s="4032"/>
      <c r="J50" s="4032"/>
      <c r="K50" s="4032"/>
      <c r="L50" s="4032"/>
      <c r="M50" s="4032"/>
      <c r="N50" s="4032"/>
      <c r="O50" s="4032"/>
      <c r="P50" s="4032"/>
      <c r="Q50" s="4032"/>
      <c r="R50" s="4032"/>
      <c r="S50" s="4032"/>
      <c r="T50" s="4032"/>
      <c r="U50" s="4032"/>
      <c r="V50" s="4032"/>
      <c r="W50" s="4032"/>
      <c r="X50" s="4032"/>
      <c r="Y50" s="4032"/>
      <c r="Z50" s="4032"/>
      <c r="AA50" s="4032"/>
      <c r="AB50" s="4032"/>
      <c r="AC50" s="4032"/>
      <c r="AD50" s="4032"/>
      <c r="AE50" s="4032"/>
      <c r="AF50" s="4032"/>
      <c r="AG50" s="4032"/>
      <c r="AH50" s="4032"/>
      <c r="AI50" s="4032"/>
      <c r="AJ50" s="4032"/>
      <c r="AK50" s="4032"/>
      <c r="AL50" s="4032"/>
      <c r="AM50" s="4032"/>
      <c r="AN50" s="4032"/>
      <c r="AO50" s="4032"/>
      <c r="AP50" s="4032"/>
      <c r="AQ50" s="4032"/>
      <c r="AR50" s="4032"/>
      <c r="AS50" s="4032"/>
      <c r="AT50" s="4032"/>
      <c r="AU50" s="4032"/>
      <c r="AV50" s="4032"/>
      <c r="AW50" s="4032"/>
      <c r="AX50" s="4032"/>
      <c r="AY50" s="4032"/>
      <c r="AZ50" s="4032"/>
      <c r="BA50" s="4032"/>
      <c r="BB50" s="4032"/>
      <c r="BC50" s="4032"/>
      <c r="BD50" s="4033"/>
    </row>
    <row r="51" spans="1:56" ht="4.5" customHeight="1">
      <c r="A51" s="787"/>
      <c r="B51" s="788"/>
      <c r="C51" s="1179"/>
      <c r="D51" s="794"/>
      <c r="E51" s="794"/>
      <c r="F51" s="794"/>
      <c r="G51" s="1126"/>
      <c r="H51" s="1126"/>
      <c r="I51" s="1199"/>
      <c r="J51" s="794"/>
      <c r="K51" s="1127"/>
      <c r="L51" s="794"/>
      <c r="M51" s="1126"/>
      <c r="N51" s="1196"/>
      <c r="O51" s="1126"/>
      <c r="P51" s="794"/>
      <c r="Q51" s="1127"/>
      <c r="R51" s="794"/>
      <c r="S51" s="1126"/>
      <c r="T51" s="1196"/>
      <c r="U51" s="1126"/>
      <c r="V51" s="794"/>
      <c r="W51" s="1127"/>
      <c r="X51" s="794"/>
      <c r="Y51" s="1126"/>
      <c r="Z51" s="1196"/>
      <c r="AA51" s="1126"/>
      <c r="AB51" s="1130"/>
      <c r="AC51" s="1202"/>
      <c r="AD51" s="1207"/>
      <c r="AE51" s="95"/>
      <c r="AF51" s="95"/>
      <c r="AG51" s="95"/>
      <c r="AH51" s="1153"/>
      <c r="AI51" s="1153"/>
      <c r="AJ51" s="1208"/>
      <c r="AK51" s="95"/>
      <c r="AL51" s="1154"/>
      <c r="AM51" s="95"/>
      <c r="AN51" s="1153"/>
      <c r="AO51" s="1209"/>
      <c r="AP51" s="1153"/>
      <c r="AQ51" s="95"/>
      <c r="AR51" s="1154"/>
      <c r="AS51" s="95"/>
      <c r="AT51" s="1153"/>
      <c r="AU51" s="1209"/>
      <c r="AV51" s="1153"/>
      <c r="AW51" s="95"/>
      <c r="AX51" s="1154"/>
      <c r="AY51" s="95"/>
      <c r="AZ51" s="1153"/>
      <c r="BA51" s="1209"/>
      <c r="BB51" s="1153"/>
      <c r="BC51" s="1157"/>
      <c r="BD51" s="1248"/>
    </row>
    <row r="52" spans="1:56" s="21" customFormat="1">
      <c r="A52" s="209" t="s">
        <v>7</v>
      </c>
      <c r="B52" s="1726"/>
      <c r="C52" s="194"/>
      <c r="D52" s="1727">
        <f>'Step 8a--DMI Worksheet'!O29</f>
        <v>0.14000000000000001</v>
      </c>
      <c r="E52" s="1728"/>
      <c r="F52" s="1729">
        <f>D52*F1_DMI_Lact_Cow_lb</f>
        <v>7.0378000000000007</v>
      </c>
      <c r="G52" s="1730" t="s">
        <v>277</v>
      </c>
      <c r="H52" s="1730"/>
      <c r="I52" s="1731"/>
      <c r="J52" s="1575"/>
      <c r="K52" s="1732"/>
      <c r="L52" s="1729">
        <f>J52*F1_DMI_Dry_Cow_lb*F1_Dry_Cow_Units</f>
        <v>0</v>
      </c>
      <c r="M52" s="1730" t="s">
        <v>277</v>
      </c>
      <c r="N52" s="1733"/>
      <c r="O52" s="1728"/>
      <c r="P52" s="1575"/>
      <c r="Q52" s="1732"/>
      <c r="R52" s="1729">
        <f>P52*F1_DMI_Heifer_lb*F1_Heifer_Units</f>
        <v>0</v>
      </c>
      <c r="S52" s="1730" t="s">
        <v>277</v>
      </c>
      <c r="T52" s="1733"/>
      <c r="U52" s="1728"/>
      <c r="V52" s="1575"/>
      <c r="W52" s="1732"/>
      <c r="X52" s="1729">
        <f>V52*F1_DMI_Heifer_Calf_lb*F1_Heifer_Calf_Units</f>
        <v>0</v>
      </c>
      <c r="Y52" s="1730" t="s">
        <v>277</v>
      </c>
      <c r="Z52" s="1733"/>
      <c r="AA52" s="1728"/>
      <c r="AB52" s="1734">
        <f>F52+L52+R52+X52</f>
        <v>7.0378000000000007</v>
      </c>
      <c r="AC52" s="1735"/>
      <c r="AD52" s="1736"/>
      <c r="AE52" s="1961">
        <f>'Step 8a--DMI Worksheet'!AC29</f>
        <v>0.12</v>
      </c>
      <c r="AF52" s="1737"/>
      <c r="AG52" s="1738">
        <f>AE52*F2_DMI_Lact_Cow_lb</f>
        <v>5.8079999999999998</v>
      </c>
      <c r="AH52" s="1739" t="s">
        <v>277</v>
      </c>
      <c r="AI52" s="1739"/>
      <c r="AJ52" s="1740"/>
      <c r="AK52" s="1575"/>
      <c r="AL52" s="1741"/>
      <c r="AM52" s="1738">
        <f>AK52*F2_DMI_Dry_Cow_lb*F2_Dry_Cow_Units</f>
        <v>0</v>
      </c>
      <c r="AN52" s="1739" t="s">
        <v>277</v>
      </c>
      <c r="AO52" s="1742"/>
      <c r="AP52" s="1737"/>
      <c r="AQ52" s="1575"/>
      <c r="AR52" s="1741"/>
      <c r="AS52" s="1738">
        <f>AQ52*F2_DMI_Heifer_lb*F2_Heifer_Units</f>
        <v>0</v>
      </c>
      <c r="AT52" s="1739" t="s">
        <v>277</v>
      </c>
      <c r="AU52" s="1742"/>
      <c r="AV52" s="1737"/>
      <c r="AW52" s="1575"/>
      <c r="AX52" s="1741"/>
      <c r="AY52" s="1738">
        <f>AW52*F2_DMI_Heifer_Calf_lb*F2_Heifer_Calf_Units</f>
        <v>0</v>
      </c>
      <c r="AZ52" s="1739" t="s">
        <v>277</v>
      </c>
      <c r="BA52" s="1742"/>
      <c r="BB52" s="1737"/>
      <c r="BC52" s="1743">
        <f>AG52+AM52+AS52+AY52</f>
        <v>5.8079999999999998</v>
      </c>
      <c r="BD52" s="1744"/>
    </row>
    <row r="53" spans="1:56" s="21" customFormat="1" ht="3.75" customHeight="1">
      <c r="A53" s="209"/>
      <c r="B53" s="1726"/>
      <c r="C53" s="194"/>
      <c r="D53" s="1728"/>
      <c r="E53" s="1728"/>
      <c r="F53" s="1732"/>
      <c r="G53" s="1728"/>
      <c r="H53" s="1728"/>
      <c r="I53" s="1731"/>
      <c r="J53" s="1745"/>
      <c r="K53" s="1732"/>
      <c r="L53" s="1728"/>
      <c r="M53" s="1728"/>
      <c r="N53" s="1775"/>
      <c r="O53" s="1728"/>
      <c r="P53" s="1745"/>
      <c r="Q53" s="1732"/>
      <c r="R53" s="1728"/>
      <c r="S53" s="1728"/>
      <c r="T53" s="1775"/>
      <c r="U53" s="1728"/>
      <c r="V53" s="1745"/>
      <c r="W53" s="1732"/>
      <c r="X53" s="1728"/>
      <c r="Y53" s="1728"/>
      <c r="Z53" s="1775"/>
      <c r="AA53" s="1728"/>
      <c r="AB53" s="1746"/>
      <c r="AC53" s="1735"/>
      <c r="AD53" s="1736"/>
      <c r="AE53" s="1737"/>
      <c r="AF53" s="1737"/>
      <c r="AG53" s="1741"/>
      <c r="AH53" s="1737"/>
      <c r="AI53" s="1737"/>
      <c r="AJ53" s="1740"/>
      <c r="AK53" s="1747"/>
      <c r="AL53" s="1741"/>
      <c r="AM53" s="1737"/>
      <c r="AN53" s="1737"/>
      <c r="AO53" s="1776"/>
      <c r="AP53" s="1737"/>
      <c r="AQ53" s="1747"/>
      <c r="AR53" s="1741"/>
      <c r="AS53" s="1737"/>
      <c r="AT53" s="1737"/>
      <c r="AU53" s="1776"/>
      <c r="AV53" s="1737"/>
      <c r="AW53" s="1747"/>
      <c r="AX53" s="1741"/>
      <c r="AY53" s="1737"/>
      <c r="AZ53" s="1737"/>
      <c r="BA53" s="1776"/>
      <c r="BB53" s="1737"/>
      <c r="BC53" s="1748"/>
      <c r="BD53" s="1744"/>
    </row>
    <row r="54" spans="1:56" s="21" customFormat="1">
      <c r="A54" s="209" t="s">
        <v>8</v>
      </c>
      <c r="B54" s="1769"/>
      <c r="C54" s="1770"/>
      <c r="D54" s="1727">
        <f>'Step 8a--DMI Worksheet'!O30</f>
        <v>0</v>
      </c>
      <c r="E54" s="1728"/>
      <c r="F54" s="1729">
        <f>D54*F1_DMI_Lact_Cow_lb</f>
        <v>0</v>
      </c>
      <c r="G54" s="1730" t="s">
        <v>277</v>
      </c>
      <c r="H54" s="1730"/>
      <c r="I54" s="1731"/>
      <c r="J54" s="1575"/>
      <c r="K54" s="1732"/>
      <c r="L54" s="1729">
        <f>J54*F1_DMI_Dry_Cow_lb*F1_Dry_Cow_Units</f>
        <v>0</v>
      </c>
      <c r="M54" s="1730" t="s">
        <v>277</v>
      </c>
      <c r="N54" s="1733"/>
      <c r="O54" s="1728"/>
      <c r="P54" s="1575"/>
      <c r="Q54" s="1732"/>
      <c r="R54" s="1729">
        <f>P54*F1_DMI_Heifer_lb*F1_Heifer_Units</f>
        <v>0</v>
      </c>
      <c r="S54" s="1730" t="s">
        <v>277</v>
      </c>
      <c r="T54" s="1733"/>
      <c r="U54" s="1728"/>
      <c r="V54" s="1575"/>
      <c r="W54" s="1732"/>
      <c r="X54" s="1729">
        <f>V54*F1_DMI_Heifer_Calf_lb*F1_Heifer_Calf_Units</f>
        <v>0</v>
      </c>
      <c r="Y54" s="1730" t="s">
        <v>277</v>
      </c>
      <c r="Z54" s="1733"/>
      <c r="AA54" s="1728"/>
      <c r="AB54" s="1734">
        <f>F54+L54+R54+X54</f>
        <v>0</v>
      </c>
      <c r="AC54" s="1735"/>
      <c r="AD54" s="1771"/>
      <c r="AE54" s="1961">
        <f>'Step 8a--DMI Worksheet'!AC30</f>
        <v>0</v>
      </c>
      <c r="AF54" s="1737"/>
      <c r="AG54" s="1738">
        <f>AE54*F2_DMI_Lact_Cow_lb</f>
        <v>0</v>
      </c>
      <c r="AH54" s="1739" t="s">
        <v>277</v>
      </c>
      <c r="AI54" s="1739"/>
      <c r="AJ54" s="1740"/>
      <c r="AK54" s="1575"/>
      <c r="AL54" s="1741"/>
      <c r="AM54" s="1738">
        <f>AK54*F2_DMI_Dry_Cow_lb*F2_Dry_Cow_Units</f>
        <v>0</v>
      </c>
      <c r="AN54" s="1739" t="s">
        <v>277</v>
      </c>
      <c r="AO54" s="1742"/>
      <c r="AP54" s="1737"/>
      <c r="AQ54" s="1575"/>
      <c r="AR54" s="1741"/>
      <c r="AS54" s="1738">
        <f>AQ54*F2_DMI_Heifer_lb*F2_Heifer_Units</f>
        <v>0</v>
      </c>
      <c r="AT54" s="1739" t="s">
        <v>277</v>
      </c>
      <c r="AU54" s="1742"/>
      <c r="AV54" s="1737"/>
      <c r="AW54" s="1575"/>
      <c r="AX54" s="1741"/>
      <c r="AY54" s="1738">
        <f>AW54*F2_DMI_Heifer_Calf_lb*F2_Heifer_Calf_Units</f>
        <v>0</v>
      </c>
      <c r="AZ54" s="1739" t="s">
        <v>277</v>
      </c>
      <c r="BA54" s="1742"/>
      <c r="BB54" s="1737"/>
      <c r="BC54" s="1743">
        <f>AG54+AM54+AS54+AY54</f>
        <v>0</v>
      </c>
      <c r="BD54" s="1744"/>
    </row>
    <row r="55" spans="1:56" s="21" customFormat="1" ht="3.75" customHeight="1">
      <c r="A55" s="209"/>
      <c r="B55" s="1726"/>
      <c r="C55" s="194"/>
      <c r="D55" s="1728"/>
      <c r="E55" s="1728"/>
      <c r="F55" s="1732"/>
      <c r="G55" s="1728"/>
      <c r="H55" s="1728"/>
      <c r="I55" s="1731"/>
      <c r="J55" s="1745"/>
      <c r="K55" s="1732"/>
      <c r="L55" s="1728"/>
      <c r="M55" s="1728"/>
      <c r="N55" s="1775"/>
      <c r="O55" s="1728"/>
      <c r="P55" s="1745"/>
      <c r="Q55" s="1732"/>
      <c r="R55" s="1728"/>
      <c r="S55" s="1728"/>
      <c r="T55" s="1775"/>
      <c r="U55" s="1728"/>
      <c r="V55" s="1745"/>
      <c r="W55" s="1732"/>
      <c r="X55" s="1728"/>
      <c r="Y55" s="1728"/>
      <c r="Z55" s="1775"/>
      <c r="AA55" s="1728"/>
      <c r="AB55" s="1746"/>
      <c r="AC55" s="1735"/>
      <c r="AD55" s="1736"/>
      <c r="AE55" s="1737"/>
      <c r="AF55" s="1737"/>
      <c r="AG55" s="1741"/>
      <c r="AH55" s="1737"/>
      <c r="AI55" s="1737"/>
      <c r="AJ55" s="1740"/>
      <c r="AK55" s="1747"/>
      <c r="AL55" s="1741"/>
      <c r="AM55" s="1737"/>
      <c r="AN55" s="1737"/>
      <c r="AO55" s="1776"/>
      <c r="AP55" s="1737"/>
      <c r="AQ55" s="1747"/>
      <c r="AR55" s="1741"/>
      <c r="AS55" s="1737"/>
      <c r="AT55" s="1737"/>
      <c r="AU55" s="1776"/>
      <c r="AV55" s="1737"/>
      <c r="AW55" s="1747"/>
      <c r="AX55" s="1741"/>
      <c r="AY55" s="1737"/>
      <c r="AZ55" s="1737"/>
      <c r="BA55" s="1776"/>
      <c r="BB55" s="1737"/>
      <c r="BC55" s="1748"/>
      <c r="BD55" s="1744"/>
    </row>
    <row r="56" spans="1:56" s="21" customFormat="1">
      <c r="A56" s="3515" t="str">
        <f>IF('Step 7a--Feedstuff Required'!B52="[add protein source here]"," ",'Step 7a--Feedstuff Required'!B52)</f>
        <v xml:space="preserve"> </v>
      </c>
      <c r="B56" s="1726"/>
      <c r="C56" s="194"/>
      <c r="D56" s="1727">
        <f>'Step 8a--DMI Worksheet'!O31</f>
        <v>0</v>
      </c>
      <c r="E56" s="1728"/>
      <c r="F56" s="1729">
        <f>D56*F1_DMI_Lact_Cow_lb</f>
        <v>0</v>
      </c>
      <c r="G56" s="1730" t="s">
        <v>277</v>
      </c>
      <c r="H56" s="1730"/>
      <c r="I56" s="1731"/>
      <c r="J56" s="1575"/>
      <c r="K56" s="1732"/>
      <c r="L56" s="1729">
        <f>J56*F1_DMI_Dry_Cow_lb*F1_Dry_Cow_Units</f>
        <v>0</v>
      </c>
      <c r="M56" s="1730" t="s">
        <v>277</v>
      </c>
      <c r="N56" s="1733"/>
      <c r="O56" s="1728"/>
      <c r="P56" s="1575"/>
      <c r="Q56" s="1732"/>
      <c r="R56" s="1729">
        <f>P56*F1_DMI_Heifer_lb*F1_Heifer_Units</f>
        <v>0</v>
      </c>
      <c r="S56" s="1730" t="s">
        <v>277</v>
      </c>
      <c r="T56" s="1733"/>
      <c r="U56" s="1728"/>
      <c r="V56" s="1575"/>
      <c r="W56" s="1732"/>
      <c r="X56" s="1729">
        <f>V56*F1_DMI_Heifer_Calf_lb*F1_Heifer_Calf_Units</f>
        <v>0</v>
      </c>
      <c r="Y56" s="1730" t="s">
        <v>277</v>
      </c>
      <c r="Z56" s="1733"/>
      <c r="AA56" s="1728"/>
      <c r="AB56" s="1734">
        <f>F56+L56+R56+X56</f>
        <v>0</v>
      </c>
      <c r="AC56" s="1735"/>
      <c r="AD56" s="1736"/>
      <c r="AE56" s="1961">
        <f>'Step 8a--DMI Worksheet'!AC31</f>
        <v>0</v>
      </c>
      <c r="AF56" s="1737"/>
      <c r="AG56" s="1738">
        <f>AE56*F2_DMI_Lact_Cow_lb</f>
        <v>0</v>
      </c>
      <c r="AH56" s="1739" t="s">
        <v>277</v>
      </c>
      <c r="AI56" s="1739"/>
      <c r="AJ56" s="1740"/>
      <c r="AK56" s="1575"/>
      <c r="AL56" s="1741"/>
      <c r="AM56" s="1738">
        <f>AK56*F2_DMI_Dry_Cow_lb*F2_Dry_Cow_Units</f>
        <v>0</v>
      </c>
      <c r="AN56" s="1739" t="s">
        <v>277</v>
      </c>
      <c r="AO56" s="1742"/>
      <c r="AP56" s="1737"/>
      <c r="AQ56" s="1575"/>
      <c r="AR56" s="1741"/>
      <c r="AS56" s="1738">
        <f>AQ56*F2_DMI_Heifer_lb*F2_Heifer_Units</f>
        <v>0</v>
      </c>
      <c r="AT56" s="1739" t="s">
        <v>277</v>
      </c>
      <c r="AU56" s="1742"/>
      <c r="AV56" s="1737"/>
      <c r="AW56" s="1575"/>
      <c r="AX56" s="1741"/>
      <c r="AY56" s="1738">
        <f>AW56*F2_DMI_Heifer_Calf_lb*F2_Heifer_Calf_Units</f>
        <v>0</v>
      </c>
      <c r="AZ56" s="1739" t="s">
        <v>277</v>
      </c>
      <c r="BA56" s="1742"/>
      <c r="BB56" s="1737"/>
      <c r="BC56" s="1743">
        <f>AG56+AM56+AS56+AY56</f>
        <v>0</v>
      </c>
      <c r="BD56" s="1744"/>
    </row>
    <row r="57" spans="1:56" s="21" customFormat="1" ht="3.75" customHeight="1">
      <c r="A57" s="3515"/>
      <c r="B57" s="1726"/>
      <c r="C57" s="194"/>
      <c r="D57" s="1728"/>
      <c r="E57" s="1728"/>
      <c r="F57" s="1729"/>
      <c r="G57" s="1730"/>
      <c r="H57" s="1730"/>
      <c r="I57" s="1731"/>
      <c r="J57" s="1745"/>
      <c r="K57" s="1732"/>
      <c r="L57" s="1728"/>
      <c r="M57" s="1728"/>
      <c r="N57" s="1733"/>
      <c r="O57" s="1728"/>
      <c r="P57" s="1745"/>
      <c r="Q57" s="1732"/>
      <c r="R57" s="1728"/>
      <c r="S57" s="1728"/>
      <c r="T57" s="1733"/>
      <c r="U57" s="1728"/>
      <c r="V57" s="1745"/>
      <c r="W57" s="1732"/>
      <c r="X57" s="1728"/>
      <c r="Y57" s="1728"/>
      <c r="Z57" s="1733"/>
      <c r="AA57" s="1728"/>
      <c r="AB57" s="1746"/>
      <c r="AC57" s="1735"/>
      <c r="AD57" s="1736"/>
      <c r="AE57" s="1737"/>
      <c r="AF57" s="1737"/>
      <c r="AG57" s="1738"/>
      <c r="AH57" s="1739"/>
      <c r="AI57" s="1739"/>
      <c r="AJ57" s="1740"/>
      <c r="AK57" s="1747"/>
      <c r="AL57" s="1741"/>
      <c r="AM57" s="1737"/>
      <c r="AN57" s="1737"/>
      <c r="AO57" s="1742"/>
      <c r="AP57" s="1737"/>
      <c r="AQ57" s="1747"/>
      <c r="AR57" s="1741"/>
      <c r="AS57" s="1737"/>
      <c r="AT57" s="1737"/>
      <c r="AU57" s="1742"/>
      <c r="AV57" s="1737"/>
      <c r="AW57" s="1747"/>
      <c r="AX57" s="1741"/>
      <c r="AY57" s="1737"/>
      <c r="AZ57" s="1737"/>
      <c r="BA57" s="1742"/>
      <c r="BB57" s="1737"/>
      <c r="BC57" s="1748"/>
      <c r="BD57" s="1744"/>
    </row>
    <row r="58" spans="1:56" s="21" customFormat="1">
      <c r="A58" s="3515" t="str">
        <f>IF('Step 7a--Feedstuff Required'!B54="[add protein source here]"," ",'Step 7a--Feedstuff Required'!B54)</f>
        <v xml:space="preserve"> </v>
      </c>
      <c r="B58" s="1726"/>
      <c r="C58" s="194"/>
      <c r="D58" s="1727">
        <f>'Step 8a--DMI Worksheet'!O32</f>
        <v>0</v>
      </c>
      <c r="E58" s="1728"/>
      <c r="F58" s="1729">
        <f>D58*F1_DMI_Lact_Cow_lb</f>
        <v>0</v>
      </c>
      <c r="G58" s="1730" t="s">
        <v>277</v>
      </c>
      <c r="H58" s="1730"/>
      <c r="I58" s="1731"/>
      <c r="J58" s="1575"/>
      <c r="K58" s="1732"/>
      <c r="L58" s="1729">
        <f>J58*F1_DMI_Dry_Cow_lb*F1_Dry_Cow_Units</f>
        <v>0</v>
      </c>
      <c r="M58" s="1730" t="s">
        <v>277</v>
      </c>
      <c r="N58" s="1733"/>
      <c r="O58" s="1728"/>
      <c r="P58" s="1575"/>
      <c r="Q58" s="1732"/>
      <c r="R58" s="1729">
        <f>P58*F1_DMI_Heifer_lb*F1_Heifer_Units</f>
        <v>0</v>
      </c>
      <c r="S58" s="1730" t="s">
        <v>277</v>
      </c>
      <c r="T58" s="1733"/>
      <c r="U58" s="1728"/>
      <c r="V58" s="1575"/>
      <c r="W58" s="1732"/>
      <c r="X58" s="1729">
        <f>V58*F1_DMI_Heifer_Calf_lb*F1_Heifer_Calf_Units</f>
        <v>0</v>
      </c>
      <c r="Y58" s="1730" t="s">
        <v>277</v>
      </c>
      <c r="Z58" s="1733"/>
      <c r="AA58" s="1728"/>
      <c r="AB58" s="1734">
        <f>F58+L58+R58+X58</f>
        <v>0</v>
      </c>
      <c r="AC58" s="1735"/>
      <c r="AD58" s="1736"/>
      <c r="AE58" s="1961">
        <f>'Step 8a--DMI Worksheet'!AC32</f>
        <v>0</v>
      </c>
      <c r="AF58" s="1737"/>
      <c r="AG58" s="1738">
        <f>AE58*F2_DMI_Lact_Cow_lb</f>
        <v>0</v>
      </c>
      <c r="AH58" s="1739" t="s">
        <v>277</v>
      </c>
      <c r="AI58" s="1739"/>
      <c r="AJ58" s="1740"/>
      <c r="AK58" s="1575"/>
      <c r="AL58" s="1741"/>
      <c r="AM58" s="1738">
        <f>AK58*F2_DMI_Dry_Cow_lb*F2_Dry_Cow_Units</f>
        <v>0</v>
      </c>
      <c r="AN58" s="1739" t="s">
        <v>277</v>
      </c>
      <c r="AO58" s="1742"/>
      <c r="AP58" s="1737"/>
      <c r="AQ58" s="1575"/>
      <c r="AR58" s="1741"/>
      <c r="AS58" s="1738">
        <f>AQ58*F2_DMI_Heifer_lb*F2_Heifer_Units</f>
        <v>0</v>
      </c>
      <c r="AT58" s="1739" t="s">
        <v>277</v>
      </c>
      <c r="AU58" s="1742"/>
      <c r="AV58" s="1737"/>
      <c r="AW58" s="1575"/>
      <c r="AX58" s="1741"/>
      <c r="AY58" s="1738">
        <f>AW58*F2_DMI_Heifer_Calf_lb*F2_Heifer_Calf_Units</f>
        <v>0</v>
      </c>
      <c r="AZ58" s="1739" t="s">
        <v>277</v>
      </c>
      <c r="BA58" s="1742"/>
      <c r="BB58" s="1737"/>
      <c r="BC58" s="1743">
        <f>AG58+AM58+AS58+AY58</f>
        <v>0</v>
      </c>
      <c r="BD58" s="1744"/>
    </row>
    <row r="59" spans="1:56" s="21" customFormat="1" ht="3.75" customHeight="1">
      <c r="A59" s="3515"/>
      <c r="B59" s="1726"/>
      <c r="C59" s="194"/>
      <c r="D59" s="1728"/>
      <c r="E59" s="1728"/>
      <c r="F59" s="1732"/>
      <c r="G59" s="1728"/>
      <c r="H59" s="1728"/>
      <c r="I59" s="1731"/>
      <c r="J59" s="1745"/>
      <c r="K59" s="1732"/>
      <c r="L59" s="1728"/>
      <c r="M59" s="1728"/>
      <c r="N59" s="1775"/>
      <c r="O59" s="1728"/>
      <c r="P59" s="1745"/>
      <c r="Q59" s="1732"/>
      <c r="R59" s="1728"/>
      <c r="S59" s="1728"/>
      <c r="T59" s="1775"/>
      <c r="U59" s="1728"/>
      <c r="V59" s="1745"/>
      <c r="W59" s="1732"/>
      <c r="X59" s="1728"/>
      <c r="Y59" s="1728"/>
      <c r="Z59" s="1775"/>
      <c r="AA59" s="1728"/>
      <c r="AB59" s="1746"/>
      <c r="AC59" s="1735"/>
      <c r="AD59" s="1736"/>
      <c r="AE59" s="1737"/>
      <c r="AF59" s="1737"/>
      <c r="AG59" s="1741"/>
      <c r="AH59" s="1737"/>
      <c r="AI59" s="1737"/>
      <c r="AJ59" s="1740"/>
      <c r="AK59" s="1747"/>
      <c r="AL59" s="1741"/>
      <c r="AM59" s="1737"/>
      <c r="AN59" s="1737"/>
      <c r="AO59" s="1776"/>
      <c r="AP59" s="1737"/>
      <c r="AQ59" s="1747"/>
      <c r="AR59" s="1741"/>
      <c r="AS59" s="1737"/>
      <c r="AT59" s="1737"/>
      <c r="AU59" s="1776"/>
      <c r="AV59" s="1737"/>
      <c r="AW59" s="1747"/>
      <c r="AX59" s="1741"/>
      <c r="AY59" s="1737"/>
      <c r="AZ59" s="1737"/>
      <c r="BA59" s="1776"/>
      <c r="BB59" s="1737"/>
      <c r="BC59" s="1748"/>
      <c r="BD59" s="1744"/>
    </row>
    <row r="60" spans="1:56" s="21" customFormat="1">
      <c r="A60" s="3515" t="str">
        <f>IF('Step 7a--Feedstuff Required'!B56="[add protein source here]"," ",'Step 7a--Feedstuff Required'!B56)</f>
        <v xml:space="preserve"> </v>
      </c>
      <c r="B60" s="1726"/>
      <c r="C60" s="194"/>
      <c r="D60" s="1727">
        <f>'Step 8a--DMI Worksheet'!O33</f>
        <v>0</v>
      </c>
      <c r="E60" s="1728"/>
      <c r="F60" s="1729">
        <f>D60*F1_DMI_Lact_Cow_lb</f>
        <v>0</v>
      </c>
      <c r="G60" s="1730" t="s">
        <v>277</v>
      </c>
      <c r="H60" s="1730"/>
      <c r="I60" s="1731"/>
      <c r="J60" s="1575"/>
      <c r="K60" s="1732"/>
      <c r="L60" s="1729">
        <f>J60*F1_DMI_Dry_Cow_lb*F1_Dry_Cow_Units</f>
        <v>0</v>
      </c>
      <c r="M60" s="1730" t="s">
        <v>277</v>
      </c>
      <c r="N60" s="1733"/>
      <c r="O60" s="1728"/>
      <c r="P60" s="1575"/>
      <c r="Q60" s="1732"/>
      <c r="R60" s="1729">
        <f>P60*F1_DMI_Heifer_lb*F1_Heifer_Units</f>
        <v>0</v>
      </c>
      <c r="S60" s="1730" t="s">
        <v>277</v>
      </c>
      <c r="T60" s="1733"/>
      <c r="U60" s="1728"/>
      <c r="V60" s="1575"/>
      <c r="W60" s="1732"/>
      <c r="X60" s="1729">
        <f>V60*F1_DMI_Heifer_Calf_lb*F1_Heifer_Calf_Units</f>
        <v>0</v>
      </c>
      <c r="Y60" s="1730" t="s">
        <v>277</v>
      </c>
      <c r="Z60" s="1733"/>
      <c r="AA60" s="1728"/>
      <c r="AB60" s="1734">
        <f>F60+L60+R60+X60</f>
        <v>0</v>
      </c>
      <c r="AC60" s="1735"/>
      <c r="AD60" s="1736"/>
      <c r="AE60" s="1961">
        <f>'Step 8a--DMI Worksheet'!AC33</f>
        <v>0</v>
      </c>
      <c r="AF60" s="1737"/>
      <c r="AG60" s="1738">
        <f>AE60*F2_DMI_Lact_Cow_lb</f>
        <v>0</v>
      </c>
      <c r="AH60" s="1739" t="s">
        <v>277</v>
      </c>
      <c r="AI60" s="1739"/>
      <c r="AJ60" s="1740"/>
      <c r="AK60" s="1575"/>
      <c r="AL60" s="1741"/>
      <c r="AM60" s="1738">
        <f>AK60*F2_DMI_Dry_Cow_lb*F2_Dry_Cow_Units</f>
        <v>0</v>
      </c>
      <c r="AN60" s="1739" t="s">
        <v>277</v>
      </c>
      <c r="AO60" s="1742"/>
      <c r="AP60" s="1737"/>
      <c r="AQ60" s="1575"/>
      <c r="AR60" s="1741"/>
      <c r="AS60" s="1738">
        <f>AQ60*F2_DMI_Heifer_lb*F2_Heifer_Units</f>
        <v>0</v>
      </c>
      <c r="AT60" s="1739" t="s">
        <v>277</v>
      </c>
      <c r="AU60" s="1742"/>
      <c r="AV60" s="1737"/>
      <c r="AW60" s="1575"/>
      <c r="AX60" s="1741"/>
      <c r="AY60" s="1738">
        <f>AW60*F2_DMI_Heifer_Calf_lb*F2_Heifer_Calf_Units</f>
        <v>0</v>
      </c>
      <c r="AZ60" s="1739" t="s">
        <v>277</v>
      </c>
      <c r="BA60" s="1742"/>
      <c r="BB60" s="1737"/>
      <c r="BC60" s="1743">
        <f>AG60+AM60+AS60+AY60</f>
        <v>0</v>
      </c>
      <c r="BD60" s="1744"/>
    </row>
    <row r="61" spans="1:56" ht="3.75" customHeight="1">
      <c r="A61" s="3518"/>
      <c r="B61" s="788"/>
      <c r="C61" s="1179"/>
      <c r="D61" s="1126"/>
      <c r="E61" s="1126"/>
      <c r="F61" s="1127"/>
      <c r="G61" s="1126"/>
      <c r="H61" s="1126"/>
      <c r="I61" s="1199"/>
      <c r="J61" s="794"/>
      <c r="K61" s="1127"/>
      <c r="L61" s="1126"/>
      <c r="M61" s="1126"/>
      <c r="N61" s="1196"/>
      <c r="O61" s="1126"/>
      <c r="P61" s="794"/>
      <c r="Q61" s="1127"/>
      <c r="R61" s="1126"/>
      <c r="S61" s="1126"/>
      <c r="T61" s="1196"/>
      <c r="U61" s="1126"/>
      <c r="V61" s="794"/>
      <c r="W61" s="1127"/>
      <c r="X61" s="1126"/>
      <c r="Y61" s="1126"/>
      <c r="Z61" s="1196"/>
      <c r="AA61" s="1126"/>
      <c r="AB61" s="1130"/>
      <c r="AC61" s="1202"/>
      <c r="AD61" s="1207"/>
      <c r="AE61" s="1153"/>
      <c r="AF61" s="1153"/>
      <c r="AG61" s="1154"/>
      <c r="AH61" s="1153"/>
      <c r="AI61" s="1153"/>
      <c r="AJ61" s="1208"/>
      <c r="AK61" s="95"/>
      <c r="AL61" s="1154"/>
      <c r="AM61" s="1153"/>
      <c r="AN61" s="1153"/>
      <c r="AO61" s="1209"/>
      <c r="AP61" s="1153"/>
      <c r="AQ61" s="95"/>
      <c r="AR61" s="1154"/>
      <c r="AS61" s="1153"/>
      <c r="AT61" s="1153"/>
      <c r="AU61" s="1209"/>
      <c r="AV61" s="1153"/>
      <c r="AW61" s="95"/>
      <c r="AX61" s="1154"/>
      <c r="AY61" s="1153"/>
      <c r="AZ61" s="1153"/>
      <c r="BA61" s="1209"/>
      <c r="BB61" s="1153"/>
      <c r="BC61" s="1157"/>
      <c r="BD61" s="1248"/>
    </row>
    <row r="62" spans="1:56" s="20" customFormat="1" ht="13.5" thickBot="1">
      <c r="A62" s="3520" t="s">
        <v>286</v>
      </c>
      <c r="B62" s="1772"/>
      <c r="C62" s="1773"/>
      <c r="D62" s="1806">
        <f>SUM(D52:D60)</f>
        <v>0.14000000000000001</v>
      </c>
      <c r="E62" s="3430"/>
      <c r="F62" s="1808">
        <f>SUM(F52:F60)</f>
        <v>7.0378000000000007</v>
      </c>
      <c r="G62" s="1809" t="s">
        <v>277</v>
      </c>
      <c r="H62" s="1810"/>
      <c r="I62" s="1811"/>
      <c r="J62" s="1812">
        <f>SUM(J52:J60)</f>
        <v>0</v>
      </c>
      <c r="K62" s="1807"/>
      <c r="L62" s="1808">
        <f>SUM(L52:L60)</f>
        <v>0</v>
      </c>
      <c r="M62" s="1809" t="s">
        <v>277</v>
      </c>
      <c r="N62" s="1810"/>
      <c r="O62" s="1813"/>
      <c r="P62" s="1812">
        <f>SUM(P52:P60)</f>
        <v>0</v>
      </c>
      <c r="Q62" s="1807"/>
      <c r="R62" s="1808">
        <f>SUM(R52:R60)</f>
        <v>0</v>
      </c>
      <c r="S62" s="1809" t="s">
        <v>277</v>
      </c>
      <c r="T62" s="1810"/>
      <c r="U62" s="1813"/>
      <c r="V62" s="1812">
        <f>SUM(V52:V60)</f>
        <v>0</v>
      </c>
      <c r="W62" s="1807"/>
      <c r="X62" s="1808">
        <f>SUM(X52:X60)</f>
        <v>0</v>
      </c>
      <c r="Y62" s="1809" t="s">
        <v>277</v>
      </c>
      <c r="Z62" s="1810"/>
      <c r="AA62" s="1813"/>
      <c r="AB62" s="1788">
        <f>F62+L62+R62+X62</f>
        <v>7.0378000000000007</v>
      </c>
      <c r="AC62" s="1814"/>
      <c r="AD62" s="1774"/>
      <c r="AE62" s="3433">
        <f>SUM(AE52:AE60)</f>
        <v>0.12</v>
      </c>
      <c r="AF62" s="3434"/>
      <c r="AG62" s="1817">
        <f>SUM(AG52:AG60)</f>
        <v>5.8079999999999998</v>
      </c>
      <c r="AH62" s="1818" t="s">
        <v>277</v>
      </c>
      <c r="AI62" s="1819"/>
      <c r="AJ62" s="1820"/>
      <c r="AK62" s="1815">
        <f>SUM(AK52:AK60)</f>
        <v>0</v>
      </c>
      <c r="AL62" s="1816"/>
      <c r="AM62" s="1817">
        <f>SUM(AM52:AM60)</f>
        <v>0</v>
      </c>
      <c r="AN62" s="1818" t="s">
        <v>277</v>
      </c>
      <c r="AO62" s="1819"/>
      <c r="AP62" s="1821"/>
      <c r="AQ62" s="1815">
        <f>SUM(AQ52:AQ60)</f>
        <v>0</v>
      </c>
      <c r="AR62" s="1816"/>
      <c r="AS62" s="1817">
        <f>SUM(AS52:AS60)</f>
        <v>0</v>
      </c>
      <c r="AT62" s="1818" t="s">
        <v>277</v>
      </c>
      <c r="AU62" s="1819"/>
      <c r="AV62" s="1821"/>
      <c r="AW62" s="1815">
        <f>SUM(AW52:AW60)</f>
        <v>0</v>
      </c>
      <c r="AX62" s="1816"/>
      <c r="AY62" s="1817">
        <f>SUM(AY52:AY60)</f>
        <v>0</v>
      </c>
      <c r="AZ62" s="1818" t="s">
        <v>277</v>
      </c>
      <c r="BA62" s="1819"/>
      <c r="BB62" s="1821"/>
      <c r="BC62" s="1798">
        <f>AG62+AM62+AS62+AY62</f>
        <v>5.8079999999999998</v>
      </c>
      <c r="BD62" s="1822"/>
    </row>
    <row r="63" spans="1:56" ht="6" customHeight="1" thickTop="1">
      <c r="A63" s="3521"/>
      <c r="B63" s="788"/>
      <c r="C63" s="1179"/>
      <c r="D63" s="1126"/>
      <c r="E63" s="1126"/>
      <c r="F63" s="1126"/>
      <c r="G63" s="1140"/>
      <c r="H63" s="1140"/>
      <c r="I63" s="1140"/>
      <c r="J63" s="1122"/>
      <c r="K63" s="1122"/>
      <c r="L63" s="794"/>
      <c r="M63" s="1140"/>
      <c r="N63" s="1140"/>
      <c r="O63" s="1140"/>
      <c r="P63" s="1141"/>
      <c r="Q63" s="1122"/>
      <c r="R63" s="794"/>
      <c r="S63" s="1140"/>
      <c r="T63" s="1140"/>
      <c r="U63" s="1140"/>
      <c r="V63" s="1129"/>
      <c r="W63" s="1122"/>
      <c r="X63" s="794"/>
      <c r="Y63" s="1140"/>
      <c r="Z63" s="1140"/>
      <c r="AA63" s="1140"/>
      <c r="AB63" s="1124"/>
      <c r="AC63" s="1203"/>
      <c r="AD63" s="1207"/>
      <c r="AE63" s="1153"/>
      <c r="AF63" s="1153"/>
      <c r="AG63" s="1153"/>
      <c r="AH63" s="1167"/>
      <c r="AI63" s="1167"/>
      <c r="AJ63" s="1167"/>
      <c r="AK63" s="1149"/>
      <c r="AL63" s="1149"/>
      <c r="AM63" s="95"/>
      <c r="AN63" s="1167"/>
      <c r="AO63" s="1167"/>
      <c r="AP63" s="1167"/>
      <c r="AQ63" s="1168"/>
      <c r="AR63" s="1149"/>
      <c r="AS63" s="95"/>
      <c r="AT63" s="1167"/>
      <c r="AU63" s="1167"/>
      <c r="AV63" s="1167"/>
      <c r="AW63" s="1156"/>
      <c r="AX63" s="1149"/>
      <c r="AY63" s="95"/>
      <c r="AZ63" s="1167"/>
      <c r="BA63" s="1167"/>
      <c r="BB63" s="1167"/>
      <c r="BC63" s="1151"/>
      <c r="BD63" s="1249"/>
    </row>
    <row r="64" spans="1:56" ht="99.75" customHeight="1">
      <c r="A64" s="1777" t="s">
        <v>106</v>
      </c>
      <c r="B64" s="788"/>
      <c r="C64" s="1179"/>
      <c r="D64" s="3431">
        <f>D30+D48+D62</f>
        <v>1</v>
      </c>
      <c r="E64" s="4737" t="str">
        <f>IF(D64=100%," ","Total Percent of Daily DMI Rations must equal 100%. Re-enter percents on Step 8. DMI Worksheet.")</f>
        <v xml:space="preserve"> </v>
      </c>
      <c r="F64" s="4737"/>
      <c r="G64" s="4737"/>
      <c r="H64" s="4737"/>
      <c r="I64" s="1205"/>
      <c r="J64" s="803">
        <f>J30+J48+J62</f>
        <v>1</v>
      </c>
      <c r="K64" s="4737" t="str">
        <f>IF(J64=100%," ","Total Percent of Daily DMI Rations must equal 100%. Re-enter percentages in column J.")</f>
        <v xml:space="preserve"> </v>
      </c>
      <c r="L64" s="4737"/>
      <c r="M64" s="4737"/>
      <c r="N64" s="4737"/>
      <c r="O64" s="1205"/>
      <c r="P64" s="803">
        <f>P30+P48+P62</f>
        <v>1</v>
      </c>
      <c r="Q64" s="4737" t="str">
        <f>IF(P64=100%," ","Total Percent of Daily DMI Rations must equal 100%. Re-enter percentages in column P.")</f>
        <v xml:space="preserve"> </v>
      </c>
      <c r="R64" s="4737"/>
      <c r="S64" s="4737"/>
      <c r="T64" s="4737"/>
      <c r="U64" s="1205"/>
      <c r="V64" s="803">
        <f>V30+V48+V62</f>
        <v>1</v>
      </c>
      <c r="W64" s="4737" t="str">
        <f>IF(V64=100%," ","Total Percent of Daily DMI Rations must equal 100%. Re-enter percentages in column V.")</f>
        <v xml:space="preserve"> </v>
      </c>
      <c r="X64" s="4737"/>
      <c r="Y64" s="4737"/>
      <c r="Z64" s="4737"/>
      <c r="AA64" s="1205"/>
      <c r="AB64" s="1205"/>
      <c r="AC64" s="1206"/>
      <c r="AD64" s="1207"/>
      <c r="AE64" s="3435">
        <f>AE30+AE48+AE62</f>
        <v>1</v>
      </c>
      <c r="AF64" s="4738" t="str">
        <f>IF(AE64=100%," ","Total Percent of Daily DMI Rations must equal 100%. Re-enter amounts on Step 8. DMI Worksheet.")</f>
        <v xml:space="preserve"> </v>
      </c>
      <c r="AG64" s="4738"/>
      <c r="AH64" s="4738"/>
      <c r="AI64" s="4738"/>
      <c r="AJ64" s="1215"/>
      <c r="AK64" s="1217">
        <f>AK30+AK48+AK62</f>
        <v>1</v>
      </c>
      <c r="AL64" s="4738" t="str">
        <f>IF(AK64=100%," ","Total Percent of Daily DMI Rations must equal 100%. Re-enter percentages in column AK.")</f>
        <v xml:space="preserve"> </v>
      </c>
      <c r="AM64" s="4738"/>
      <c r="AN64" s="4738"/>
      <c r="AO64" s="4738"/>
      <c r="AP64" s="1215"/>
      <c r="AQ64" s="1217">
        <f>AQ30+AQ48+AQ62</f>
        <v>1</v>
      </c>
      <c r="AR64" s="4738" t="str">
        <f>IF(AQ64=100%," ","Total Percent of Daily DMI Rations must equal 100%. Re-enter percentages in column AQ.")</f>
        <v xml:space="preserve"> </v>
      </c>
      <c r="AS64" s="4738"/>
      <c r="AT64" s="4738"/>
      <c r="AU64" s="4738"/>
      <c r="AV64" s="1215"/>
      <c r="AW64" s="1217">
        <f>AW30+AW48+AW62</f>
        <v>1</v>
      </c>
      <c r="AX64" s="4738" t="str">
        <f>IF(AW64=100%," ","Total Percent of Daily DMI Rations must equal 100%. Re-enter percentages in column AW.")</f>
        <v xml:space="preserve"> </v>
      </c>
      <c r="AY64" s="4738"/>
      <c r="AZ64" s="4738"/>
      <c r="BA64" s="4738"/>
      <c r="BB64" s="1215"/>
      <c r="BC64" s="1215"/>
      <c r="BD64" s="1250"/>
    </row>
    <row r="65" spans="1:56" ht="3.75" customHeight="1">
      <c r="A65" s="787"/>
      <c r="B65" s="788"/>
      <c r="C65" s="1179"/>
      <c r="D65" s="794"/>
      <c r="E65" s="794"/>
      <c r="F65" s="794"/>
      <c r="G65" s="1126"/>
      <c r="H65" s="1126"/>
      <c r="I65" s="1126"/>
      <c r="J65" s="1127"/>
      <c r="K65" s="1127"/>
      <c r="L65" s="794"/>
      <c r="M65" s="1126"/>
      <c r="N65" s="1126"/>
      <c r="O65" s="1126"/>
      <c r="P65" s="1128"/>
      <c r="Q65" s="1127"/>
      <c r="R65" s="794"/>
      <c r="S65" s="1126"/>
      <c r="T65" s="1126"/>
      <c r="U65" s="1126"/>
      <c r="V65" s="1133"/>
      <c r="W65" s="1127"/>
      <c r="X65" s="794"/>
      <c r="Y65" s="1126"/>
      <c r="Z65" s="1126"/>
      <c r="AA65" s="1126"/>
      <c r="AB65" s="1134"/>
      <c r="AC65" s="1127"/>
      <c r="AD65" s="1207"/>
      <c r="AE65" s="95"/>
      <c r="AF65" s="95"/>
      <c r="AG65" s="95"/>
      <c r="AH65" s="1153"/>
      <c r="AI65" s="1153"/>
      <c r="AJ65" s="1153"/>
      <c r="AK65" s="1154"/>
      <c r="AL65" s="1154"/>
      <c r="AM65" s="95"/>
      <c r="AN65" s="1153"/>
      <c r="AO65" s="1153"/>
      <c r="AP65" s="1153"/>
      <c r="AQ65" s="1155"/>
      <c r="AR65" s="1154"/>
      <c r="AS65" s="95"/>
      <c r="AT65" s="1153"/>
      <c r="AU65" s="1153"/>
      <c r="AV65" s="1153"/>
      <c r="AW65" s="1160"/>
      <c r="AX65" s="1154"/>
      <c r="AY65" s="95"/>
      <c r="AZ65" s="1153"/>
      <c r="BA65" s="1153"/>
      <c r="BB65" s="1153"/>
      <c r="BC65" s="1161"/>
      <c r="BD65" s="1248"/>
    </row>
    <row r="66" spans="1:56" ht="30" customHeight="1">
      <c r="A66" s="4743" t="s">
        <v>20</v>
      </c>
      <c r="B66" s="4744"/>
      <c r="C66" s="4744"/>
      <c r="D66" s="4744"/>
      <c r="E66" s="4744"/>
      <c r="F66" s="4744"/>
      <c r="G66" s="4744"/>
      <c r="H66" s="4744"/>
      <c r="I66" s="4744"/>
      <c r="J66" s="4744"/>
      <c r="K66" s="4744"/>
      <c r="L66" s="4744"/>
      <c r="M66" s="4744"/>
      <c r="N66" s="4744"/>
      <c r="O66" s="4744"/>
      <c r="P66" s="4744"/>
      <c r="Q66" s="4744"/>
      <c r="R66" s="4744"/>
      <c r="S66" s="4744"/>
      <c r="T66" s="4744"/>
      <c r="U66" s="4744"/>
      <c r="V66" s="4744"/>
      <c r="W66" s="4744"/>
      <c r="X66" s="4744"/>
      <c r="Y66" s="4744"/>
      <c r="Z66" s="4744"/>
      <c r="AA66" s="4744"/>
      <c r="AB66" s="4744"/>
      <c r="AC66" s="4744"/>
      <c r="AD66" s="4744"/>
      <c r="AE66" s="4744"/>
      <c r="AF66" s="4744"/>
      <c r="AG66" s="4744"/>
      <c r="AH66" s="4744"/>
      <c r="AI66" s="4744"/>
      <c r="AJ66" s="4744"/>
      <c r="AK66" s="4744"/>
      <c r="AL66" s="4744"/>
      <c r="AM66" s="4744"/>
      <c r="AN66" s="4744"/>
      <c r="AO66" s="4744"/>
      <c r="AP66" s="4744"/>
      <c r="AQ66" s="4744"/>
      <c r="AR66" s="4744"/>
      <c r="AS66" s="4744"/>
      <c r="AT66" s="4744"/>
      <c r="AU66" s="4744"/>
      <c r="AV66" s="4744"/>
      <c r="AW66" s="4744"/>
      <c r="AX66" s="4744"/>
      <c r="AY66" s="4744"/>
      <c r="AZ66" s="4744"/>
      <c r="BA66" s="4744"/>
      <c r="BB66" s="4744"/>
      <c r="BC66" s="4744"/>
      <c r="BD66" s="4745"/>
    </row>
    <row r="67" spans="1:56" ht="12.75" customHeight="1">
      <c r="A67" s="4739" t="s">
        <v>683</v>
      </c>
      <c r="B67" s="4740"/>
      <c r="C67" s="4740"/>
      <c r="D67" s="4740"/>
      <c r="E67" s="4740"/>
      <c r="F67" s="4740"/>
      <c r="G67" s="4740"/>
      <c r="H67" s="4740"/>
      <c r="I67" s="4740"/>
      <c r="J67" s="4740"/>
      <c r="K67" s="4740"/>
      <c r="L67" s="4740"/>
      <c r="M67" s="4740"/>
      <c r="N67" s="4740"/>
      <c r="O67" s="4740"/>
      <c r="P67" s="4740"/>
      <c r="Q67" s="4740"/>
      <c r="R67" s="4740"/>
      <c r="S67" s="4740"/>
      <c r="T67" s="4740"/>
      <c r="U67" s="4740"/>
      <c r="V67" s="4740"/>
      <c r="W67" s="4740"/>
      <c r="X67" s="4740"/>
      <c r="Y67" s="4740"/>
      <c r="Z67" s="4740"/>
      <c r="AA67" s="4740"/>
      <c r="AB67" s="4740"/>
      <c r="AC67" s="4740"/>
      <c r="AD67" s="4740"/>
      <c r="AE67" s="4740"/>
      <c r="AF67" s="4740"/>
      <c r="AG67" s="4740"/>
      <c r="AH67" s="4740"/>
      <c r="AI67" s="4740"/>
      <c r="AJ67" s="4740"/>
      <c r="AK67" s="4740"/>
      <c r="AL67" s="4740"/>
      <c r="AM67" s="4740"/>
      <c r="AN67" s="4740"/>
      <c r="AO67" s="4740"/>
      <c r="AP67" s="4740"/>
      <c r="AQ67" s="4740"/>
      <c r="AR67" s="4740"/>
      <c r="AS67" s="4740"/>
      <c r="AT67" s="4740"/>
      <c r="AU67" s="4740"/>
      <c r="AV67" s="4740"/>
      <c r="AW67" s="4740"/>
      <c r="AX67" s="4740"/>
      <c r="AY67" s="4740"/>
      <c r="AZ67" s="4740"/>
      <c r="BA67" s="4740"/>
      <c r="BB67" s="4740"/>
      <c r="BC67" s="4740"/>
      <c r="BD67" s="4741"/>
    </row>
    <row r="68" spans="1:56">
      <c r="A68" s="4742" t="s">
        <v>684</v>
      </c>
      <c r="B68" s="3905"/>
      <c r="C68" s="3905"/>
      <c r="D68" s="3905"/>
      <c r="E68" s="3905"/>
      <c r="F68" s="3905"/>
      <c r="G68" s="3905"/>
      <c r="H68" s="3905"/>
      <c r="I68" s="3905"/>
      <c r="J68" s="3905"/>
      <c r="K68" s="3905"/>
      <c r="L68" s="3905"/>
      <c r="M68" s="3905"/>
      <c r="N68" s="3905"/>
      <c r="O68" s="3905"/>
      <c r="P68" s="3905"/>
      <c r="Q68" s="3905"/>
      <c r="R68" s="3905"/>
      <c r="S68" s="3905"/>
      <c r="T68" s="3905"/>
      <c r="U68" s="3905"/>
      <c r="V68" s="3905"/>
      <c r="W68" s="3905"/>
      <c r="X68" s="3905"/>
      <c r="Y68" s="3905"/>
      <c r="Z68" s="3905"/>
      <c r="AA68" s="3905"/>
      <c r="AB68" s="3905"/>
      <c r="AC68" s="3905"/>
      <c r="AD68" s="3905"/>
      <c r="AE68" s="3905"/>
      <c r="AF68" s="3905"/>
      <c r="AG68" s="3905"/>
      <c r="AH68" s="3905"/>
      <c r="AI68" s="3905"/>
      <c r="AJ68" s="3905"/>
      <c r="AK68" s="3905"/>
      <c r="AL68" s="3905"/>
      <c r="AM68" s="3905"/>
      <c r="AN68" s="3905"/>
      <c r="AO68" s="3905"/>
      <c r="AP68" s="3905"/>
      <c r="AQ68" s="3905"/>
      <c r="AR68" s="3905"/>
      <c r="AS68" s="3905"/>
      <c r="AT68" s="3905"/>
      <c r="AU68" s="3905"/>
      <c r="AV68" s="3905"/>
      <c r="AW68" s="3905"/>
      <c r="AX68" s="3905"/>
      <c r="AY68" s="3905"/>
      <c r="AZ68" s="3905"/>
      <c r="BA68" s="3905"/>
      <c r="BB68" s="3905"/>
      <c r="BC68" s="3905"/>
      <c r="BD68" s="3906"/>
    </row>
    <row r="69" spans="1:56">
      <c r="A69" s="4739" t="s">
        <v>685</v>
      </c>
      <c r="B69" s="4740"/>
      <c r="C69" s="4740"/>
      <c r="D69" s="4740"/>
      <c r="E69" s="4740"/>
      <c r="F69" s="4740"/>
      <c r="G69" s="4740"/>
      <c r="H69" s="4740"/>
      <c r="I69" s="4740"/>
      <c r="J69" s="4740"/>
      <c r="K69" s="4740"/>
      <c r="L69" s="4740"/>
      <c r="M69" s="4740"/>
      <c r="N69" s="4740"/>
      <c r="O69" s="4740"/>
      <c r="P69" s="4740"/>
      <c r="Q69" s="4740"/>
      <c r="R69" s="4740"/>
      <c r="S69" s="4740"/>
      <c r="T69" s="4740"/>
      <c r="U69" s="4740"/>
      <c r="V69" s="4740"/>
      <c r="W69" s="4740"/>
      <c r="X69" s="4740"/>
      <c r="Y69" s="4740"/>
      <c r="Z69" s="4740"/>
      <c r="AA69" s="4740"/>
      <c r="AB69" s="4740"/>
      <c r="AC69" s="4740"/>
      <c r="AD69" s="4740"/>
      <c r="AE69" s="4740"/>
      <c r="AF69" s="4740"/>
      <c r="AG69" s="4740"/>
      <c r="AH69" s="4740"/>
      <c r="AI69" s="4740"/>
      <c r="AJ69" s="4740"/>
      <c r="AK69" s="4740"/>
      <c r="AL69" s="4740"/>
      <c r="AM69" s="4740"/>
      <c r="AN69" s="4740"/>
      <c r="AO69" s="4740"/>
      <c r="AP69" s="4740"/>
      <c r="AQ69" s="4740"/>
      <c r="AR69" s="4740"/>
      <c r="AS69" s="4740"/>
      <c r="AT69" s="4740"/>
      <c r="AU69" s="4740"/>
      <c r="AV69" s="4740"/>
      <c r="AW69" s="4740"/>
      <c r="AX69" s="4740"/>
      <c r="AY69" s="4740"/>
      <c r="AZ69" s="4740"/>
      <c r="BA69" s="4740"/>
      <c r="BB69" s="4740"/>
      <c r="BC69" s="4740"/>
      <c r="BD69" s="4741"/>
    </row>
    <row r="70" spans="1:56">
      <c r="A70" s="4742" t="s">
        <v>186</v>
      </c>
      <c r="B70" s="3905"/>
      <c r="C70" s="3905"/>
      <c r="D70" s="3905"/>
      <c r="E70" s="3905"/>
      <c r="F70" s="3905"/>
      <c r="G70" s="3905"/>
      <c r="H70" s="3905"/>
      <c r="I70" s="3905"/>
      <c r="J70" s="3905"/>
      <c r="K70" s="3905"/>
      <c r="L70" s="3905"/>
      <c r="M70" s="3905"/>
      <c r="N70" s="3905"/>
      <c r="O70" s="3905"/>
      <c r="P70" s="3905"/>
      <c r="Q70" s="3905"/>
      <c r="R70" s="3905"/>
      <c r="S70" s="3905"/>
      <c r="T70" s="3905"/>
      <c r="U70" s="3905"/>
      <c r="V70" s="3905"/>
      <c r="W70" s="3905"/>
      <c r="X70" s="3905"/>
      <c r="Y70" s="3905"/>
      <c r="Z70" s="3905"/>
      <c r="AA70" s="3905"/>
      <c r="AB70" s="3905"/>
      <c r="AC70" s="3905"/>
      <c r="AD70" s="3905"/>
      <c r="AE70" s="3905"/>
      <c r="AF70" s="3905"/>
      <c r="AG70" s="3905"/>
      <c r="AH70" s="3905"/>
      <c r="AI70" s="3905"/>
      <c r="AJ70" s="3905"/>
      <c r="AK70" s="3905"/>
      <c r="AL70" s="3905"/>
      <c r="AM70" s="3905"/>
      <c r="AN70" s="3905"/>
      <c r="AO70" s="3905"/>
      <c r="AP70" s="3905"/>
      <c r="AQ70" s="3905"/>
      <c r="AR70" s="3905"/>
      <c r="AS70" s="3905"/>
      <c r="AT70" s="3905"/>
      <c r="AU70" s="3905"/>
      <c r="AV70" s="3905"/>
      <c r="AW70" s="3905"/>
      <c r="AX70" s="3905"/>
      <c r="AY70" s="3905"/>
      <c r="AZ70" s="3905"/>
      <c r="BA70" s="3905"/>
      <c r="BB70" s="3905"/>
      <c r="BC70" s="3905"/>
      <c r="BD70" s="3906"/>
    </row>
    <row r="71" spans="1:56">
      <c r="A71" s="4435" t="s">
        <v>187</v>
      </c>
      <c r="B71" s="4436"/>
      <c r="C71" s="4436"/>
      <c r="D71" s="4436"/>
      <c r="E71" s="4436"/>
      <c r="F71" s="4436"/>
      <c r="G71" s="4436"/>
      <c r="H71" s="4436"/>
      <c r="I71" s="4436"/>
      <c r="J71" s="4436"/>
      <c r="K71" s="4436"/>
      <c r="L71" s="4436"/>
      <c r="M71" s="4436"/>
      <c r="N71" s="4436"/>
      <c r="O71" s="4436"/>
      <c r="P71" s="4436"/>
      <c r="Q71" s="4436"/>
      <c r="R71" s="4436"/>
      <c r="S71" s="4436"/>
      <c r="T71" s="4436"/>
      <c r="U71" s="4436"/>
      <c r="V71" s="4436"/>
      <c r="W71" s="4436"/>
      <c r="X71" s="4436"/>
      <c r="Y71" s="4436"/>
      <c r="Z71" s="4436"/>
      <c r="AA71" s="4436"/>
      <c r="AB71" s="4436"/>
      <c r="AC71" s="4436"/>
      <c r="AD71" s="4436"/>
      <c r="AE71" s="4436"/>
      <c r="AF71" s="4436"/>
      <c r="AG71" s="4436"/>
      <c r="AH71" s="4436"/>
      <c r="AI71" s="4436"/>
      <c r="AJ71" s="4436"/>
      <c r="AK71" s="4436"/>
      <c r="AL71" s="4436"/>
      <c r="AM71" s="4436"/>
      <c r="AN71" s="4436"/>
      <c r="AO71" s="4436"/>
      <c r="AP71" s="4436"/>
      <c r="AQ71" s="4436"/>
      <c r="AR71" s="4436"/>
      <c r="AS71" s="4436"/>
      <c r="AT71" s="4436"/>
      <c r="AU71" s="4436"/>
      <c r="AV71" s="4436"/>
      <c r="AW71" s="4436"/>
      <c r="AX71" s="4436"/>
      <c r="AY71" s="4436"/>
      <c r="AZ71" s="4436"/>
      <c r="BA71" s="4436"/>
      <c r="BB71" s="4436"/>
      <c r="BC71" s="4436"/>
      <c r="BD71" s="4437"/>
    </row>
    <row r="72" spans="1:56" ht="12.75" customHeight="1">
      <c r="A72" s="4742" t="s">
        <v>188</v>
      </c>
      <c r="B72" s="3905"/>
      <c r="C72" s="3905"/>
      <c r="D72" s="3905"/>
      <c r="E72" s="3905"/>
      <c r="F72" s="3905"/>
      <c r="G72" s="3905"/>
      <c r="H72" s="3905"/>
      <c r="I72" s="3905"/>
      <c r="J72" s="3905"/>
      <c r="K72" s="3905"/>
      <c r="L72" s="3905"/>
      <c r="M72" s="3905"/>
      <c r="N72" s="3905"/>
      <c r="O72" s="3905"/>
      <c r="P72" s="3905"/>
      <c r="Q72" s="3905"/>
      <c r="R72" s="3905"/>
      <c r="S72" s="3905"/>
      <c r="T72" s="3905"/>
      <c r="U72" s="3905"/>
      <c r="V72" s="3905"/>
      <c r="W72" s="3905"/>
      <c r="X72" s="3905"/>
      <c r="Y72" s="3905"/>
      <c r="Z72" s="3905"/>
      <c r="AA72" s="3905"/>
      <c r="AB72" s="3905"/>
      <c r="AC72" s="3905"/>
      <c r="AD72" s="3905"/>
      <c r="AE72" s="3905"/>
      <c r="AF72" s="3905"/>
      <c r="AG72" s="3905"/>
      <c r="AH72" s="3905"/>
      <c r="AI72" s="3905"/>
      <c r="AJ72" s="3905"/>
      <c r="AK72" s="3905"/>
      <c r="AL72" s="3905"/>
      <c r="AM72" s="3905"/>
      <c r="AN72" s="3905"/>
      <c r="AO72" s="3905"/>
      <c r="AP72" s="3905"/>
      <c r="AQ72" s="3905"/>
      <c r="AR72" s="3905"/>
      <c r="AS72" s="3905"/>
      <c r="AT72" s="3905"/>
      <c r="AU72" s="3905"/>
      <c r="AV72" s="3905"/>
      <c r="AW72" s="3905"/>
      <c r="AX72" s="3905"/>
      <c r="AY72" s="3905"/>
      <c r="AZ72" s="3905"/>
      <c r="BA72" s="3905"/>
      <c r="BB72" s="3905"/>
      <c r="BC72" s="3905"/>
      <c r="BD72" s="3906"/>
    </row>
    <row r="73" spans="1:56" ht="13.5" customHeight="1" thickBot="1">
      <c r="A73" s="4734" t="s">
        <v>823</v>
      </c>
      <c r="B73" s="4735"/>
      <c r="C73" s="4735"/>
      <c r="D73" s="4735"/>
      <c r="E73" s="4735"/>
      <c r="F73" s="4735"/>
      <c r="G73" s="4735"/>
      <c r="H73" s="4735"/>
      <c r="I73" s="4735"/>
      <c r="J73" s="4735"/>
      <c r="K73" s="4735"/>
      <c r="L73" s="4735"/>
      <c r="M73" s="4735"/>
      <c r="N73" s="4735"/>
      <c r="O73" s="4735"/>
      <c r="P73" s="4735"/>
      <c r="Q73" s="4735"/>
      <c r="R73" s="4735"/>
      <c r="S73" s="4735"/>
      <c r="T73" s="4735"/>
      <c r="U73" s="4735"/>
      <c r="V73" s="4735"/>
      <c r="W73" s="4735"/>
      <c r="X73" s="4735"/>
      <c r="Y73" s="4735"/>
      <c r="Z73" s="4735"/>
      <c r="AA73" s="4735"/>
      <c r="AB73" s="4735"/>
      <c r="AC73" s="4735"/>
      <c r="AD73" s="4735"/>
      <c r="AE73" s="4735"/>
      <c r="AF73" s="4735"/>
      <c r="AG73" s="4735"/>
      <c r="AH73" s="4735"/>
      <c r="AI73" s="4735"/>
      <c r="AJ73" s="4735"/>
      <c r="AK73" s="4735"/>
      <c r="AL73" s="4735"/>
      <c r="AM73" s="4735"/>
      <c r="AN73" s="4735"/>
      <c r="AO73" s="4735"/>
      <c r="AP73" s="4735"/>
      <c r="AQ73" s="4735"/>
      <c r="AR73" s="4735"/>
      <c r="AS73" s="4735"/>
      <c r="AT73" s="4735"/>
      <c r="AU73" s="4735"/>
      <c r="AV73" s="4735"/>
      <c r="AW73" s="4735"/>
      <c r="AX73" s="4735"/>
      <c r="AY73" s="4735"/>
      <c r="AZ73" s="4735"/>
      <c r="BA73" s="4735"/>
      <c r="BB73" s="4735"/>
      <c r="BC73" s="4735"/>
      <c r="BD73" s="4736"/>
    </row>
    <row r="74" spans="1:56">
      <c r="B74" s="102"/>
      <c r="C74" s="102"/>
      <c r="AD74" s="102"/>
    </row>
    <row r="75" spans="1:56">
      <c r="B75" s="102"/>
      <c r="C75" s="102"/>
      <c r="AD75" s="102"/>
    </row>
  </sheetData>
  <sheetProtection password="E0BE" sheet="1" objects="1" scenarios="1"/>
  <mergeCells count="63">
    <mergeCell ref="J6:M6"/>
    <mergeCell ref="F8:G8"/>
    <mergeCell ref="D6:G6"/>
    <mergeCell ref="P6:S6"/>
    <mergeCell ref="V6:Y6"/>
    <mergeCell ref="A1:BD1"/>
    <mergeCell ref="C3:AC3"/>
    <mergeCell ref="C4:AC4"/>
    <mergeCell ref="AD3:BD3"/>
    <mergeCell ref="AD4:BD4"/>
    <mergeCell ref="AD5:AI5"/>
    <mergeCell ref="AJ5:AO5"/>
    <mergeCell ref="AP5:AU5"/>
    <mergeCell ref="AV5:BA5"/>
    <mergeCell ref="A2:BD2"/>
    <mergeCell ref="A5:B5"/>
    <mergeCell ref="C5:H5"/>
    <mergeCell ref="AA5:AC5"/>
    <mergeCell ref="I5:N5"/>
    <mergeCell ref="O5:T5"/>
    <mergeCell ref="U5:Z5"/>
    <mergeCell ref="A10:BD10"/>
    <mergeCell ref="A32:BD32"/>
    <mergeCell ref="A50:BD50"/>
    <mergeCell ref="D7:G7"/>
    <mergeCell ref="J7:M7"/>
    <mergeCell ref="P7:S7"/>
    <mergeCell ref="L8:M8"/>
    <mergeCell ref="R8:S8"/>
    <mergeCell ref="X8:Y8"/>
    <mergeCell ref="V7:Y7"/>
    <mergeCell ref="AA7:AC7"/>
    <mergeCell ref="AA8:AC8"/>
    <mergeCell ref="BB8:BD8"/>
    <mergeCell ref="BB7:BD7"/>
    <mergeCell ref="AW6:AZ6"/>
    <mergeCell ref="AG8:AH8"/>
    <mergeCell ref="AM8:AN8"/>
    <mergeCell ref="AS8:AT8"/>
    <mergeCell ref="AY8:AZ8"/>
    <mergeCell ref="AE6:AH6"/>
    <mergeCell ref="AK6:AN6"/>
    <mergeCell ref="AQ6:AT6"/>
    <mergeCell ref="AE7:AH7"/>
    <mergeCell ref="AK7:AN7"/>
    <mergeCell ref="AQ7:AT7"/>
    <mergeCell ref="AW7:AZ7"/>
    <mergeCell ref="A73:BD73"/>
    <mergeCell ref="E64:H64"/>
    <mergeCell ref="K64:N64"/>
    <mergeCell ref="Q64:T64"/>
    <mergeCell ref="W64:Z64"/>
    <mergeCell ref="AF64:AI64"/>
    <mergeCell ref="AL64:AO64"/>
    <mergeCell ref="AR64:AU64"/>
    <mergeCell ref="AX64:BA64"/>
    <mergeCell ref="A67:BD67"/>
    <mergeCell ref="A68:BD68"/>
    <mergeCell ref="A69:BD69"/>
    <mergeCell ref="A70:BD70"/>
    <mergeCell ref="A72:BD72"/>
    <mergeCell ref="A71:BD71"/>
    <mergeCell ref="A66:BD66"/>
  </mergeCells>
  <conditionalFormatting sqref="AE64 AK64 AQ64 AW64 D64 J64 P64 V64">
    <cfRule type="cellIs" dxfId="27" priority="17" operator="lessThan">
      <formula>1</formula>
    </cfRule>
    <cfRule type="cellIs" dxfId="26" priority="18" operator="greaterThan">
      <formula>1</formula>
    </cfRule>
  </conditionalFormatting>
  <pageMargins left="0.7" right="0.7" top="0.75" bottom="0.75" header="0.3" footer="0.3"/>
  <pageSetup scale="48" orientation="landscape" r:id="rId1"/>
  <headerFooter>
    <oddFooter>&amp;L&amp;A&amp;C&amp;F&amp;R&amp;D</oddFooter>
  </headerFooter>
  <ignoredErrors>
    <ignoredError sqref="AE13:AK13 AE35:AK35 AF34:AJ34 AE37:AK37 AF36:AJ36 AE39:AK39 AF38:AJ38 AE41:AK41 AF40:AJ40 AE43:AK43 AF42:AK42 AE45:AK45 AF44:AK44 AE47:AK50 AF46:AK46 AE53:AK53 AF52:AJ52 AE55:AK55 AF54:AJ54 AE57:AK57 AF56:AK56 AE59:AK59 AF58:AK58 AF60:AJ60 AF12:AJ12 AE17:AK17 AF16:AJ16 AE21:AK21 AF20:AJ20 AE23:AK32 AF22:AJ22 AE19:AK19 AF18:AJ18 AE15:AK15 AF14:AJ14" unlockedFormula="1"/>
  </ignoredErrors>
</worksheet>
</file>

<file path=xl/worksheets/sheet22.xml><?xml version="1.0" encoding="utf-8"?>
<worksheet xmlns="http://schemas.openxmlformats.org/spreadsheetml/2006/main" xmlns:r="http://schemas.openxmlformats.org/officeDocument/2006/relationships">
  <sheetPr codeName="Sheet34">
    <pageSetUpPr fitToPage="1"/>
  </sheetPr>
  <dimension ref="A1:BD77"/>
  <sheetViews>
    <sheetView topLeftCell="A4" zoomScale="75" zoomScaleNormal="75" workbookViewId="0">
      <selection activeCell="J12" sqref="J12"/>
    </sheetView>
  </sheetViews>
  <sheetFormatPr defaultRowHeight="12.75"/>
  <cols>
    <col min="1" max="1" width="29.7109375" customWidth="1"/>
    <col min="2" max="3" width="1.28515625" customWidth="1"/>
    <col min="4" max="4" width="7.7109375" customWidth="1"/>
    <col min="5" max="5" width="1.42578125" style="40" customWidth="1"/>
    <col min="6" max="6" width="9.85546875" customWidth="1"/>
    <col min="7" max="7" width="4.7109375" customWidth="1"/>
    <col min="8" max="9" width="1.28515625" customWidth="1"/>
    <col min="10" max="10" width="7.7109375" style="795" customWidth="1"/>
    <col min="11" max="11" width="1.42578125" style="795" customWidth="1"/>
    <col min="12" max="12" width="7.85546875" customWidth="1"/>
    <col min="13" max="13" width="4.7109375" customWidth="1"/>
    <col min="14" max="15" width="1.28515625" customWidth="1"/>
    <col min="16" max="16" width="7.7109375" style="796" customWidth="1"/>
    <col min="17" max="17" width="1.42578125" style="795" customWidth="1"/>
    <col min="18" max="18" width="7.85546875" customWidth="1"/>
    <col min="19" max="19" width="4.7109375" customWidth="1"/>
    <col min="20" max="21" width="1.28515625" customWidth="1"/>
    <col min="22" max="22" width="7.7109375" customWidth="1"/>
    <col min="23" max="23" width="1.42578125" style="795" customWidth="1"/>
    <col min="24" max="24" width="7.85546875" customWidth="1"/>
    <col min="25" max="25" width="4.7109375" customWidth="1"/>
    <col min="26" max="27" width="1.28515625" customWidth="1"/>
    <col min="28" max="28" width="10" customWidth="1"/>
    <col min="29" max="29" width="3.5703125" style="795" customWidth="1"/>
    <col min="30" max="30" width="1.140625" customWidth="1"/>
    <col min="31" max="31" width="7.7109375" customWidth="1"/>
    <col min="32" max="32" width="1.42578125" style="40" customWidth="1"/>
    <col min="33" max="33" width="9.5703125" customWidth="1"/>
    <col min="34" max="34" width="5" customWidth="1"/>
    <col min="35" max="36" width="1.28515625" customWidth="1"/>
    <col min="37" max="37" width="7.7109375" style="795" customWidth="1"/>
    <col min="38" max="38" width="1.42578125" style="795" customWidth="1"/>
    <col min="39" max="39" width="7.85546875" customWidth="1"/>
    <col min="40" max="40" width="4.7109375" customWidth="1"/>
    <col min="41" max="42" width="1.28515625" customWidth="1"/>
    <col min="43" max="43" width="7.7109375" style="796" customWidth="1"/>
    <col min="44" max="44" width="1.42578125" style="795" customWidth="1"/>
    <col min="45" max="45" width="7.85546875" customWidth="1"/>
    <col min="46" max="46" width="4.7109375" customWidth="1"/>
    <col min="47" max="48" width="1.28515625" customWidth="1"/>
    <col min="49" max="49" width="7.7109375" customWidth="1"/>
    <col min="50" max="50" width="1.42578125" style="795" customWidth="1"/>
    <col min="51" max="51" width="7.85546875" customWidth="1"/>
    <col min="52" max="52" width="4.7109375" customWidth="1"/>
    <col min="53" max="54" width="1.28515625" customWidth="1"/>
    <col min="55" max="55" width="10.28515625" customWidth="1"/>
    <col min="56" max="56" width="3.5703125" style="795" customWidth="1"/>
  </cols>
  <sheetData>
    <row r="1" spans="1:56" ht="29.25"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2"/>
      <c r="AL1" s="4692"/>
      <c r="AM1" s="4692"/>
      <c r="AN1" s="4692"/>
      <c r="AO1" s="4692"/>
      <c r="AP1" s="4692"/>
      <c r="AQ1" s="4692"/>
      <c r="AR1" s="4692"/>
      <c r="AS1" s="4692"/>
      <c r="AT1" s="4692"/>
      <c r="AU1" s="4692"/>
      <c r="AV1" s="4692"/>
      <c r="AW1" s="4692"/>
      <c r="AX1" s="4692"/>
      <c r="AY1" s="4692"/>
      <c r="AZ1" s="4692"/>
      <c r="BA1" s="4692"/>
      <c r="BB1" s="4692"/>
      <c r="BC1" s="4692"/>
      <c r="BD1" s="4693"/>
    </row>
    <row r="2" spans="1:56" ht="29.25" customHeight="1">
      <c r="A2" s="4769" t="s">
        <v>1097</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0"/>
      <c r="AG2" s="4770"/>
      <c r="AH2" s="4770"/>
      <c r="AI2" s="4770"/>
      <c r="AJ2" s="4770"/>
      <c r="AK2" s="4770"/>
      <c r="AL2" s="4770"/>
      <c r="AM2" s="4770"/>
      <c r="AN2" s="4770"/>
      <c r="AO2" s="4770"/>
      <c r="AP2" s="4770"/>
      <c r="AQ2" s="4770"/>
      <c r="AR2" s="4770"/>
      <c r="AS2" s="4770"/>
      <c r="AT2" s="4770"/>
      <c r="AU2" s="4770"/>
      <c r="AV2" s="4770"/>
      <c r="AW2" s="4770"/>
      <c r="AX2" s="4770"/>
      <c r="AY2" s="4770"/>
      <c r="AZ2" s="4770"/>
      <c r="BA2" s="4770"/>
      <c r="BB2" s="4770"/>
      <c r="BC2" s="4770"/>
      <c r="BD2" s="4771"/>
    </row>
    <row r="3" spans="1:56" ht="21" customHeight="1">
      <c r="A3" s="1183"/>
      <c r="B3" s="1175"/>
      <c r="C3" s="4815" t="str">
        <f>'Chosen Parameters-Part I'!D4</f>
        <v>Scenario 3</v>
      </c>
      <c r="D3" s="4816"/>
      <c r="E3" s="4816"/>
      <c r="F3" s="4816"/>
      <c r="G3" s="4816"/>
      <c r="H3" s="4816"/>
      <c r="I3" s="4816"/>
      <c r="J3" s="4816"/>
      <c r="K3" s="4816"/>
      <c r="L3" s="4816"/>
      <c r="M3" s="4816"/>
      <c r="N3" s="4816"/>
      <c r="O3" s="4816"/>
      <c r="P3" s="4816"/>
      <c r="Q3" s="4816"/>
      <c r="R3" s="4816"/>
      <c r="S3" s="4816"/>
      <c r="T3" s="4816"/>
      <c r="U3" s="4816"/>
      <c r="V3" s="4816"/>
      <c r="W3" s="4816"/>
      <c r="X3" s="4816"/>
      <c r="Y3" s="4816"/>
      <c r="Z3" s="4816"/>
      <c r="AA3" s="4816"/>
      <c r="AB3" s="4816"/>
      <c r="AC3" s="4817"/>
      <c r="AD3" s="4818" t="str">
        <f>'Chosen Parameters-Part I'!E4</f>
        <v>Scenario 4</v>
      </c>
      <c r="AE3" s="4819"/>
      <c r="AF3" s="4819"/>
      <c r="AG3" s="4819"/>
      <c r="AH3" s="4819"/>
      <c r="AI3" s="4819"/>
      <c r="AJ3" s="4819"/>
      <c r="AK3" s="4819"/>
      <c r="AL3" s="4819"/>
      <c r="AM3" s="4819"/>
      <c r="AN3" s="4819"/>
      <c r="AO3" s="4819"/>
      <c r="AP3" s="4819"/>
      <c r="AQ3" s="4819"/>
      <c r="AR3" s="4819"/>
      <c r="AS3" s="4819"/>
      <c r="AT3" s="4819"/>
      <c r="AU3" s="4819"/>
      <c r="AV3" s="4819"/>
      <c r="AW3" s="4819"/>
      <c r="AX3" s="4819"/>
      <c r="AY3" s="4819"/>
      <c r="AZ3" s="4819"/>
      <c r="BA3" s="4819"/>
      <c r="BB3" s="4819"/>
      <c r="BC3" s="4819"/>
      <c r="BD3" s="4820"/>
    </row>
    <row r="4" spans="1:56" ht="23.25" customHeight="1">
      <c r="A4" s="1184"/>
      <c r="B4" s="1176"/>
      <c r="C4" s="4040" t="str">
        <f>'Application Setup'!B6</f>
        <v>Intensive Organic Management, Holsteins</v>
      </c>
      <c r="D4" s="4041"/>
      <c r="E4" s="4041"/>
      <c r="F4" s="4041"/>
      <c r="G4" s="4041"/>
      <c r="H4" s="4041"/>
      <c r="I4" s="4041"/>
      <c r="J4" s="4041"/>
      <c r="K4" s="4041"/>
      <c r="L4" s="4041"/>
      <c r="M4" s="4041"/>
      <c r="N4" s="4041"/>
      <c r="O4" s="4041"/>
      <c r="P4" s="4041"/>
      <c r="Q4" s="4041"/>
      <c r="R4" s="4041"/>
      <c r="S4" s="4041"/>
      <c r="T4" s="4041"/>
      <c r="U4" s="4041"/>
      <c r="V4" s="4041"/>
      <c r="W4" s="4041"/>
      <c r="X4" s="4041"/>
      <c r="Y4" s="4041"/>
      <c r="Z4" s="4041"/>
      <c r="AA4" s="4041"/>
      <c r="AB4" s="4041"/>
      <c r="AC4" s="4042"/>
      <c r="AD4" s="4115" t="str">
        <f>'Application Setup'!B7</f>
        <v>Pasture-Based Organic, Jersey Cows</v>
      </c>
      <c r="AE4" s="4116"/>
      <c r="AF4" s="4116"/>
      <c r="AG4" s="4116"/>
      <c r="AH4" s="4116"/>
      <c r="AI4" s="4116"/>
      <c r="AJ4" s="4116"/>
      <c r="AK4" s="4116"/>
      <c r="AL4" s="4116"/>
      <c r="AM4" s="4116"/>
      <c r="AN4" s="4116"/>
      <c r="AO4" s="4116"/>
      <c r="AP4" s="4116"/>
      <c r="AQ4" s="4116"/>
      <c r="AR4" s="4116"/>
      <c r="AS4" s="4116"/>
      <c r="AT4" s="4116"/>
      <c r="AU4" s="4116"/>
      <c r="AV4" s="4116"/>
      <c r="AW4" s="4116"/>
      <c r="AX4" s="4116"/>
      <c r="AY4" s="4116"/>
      <c r="AZ4" s="4116"/>
      <c r="BA4" s="4116"/>
      <c r="BB4" s="4116"/>
      <c r="BC4" s="4116"/>
      <c r="BD4" s="4117"/>
    </row>
    <row r="5" spans="1:56" s="1749" customFormat="1" ht="27" customHeight="1">
      <c r="A5" s="4772" t="s">
        <v>1088</v>
      </c>
      <c r="B5" s="4773"/>
      <c r="C5" s="4821" t="s">
        <v>53</v>
      </c>
      <c r="D5" s="4822"/>
      <c r="E5" s="4822"/>
      <c r="F5" s="4822"/>
      <c r="G5" s="4822"/>
      <c r="H5" s="4823"/>
      <c r="I5" s="4824" t="s">
        <v>51</v>
      </c>
      <c r="J5" s="4825"/>
      <c r="K5" s="4825"/>
      <c r="L5" s="4825"/>
      <c r="M5" s="4825"/>
      <c r="N5" s="4826"/>
      <c r="O5" s="4824" t="s">
        <v>281</v>
      </c>
      <c r="P5" s="4825"/>
      <c r="Q5" s="4825"/>
      <c r="R5" s="4825"/>
      <c r="S5" s="4825"/>
      <c r="T5" s="4826"/>
      <c r="U5" s="4827" t="s">
        <v>678</v>
      </c>
      <c r="V5" s="4822"/>
      <c r="W5" s="4822"/>
      <c r="X5" s="4822"/>
      <c r="Y5" s="4822"/>
      <c r="Z5" s="4823"/>
      <c r="AA5" s="3503"/>
      <c r="AB5" s="3504"/>
      <c r="AC5" s="3505"/>
      <c r="AD5" s="4831" t="s">
        <v>53</v>
      </c>
      <c r="AE5" s="4813"/>
      <c r="AF5" s="4813"/>
      <c r="AG5" s="4813"/>
      <c r="AH5" s="4813"/>
      <c r="AI5" s="4814"/>
      <c r="AJ5" s="4828" t="s">
        <v>51</v>
      </c>
      <c r="AK5" s="4829"/>
      <c r="AL5" s="4829"/>
      <c r="AM5" s="4829"/>
      <c r="AN5" s="4829"/>
      <c r="AO5" s="4830"/>
      <c r="AP5" s="4828" t="s">
        <v>281</v>
      </c>
      <c r="AQ5" s="4829"/>
      <c r="AR5" s="4829"/>
      <c r="AS5" s="4829"/>
      <c r="AT5" s="4829"/>
      <c r="AU5" s="4830"/>
      <c r="AV5" s="4812" t="s">
        <v>678</v>
      </c>
      <c r="AW5" s="4813"/>
      <c r="AX5" s="4813"/>
      <c r="AY5" s="4813"/>
      <c r="AZ5" s="4813"/>
      <c r="BA5" s="4814"/>
      <c r="BB5" s="3501"/>
      <c r="BC5" s="3502"/>
      <c r="BD5" s="3507"/>
    </row>
    <row r="6" spans="1:56" s="1749" customFormat="1" ht="31.5" customHeight="1">
      <c r="A6" s="1204" t="s">
        <v>1089</v>
      </c>
      <c r="B6" s="3479"/>
      <c r="C6" s="1823"/>
      <c r="D6" s="4804">
        <v>1</v>
      </c>
      <c r="E6" s="4804"/>
      <c r="F6" s="4804"/>
      <c r="G6" s="4804"/>
      <c r="H6" s="1824"/>
      <c r="I6" s="1825"/>
      <c r="J6" s="4805">
        <f>F1_Dry_Cow_Units</f>
        <v>0.14097037755756678</v>
      </c>
      <c r="K6" s="4805"/>
      <c r="L6" s="4805"/>
      <c r="M6" s="4805"/>
      <c r="N6" s="1824"/>
      <c r="O6" s="1826"/>
      <c r="P6" s="4805">
        <f>F1_Heifer_Units</f>
        <v>0.64208606291772286</v>
      </c>
      <c r="Q6" s="4805"/>
      <c r="R6" s="4805"/>
      <c r="S6" s="4805"/>
      <c r="T6" s="1824"/>
      <c r="U6" s="1827"/>
      <c r="V6" s="4805">
        <f>F1_Heifer_Calf_Units</f>
        <v>0.65518986012012537</v>
      </c>
      <c r="W6" s="4805"/>
      <c r="X6" s="4805"/>
      <c r="Y6" s="4805"/>
      <c r="Z6" s="1824"/>
      <c r="AA6" s="3506"/>
      <c r="AB6" s="3481"/>
      <c r="AC6" s="1828"/>
      <c r="AD6" s="1829"/>
      <c r="AE6" s="4802">
        <v>1</v>
      </c>
      <c r="AF6" s="4802"/>
      <c r="AG6" s="4802"/>
      <c r="AH6" s="4802"/>
      <c r="AI6" s="1830"/>
      <c r="AJ6" s="1831"/>
      <c r="AK6" s="4803">
        <f>F2_Dry_Cow_Units</f>
        <v>0.14765955875110809</v>
      </c>
      <c r="AL6" s="4803"/>
      <c r="AM6" s="4803"/>
      <c r="AN6" s="4803"/>
      <c r="AO6" s="1830"/>
      <c r="AP6" s="1832"/>
      <c r="AQ6" s="4803">
        <f>F2_Heifer_Units</f>
        <v>0.53983446268238322</v>
      </c>
      <c r="AR6" s="4803"/>
      <c r="AS6" s="4803"/>
      <c r="AT6" s="4803"/>
      <c r="AU6" s="1830"/>
      <c r="AV6" s="1833"/>
      <c r="AW6" s="4803">
        <f>F2_Heifer_Calf_Units</f>
        <v>0.54972959539957567</v>
      </c>
      <c r="AX6" s="4803"/>
      <c r="AY6" s="4803"/>
      <c r="AZ6" s="4803"/>
      <c r="BA6" s="1830"/>
      <c r="BB6" s="3508"/>
      <c r="BC6" s="3484"/>
      <c r="BD6" s="1834"/>
    </row>
    <row r="7" spans="1:56" s="1749" customFormat="1" ht="22.5" customHeight="1">
      <c r="A7" s="787"/>
      <c r="B7" s="788"/>
      <c r="C7" s="1254"/>
      <c r="D7" s="4811" t="s">
        <v>1090</v>
      </c>
      <c r="E7" s="4811"/>
      <c r="F7" s="4811"/>
      <c r="G7" s="4811"/>
      <c r="H7" s="1255"/>
      <c r="I7" s="1256"/>
      <c r="J7" s="4811" t="s">
        <v>1090</v>
      </c>
      <c r="K7" s="4811"/>
      <c r="L7" s="4811"/>
      <c r="M7" s="4811"/>
      <c r="N7" s="1258"/>
      <c r="O7" s="1255"/>
      <c r="P7" s="4811" t="s">
        <v>1090</v>
      </c>
      <c r="Q7" s="4811"/>
      <c r="R7" s="4811"/>
      <c r="S7" s="4811"/>
      <c r="T7" s="1258"/>
      <c r="U7" s="1255"/>
      <c r="V7" s="4811" t="s">
        <v>1090</v>
      </c>
      <c r="W7" s="4811"/>
      <c r="X7" s="4811"/>
      <c r="Y7" s="4811"/>
      <c r="Z7" s="1258"/>
      <c r="AA7" s="4806" t="s">
        <v>1091</v>
      </c>
      <c r="AB7" s="4807"/>
      <c r="AC7" s="4808"/>
      <c r="AD7" s="1278"/>
      <c r="AE7" s="4795" t="s">
        <v>1090</v>
      </c>
      <c r="AF7" s="4795"/>
      <c r="AG7" s="4795"/>
      <c r="AH7" s="4795"/>
      <c r="AI7" s="1280"/>
      <c r="AJ7" s="1281"/>
      <c r="AK7" s="4795" t="s">
        <v>1090</v>
      </c>
      <c r="AL7" s="4795"/>
      <c r="AM7" s="4795"/>
      <c r="AN7" s="4795"/>
      <c r="AO7" s="1283"/>
      <c r="AP7" s="1280"/>
      <c r="AQ7" s="4795" t="s">
        <v>1090</v>
      </c>
      <c r="AR7" s="4795"/>
      <c r="AS7" s="4795"/>
      <c r="AT7" s="4795"/>
      <c r="AU7" s="1283"/>
      <c r="AV7" s="1280"/>
      <c r="AW7" s="4795" t="s">
        <v>1090</v>
      </c>
      <c r="AX7" s="4795"/>
      <c r="AY7" s="4795"/>
      <c r="AZ7" s="4795"/>
      <c r="BA7" s="1283"/>
      <c r="BB7" s="4809" t="s">
        <v>1091</v>
      </c>
      <c r="BC7" s="4810"/>
      <c r="BD7" s="5226"/>
    </row>
    <row r="8" spans="1:56" ht="15.75" customHeight="1">
      <c r="A8" s="3125"/>
      <c r="B8" s="788"/>
      <c r="C8" s="1254"/>
      <c r="D8" s="1835" t="s">
        <v>278</v>
      </c>
      <c r="E8" s="1836"/>
      <c r="F8" s="4796" t="s">
        <v>195</v>
      </c>
      <c r="G8" s="4796"/>
      <c r="H8" s="3483"/>
      <c r="I8" s="1837"/>
      <c r="J8" s="1835" t="s">
        <v>278</v>
      </c>
      <c r="K8" s="1836"/>
      <c r="L8" s="4796" t="s">
        <v>195</v>
      </c>
      <c r="M8" s="4796"/>
      <c r="N8" s="1838"/>
      <c r="O8" s="1836"/>
      <c r="P8" s="1835" t="s">
        <v>278</v>
      </c>
      <c r="Q8" s="1836"/>
      <c r="R8" s="4796" t="s">
        <v>195</v>
      </c>
      <c r="S8" s="4796"/>
      <c r="T8" s="1838"/>
      <c r="U8" s="1836"/>
      <c r="V8" s="1835" t="s">
        <v>278</v>
      </c>
      <c r="W8" s="1836"/>
      <c r="X8" s="4796" t="s">
        <v>195</v>
      </c>
      <c r="Y8" s="4796"/>
      <c r="Z8" s="1838"/>
      <c r="AA8" s="4797" t="s">
        <v>1092</v>
      </c>
      <c r="AB8" s="4798"/>
      <c r="AC8" s="4799"/>
      <c r="AD8" s="1278"/>
      <c r="AE8" s="1842" t="s">
        <v>278</v>
      </c>
      <c r="AF8" s="1843"/>
      <c r="AG8" s="4792" t="s">
        <v>195</v>
      </c>
      <c r="AH8" s="4792"/>
      <c r="AI8" s="3482"/>
      <c r="AJ8" s="1844"/>
      <c r="AK8" s="1842" t="s">
        <v>278</v>
      </c>
      <c r="AL8" s="1843"/>
      <c r="AM8" s="4792" t="s">
        <v>195</v>
      </c>
      <c r="AN8" s="4792"/>
      <c r="AO8" s="1845"/>
      <c r="AP8" s="1843"/>
      <c r="AQ8" s="1842" t="s">
        <v>278</v>
      </c>
      <c r="AR8" s="1843"/>
      <c r="AS8" s="4792" t="s">
        <v>195</v>
      </c>
      <c r="AT8" s="4792"/>
      <c r="AU8" s="1845"/>
      <c r="AV8" s="1843"/>
      <c r="AW8" s="1842" t="s">
        <v>278</v>
      </c>
      <c r="AX8" s="1843"/>
      <c r="AY8" s="4792" t="s">
        <v>195</v>
      </c>
      <c r="AZ8" s="4792"/>
      <c r="BA8" s="1845"/>
      <c r="BB8" s="4793" t="s">
        <v>1092</v>
      </c>
      <c r="BC8" s="4794"/>
      <c r="BD8" s="5227"/>
    </row>
    <row r="9" spans="1:56" ht="3.75" customHeight="1">
      <c r="A9" s="281"/>
      <c r="B9" s="786"/>
      <c r="C9" s="1261"/>
      <c r="D9" s="736"/>
      <c r="E9" s="1262"/>
      <c r="F9" s="1262"/>
      <c r="G9" s="1262"/>
      <c r="H9" s="1262"/>
      <c r="I9" s="1263"/>
      <c r="J9" s="1264"/>
      <c r="K9" s="1264"/>
      <c r="L9" s="1262"/>
      <c r="M9" s="1262"/>
      <c r="N9" s="1265"/>
      <c r="O9" s="1262"/>
      <c r="P9" s="1266"/>
      <c r="Q9" s="1264"/>
      <c r="R9" s="1262"/>
      <c r="S9" s="1262"/>
      <c r="T9" s="1265"/>
      <c r="U9" s="1262"/>
      <c r="V9" s="1267"/>
      <c r="W9" s="1264"/>
      <c r="X9" s="1262"/>
      <c r="Y9" s="1262"/>
      <c r="Z9" s="1265"/>
      <c r="AA9" s="1262"/>
      <c r="AB9" s="1267"/>
      <c r="AC9" s="1268"/>
      <c r="AD9" s="1286"/>
      <c r="AE9" s="781"/>
      <c r="AF9" s="1287"/>
      <c r="AG9" s="1287"/>
      <c r="AH9" s="1287"/>
      <c r="AI9" s="1287"/>
      <c r="AJ9" s="1288"/>
      <c r="AK9" s="1289"/>
      <c r="AL9" s="1289"/>
      <c r="AM9" s="1287"/>
      <c r="AN9" s="1287"/>
      <c r="AO9" s="1290"/>
      <c r="AP9" s="1287"/>
      <c r="AQ9" s="1291"/>
      <c r="AR9" s="1289"/>
      <c r="AS9" s="1287"/>
      <c r="AT9" s="1287"/>
      <c r="AU9" s="1290"/>
      <c r="AV9" s="1287"/>
      <c r="AW9" s="1292"/>
      <c r="AX9" s="1289"/>
      <c r="AY9" s="1287"/>
      <c r="AZ9" s="1287"/>
      <c r="BA9" s="1290"/>
      <c r="BB9" s="1287"/>
      <c r="BC9" s="1292"/>
      <c r="BD9" s="1293"/>
    </row>
    <row r="10" spans="1:56" s="21" customFormat="1" ht="19.5" customHeight="1">
      <c r="A10" s="4031" t="s">
        <v>886</v>
      </c>
      <c r="B10" s="4032"/>
      <c r="C10" s="4032"/>
      <c r="D10" s="4032"/>
      <c r="E10" s="4032"/>
      <c r="F10" s="4032"/>
      <c r="G10" s="4032"/>
      <c r="H10" s="4032"/>
      <c r="I10" s="4032"/>
      <c r="J10" s="4032"/>
      <c r="K10" s="4032"/>
      <c r="L10" s="4032"/>
      <c r="M10" s="4032"/>
      <c r="N10" s="4032"/>
      <c r="O10" s="4032"/>
      <c r="P10" s="4032"/>
      <c r="Q10" s="4032"/>
      <c r="R10" s="4032"/>
      <c r="S10" s="4032"/>
      <c r="T10" s="4032"/>
      <c r="U10" s="4032"/>
      <c r="V10" s="4032"/>
      <c r="W10" s="4032"/>
      <c r="X10" s="4032"/>
      <c r="Y10" s="4032"/>
      <c r="Z10" s="4032"/>
      <c r="AA10" s="4032"/>
      <c r="AB10" s="4032"/>
      <c r="AC10" s="4032"/>
      <c r="AD10" s="4032"/>
      <c r="AE10" s="4032"/>
      <c r="AF10" s="4032"/>
      <c r="AG10" s="4032"/>
      <c r="AH10" s="4032"/>
      <c r="AI10" s="4032"/>
      <c r="AJ10" s="4032"/>
      <c r="AK10" s="4032"/>
      <c r="AL10" s="4032"/>
      <c r="AM10" s="4032"/>
      <c r="AN10" s="4032"/>
      <c r="AO10" s="4032"/>
      <c r="AP10" s="4032"/>
      <c r="AQ10" s="4032"/>
      <c r="AR10" s="4032"/>
      <c r="AS10" s="4032"/>
      <c r="AT10" s="4032"/>
      <c r="AU10" s="4032"/>
      <c r="AV10" s="4032"/>
      <c r="AW10" s="4032"/>
      <c r="AX10" s="4032"/>
      <c r="AY10" s="4032"/>
      <c r="AZ10" s="4032"/>
      <c r="BA10" s="4032"/>
      <c r="BB10" s="4032"/>
      <c r="BC10" s="4032"/>
      <c r="BD10" s="4033"/>
    </row>
    <row r="11" spans="1:56" ht="3.75" customHeight="1">
      <c r="A11" s="281"/>
      <c r="B11" s="786"/>
      <c r="C11" s="1261"/>
      <c r="D11" s="736"/>
      <c r="E11" s="1262"/>
      <c r="F11" s="1262"/>
      <c r="G11" s="1262"/>
      <c r="H11" s="1262"/>
      <c r="I11" s="1263"/>
      <c r="J11" s="1264"/>
      <c r="K11" s="1264"/>
      <c r="L11" s="1262"/>
      <c r="M11" s="1262"/>
      <c r="N11" s="1265"/>
      <c r="O11" s="1262"/>
      <c r="P11" s="1266"/>
      <c r="Q11" s="1264"/>
      <c r="R11" s="1262"/>
      <c r="S11" s="1262"/>
      <c r="T11" s="1265"/>
      <c r="U11" s="1262"/>
      <c r="V11" s="1267"/>
      <c r="W11" s="1264"/>
      <c r="X11" s="1262"/>
      <c r="Y11" s="1262"/>
      <c r="Z11" s="1265"/>
      <c r="AA11" s="1262"/>
      <c r="AB11" s="1267"/>
      <c r="AC11" s="1268"/>
      <c r="AD11" s="1286"/>
      <c r="AE11" s="781"/>
      <c r="AF11" s="1287"/>
      <c r="AG11" s="1287"/>
      <c r="AH11" s="1287"/>
      <c r="AI11" s="1287"/>
      <c r="AJ11" s="1288"/>
      <c r="AK11" s="1289"/>
      <c r="AL11" s="1289"/>
      <c r="AM11" s="1287"/>
      <c r="AN11" s="1287"/>
      <c r="AO11" s="1290"/>
      <c r="AP11" s="1287"/>
      <c r="AQ11" s="1291"/>
      <c r="AR11" s="1289"/>
      <c r="AS11" s="1287"/>
      <c r="AT11" s="1287"/>
      <c r="AU11" s="1290"/>
      <c r="AV11" s="1287"/>
      <c r="AW11" s="1292"/>
      <c r="AX11" s="1289"/>
      <c r="AY11" s="1287"/>
      <c r="AZ11" s="1287"/>
      <c r="BA11" s="1290"/>
      <c r="BB11" s="1287"/>
      <c r="BC11" s="1292"/>
      <c r="BD11" s="1293"/>
    </row>
    <row r="12" spans="1:56" s="21" customFormat="1">
      <c r="A12" s="209" t="s">
        <v>34</v>
      </c>
      <c r="B12" s="1726"/>
      <c r="C12" s="514"/>
      <c r="D12" s="1966">
        <f>'Step 8b--DMI Worksheet'!O9</f>
        <v>0.27</v>
      </c>
      <c r="E12" s="1836"/>
      <c r="F12" s="1848">
        <f>D12*F3_DMI_Lact_Cow_lb</f>
        <v>12.771000000000001</v>
      </c>
      <c r="G12" s="1849" t="s">
        <v>277</v>
      </c>
      <c r="H12" s="1849"/>
      <c r="I12" s="1837"/>
      <c r="J12" s="1575">
        <v>0.5</v>
      </c>
      <c r="K12" s="1850"/>
      <c r="L12" s="1848">
        <f>J12*F3_DMI_Dry_Cow_lb*F3_Dry_Cow_Units</f>
        <v>1.9671736694868409</v>
      </c>
      <c r="M12" s="1849" t="s">
        <v>277</v>
      </c>
      <c r="N12" s="1851"/>
      <c r="O12" s="1836"/>
      <c r="P12" s="1575">
        <v>0.5</v>
      </c>
      <c r="Q12" s="1850"/>
      <c r="R12" s="1848">
        <f>P12*F3_DMI_Heifer_lb*F3_Heifer_Units</f>
        <v>3.8318642832437759</v>
      </c>
      <c r="S12" s="1849" t="s">
        <v>277</v>
      </c>
      <c r="T12" s="1851"/>
      <c r="U12" s="1836"/>
      <c r="V12" s="1575">
        <v>0.5</v>
      </c>
      <c r="W12" s="1850"/>
      <c r="X12" s="1848">
        <f>V12*F3_DMI_Heifer_Calf_lb*F3_Heifer_Calf_Units</f>
        <v>1.5692245759452514</v>
      </c>
      <c r="Y12" s="1849" t="s">
        <v>277</v>
      </c>
      <c r="Z12" s="1851"/>
      <c r="AA12" s="1836"/>
      <c r="AB12" s="1852">
        <f>F12+L12+R12+X12</f>
        <v>20.139262528675868</v>
      </c>
      <c r="AC12" s="1840"/>
      <c r="AD12" s="1841"/>
      <c r="AE12" s="1967">
        <f>'Step 8b--DMI Worksheet'!AC9</f>
        <v>0.17</v>
      </c>
      <c r="AF12" s="1843"/>
      <c r="AG12" s="1853">
        <f>AE12*F4_DMI_Lact_Cow_lb</f>
        <v>6.6384999999999996</v>
      </c>
      <c r="AH12" s="1854" t="s">
        <v>277</v>
      </c>
      <c r="AI12" s="1854"/>
      <c r="AJ12" s="1844"/>
      <c r="AK12" s="1575">
        <v>0.5</v>
      </c>
      <c r="AL12" s="1855"/>
      <c r="AM12" s="1853">
        <f>AK12*F4_DMI_Dry_Cow_lb*F4_Dry_Cow_Units</f>
        <v>1.4041411047812151</v>
      </c>
      <c r="AN12" s="1854" t="s">
        <v>277</v>
      </c>
      <c r="AO12" s="1856"/>
      <c r="AP12" s="1843"/>
      <c r="AQ12" s="1575">
        <v>0.5</v>
      </c>
      <c r="AR12" s="1855"/>
      <c r="AS12" s="1853">
        <f>AQ12*F4_DMI_Heifer_lb*F4_Heifer_Units</f>
        <v>1.9762588448827771</v>
      </c>
      <c r="AT12" s="1854" t="s">
        <v>277</v>
      </c>
      <c r="AU12" s="1856"/>
      <c r="AV12" s="1843"/>
      <c r="AW12" s="1575">
        <v>0.5</v>
      </c>
      <c r="AX12" s="1855"/>
      <c r="AY12" s="1853">
        <f>AW12*F4_DMI_Heifer_Calf_lb*F4_Heifer_Calf_Units</f>
        <v>0.83887619636753274</v>
      </c>
      <c r="AZ12" s="1854" t="s">
        <v>277</v>
      </c>
      <c r="BA12" s="1856"/>
      <c r="BB12" s="1843"/>
      <c r="BC12" s="1857">
        <f>AG12+AM12+AS12+AY12</f>
        <v>10.857776146031524</v>
      </c>
      <c r="BD12" s="1847"/>
    </row>
    <row r="13" spans="1:56" s="21" customFormat="1" ht="3.75" customHeight="1">
      <c r="A13" s="209"/>
      <c r="B13" s="1726"/>
      <c r="C13" s="514"/>
      <c r="D13" s="1858"/>
      <c r="E13" s="1836"/>
      <c r="F13" s="1848"/>
      <c r="G13" s="1849"/>
      <c r="H13" s="1849"/>
      <c r="I13" s="1837"/>
      <c r="J13" s="1858"/>
      <c r="K13" s="1850"/>
      <c r="L13" s="1836"/>
      <c r="M13" s="1836"/>
      <c r="N13" s="1851"/>
      <c r="O13" s="1836"/>
      <c r="P13" s="1858"/>
      <c r="Q13" s="1850"/>
      <c r="R13" s="1836"/>
      <c r="S13" s="1836"/>
      <c r="T13" s="1851"/>
      <c r="U13" s="1836"/>
      <c r="V13" s="1858"/>
      <c r="W13" s="1850"/>
      <c r="X13" s="1836"/>
      <c r="Y13" s="1836"/>
      <c r="Z13" s="1851"/>
      <c r="AA13" s="1836"/>
      <c r="AB13" s="1839"/>
      <c r="AC13" s="1840"/>
      <c r="AD13" s="1841"/>
      <c r="AE13" s="1859"/>
      <c r="AF13" s="1843"/>
      <c r="AG13" s="1853"/>
      <c r="AH13" s="1854"/>
      <c r="AI13" s="1854"/>
      <c r="AJ13" s="1844"/>
      <c r="AK13" s="1859"/>
      <c r="AL13" s="1855"/>
      <c r="AM13" s="1843"/>
      <c r="AN13" s="1843"/>
      <c r="AO13" s="1856"/>
      <c r="AP13" s="1843"/>
      <c r="AQ13" s="1859"/>
      <c r="AR13" s="1855"/>
      <c r="AS13" s="1843"/>
      <c r="AT13" s="1843"/>
      <c r="AU13" s="1856"/>
      <c r="AV13" s="1843"/>
      <c r="AW13" s="1859"/>
      <c r="AX13" s="1855"/>
      <c r="AY13" s="1843"/>
      <c r="AZ13" s="1843"/>
      <c r="BA13" s="1856"/>
      <c r="BB13" s="1843"/>
      <c r="BC13" s="1846"/>
      <c r="BD13" s="1847"/>
    </row>
    <row r="14" spans="1:56" s="21" customFormat="1">
      <c r="A14" s="209" t="s">
        <v>29</v>
      </c>
      <c r="B14" s="1726"/>
      <c r="C14" s="514"/>
      <c r="D14" s="1966">
        <f>'Step 8b--DMI Worksheet'!O10</f>
        <v>0.09</v>
      </c>
      <c r="E14" s="1836"/>
      <c r="F14" s="1848">
        <f>D14*F3_DMI_Lact_Cow_lb</f>
        <v>4.2569999999999997</v>
      </c>
      <c r="G14" s="1849" t="s">
        <v>277</v>
      </c>
      <c r="H14" s="1849"/>
      <c r="I14" s="1837"/>
      <c r="J14" s="1575"/>
      <c r="K14" s="1850"/>
      <c r="L14" s="1848">
        <f>J14*F3_DMI_Dry_Cow_lb*F3_Dry_Cow_Units</f>
        <v>0</v>
      </c>
      <c r="M14" s="1849" t="s">
        <v>277</v>
      </c>
      <c r="N14" s="1851"/>
      <c r="O14" s="1836"/>
      <c r="P14" s="1575"/>
      <c r="Q14" s="1850"/>
      <c r="R14" s="1848">
        <f>P14*F3_DMI_Heifer_lb*F3_Heifer_Units</f>
        <v>0</v>
      </c>
      <c r="S14" s="1849" t="s">
        <v>277</v>
      </c>
      <c r="T14" s="1851"/>
      <c r="U14" s="1836"/>
      <c r="V14" s="1575"/>
      <c r="W14" s="1850"/>
      <c r="X14" s="1848">
        <f>V14*F3_DMI_Heifer_Calf_lb*F3_Heifer_Calf_Units</f>
        <v>0</v>
      </c>
      <c r="Y14" s="1849" t="s">
        <v>277</v>
      </c>
      <c r="Z14" s="1851"/>
      <c r="AA14" s="1836"/>
      <c r="AB14" s="1852">
        <f>F14+L14+R14+X14</f>
        <v>4.2569999999999997</v>
      </c>
      <c r="AC14" s="1840"/>
      <c r="AD14" s="1841"/>
      <c r="AE14" s="1967">
        <f>'Step 8b--DMI Worksheet'!AC10</f>
        <v>0.153</v>
      </c>
      <c r="AF14" s="1843"/>
      <c r="AG14" s="1853">
        <f>AE14*F4_DMI_Lact_Cow_lb</f>
        <v>5.9746499999999996</v>
      </c>
      <c r="AH14" s="1854" t="s">
        <v>277</v>
      </c>
      <c r="AI14" s="1854"/>
      <c r="AJ14" s="1844"/>
      <c r="AK14" s="1575"/>
      <c r="AL14" s="1855"/>
      <c r="AM14" s="1853">
        <f>AK14*F4_DMI_Dry_Cow_lb*F4_Dry_Cow_Units</f>
        <v>0</v>
      </c>
      <c r="AN14" s="1854" t="s">
        <v>277</v>
      </c>
      <c r="AO14" s="1856"/>
      <c r="AP14" s="1843"/>
      <c r="AQ14" s="1575"/>
      <c r="AR14" s="1855"/>
      <c r="AS14" s="1853">
        <f>AQ14*F4_DMI_Heifer_lb*F4_Heifer_Units</f>
        <v>0</v>
      </c>
      <c r="AT14" s="1854" t="s">
        <v>277</v>
      </c>
      <c r="AU14" s="1856"/>
      <c r="AV14" s="1843"/>
      <c r="AW14" s="1575"/>
      <c r="AX14" s="1855"/>
      <c r="AY14" s="1853">
        <f>AW14*F4_DMI_Heifer_Calf_lb*F4_Heifer_Calf_Units</f>
        <v>0</v>
      </c>
      <c r="AZ14" s="1854" t="s">
        <v>277</v>
      </c>
      <c r="BA14" s="1856"/>
      <c r="BB14" s="1843"/>
      <c r="BC14" s="1857">
        <f>AG14+AM14+AS14+AY14</f>
        <v>5.9746499999999996</v>
      </c>
      <c r="BD14" s="1847"/>
    </row>
    <row r="15" spans="1:56" s="21" customFormat="1" ht="3.75" customHeight="1">
      <c r="A15" s="209"/>
      <c r="B15" s="1726"/>
      <c r="C15" s="514"/>
      <c r="D15" s="1858"/>
      <c r="E15" s="1836"/>
      <c r="F15" s="1848"/>
      <c r="G15" s="1849"/>
      <c r="H15" s="1849"/>
      <c r="I15" s="1837"/>
      <c r="J15" s="1858"/>
      <c r="K15" s="1850"/>
      <c r="L15" s="1836"/>
      <c r="M15" s="1836"/>
      <c r="N15" s="1851"/>
      <c r="O15" s="1836"/>
      <c r="P15" s="1858"/>
      <c r="Q15" s="1850"/>
      <c r="R15" s="1836"/>
      <c r="S15" s="1836"/>
      <c r="T15" s="1851"/>
      <c r="U15" s="1836"/>
      <c r="V15" s="1858"/>
      <c r="W15" s="1850"/>
      <c r="X15" s="1836"/>
      <c r="Y15" s="1836"/>
      <c r="Z15" s="1851"/>
      <c r="AA15" s="1836"/>
      <c r="AB15" s="1839"/>
      <c r="AC15" s="1840"/>
      <c r="AD15" s="1841"/>
      <c r="AE15" s="1859"/>
      <c r="AF15" s="1843"/>
      <c r="AG15" s="1853"/>
      <c r="AH15" s="1854"/>
      <c r="AI15" s="1854"/>
      <c r="AJ15" s="1844"/>
      <c r="AK15" s="1859"/>
      <c r="AL15" s="1855"/>
      <c r="AM15" s="1843"/>
      <c r="AN15" s="1843"/>
      <c r="AO15" s="1856"/>
      <c r="AP15" s="1843"/>
      <c r="AQ15" s="1859"/>
      <c r="AR15" s="1855"/>
      <c r="AS15" s="1843"/>
      <c r="AT15" s="1843"/>
      <c r="AU15" s="1856"/>
      <c r="AV15" s="1843"/>
      <c r="AW15" s="1859"/>
      <c r="AX15" s="1855"/>
      <c r="AY15" s="1843"/>
      <c r="AZ15" s="1843"/>
      <c r="BA15" s="1856"/>
      <c r="BB15" s="1843"/>
      <c r="BC15" s="1846"/>
      <c r="BD15" s="1847"/>
    </row>
    <row r="16" spans="1:56" s="21" customFormat="1">
      <c r="A16" s="209" t="s">
        <v>3</v>
      </c>
      <c r="B16" s="1726"/>
      <c r="C16" s="514"/>
      <c r="D16" s="1966">
        <f>'Step 8b--DMI Worksheet'!O11</f>
        <v>0.08</v>
      </c>
      <c r="E16" s="1836"/>
      <c r="F16" s="1848">
        <f>D16*F3_DMI_Lact_Cow_lb</f>
        <v>3.7839999999999998</v>
      </c>
      <c r="G16" s="1849" t="s">
        <v>277</v>
      </c>
      <c r="H16" s="1849"/>
      <c r="I16" s="1837"/>
      <c r="J16" s="1575"/>
      <c r="K16" s="1850"/>
      <c r="L16" s="1848">
        <f>J16*F3_DMI_Dry_Cow_lb*F3_Dry_Cow_Units</f>
        <v>0</v>
      </c>
      <c r="M16" s="1849" t="s">
        <v>277</v>
      </c>
      <c r="N16" s="1851"/>
      <c r="O16" s="1836"/>
      <c r="P16" s="1575"/>
      <c r="Q16" s="1850"/>
      <c r="R16" s="1848">
        <f>P16*F3_DMI_Heifer_lb*F3_Heifer_Units</f>
        <v>0</v>
      </c>
      <c r="S16" s="1849" t="s">
        <v>277</v>
      </c>
      <c r="T16" s="1851"/>
      <c r="U16" s="1836"/>
      <c r="V16" s="1575"/>
      <c r="W16" s="1850"/>
      <c r="X16" s="1848">
        <f>V16*F3_DMI_Heifer_Calf_lb*F3_Heifer_Calf_Units</f>
        <v>0</v>
      </c>
      <c r="Y16" s="1849" t="s">
        <v>277</v>
      </c>
      <c r="Z16" s="1851"/>
      <c r="AA16" s="1836"/>
      <c r="AB16" s="1852">
        <f>F16+L16+R16+X16</f>
        <v>3.7839999999999998</v>
      </c>
      <c r="AC16" s="1840"/>
      <c r="AD16" s="1841"/>
      <c r="AE16" s="1967">
        <f>'Step 8b--DMI Worksheet'!AC11</f>
        <v>0.05</v>
      </c>
      <c r="AF16" s="1843"/>
      <c r="AG16" s="1853">
        <f>AE16*F4_DMI_Lact_Cow_lb</f>
        <v>1.9524999999999999</v>
      </c>
      <c r="AH16" s="1854" t="s">
        <v>277</v>
      </c>
      <c r="AI16" s="1854"/>
      <c r="AJ16" s="1844"/>
      <c r="AK16" s="1575"/>
      <c r="AL16" s="1855"/>
      <c r="AM16" s="1853">
        <f>AK16*F4_DMI_Dry_Cow_lb*F4_Dry_Cow_Units</f>
        <v>0</v>
      </c>
      <c r="AN16" s="1854" t="s">
        <v>277</v>
      </c>
      <c r="AO16" s="1856"/>
      <c r="AP16" s="1843"/>
      <c r="AQ16" s="1575"/>
      <c r="AR16" s="1855"/>
      <c r="AS16" s="1853">
        <f>AQ16*F4_DMI_Heifer_lb*F4_Heifer_Units</f>
        <v>0</v>
      </c>
      <c r="AT16" s="1854" t="s">
        <v>277</v>
      </c>
      <c r="AU16" s="1856"/>
      <c r="AV16" s="1843"/>
      <c r="AW16" s="1575"/>
      <c r="AX16" s="1855"/>
      <c r="AY16" s="1853">
        <f>AW16*F4_DMI_Heifer_Calf_lb*F4_Heifer_Calf_Units</f>
        <v>0</v>
      </c>
      <c r="AZ16" s="1854" t="s">
        <v>277</v>
      </c>
      <c r="BA16" s="1856"/>
      <c r="BB16" s="1843"/>
      <c r="BC16" s="1857">
        <f>AG16+AM16+AS16+AY16</f>
        <v>1.9524999999999999</v>
      </c>
      <c r="BD16" s="1847"/>
    </row>
    <row r="17" spans="1:56" s="21" customFormat="1" ht="3.75" customHeight="1">
      <c r="A17" s="209"/>
      <c r="B17" s="1726"/>
      <c r="C17" s="514"/>
      <c r="D17" s="1858"/>
      <c r="E17" s="1836"/>
      <c r="F17" s="1848"/>
      <c r="G17" s="1849"/>
      <c r="H17" s="1849"/>
      <c r="I17" s="1837"/>
      <c r="J17" s="1858"/>
      <c r="K17" s="1850"/>
      <c r="L17" s="1836"/>
      <c r="M17" s="1836"/>
      <c r="N17" s="1851"/>
      <c r="O17" s="1836"/>
      <c r="P17" s="1858"/>
      <c r="Q17" s="1850"/>
      <c r="R17" s="1836"/>
      <c r="S17" s="1836"/>
      <c r="T17" s="1851"/>
      <c r="U17" s="1836"/>
      <c r="V17" s="1858"/>
      <c r="W17" s="1850"/>
      <c r="X17" s="1836"/>
      <c r="Y17" s="1836"/>
      <c r="Z17" s="1851"/>
      <c r="AA17" s="1836"/>
      <c r="AB17" s="1839"/>
      <c r="AC17" s="1840"/>
      <c r="AD17" s="1841"/>
      <c r="AE17" s="1859"/>
      <c r="AF17" s="1843"/>
      <c r="AG17" s="1853"/>
      <c r="AH17" s="1854"/>
      <c r="AI17" s="1854"/>
      <c r="AJ17" s="1844"/>
      <c r="AK17" s="1859"/>
      <c r="AL17" s="1855"/>
      <c r="AM17" s="1843"/>
      <c r="AN17" s="1843"/>
      <c r="AO17" s="1856"/>
      <c r="AP17" s="1843"/>
      <c r="AQ17" s="1859"/>
      <c r="AR17" s="1855"/>
      <c r="AS17" s="1843"/>
      <c r="AT17" s="1843"/>
      <c r="AU17" s="1856"/>
      <c r="AV17" s="1843"/>
      <c r="AW17" s="1859"/>
      <c r="AX17" s="1855"/>
      <c r="AY17" s="1843"/>
      <c r="AZ17" s="1843"/>
      <c r="BA17" s="1856"/>
      <c r="BB17" s="1843"/>
      <c r="BC17" s="1846"/>
      <c r="BD17" s="1847"/>
    </row>
    <row r="18" spans="1:56" s="21" customFormat="1">
      <c r="A18" s="209" t="s">
        <v>35</v>
      </c>
      <c r="B18" s="1726"/>
      <c r="C18" s="514"/>
      <c r="D18" s="1966">
        <f>'Step 8b--DMI Worksheet'!O12</f>
        <v>0.08</v>
      </c>
      <c r="E18" s="1836"/>
      <c r="F18" s="1848">
        <f>D18*F3_DMI_Lact_Cow_lb</f>
        <v>3.7839999999999998</v>
      </c>
      <c r="G18" s="1849" t="s">
        <v>277</v>
      </c>
      <c r="H18" s="1849"/>
      <c r="I18" s="1837"/>
      <c r="J18" s="1575">
        <v>0.15</v>
      </c>
      <c r="K18" s="1850"/>
      <c r="L18" s="1848">
        <f>J18*F3_DMI_Dry_Cow_lb*F3_Dry_Cow_Units</f>
        <v>0.59015210084605219</v>
      </c>
      <c r="M18" s="1849" t="s">
        <v>277</v>
      </c>
      <c r="N18" s="1851"/>
      <c r="O18" s="1836"/>
      <c r="P18" s="1575">
        <v>0.15</v>
      </c>
      <c r="Q18" s="1850"/>
      <c r="R18" s="1848">
        <f>P18*F3_DMI_Heifer_lb*F3_Heifer_Units</f>
        <v>1.1495592849731326</v>
      </c>
      <c r="S18" s="1849" t="s">
        <v>277</v>
      </c>
      <c r="T18" s="1851"/>
      <c r="U18" s="1836"/>
      <c r="V18" s="1575">
        <v>0.15</v>
      </c>
      <c r="W18" s="1850"/>
      <c r="X18" s="1848">
        <f>V18*F3_DMI_Heifer_Calf_lb*F3_Heifer_Calf_Units</f>
        <v>0.47076737278357539</v>
      </c>
      <c r="Y18" s="1849" t="s">
        <v>277</v>
      </c>
      <c r="Z18" s="1851"/>
      <c r="AA18" s="1836"/>
      <c r="AB18" s="1852">
        <f>F18+L18+R18+X18</f>
        <v>5.9944787586027601</v>
      </c>
      <c r="AC18" s="1840"/>
      <c r="AD18" s="1841"/>
      <c r="AE18" s="1967">
        <f>'Step 8b--DMI Worksheet'!AC12</f>
        <v>0.08</v>
      </c>
      <c r="AF18" s="1843"/>
      <c r="AG18" s="1853">
        <f>AE18*F4_DMI_Lact_Cow_lb</f>
        <v>3.1239999999999997</v>
      </c>
      <c r="AH18" s="1854" t="s">
        <v>277</v>
      </c>
      <c r="AI18" s="1854"/>
      <c r="AJ18" s="1844"/>
      <c r="AK18" s="1575">
        <v>0.15</v>
      </c>
      <c r="AL18" s="1855"/>
      <c r="AM18" s="1853">
        <f>AK18*F4_DMI_Dry_Cow_lb*F4_Dry_Cow_Units</f>
        <v>0.42124233143436451</v>
      </c>
      <c r="AN18" s="1854" t="s">
        <v>277</v>
      </c>
      <c r="AO18" s="1856"/>
      <c r="AP18" s="1843"/>
      <c r="AQ18" s="1575">
        <v>0.15</v>
      </c>
      <c r="AR18" s="1855"/>
      <c r="AS18" s="1853">
        <f>AQ18*F4_DMI_Heifer_lb*F4_Heifer_Units</f>
        <v>0.59287765346483323</v>
      </c>
      <c r="AT18" s="1854" t="s">
        <v>277</v>
      </c>
      <c r="AU18" s="1856"/>
      <c r="AV18" s="1843"/>
      <c r="AW18" s="1575">
        <v>0.15</v>
      </c>
      <c r="AX18" s="1855"/>
      <c r="AY18" s="1853">
        <f>AW18*F4_DMI_Heifer_Calf_lb*F4_Heifer_Calf_Units</f>
        <v>0.2516628589102598</v>
      </c>
      <c r="AZ18" s="1854" t="s">
        <v>277</v>
      </c>
      <c r="BA18" s="1856"/>
      <c r="BB18" s="1843"/>
      <c r="BC18" s="1857">
        <f>AG18+AM18+AS18+AY18</f>
        <v>4.3897828438094573</v>
      </c>
      <c r="BD18" s="1847"/>
    </row>
    <row r="19" spans="1:56" s="21" customFormat="1" ht="3.75" customHeight="1">
      <c r="A19" s="209"/>
      <c r="B19" s="1726"/>
      <c r="C19" s="514"/>
      <c r="D19" s="1858"/>
      <c r="E19" s="1836"/>
      <c r="F19" s="1848"/>
      <c r="G19" s="1849"/>
      <c r="H19" s="1849"/>
      <c r="I19" s="1837"/>
      <c r="J19" s="1858"/>
      <c r="K19" s="1850"/>
      <c r="L19" s="1836"/>
      <c r="M19" s="1836"/>
      <c r="N19" s="1851"/>
      <c r="O19" s="1836"/>
      <c r="P19" s="1858"/>
      <c r="Q19" s="1850"/>
      <c r="R19" s="1836"/>
      <c r="S19" s="1836"/>
      <c r="T19" s="1851"/>
      <c r="U19" s="1836"/>
      <c r="V19" s="1858"/>
      <c r="W19" s="1850"/>
      <c r="X19" s="1836"/>
      <c r="Y19" s="1836"/>
      <c r="Z19" s="1851"/>
      <c r="AA19" s="1836"/>
      <c r="AB19" s="1839"/>
      <c r="AC19" s="1840"/>
      <c r="AD19" s="1841"/>
      <c r="AE19" s="1859"/>
      <c r="AF19" s="1843"/>
      <c r="AG19" s="1853"/>
      <c r="AH19" s="1854"/>
      <c r="AI19" s="1854"/>
      <c r="AJ19" s="1844"/>
      <c r="AK19" s="1859"/>
      <c r="AL19" s="1855"/>
      <c r="AM19" s="1843"/>
      <c r="AN19" s="1843"/>
      <c r="AO19" s="1856"/>
      <c r="AP19" s="1843"/>
      <c r="AQ19" s="1859"/>
      <c r="AR19" s="1855"/>
      <c r="AS19" s="1843"/>
      <c r="AT19" s="1843"/>
      <c r="AU19" s="1856"/>
      <c r="AV19" s="1843"/>
      <c r="AW19" s="1859"/>
      <c r="AX19" s="1855"/>
      <c r="AY19" s="1843"/>
      <c r="AZ19" s="1843"/>
      <c r="BA19" s="1856"/>
      <c r="BB19" s="1843"/>
      <c r="BC19" s="1846"/>
      <c r="BD19" s="1847"/>
    </row>
    <row r="20" spans="1:56" s="21" customFormat="1">
      <c r="A20" s="209" t="s">
        <v>19</v>
      </c>
      <c r="B20" s="1726"/>
      <c r="C20" s="514"/>
      <c r="D20" s="1966">
        <f>'Step 8b--DMI Worksheet'!O13</f>
        <v>0.25</v>
      </c>
      <c r="E20" s="1836"/>
      <c r="F20" s="1848">
        <f>D20*F3_DMI_Lact_Cow_lb</f>
        <v>11.824999999999999</v>
      </c>
      <c r="G20" s="1849" t="s">
        <v>277</v>
      </c>
      <c r="H20" s="1849"/>
      <c r="I20" s="1837"/>
      <c r="J20" s="1575">
        <v>0.25</v>
      </c>
      <c r="K20" s="1850"/>
      <c r="L20" s="1848">
        <f>J20*F3_DMI_Dry_Cow_lb*F3_Dry_Cow_Units</f>
        <v>0.98358683474342046</v>
      </c>
      <c r="M20" s="1849" t="s">
        <v>277</v>
      </c>
      <c r="N20" s="1851"/>
      <c r="O20" s="1836"/>
      <c r="P20" s="1575">
        <v>0.25</v>
      </c>
      <c r="Q20" s="1850"/>
      <c r="R20" s="1848">
        <f>P20*F3_DMI_Heifer_lb*F3_Heifer_Units</f>
        <v>1.915932141621888</v>
      </c>
      <c r="S20" s="1849" t="s">
        <v>277</v>
      </c>
      <c r="T20" s="1851"/>
      <c r="U20" s="1836"/>
      <c r="V20" s="1575">
        <v>0.25</v>
      </c>
      <c r="W20" s="1850"/>
      <c r="X20" s="1848">
        <f>V20*F3_DMI_Heifer_Calf_lb*F3_Heifer_Calf_Units</f>
        <v>0.78461228797262572</v>
      </c>
      <c r="Y20" s="1849" t="s">
        <v>277</v>
      </c>
      <c r="Z20" s="1851"/>
      <c r="AA20" s="1836"/>
      <c r="AB20" s="1852">
        <f>F20+L20+R20+X20</f>
        <v>15.509131264337933</v>
      </c>
      <c r="AC20" s="1840"/>
      <c r="AD20" s="1841"/>
      <c r="AE20" s="1967">
        <f>'Step 8b--DMI Worksheet'!AC13</f>
        <v>0.35</v>
      </c>
      <c r="AF20" s="1843"/>
      <c r="AG20" s="1853">
        <f>AE20*F4_DMI_Lact_Cow_lb</f>
        <v>13.667499999999999</v>
      </c>
      <c r="AH20" s="1854" t="s">
        <v>277</v>
      </c>
      <c r="AI20" s="1854"/>
      <c r="AJ20" s="1844"/>
      <c r="AK20" s="1575">
        <v>0.25</v>
      </c>
      <c r="AL20" s="1855"/>
      <c r="AM20" s="1853">
        <f>AK20*F4_DMI_Dry_Cow_lb*F4_Dry_Cow_Units</f>
        <v>0.70207055239060756</v>
      </c>
      <c r="AN20" s="1854" t="s">
        <v>277</v>
      </c>
      <c r="AO20" s="1856"/>
      <c r="AP20" s="1843"/>
      <c r="AQ20" s="1575">
        <v>0.25</v>
      </c>
      <c r="AR20" s="1855"/>
      <c r="AS20" s="1853">
        <f>AQ20*F4_DMI_Heifer_lb*F4_Heifer_Units</f>
        <v>0.98812942244138857</v>
      </c>
      <c r="AT20" s="1854" t="s">
        <v>277</v>
      </c>
      <c r="AU20" s="1856"/>
      <c r="AV20" s="1843"/>
      <c r="AW20" s="1575">
        <v>0.25</v>
      </c>
      <c r="AX20" s="1855"/>
      <c r="AY20" s="1853">
        <f>AW20*F4_DMI_Heifer_Calf_lb*F4_Heifer_Calf_Units</f>
        <v>0.41943809818376637</v>
      </c>
      <c r="AZ20" s="1854" t="s">
        <v>277</v>
      </c>
      <c r="BA20" s="1856"/>
      <c r="BB20" s="1843"/>
      <c r="BC20" s="1857">
        <f>AG20+AM20+AS20+AY20</f>
        <v>15.777138073015761</v>
      </c>
      <c r="BD20" s="1847"/>
    </row>
    <row r="21" spans="1:56" s="21" customFormat="1" ht="3.75" customHeight="1">
      <c r="A21" s="209"/>
      <c r="B21" s="1726"/>
      <c r="C21" s="514"/>
      <c r="D21" s="1858"/>
      <c r="E21" s="1836"/>
      <c r="F21" s="1848"/>
      <c r="G21" s="1849"/>
      <c r="H21" s="1849"/>
      <c r="I21" s="1837"/>
      <c r="J21" s="1858"/>
      <c r="K21" s="1850"/>
      <c r="L21" s="1836"/>
      <c r="M21" s="1836"/>
      <c r="N21" s="1851"/>
      <c r="O21" s="1836"/>
      <c r="P21" s="1858"/>
      <c r="Q21" s="1850"/>
      <c r="R21" s="1836"/>
      <c r="S21" s="1836"/>
      <c r="T21" s="1851"/>
      <c r="U21" s="1836"/>
      <c r="V21" s="1858"/>
      <c r="W21" s="1850"/>
      <c r="X21" s="1836"/>
      <c r="Y21" s="1836"/>
      <c r="Z21" s="1851"/>
      <c r="AA21" s="1836"/>
      <c r="AB21" s="1839"/>
      <c r="AC21" s="1840"/>
      <c r="AD21" s="1841"/>
      <c r="AE21" s="1859"/>
      <c r="AF21" s="1843"/>
      <c r="AG21" s="1853"/>
      <c r="AH21" s="1854"/>
      <c r="AI21" s="1854"/>
      <c r="AJ21" s="1844"/>
      <c r="AK21" s="1859"/>
      <c r="AL21" s="1855"/>
      <c r="AM21" s="1843"/>
      <c r="AN21" s="1843"/>
      <c r="AO21" s="1856"/>
      <c r="AP21" s="1843"/>
      <c r="AQ21" s="1859"/>
      <c r="AR21" s="1855"/>
      <c r="AS21" s="1843"/>
      <c r="AT21" s="1843"/>
      <c r="AU21" s="1856"/>
      <c r="AV21" s="1843"/>
      <c r="AW21" s="1859"/>
      <c r="AX21" s="1855"/>
      <c r="AY21" s="1843"/>
      <c r="AZ21" s="1843"/>
      <c r="BA21" s="1856"/>
      <c r="BB21" s="1843"/>
      <c r="BC21" s="1846"/>
      <c r="BD21" s="1847"/>
    </row>
    <row r="22" spans="1:56" s="21" customFormat="1">
      <c r="A22" s="3522" t="s">
        <v>31</v>
      </c>
      <c r="B22" s="1726"/>
      <c r="C22" s="514"/>
      <c r="D22" s="1966">
        <f>'Step 8b--DMI Worksheet'!O14</f>
        <v>0.04</v>
      </c>
      <c r="E22" s="1836"/>
      <c r="F22" s="1848">
        <f>D22*F3_DMI_Lact_Cow_lb</f>
        <v>1.8919999999999999</v>
      </c>
      <c r="G22" s="1849" t="s">
        <v>277</v>
      </c>
      <c r="H22" s="1849"/>
      <c r="I22" s="1837"/>
      <c r="J22" s="1575">
        <v>0.1</v>
      </c>
      <c r="K22" s="1850"/>
      <c r="L22" s="1848">
        <f>J22*F3_DMI_Dry_Cow_lb*F3_Dry_Cow_Units</f>
        <v>0.39343473389736822</v>
      </c>
      <c r="M22" s="1849" t="s">
        <v>277</v>
      </c>
      <c r="N22" s="1851"/>
      <c r="O22" s="1836"/>
      <c r="P22" s="1575">
        <v>0.1</v>
      </c>
      <c r="Q22" s="1850"/>
      <c r="R22" s="1848">
        <f>P22*F3_DMI_Heifer_lb*F3_Heifer_Units</f>
        <v>0.76637285664875532</v>
      </c>
      <c r="S22" s="1849" t="s">
        <v>277</v>
      </c>
      <c r="T22" s="1851"/>
      <c r="U22" s="1836"/>
      <c r="V22" s="1575">
        <v>0.1</v>
      </c>
      <c r="W22" s="1850"/>
      <c r="X22" s="1848">
        <f>V22*F3_DMI_Heifer_Calf_lb*F3_Heifer_Calf_Units</f>
        <v>0.31384491518905028</v>
      </c>
      <c r="Y22" s="1849" t="s">
        <v>277</v>
      </c>
      <c r="Z22" s="1851"/>
      <c r="AA22" s="1836"/>
      <c r="AB22" s="1852">
        <f>F22+L22+R22+X22</f>
        <v>3.3656525057351736</v>
      </c>
      <c r="AC22" s="1840"/>
      <c r="AD22" s="1841"/>
      <c r="AE22" s="1967">
        <f>'Step 8b--DMI Worksheet'!AC14</f>
        <v>0.03</v>
      </c>
      <c r="AF22" s="1843"/>
      <c r="AG22" s="1853">
        <f>AE22*F4_DMI_Lact_Cow_lb</f>
        <v>1.1714999999999998</v>
      </c>
      <c r="AH22" s="1854" t="s">
        <v>277</v>
      </c>
      <c r="AI22" s="1854"/>
      <c r="AJ22" s="1844"/>
      <c r="AK22" s="1575">
        <v>0.1</v>
      </c>
      <c r="AL22" s="1855"/>
      <c r="AM22" s="1853">
        <f>AK22*F4_DMI_Dry_Cow_lb*F4_Dry_Cow_Units</f>
        <v>0.28082822095624305</v>
      </c>
      <c r="AN22" s="1854" t="s">
        <v>277</v>
      </c>
      <c r="AO22" s="1856"/>
      <c r="AP22" s="1843"/>
      <c r="AQ22" s="1575">
        <v>0.1</v>
      </c>
      <c r="AR22" s="1855"/>
      <c r="AS22" s="1853">
        <f>AQ22*F4_DMI_Heifer_lb*F4_Heifer_Units</f>
        <v>0.39525176897655545</v>
      </c>
      <c r="AT22" s="1854" t="s">
        <v>277</v>
      </c>
      <c r="AU22" s="1856"/>
      <c r="AV22" s="1843"/>
      <c r="AW22" s="1575">
        <v>0.1</v>
      </c>
      <c r="AX22" s="1855"/>
      <c r="AY22" s="1853">
        <f>AW22*F4_DMI_Heifer_Calf_lb*F4_Heifer_Calf_Units</f>
        <v>0.16777523927350654</v>
      </c>
      <c r="AZ22" s="1854" t="s">
        <v>277</v>
      </c>
      <c r="BA22" s="1856"/>
      <c r="BB22" s="1843"/>
      <c r="BC22" s="1857">
        <f>AG22+AM22+AS22+AY22</f>
        <v>2.0153552292063046</v>
      </c>
      <c r="BD22" s="1847"/>
    </row>
    <row r="23" spans="1:56" s="21" customFormat="1" ht="3.75" customHeight="1">
      <c r="A23" s="3522"/>
      <c r="B23" s="1726"/>
      <c r="C23" s="514"/>
      <c r="D23" s="1858"/>
      <c r="E23" s="1836"/>
      <c r="F23" s="1848"/>
      <c r="G23" s="1849"/>
      <c r="H23" s="1849"/>
      <c r="I23" s="1837"/>
      <c r="J23" s="1858"/>
      <c r="K23" s="1850"/>
      <c r="L23" s="1836"/>
      <c r="M23" s="1836"/>
      <c r="N23" s="1851"/>
      <c r="O23" s="1836"/>
      <c r="P23" s="1858"/>
      <c r="Q23" s="1850"/>
      <c r="R23" s="1836"/>
      <c r="S23" s="1836"/>
      <c r="T23" s="1851"/>
      <c r="U23" s="1836"/>
      <c r="V23" s="1858"/>
      <c r="W23" s="1850"/>
      <c r="X23" s="1836"/>
      <c r="Y23" s="1836"/>
      <c r="Z23" s="1851"/>
      <c r="AA23" s="1836"/>
      <c r="AB23" s="1839"/>
      <c r="AC23" s="1840"/>
      <c r="AD23" s="1841"/>
      <c r="AE23" s="1859"/>
      <c r="AF23" s="1843"/>
      <c r="AG23" s="1853"/>
      <c r="AH23" s="1854"/>
      <c r="AI23" s="1854"/>
      <c r="AJ23" s="1844"/>
      <c r="AK23" s="1859"/>
      <c r="AL23" s="1855"/>
      <c r="AM23" s="1843"/>
      <c r="AN23" s="1843"/>
      <c r="AO23" s="1856"/>
      <c r="AP23" s="1843"/>
      <c r="AQ23" s="1859"/>
      <c r="AR23" s="1855"/>
      <c r="AS23" s="1843"/>
      <c r="AT23" s="1843"/>
      <c r="AU23" s="1856"/>
      <c r="AV23" s="1843"/>
      <c r="AW23" s="1859"/>
      <c r="AX23" s="1855"/>
      <c r="AY23" s="1843"/>
      <c r="AZ23" s="1843"/>
      <c r="BA23" s="1856"/>
      <c r="BB23" s="1843"/>
      <c r="BC23" s="1846"/>
      <c r="BD23" s="1847"/>
    </row>
    <row r="24" spans="1:56" s="21" customFormat="1">
      <c r="A24" s="3515" t="str">
        <f>IF('Step 7a--Feedstuff Required'!B20="[add forage crop here]"," ",'Step 7a--Feedstuff Required'!B20)</f>
        <v xml:space="preserve"> </v>
      </c>
      <c r="B24" s="1726"/>
      <c r="C24" s="514"/>
      <c r="D24" s="1966">
        <f>'Step 8b--DMI Worksheet'!O15</f>
        <v>0</v>
      </c>
      <c r="E24" s="1836"/>
      <c r="F24" s="1848">
        <f>D24*F3_DMI_Lact_Cow_lb</f>
        <v>0</v>
      </c>
      <c r="G24" s="1849" t="s">
        <v>277</v>
      </c>
      <c r="H24" s="1849"/>
      <c r="I24" s="1837"/>
      <c r="J24" s="1575"/>
      <c r="K24" s="1850"/>
      <c r="L24" s="1848">
        <f>J24*F3_DMI_Dry_Cow_lb*F3_Dry_Cow_Units</f>
        <v>0</v>
      </c>
      <c r="M24" s="1849" t="s">
        <v>277</v>
      </c>
      <c r="N24" s="1851"/>
      <c r="O24" s="1836"/>
      <c r="P24" s="1575"/>
      <c r="Q24" s="1850"/>
      <c r="R24" s="1848">
        <f>P24*F3_DMI_Heifer_lb*F3_Heifer_Units</f>
        <v>0</v>
      </c>
      <c r="S24" s="1849" t="s">
        <v>277</v>
      </c>
      <c r="T24" s="1851"/>
      <c r="U24" s="1836"/>
      <c r="V24" s="1575"/>
      <c r="W24" s="1850"/>
      <c r="X24" s="1848">
        <f>V24*F3_DMI_Heifer_Calf_lb*F3_Heifer_Calf_Units</f>
        <v>0</v>
      </c>
      <c r="Y24" s="1849" t="s">
        <v>277</v>
      </c>
      <c r="Z24" s="1851"/>
      <c r="AA24" s="1836"/>
      <c r="AB24" s="1852">
        <f>F24+L24+R24+X24</f>
        <v>0</v>
      </c>
      <c r="AC24" s="1840"/>
      <c r="AD24" s="1841"/>
      <c r="AE24" s="1967">
        <f>'Step 8b--DMI Worksheet'!AC15</f>
        <v>0</v>
      </c>
      <c r="AF24" s="1843"/>
      <c r="AG24" s="1853">
        <f>AE24*F4_DMI_Lact_Cow_lb</f>
        <v>0</v>
      </c>
      <c r="AH24" s="1854" t="s">
        <v>277</v>
      </c>
      <c r="AI24" s="1854"/>
      <c r="AJ24" s="1844"/>
      <c r="AK24" s="1575"/>
      <c r="AL24" s="1855"/>
      <c r="AM24" s="1853">
        <f>AK24*F4_DMI_Dry_Cow_lb*F4_Dry_Cow_Units</f>
        <v>0</v>
      </c>
      <c r="AN24" s="1854" t="s">
        <v>277</v>
      </c>
      <c r="AO24" s="1856"/>
      <c r="AP24" s="1843"/>
      <c r="AQ24" s="1575"/>
      <c r="AR24" s="1855"/>
      <c r="AS24" s="1853">
        <f>AQ24*F4_DMI_Heifer_lb*F4_Heifer_Units</f>
        <v>0</v>
      </c>
      <c r="AT24" s="1854" t="s">
        <v>277</v>
      </c>
      <c r="AU24" s="1856"/>
      <c r="AV24" s="1843"/>
      <c r="AW24" s="1575"/>
      <c r="AX24" s="1855"/>
      <c r="AY24" s="1853">
        <f>AW24*F4_DMI_Heifer_Calf_lb*F4_Heifer_Calf_Units</f>
        <v>0</v>
      </c>
      <c r="AZ24" s="1854" t="s">
        <v>277</v>
      </c>
      <c r="BA24" s="1856"/>
      <c r="BB24" s="1843"/>
      <c r="BC24" s="1857">
        <f>AG24+AM24+AS24+AY24</f>
        <v>0</v>
      </c>
      <c r="BD24" s="1847"/>
    </row>
    <row r="25" spans="1:56" s="21" customFormat="1" ht="3.75" customHeight="1">
      <c r="A25" s="3515"/>
      <c r="B25" s="1726"/>
      <c r="C25" s="514"/>
      <c r="D25" s="1858"/>
      <c r="E25" s="1836"/>
      <c r="F25" s="1848"/>
      <c r="G25" s="1849"/>
      <c r="H25" s="1849"/>
      <c r="I25" s="1837"/>
      <c r="J25" s="1858"/>
      <c r="K25" s="1850"/>
      <c r="L25" s="1836"/>
      <c r="M25" s="1836"/>
      <c r="N25" s="1851"/>
      <c r="O25" s="1836"/>
      <c r="P25" s="1858"/>
      <c r="Q25" s="1850"/>
      <c r="R25" s="1836"/>
      <c r="S25" s="1836"/>
      <c r="T25" s="1851"/>
      <c r="U25" s="1836"/>
      <c r="V25" s="1858"/>
      <c r="W25" s="1850"/>
      <c r="X25" s="1836"/>
      <c r="Y25" s="1836"/>
      <c r="Z25" s="1851"/>
      <c r="AA25" s="1836"/>
      <c r="AB25" s="1839"/>
      <c r="AC25" s="1840"/>
      <c r="AD25" s="1841"/>
      <c r="AE25" s="1859"/>
      <c r="AF25" s="1843"/>
      <c r="AG25" s="1853"/>
      <c r="AH25" s="1854"/>
      <c r="AI25" s="1854"/>
      <c r="AJ25" s="1844"/>
      <c r="AK25" s="1859"/>
      <c r="AL25" s="1855"/>
      <c r="AM25" s="1843"/>
      <c r="AN25" s="1843"/>
      <c r="AO25" s="1856"/>
      <c r="AP25" s="1843"/>
      <c r="AQ25" s="1859"/>
      <c r="AR25" s="1855"/>
      <c r="AS25" s="1843"/>
      <c r="AT25" s="1843"/>
      <c r="AU25" s="1856"/>
      <c r="AV25" s="1843"/>
      <c r="AW25" s="1859"/>
      <c r="AX25" s="1855"/>
      <c r="AY25" s="1843"/>
      <c r="AZ25" s="1843"/>
      <c r="BA25" s="1856"/>
      <c r="BB25" s="1843"/>
      <c r="BC25" s="1846"/>
      <c r="BD25" s="1847"/>
    </row>
    <row r="26" spans="1:56" s="21" customFormat="1">
      <c r="A26" s="3515" t="str">
        <f>IF('Step 7a--Feedstuff Required'!B22="[add forage crop here]"," ",'Step 7a--Feedstuff Required'!B22)</f>
        <v xml:space="preserve"> </v>
      </c>
      <c r="B26" s="1726"/>
      <c r="C26" s="514"/>
      <c r="D26" s="1966">
        <f>'Step 8b--DMI Worksheet'!O16</f>
        <v>0</v>
      </c>
      <c r="E26" s="1836"/>
      <c r="F26" s="1848">
        <f>D26*F3_DMI_Lact_Cow_lb</f>
        <v>0</v>
      </c>
      <c r="G26" s="1849" t="s">
        <v>277</v>
      </c>
      <c r="H26" s="1849"/>
      <c r="I26" s="1837"/>
      <c r="J26" s="1575"/>
      <c r="K26" s="1850"/>
      <c r="L26" s="1848">
        <f>J26*F3_DMI_Dry_Cow_lb*F3_Dry_Cow_Units</f>
        <v>0</v>
      </c>
      <c r="M26" s="1849" t="s">
        <v>277</v>
      </c>
      <c r="N26" s="1851"/>
      <c r="O26" s="1836"/>
      <c r="P26" s="1575"/>
      <c r="Q26" s="1850"/>
      <c r="R26" s="1848">
        <f>P26*F3_DMI_Heifer_lb*F3_Heifer_Units</f>
        <v>0</v>
      </c>
      <c r="S26" s="1849" t="s">
        <v>277</v>
      </c>
      <c r="T26" s="1851"/>
      <c r="U26" s="1836"/>
      <c r="V26" s="1575"/>
      <c r="W26" s="1850"/>
      <c r="X26" s="1848">
        <f>V26*F3_DMI_Heifer_Calf_lb*F3_Heifer_Calf_Units</f>
        <v>0</v>
      </c>
      <c r="Y26" s="1849" t="s">
        <v>277</v>
      </c>
      <c r="Z26" s="1851"/>
      <c r="AA26" s="1836"/>
      <c r="AB26" s="1852">
        <f>F26+L26+R26+X26</f>
        <v>0</v>
      </c>
      <c r="AC26" s="1840"/>
      <c r="AD26" s="1841"/>
      <c r="AE26" s="1967">
        <f>'Step 8b--DMI Worksheet'!AC16</f>
        <v>0</v>
      </c>
      <c r="AF26" s="1843"/>
      <c r="AG26" s="1853">
        <f>AE26*F4_DMI_Lact_Cow_lb</f>
        <v>0</v>
      </c>
      <c r="AH26" s="1854" t="s">
        <v>277</v>
      </c>
      <c r="AI26" s="1854"/>
      <c r="AJ26" s="1844"/>
      <c r="AK26" s="1575"/>
      <c r="AL26" s="1855"/>
      <c r="AM26" s="1853">
        <f>AK26*F4_DMI_Dry_Cow_lb*F4_Dry_Cow_Units</f>
        <v>0</v>
      </c>
      <c r="AN26" s="1854" t="s">
        <v>277</v>
      </c>
      <c r="AO26" s="1856"/>
      <c r="AP26" s="1843"/>
      <c r="AQ26" s="1575"/>
      <c r="AR26" s="1855"/>
      <c r="AS26" s="1853">
        <f>AQ26*F4_DMI_Heifer_lb*F4_Heifer_Units</f>
        <v>0</v>
      </c>
      <c r="AT26" s="1854" t="s">
        <v>277</v>
      </c>
      <c r="AU26" s="1856"/>
      <c r="AV26" s="1843"/>
      <c r="AW26" s="1575"/>
      <c r="AX26" s="1855"/>
      <c r="AY26" s="1853">
        <f>AW26*F4_DMI_Heifer_Calf_lb*F4_Heifer_Calf_Units</f>
        <v>0</v>
      </c>
      <c r="AZ26" s="1854" t="s">
        <v>277</v>
      </c>
      <c r="BA26" s="1856"/>
      <c r="BB26" s="1843"/>
      <c r="BC26" s="1857">
        <f>AG26+AM26+AS26+AY26</f>
        <v>0</v>
      </c>
      <c r="BD26" s="1847"/>
    </row>
    <row r="27" spans="1:56" s="21" customFormat="1" ht="3.75" customHeight="1">
      <c r="A27" s="3515"/>
      <c r="B27" s="1726"/>
      <c r="C27" s="514"/>
      <c r="D27" s="1858"/>
      <c r="E27" s="1836"/>
      <c r="F27" s="1848"/>
      <c r="G27" s="1849"/>
      <c r="H27" s="1849"/>
      <c r="I27" s="1837"/>
      <c r="J27" s="1858"/>
      <c r="K27" s="1850"/>
      <c r="L27" s="1836"/>
      <c r="M27" s="1836"/>
      <c r="N27" s="1851"/>
      <c r="O27" s="1836"/>
      <c r="P27" s="1858"/>
      <c r="Q27" s="1850"/>
      <c r="R27" s="1836"/>
      <c r="S27" s="1836"/>
      <c r="T27" s="1851"/>
      <c r="U27" s="1836"/>
      <c r="V27" s="1858"/>
      <c r="W27" s="1850"/>
      <c r="X27" s="1836"/>
      <c r="Y27" s="1836"/>
      <c r="Z27" s="1851"/>
      <c r="AA27" s="1836"/>
      <c r="AB27" s="1839"/>
      <c r="AC27" s="1840"/>
      <c r="AD27" s="1841"/>
      <c r="AE27" s="1859"/>
      <c r="AF27" s="1843"/>
      <c r="AG27" s="1853"/>
      <c r="AH27" s="1854"/>
      <c r="AI27" s="1854"/>
      <c r="AJ27" s="1844"/>
      <c r="AK27" s="1859"/>
      <c r="AL27" s="1855"/>
      <c r="AM27" s="1843"/>
      <c r="AN27" s="1843"/>
      <c r="AO27" s="1856"/>
      <c r="AP27" s="1843"/>
      <c r="AQ27" s="1859"/>
      <c r="AR27" s="1855"/>
      <c r="AS27" s="1843"/>
      <c r="AT27" s="1843"/>
      <c r="AU27" s="1856"/>
      <c r="AV27" s="1843"/>
      <c r="AW27" s="1859"/>
      <c r="AX27" s="1855"/>
      <c r="AY27" s="1843"/>
      <c r="AZ27" s="1843"/>
      <c r="BA27" s="1856"/>
      <c r="BB27" s="1843"/>
      <c r="BC27" s="1846"/>
      <c r="BD27" s="1847"/>
    </row>
    <row r="28" spans="1:56" s="21" customFormat="1">
      <c r="A28" s="3515" t="str">
        <f>IF('Step 7a--Feedstuff Required'!B24="[add forage crop here]"," ",'Step 7a--Feedstuff Required'!B24)</f>
        <v xml:space="preserve"> </v>
      </c>
      <c r="B28" s="1726"/>
      <c r="C28" s="514"/>
      <c r="D28" s="1966">
        <f>'Step 8b--DMI Worksheet'!O17</f>
        <v>0</v>
      </c>
      <c r="E28" s="1836"/>
      <c r="F28" s="1848">
        <f>D28*F3_DMI_Lact_Cow_lb</f>
        <v>0</v>
      </c>
      <c r="G28" s="1849" t="s">
        <v>277</v>
      </c>
      <c r="H28" s="1849"/>
      <c r="I28" s="1837"/>
      <c r="J28" s="1575"/>
      <c r="K28" s="1850"/>
      <c r="L28" s="1848">
        <f>J28*F3_DMI_Dry_Cow_lb*F3_Dry_Cow_Units</f>
        <v>0</v>
      </c>
      <c r="M28" s="1849" t="s">
        <v>277</v>
      </c>
      <c r="N28" s="1851"/>
      <c r="O28" s="1836"/>
      <c r="P28" s="1575"/>
      <c r="Q28" s="1850"/>
      <c r="R28" s="1848">
        <f>P28*F3_DMI_Heifer_lb*F3_Heifer_Units</f>
        <v>0</v>
      </c>
      <c r="S28" s="1849" t="s">
        <v>277</v>
      </c>
      <c r="T28" s="1851"/>
      <c r="U28" s="1836"/>
      <c r="V28" s="1575"/>
      <c r="W28" s="1850"/>
      <c r="X28" s="1848">
        <f>V28*F3_DMI_Heifer_Calf_lb*F3_Heifer_Calf_Units</f>
        <v>0</v>
      </c>
      <c r="Y28" s="1849" t="s">
        <v>277</v>
      </c>
      <c r="Z28" s="1851"/>
      <c r="AA28" s="1836"/>
      <c r="AB28" s="1852">
        <f>F28+L28+R28+X28</f>
        <v>0</v>
      </c>
      <c r="AC28" s="1840"/>
      <c r="AD28" s="1841"/>
      <c r="AE28" s="1967">
        <f>'Step 8b--DMI Worksheet'!AC17</f>
        <v>0</v>
      </c>
      <c r="AF28" s="1843"/>
      <c r="AG28" s="1853">
        <f>AE28*F4_DMI_Lact_Cow_lb</f>
        <v>0</v>
      </c>
      <c r="AH28" s="1854" t="s">
        <v>277</v>
      </c>
      <c r="AI28" s="1854"/>
      <c r="AJ28" s="1844"/>
      <c r="AK28" s="1575"/>
      <c r="AL28" s="1855"/>
      <c r="AM28" s="1853">
        <f>AK28*F4_DMI_Dry_Cow_lb*F4_Dry_Cow_Units</f>
        <v>0</v>
      </c>
      <c r="AN28" s="1854" t="s">
        <v>277</v>
      </c>
      <c r="AO28" s="1856"/>
      <c r="AP28" s="1843"/>
      <c r="AQ28" s="1575"/>
      <c r="AR28" s="1855"/>
      <c r="AS28" s="1853">
        <f>AQ28*F4_DMI_Heifer_lb*F4_Heifer_Units</f>
        <v>0</v>
      </c>
      <c r="AT28" s="1854" t="s">
        <v>277</v>
      </c>
      <c r="AU28" s="1856"/>
      <c r="AV28" s="1843"/>
      <c r="AW28" s="1575"/>
      <c r="AX28" s="1855"/>
      <c r="AY28" s="1853">
        <f>AW28*F4_DMI_Heifer_Calf_lb*F4_Heifer_Calf_Units</f>
        <v>0</v>
      </c>
      <c r="AZ28" s="1854" t="s">
        <v>277</v>
      </c>
      <c r="BA28" s="1856"/>
      <c r="BB28" s="1843"/>
      <c r="BC28" s="1857">
        <f>AG28+AM28+AS28+AY28</f>
        <v>0</v>
      </c>
      <c r="BD28" s="1847"/>
    </row>
    <row r="29" spans="1:56" s="21" customFormat="1" ht="3.75" customHeight="1">
      <c r="A29" s="3523"/>
      <c r="B29" s="1726"/>
      <c r="C29" s="514"/>
      <c r="D29" s="1858"/>
      <c r="E29" s="1836"/>
      <c r="F29" s="1860"/>
      <c r="G29" s="1849"/>
      <c r="H29" s="1849"/>
      <c r="I29" s="1837"/>
      <c r="J29" s="1858"/>
      <c r="K29" s="1850"/>
      <c r="L29" s="1836"/>
      <c r="M29" s="1836"/>
      <c r="N29" s="1851"/>
      <c r="O29" s="1836"/>
      <c r="P29" s="1858"/>
      <c r="Q29" s="1850"/>
      <c r="R29" s="1836"/>
      <c r="S29" s="1836"/>
      <c r="T29" s="1851"/>
      <c r="U29" s="1836"/>
      <c r="V29" s="1858"/>
      <c r="W29" s="1850"/>
      <c r="X29" s="1836"/>
      <c r="Y29" s="1836"/>
      <c r="Z29" s="1851"/>
      <c r="AA29" s="1836"/>
      <c r="AB29" s="1861"/>
      <c r="AC29" s="1840"/>
      <c r="AD29" s="1841"/>
      <c r="AE29" s="1859"/>
      <c r="AF29" s="1843"/>
      <c r="AG29" s="1862"/>
      <c r="AH29" s="1854"/>
      <c r="AI29" s="1854"/>
      <c r="AJ29" s="1844"/>
      <c r="AK29" s="1859"/>
      <c r="AL29" s="1855"/>
      <c r="AM29" s="1843"/>
      <c r="AN29" s="1843"/>
      <c r="AO29" s="1856"/>
      <c r="AP29" s="1843"/>
      <c r="AQ29" s="1859"/>
      <c r="AR29" s="1855"/>
      <c r="AS29" s="1843"/>
      <c r="AT29" s="1843"/>
      <c r="AU29" s="1856"/>
      <c r="AV29" s="1843"/>
      <c r="AW29" s="1859"/>
      <c r="AX29" s="1855"/>
      <c r="AY29" s="1843"/>
      <c r="AZ29" s="1843"/>
      <c r="BA29" s="1856"/>
      <c r="BB29" s="1843"/>
      <c r="BC29" s="1863"/>
      <c r="BD29" s="1847"/>
    </row>
    <row r="30" spans="1:56" s="20" customFormat="1" ht="18.75" customHeight="1" thickBot="1">
      <c r="A30" s="3524" t="s">
        <v>4</v>
      </c>
      <c r="B30" s="1726"/>
      <c r="C30" s="514"/>
      <c r="D30" s="1864">
        <f>SUM(D12:D28)</f>
        <v>0.81</v>
      </c>
      <c r="E30" s="1865"/>
      <c r="F30" s="1866">
        <f>SUM(F12:F28)</f>
        <v>38.312999999999995</v>
      </c>
      <c r="G30" s="1867" t="s">
        <v>277</v>
      </c>
      <c r="H30" s="1868"/>
      <c r="I30" s="1869"/>
      <c r="J30" s="1864">
        <f>SUM(J12:J28)</f>
        <v>1</v>
      </c>
      <c r="K30" s="1865"/>
      <c r="L30" s="1866">
        <f>SUM(L12:L28)</f>
        <v>3.9343473389736818</v>
      </c>
      <c r="M30" s="1867" t="s">
        <v>277</v>
      </c>
      <c r="N30" s="1868"/>
      <c r="O30" s="1870"/>
      <c r="P30" s="1864">
        <f>SUM(P12:P28)</f>
        <v>1</v>
      </c>
      <c r="Q30" s="1865"/>
      <c r="R30" s="1866">
        <f>SUM(R12:R28)</f>
        <v>7.6637285664875519</v>
      </c>
      <c r="S30" s="1867" t="s">
        <v>277</v>
      </c>
      <c r="T30" s="1868"/>
      <c r="U30" s="1870"/>
      <c r="V30" s="1864">
        <f>SUM(V12:V28)</f>
        <v>1</v>
      </c>
      <c r="W30" s="1865"/>
      <c r="X30" s="1866">
        <f>SUM(X12:X28)</f>
        <v>3.1384491518905029</v>
      </c>
      <c r="Y30" s="1867" t="s">
        <v>277</v>
      </c>
      <c r="Z30" s="1868"/>
      <c r="AA30" s="1871"/>
      <c r="AB30" s="1872">
        <f>F30+L30+R30+X30</f>
        <v>53.04952505735173</v>
      </c>
      <c r="AC30" s="1873"/>
      <c r="AD30" s="1841"/>
      <c r="AE30" s="1874">
        <f>SUM(AE12:AE28)</f>
        <v>0.83299999999999996</v>
      </c>
      <c r="AF30" s="1875"/>
      <c r="AG30" s="1876">
        <f>SUM(AG12:AG28)</f>
        <v>32.528649999999999</v>
      </c>
      <c r="AH30" s="1877" t="s">
        <v>277</v>
      </c>
      <c r="AI30" s="1878"/>
      <c r="AJ30" s="1879"/>
      <c r="AK30" s="1874">
        <f>SUM(AK12:AK28)</f>
        <v>1</v>
      </c>
      <c r="AL30" s="1875"/>
      <c r="AM30" s="1876">
        <f>SUM(AM12:AM28)</f>
        <v>2.8082822095624302</v>
      </c>
      <c r="AN30" s="1877" t="s">
        <v>277</v>
      </c>
      <c r="AO30" s="1878"/>
      <c r="AP30" s="1880"/>
      <c r="AQ30" s="1874">
        <f>SUM(AQ12:AQ28)</f>
        <v>1</v>
      </c>
      <c r="AR30" s="1875"/>
      <c r="AS30" s="1876">
        <f>SUM(AS12:AS28)</f>
        <v>3.9525176897655543</v>
      </c>
      <c r="AT30" s="1877" t="s">
        <v>277</v>
      </c>
      <c r="AU30" s="1878"/>
      <c r="AV30" s="1880"/>
      <c r="AW30" s="1874">
        <f>SUM(AW12:AW28)</f>
        <v>1</v>
      </c>
      <c r="AX30" s="1875"/>
      <c r="AY30" s="1876">
        <f>SUM(AY12:AY28)</f>
        <v>1.6777523927350655</v>
      </c>
      <c r="AZ30" s="1877" t="s">
        <v>277</v>
      </c>
      <c r="BA30" s="1878"/>
      <c r="BB30" s="1881"/>
      <c r="BC30" s="1882">
        <f>AG30+AM30+AS30+AY30</f>
        <v>40.96720229206305</v>
      </c>
      <c r="BD30" s="1883"/>
    </row>
    <row r="31" spans="1:56" ht="15" thickTop="1">
      <c r="A31" s="787"/>
      <c r="B31" s="788"/>
      <c r="C31" s="1254"/>
      <c r="D31" s="1262"/>
      <c r="E31" s="1262"/>
      <c r="F31" s="1257"/>
      <c r="G31" s="1262"/>
      <c r="H31" s="1262"/>
      <c r="I31" s="1263"/>
      <c r="J31" s="736"/>
      <c r="K31" s="1257"/>
      <c r="L31" s="1262"/>
      <c r="M31" s="1262"/>
      <c r="N31" s="1265"/>
      <c r="O31" s="1262"/>
      <c r="P31" s="736"/>
      <c r="Q31" s="1257"/>
      <c r="R31" s="1262"/>
      <c r="S31" s="1262"/>
      <c r="T31" s="1265"/>
      <c r="U31" s="1262"/>
      <c r="V31" s="736"/>
      <c r="W31" s="1257"/>
      <c r="X31" s="1262"/>
      <c r="Y31" s="1262"/>
      <c r="Z31" s="1265"/>
      <c r="AA31" s="1262"/>
      <c r="AB31" s="1267"/>
      <c r="AC31" s="1260"/>
      <c r="AD31" s="1278"/>
      <c r="AE31" s="1287"/>
      <c r="AF31" s="1287"/>
      <c r="AG31" s="1282"/>
      <c r="AH31" s="1287"/>
      <c r="AI31" s="1287"/>
      <c r="AJ31" s="1288"/>
      <c r="AK31" s="781"/>
      <c r="AL31" s="1282"/>
      <c r="AM31" s="1287"/>
      <c r="AN31" s="1287"/>
      <c r="AO31" s="1290"/>
      <c r="AP31" s="1287"/>
      <c r="AQ31" s="781"/>
      <c r="AR31" s="1282"/>
      <c r="AS31" s="1287"/>
      <c r="AT31" s="1287"/>
      <c r="AU31" s="1290"/>
      <c r="AV31" s="1287"/>
      <c r="AW31" s="781"/>
      <c r="AX31" s="1282"/>
      <c r="AY31" s="1287"/>
      <c r="AZ31" s="1287"/>
      <c r="BA31" s="1290"/>
      <c r="BB31" s="1287"/>
      <c r="BC31" s="1292"/>
      <c r="BD31" s="1285"/>
    </row>
    <row r="32" spans="1:56" ht="20.25" customHeight="1">
      <c r="A32" s="4031" t="s">
        <v>887</v>
      </c>
      <c r="B32" s="4032"/>
      <c r="C32" s="4032"/>
      <c r="D32" s="4032"/>
      <c r="E32" s="4032"/>
      <c r="F32" s="4032"/>
      <c r="G32" s="4032"/>
      <c r="H32" s="4032"/>
      <c r="I32" s="4032"/>
      <c r="J32" s="4032"/>
      <c r="K32" s="4032"/>
      <c r="L32" s="4032"/>
      <c r="M32" s="4032"/>
      <c r="N32" s="4032"/>
      <c r="O32" s="4032"/>
      <c r="P32" s="4032"/>
      <c r="Q32" s="4032"/>
      <c r="R32" s="4032"/>
      <c r="S32" s="4032"/>
      <c r="T32" s="4032"/>
      <c r="U32" s="4032"/>
      <c r="V32" s="4032"/>
      <c r="W32" s="4032"/>
      <c r="X32" s="4032"/>
      <c r="Y32" s="4032"/>
      <c r="Z32" s="4032"/>
      <c r="AA32" s="4032"/>
      <c r="AB32" s="4032"/>
      <c r="AC32" s="4032"/>
      <c r="AD32" s="4032"/>
      <c r="AE32" s="4032"/>
      <c r="AF32" s="4032"/>
      <c r="AG32" s="4032"/>
      <c r="AH32" s="4032"/>
      <c r="AI32" s="4032"/>
      <c r="AJ32" s="4032"/>
      <c r="AK32" s="4032"/>
      <c r="AL32" s="4032"/>
      <c r="AM32" s="4032"/>
      <c r="AN32" s="4032"/>
      <c r="AO32" s="4032"/>
      <c r="AP32" s="4032"/>
      <c r="AQ32" s="4032"/>
      <c r="AR32" s="4032"/>
      <c r="AS32" s="4032"/>
      <c r="AT32" s="4032"/>
      <c r="AU32" s="4032"/>
      <c r="AV32" s="4032"/>
      <c r="AW32" s="4032"/>
      <c r="AX32" s="4032"/>
      <c r="AY32" s="4032"/>
      <c r="AZ32" s="4032"/>
      <c r="BA32" s="4032"/>
      <c r="BB32" s="4032"/>
      <c r="BC32" s="4032"/>
      <c r="BD32" s="4033"/>
    </row>
    <row r="33" spans="1:56" ht="3.75" customHeight="1">
      <c r="A33" s="281"/>
      <c r="B33" s="786"/>
      <c r="C33" s="1261"/>
      <c r="D33" s="736"/>
      <c r="E33" s="1262"/>
      <c r="F33" s="1262"/>
      <c r="G33" s="1262"/>
      <c r="H33" s="1262"/>
      <c r="I33" s="1263"/>
      <c r="J33" s="1264"/>
      <c r="K33" s="1264"/>
      <c r="L33" s="1262"/>
      <c r="M33" s="1262"/>
      <c r="N33" s="1265"/>
      <c r="O33" s="1262"/>
      <c r="P33" s="1266"/>
      <c r="Q33" s="1264"/>
      <c r="R33" s="1262"/>
      <c r="S33" s="1262"/>
      <c r="T33" s="1265"/>
      <c r="U33" s="1262"/>
      <c r="V33" s="1267"/>
      <c r="W33" s="1264"/>
      <c r="X33" s="1262"/>
      <c r="Y33" s="1262"/>
      <c r="Z33" s="1265"/>
      <c r="AA33" s="1262"/>
      <c r="AB33" s="1267"/>
      <c r="AC33" s="1268"/>
      <c r="AD33" s="1286"/>
      <c r="AE33" s="781"/>
      <c r="AF33" s="1287"/>
      <c r="AG33" s="1287"/>
      <c r="AH33" s="1287"/>
      <c r="AI33" s="1287"/>
      <c r="AJ33" s="1288"/>
      <c r="AK33" s="1289"/>
      <c r="AL33" s="1289"/>
      <c r="AM33" s="1287"/>
      <c r="AN33" s="1287"/>
      <c r="AO33" s="1290"/>
      <c r="AP33" s="1287"/>
      <c r="AQ33" s="1291"/>
      <c r="AR33" s="1289"/>
      <c r="AS33" s="1287"/>
      <c r="AT33" s="1287"/>
      <c r="AU33" s="1290"/>
      <c r="AV33" s="1287"/>
      <c r="AW33" s="1292"/>
      <c r="AX33" s="1289"/>
      <c r="AY33" s="1287"/>
      <c r="AZ33" s="1287"/>
      <c r="BA33" s="1290"/>
      <c r="BB33" s="1287"/>
      <c r="BC33" s="1292"/>
      <c r="BD33" s="1293"/>
    </row>
    <row r="34" spans="1:56" s="21" customFormat="1">
      <c r="A34" s="209" t="s">
        <v>33</v>
      </c>
      <c r="B34" s="1769"/>
      <c r="C34" s="1884"/>
      <c r="D34" s="1966">
        <f>'Step 8b--DMI Worksheet'!O20</f>
        <v>0.1</v>
      </c>
      <c r="E34" s="1836"/>
      <c r="F34" s="1848">
        <f>D34*F3_DMI_Lact_Cow_lb</f>
        <v>4.7299999999999995</v>
      </c>
      <c r="G34" s="1849" t="s">
        <v>277</v>
      </c>
      <c r="H34" s="1849"/>
      <c r="I34" s="1837"/>
      <c r="J34" s="1575"/>
      <c r="K34" s="1850"/>
      <c r="L34" s="1848">
        <f>J34*F3_DMI_Dry_Cow_lb*F3_Dry_Cow_Units</f>
        <v>0</v>
      </c>
      <c r="M34" s="1849" t="s">
        <v>277</v>
      </c>
      <c r="N34" s="1851"/>
      <c r="O34" s="1836"/>
      <c r="P34" s="1575"/>
      <c r="Q34" s="1850"/>
      <c r="R34" s="1848">
        <f>P34*F3_DMI_Heifer_lb*F3_Heifer_Units</f>
        <v>0</v>
      </c>
      <c r="S34" s="1849" t="s">
        <v>277</v>
      </c>
      <c r="T34" s="1851"/>
      <c r="U34" s="1836"/>
      <c r="V34" s="1575"/>
      <c r="W34" s="1850"/>
      <c r="X34" s="1848">
        <f>V34*F3_DMI_Heifer_Calf_lb*F3_Heifer_Calf_Units</f>
        <v>0</v>
      </c>
      <c r="Y34" s="1849" t="s">
        <v>277</v>
      </c>
      <c r="Z34" s="1851"/>
      <c r="AA34" s="1836"/>
      <c r="AB34" s="1852">
        <f>F34+L34+R34+X34</f>
        <v>4.7299999999999995</v>
      </c>
      <c r="AC34" s="1840"/>
      <c r="AD34" s="1885"/>
      <c r="AE34" s="1967">
        <f>'Step 8b--DMI Worksheet'!AC20</f>
        <v>0.1</v>
      </c>
      <c r="AF34" s="1843"/>
      <c r="AG34" s="1853">
        <f>AE34*F4_DMI_Lact_Cow_lb</f>
        <v>3.9049999999999998</v>
      </c>
      <c r="AH34" s="1854" t="s">
        <v>277</v>
      </c>
      <c r="AI34" s="1854"/>
      <c r="AJ34" s="1844"/>
      <c r="AK34" s="1575"/>
      <c r="AL34" s="1855"/>
      <c r="AM34" s="1853">
        <f>AK34*F4_DMI_Dry_Cow_lb*F4_Dry_Cow_Units</f>
        <v>0</v>
      </c>
      <c r="AN34" s="1854" t="s">
        <v>277</v>
      </c>
      <c r="AO34" s="1856"/>
      <c r="AP34" s="1843"/>
      <c r="AQ34" s="1575"/>
      <c r="AR34" s="1855"/>
      <c r="AS34" s="1853">
        <f>AQ34*F4_DMI_Heifer_lb*F4_Heifer_Units</f>
        <v>0</v>
      </c>
      <c r="AT34" s="1854" t="s">
        <v>277</v>
      </c>
      <c r="AU34" s="1856"/>
      <c r="AV34" s="1843"/>
      <c r="AW34" s="1575"/>
      <c r="AX34" s="1855"/>
      <c r="AY34" s="1853">
        <f>AW34*F4_DMI_Heifer_Calf_lb*F4_Heifer_Calf_Units</f>
        <v>0</v>
      </c>
      <c r="AZ34" s="1854" t="s">
        <v>277</v>
      </c>
      <c r="BA34" s="1856"/>
      <c r="BB34" s="1843"/>
      <c r="BC34" s="1857">
        <f>AG34+AM34+AS34+AY34</f>
        <v>3.9049999999999998</v>
      </c>
      <c r="BD34" s="1847"/>
    </row>
    <row r="35" spans="1:56" s="21" customFormat="1" ht="3.75" customHeight="1">
      <c r="A35" s="209"/>
      <c r="B35" s="1726"/>
      <c r="C35" s="514"/>
      <c r="D35" s="1836"/>
      <c r="E35" s="1836"/>
      <c r="F35" s="1848"/>
      <c r="G35" s="1849"/>
      <c r="H35" s="1849"/>
      <c r="I35" s="1837"/>
      <c r="J35" s="1858"/>
      <c r="K35" s="1850"/>
      <c r="L35" s="1836"/>
      <c r="M35" s="1836"/>
      <c r="N35" s="1851"/>
      <c r="O35" s="1836"/>
      <c r="P35" s="1858"/>
      <c r="Q35" s="1850"/>
      <c r="R35" s="1836"/>
      <c r="S35" s="1836"/>
      <c r="T35" s="1851"/>
      <c r="U35" s="1836"/>
      <c r="V35" s="1858"/>
      <c r="W35" s="1850"/>
      <c r="X35" s="1836"/>
      <c r="Y35" s="1836"/>
      <c r="Z35" s="1851"/>
      <c r="AA35" s="1836"/>
      <c r="AB35" s="1839"/>
      <c r="AC35" s="1840"/>
      <c r="AD35" s="1841"/>
      <c r="AE35" s="1843"/>
      <c r="AF35" s="1843"/>
      <c r="AG35" s="1853"/>
      <c r="AH35" s="1854"/>
      <c r="AI35" s="1854"/>
      <c r="AJ35" s="1844"/>
      <c r="AK35" s="1859"/>
      <c r="AL35" s="1855"/>
      <c r="AM35" s="1843"/>
      <c r="AN35" s="1843"/>
      <c r="AO35" s="1856"/>
      <c r="AP35" s="1843"/>
      <c r="AQ35" s="1859"/>
      <c r="AR35" s="1855"/>
      <c r="AS35" s="1843"/>
      <c r="AT35" s="1843"/>
      <c r="AU35" s="1856"/>
      <c r="AV35" s="1843"/>
      <c r="AW35" s="1859"/>
      <c r="AX35" s="1855"/>
      <c r="AY35" s="1843"/>
      <c r="AZ35" s="1843"/>
      <c r="BA35" s="1856"/>
      <c r="BB35" s="1843"/>
      <c r="BC35" s="1846"/>
      <c r="BD35" s="1847"/>
    </row>
    <row r="36" spans="1:56" s="21" customFormat="1">
      <c r="A36" s="209" t="s">
        <v>22</v>
      </c>
      <c r="B36" s="1726"/>
      <c r="C36" s="514"/>
      <c r="D36" s="1966">
        <f>'Step 8b--DMI Worksheet'!O21</f>
        <v>0.02</v>
      </c>
      <c r="E36" s="1836"/>
      <c r="F36" s="1848">
        <f>D36*F3_DMI_Lact_Cow_lb</f>
        <v>0.94599999999999995</v>
      </c>
      <c r="G36" s="1849" t="s">
        <v>277</v>
      </c>
      <c r="H36" s="1849"/>
      <c r="I36" s="1837"/>
      <c r="J36" s="1575"/>
      <c r="K36" s="1850"/>
      <c r="L36" s="1848">
        <f>J36*F3_DMI_Dry_Cow_lb*F3_Dry_Cow_Units</f>
        <v>0</v>
      </c>
      <c r="M36" s="1849" t="s">
        <v>277</v>
      </c>
      <c r="N36" s="1851"/>
      <c r="O36" s="1836"/>
      <c r="P36" s="1575"/>
      <c r="Q36" s="1850"/>
      <c r="R36" s="1848">
        <f>P36*F3_DMI_Heifer_lb*F3_Heifer_Units</f>
        <v>0</v>
      </c>
      <c r="S36" s="1849" t="s">
        <v>277</v>
      </c>
      <c r="T36" s="1851"/>
      <c r="U36" s="1836"/>
      <c r="V36" s="1575"/>
      <c r="W36" s="1850"/>
      <c r="X36" s="1848">
        <f>V36*F3_DMI_Heifer_Calf_lb*F3_Heifer_Calf_Units</f>
        <v>0</v>
      </c>
      <c r="Y36" s="1849" t="s">
        <v>277</v>
      </c>
      <c r="Z36" s="1851"/>
      <c r="AA36" s="1836"/>
      <c r="AB36" s="1852">
        <f>F36+L36+R36+X36</f>
        <v>0.94599999999999995</v>
      </c>
      <c r="AC36" s="1840"/>
      <c r="AD36" s="1841"/>
      <c r="AE36" s="1967">
        <f>'Step 8b--DMI Worksheet'!AC21</f>
        <v>2.3E-2</v>
      </c>
      <c r="AF36" s="1843"/>
      <c r="AG36" s="1853">
        <f>AE36*F4_DMI_Lact_Cow_lb</f>
        <v>0.89814999999999989</v>
      </c>
      <c r="AH36" s="1854" t="s">
        <v>277</v>
      </c>
      <c r="AI36" s="1854"/>
      <c r="AJ36" s="1844"/>
      <c r="AK36" s="1575"/>
      <c r="AL36" s="1855"/>
      <c r="AM36" s="1853">
        <f>AK36*F4_DMI_Dry_Cow_lb*F4_Dry_Cow_Units</f>
        <v>0</v>
      </c>
      <c r="AN36" s="1854" t="s">
        <v>277</v>
      </c>
      <c r="AO36" s="1856"/>
      <c r="AP36" s="1843"/>
      <c r="AQ36" s="1575"/>
      <c r="AR36" s="1855"/>
      <c r="AS36" s="1853">
        <f>AQ36*F4_DMI_Heifer_lb*F4_Heifer_Units</f>
        <v>0</v>
      </c>
      <c r="AT36" s="1854" t="s">
        <v>277</v>
      </c>
      <c r="AU36" s="1856"/>
      <c r="AV36" s="1843"/>
      <c r="AW36" s="1575"/>
      <c r="AX36" s="1855"/>
      <c r="AY36" s="1853">
        <f>AW36*F4_DMI_Heifer_Calf_lb*F4_Heifer_Calf_Units</f>
        <v>0</v>
      </c>
      <c r="AZ36" s="1854" t="s">
        <v>277</v>
      </c>
      <c r="BA36" s="1856"/>
      <c r="BB36" s="1843"/>
      <c r="BC36" s="1857">
        <f>AG36+AM36+AS36+AY36</f>
        <v>0.89814999999999989</v>
      </c>
      <c r="BD36" s="1847"/>
    </row>
    <row r="37" spans="1:56" s="21" customFormat="1" ht="3.75" customHeight="1">
      <c r="A37" s="209"/>
      <c r="B37" s="1726"/>
      <c r="C37" s="514"/>
      <c r="D37" s="1836"/>
      <c r="E37" s="1836"/>
      <c r="F37" s="1848"/>
      <c r="G37" s="1849"/>
      <c r="H37" s="1849"/>
      <c r="I37" s="1837"/>
      <c r="J37" s="1858"/>
      <c r="K37" s="1850"/>
      <c r="L37" s="1836"/>
      <c r="M37" s="1836"/>
      <c r="N37" s="1851"/>
      <c r="O37" s="1836"/>
      <c r="P37" s="1858"/>
      <c r="Q37" s="1850"/>
      <c r="R37" s="1836"/>
      <c r="S37" s="1836"/>
      <c r="T37" s="1851"/>
      <c r="U37" s="1836"/>
      <c r="V37" s="1858"/>
      <c r="W37" s="1850"/>
      <c r="X37" s="1836"/>
      <c r="Y37" s="1836"/>
      <c r="Z37" s="1851"/>
      <c r="AA37" s="1836"/>
      <c r="AB37" s="1839"/>
      <c r="AC37" s="1840"/>
      <c r="AD37" s="1841"/>
      <c r="AE37" s="1843"/>
      <c r="AF37" s="1843"/>
      <c r="AG37" s="1853"/>
      <c r="AH37" s="1854"/>
      <c r="AI37" s="1854"/>
      <c r="AJ37" s="1844"/>
      <c r="AK37" s="1859"/>
      <c r="AL37" s="1855"/>
      <c r="AM37" s="1843"/>
      <c r="AN37" s="1843"/>
      <c r="AO37" s="1856"/>
      <c r="AP37" s="1843"/>
      <c r="AQ37" s="1859"/>
      <c r="AR37" s="1855"/>
      <c r="AS37" s="1843"/>
      <c r="AT37" s="1843"/>
      <c r="AU37" s="1856"/>
      <c r="AV37" s="1843"/>
      <c r="AW37" s="1859"/>
      <c r="AX37" s="1855"/>
      <c r="AY37" s="1843"/>
      <c r="AZ37" s="1843"/>
      <c r="BA37" s="1856"/>
      <c r="BB37" s="1843"/>
      <c r="BC37" s="1846"/>
      <c r="BD37" s="1847"/>
    </row>
    <row r="38" spans="1:56" s="21" customFormat="1">
      <c r="A38" s="209" t="s">
        <v>25</v>
      </c>
      <c r="B38" s="1772"/>
      <c r="C38" s="1886"/>
      <c r="D38" s="1966">
        <f>'Step 8b--DMI Worksheet'!O22</f>
        <v>0.02</v>
      </c>
      <c r="E38" s="1836"/>
      <c r="F38" s="1848">
        <f>D38*F3_DMI_Lact_Cow_lb</f>
        <v>0.94599999999999995</v>
      </c>
      <c r="G38" s="1849" t="s">
        <v>277</v>
      </c>
      <c r="H38" s="1849"/>
      <c r="I38" s="1837"/>
      <c r="J38" s="1575"/>
      <c r="K38" s="1850"/>
      <c r="L38" s="1848">
        <f>J38*F3_DMI_Dry_Cow_lb*F3_Dry_Cow_Units</f>
        <v>0</v>
      </c>
      <c r="M38" s="1849" t="s">
        <v>277</v>
      </c>
      <c r="N38" s="1851"/>
      <c r="O38" s="1836"/>
      <c r="P38" s="1575"/>
      <c r="Q38" s="1850"/>
      <c r="R38" s="1848">
        <f>P38*F3_DMI_Heifer_lb*F3_Heifer_Units</f>
        <v>0</v>
      </c>
      <c r="S38" s="1849" t="s">
        <v>277</v>
      </c>
      <c r="T38" s="1851"/>
      <c r="U38" s="1836"/>
      <c r="V38" s="1575"/>
      <c r="W38" s="1850"/>
      <c r="X38" s="1848">
        <f>V38*F3_DMI_Heifer_Calf_lb*F3_Heifer_Calf_Units</f>
        <v>0</v>
      </c>
      <c r="Y38" s="1849" t="s">
        <v>277</v>
      </c>
      <c r="Z38" s="1851"/>
      <c r="AA38" s="1836"/>
      <c r="AB38" s="1852">
        <f>F38+L38+R38+X38</f>
        <v>0.94599999999999995</v>
      </c>
      <c r="AC38" s="1840"/>
      <c r="AD38" s="1887"/>
      <c r="AE38" s="1967">
        <f>'Step 8b--DMI Worksheet'!AC22</f>
        <v>2.4E-2</v>
      </c>
      <c r="AF38" s="1843"/>
      <c r="AG38" s="1853">
        <f>AE38*F4_DMI_Lact_Cow_lb</f>
        <v>0.93719999999999992</v>
      </c>
      <c r="AH38" s="1854" t="s">
        <v>277</v>
      </c>
      <c r="AI38" s="1854"/>
      <c r="AJ38" s="1844"/>
      <c r="AK38" s="1575"/>
      <c r="AL38" s="1855"/>
      <c r="AM38" s="1853">
        <f>AK38*F4_DMI_Dry_Cow_lb*F4_Dry_Cow_Units</f>
        <v>0</v>
      </c>
      <c r="AN38" s="1854" t="s">
        <v>277</v>
      </c>
      <c r="AO38" s="1856"/>
      <c r="AP38" s="1843"/>
      <c r="AQ38" s="1575"/>
      <c r="AR38" s="1855"/>
      <c r="AS38" s="1853">
        <f>AQ38*F4_DMI_Heifer_lb*F4_Heifer_Units</f>
        <v>0</v>
      </c>
      <c r="AT38" s="1854" t="s">
        <v>277</v>
      </c>
      <c r="AU38" s="1856"/>
      <c r="AV38" s="1843"/>
      <c r="AW38" s="1575"/>
      <c r="AX38" s="1855"/>
      <c r="AY38" s="1853">
        <f>AW38*F4_DMI_Heifer_Calf_lb*F4_Heifer_Calf_Units</f>
        <v>0</v>
      </c>
      <c r="AZ38" s="1854" t="s">
        <v>277</v>
      </c>
      <c r="BA38" s="1856"/>
      <c r="BB38" s="1843"/>
      <c r="BC38" s="1857">
        <f>AG38+AM38+AS38+AY38</f>
        <v>0.93719999999999992</v>
      </c>
      <c r="BD38" s="1847"/>
    </row>
    <row r="39" spans="1:56" s="21" customFormat="1" ht="3.75" customHeight="1">
      <c r="A39" s="209"/>
      <c r="B39" s="1726"/>
      <c r="C39" s="514"/>
      <c r="D39" s="1836"/>
      <c r="E39" s="1836"/>
      <c r="F39" s="1848"/>
      <c r="G39" s="1849"/>
      <c r="H39" s="1849"/>
      <c r="I39" s="1837"/>
      <c r="J39" s="1858"/>
      <c r="K39" s="1850"/>
      <c r="L39" s="1836"/>
      <c r="M39" s="1836"/>
      <c r="N39" s="1851"/>
      <c r="O39" s="1836"/>
      <c r="P39" s="1858"/>
      <c r="Q39" s="1850"/>
      <c r="R39" s="1836"/>
      <c r="S39" s="1836"/>
      <c r="T39" s="1851"/>
      <c r="U39" s="1836"/>
      <c r="V39" s="1858"/>
      <c r="W39" s="1850"/>
      <c r="X39" s="1836"/>
      <c r="Y39" s="1836"/>
      <c r="Z39" s="1851"/>
      <c r="AA39" s="1836"/>
      <c r="AB39" s="1839"/>
      <c r="AC39" s="1840"/>
      <c r="AD39" s="1841"/>
      <c r="AE39" s="1843"/>
      <c r="AF39" s="1843"/>
      <c r="AG39" s="1853"/>
      <c r="AH39" s="1854"/>
      <c r="AI39" s="1854"/>
      <c r="AJ39" s="1844"/>
      <c r="AK39" s="1859"/>
      <c r="AL39" s="1855"/>
      <c r="AM39" s="1843"/>
      <c r="AN39" s="1843"/>
      <c r="AO39" s="1856"/>
      <c r="AP39" s="1843"/>
      <c r="AQ39" s="1859"/>
      <c r="AR39" s="1855"/>
      <c r="AS39" s="1843"/>
      <c r="AT39" s="1843"/>
      <c r="AU39" s="1856"/>
      <c r="AV39" s="1843"/>
      <c r="AW39" s="1859"/>
      <c r="AX39" s="1855"/>
      <c r="AY39" s="1843"/>
      <c r="AZ39" s="1843"/>
      <c r="BA39" s="1856"/>
      <c r="BB39" s="1843"/>
      <c r="BC39" s="1846"/>
      <c r="BD39" s="1847"/>
    </row>
    <row r="40" spans="1:56" s="21" customFormat="1">
      <c r="A40" s="3522" t="s">
        <v>27</v>
      </c>
      <c r="B40" s="1726"/>
      <c r="C40" s="514"/>
      <c r="D40" s="1966">
        <f>'Step 8b--DMI Worksheet'!O23</f>
        <v>0</v>
      </c>
      <c r="E40" s="1836"/>
      <c r="F40" s="1848">
        <f>D40*F3_DMI_Lact_Cow_lb</f>
        <v>0</v>
      </c>
      <c r="G40" s="1849" t="s">
        <v>277</v>
      </c>
      <c r="H40" s="1849"/>
      <c r="I40" s="1837"/>
      <c r="J40" s="1575"/>
      <c r="K40" s="1850"/>
      <c r="L40" s="1848">
        <f>J40*F3_DMI_Dry_Cow_lb*F3_Dry_Cow_Units</f>
        <v>0</v>
      </c>
      <c r="M40" s="1849" t="s">
        <v>277</v>
      </c>
      <c r="N40" s="1851"/>
      <c r="O40" s="1836"/>
      <c r="P40" s="1575"/>
      <c r="Q40" s="1850"/>
      <c r="R40" s="1848">
        <f>P40*F3_DMI_Heifer_lb*F3_Heifer_Units</f>
        <v>0</v>
      </c>
      <c r="S40" s="1849" t="s">
        <v>277</v>
      </c>
      <c r="T40" s="1851"/>
      <c r="U40" s="1836"/>
      <c r="V40" s="1575"/>
      <c r="W40" s="1850"/>
      <c r="X40" s="1848">
        <f>V40*F3_DMI_Heifer_Calf_lb*F3_Heifer_Calf_Units</f>
        <v>0</v>
      </c>
      <c r="Y40" s="1849" t="s">
        <v>277</v>
      </c>
      <c r="Z40" s="1851"/>
      <c r="AA40" s="1836"/>
      <c r="AB40" s="1852">
        <f>F40+L40+R40+X40</f>
        <v>0</v>
      </c>
      <c r="AC40" s="1840"/>
      <c r="AD40" s="1841"/>
      <c r="AE40" s="1967">
        <f>'Step 8b--DMI Worksheet'!AC23</f>
        <v>0</v>
      </c>
      <c r="AF40" s="1843"/>
      <c r="AG40" s="1853">
        <f>AE40*F4_DMI_Lact_Cow_lb</f>
        <v>0</v>
      </c>
      <c r="AH40" s="1854" t="s">
        <v>277</v>
      </c>
      <c r="AI40" s="1854"/>
      <c r="AJ40" s="1844"/>
      <c r="AK40" s="1575"/>
      <c r="AL40" s="1855"/>
      <c r="AM40" s="1853">
        <f>AK40*F4_DMI_Dry_Cow_lb*F4_Dry_Cow_Units</f>
        <v>0</v>
      </c>
      <c r="AN40" s="1854" t="s">
        <v>277</v>
      </c>
      <c r="AO40" s="1856"/>
      <c r="AP40" s="1843"/>
      <c r="AQ40" s="1575"/>
      <c r="AR40" s="1855"/>
      <c r="AS40" s="1853">
        <f>AQ40*F4_DMI_Heifer_lb*F4_Heifer_Units</f>
        <v>0</v>
      </c>
      <c r="AT40" s="1854" t="s">
        <v>277</v>
      </c>
      <c r="AU40" s="1856"/>
      <c r="AV40" s="1843"/>
      <c r="AW40" s="1575"/>
      <c r="AX40" s="1855"/>
      <c r="AY40" s="1853">
        <f>AW40*F4_DMI_Heifer_Calf_lb*F4_Heifer_Calf_Units</f>
        <v>0</v>
      </c>
      <c r="AZ40" s="1854" t="s">
        <v>277</v>
      </c>
      <c r="BA40" s="1856"/>
      <c r="BB40" s="1843"/>
      <c r="BC40" s="1857">
        <f>AG40+AM40+AS40+AY40</f>
        <v>0</v>
      </c>
      <c r="BD40" s="1847"/>
    </row>
    <row r="41" spans="1:56" s="21" customFormat="1" ht="3.75" customHeight="1">
      <c r="A41" s="3522"/>
      <c r="B41" s="1726"/>
      <c r="C41" s="514"/>
      <c r="D41" s="1836"/>
      <c r="E41" s="1836"/>
      <c r="F41" s="1848"/>
      <c r="G41" s="1849"/>
      <c r="H41" s="1849"/>
      <c r="I41" s="1837"/>
      <c r="J41" s="1858"/>
      <c r="K41" s="1850"/>
      <c r="L41" s="1836"/>
      <c r="M41" s="1836"/>
      <c r="N41" s="1851"/>
      <c r="O41" s="1836"/>
      <c r="P41" s="1858"/>
      <c r="Q41" s="1850"/>
      <c r="R41" s="1836"/>
      <c r="S41" s="1836"/>
      <c r="T41" s="1851"/>
      <c r="U41" s="1836"/>
      <c r="V41" s="1858"/>
      <c r="W41" s="1850"/>
      <c r="X41" s="1836"/>
      <c r="Y41" s="1836"/>
      <c r="Z41" s="1851"/>
      <c r="AA41" s="1836"/>
      <c r="AB41" s="1839"/>
      <c r="AC41" s="1840"/>
      <c r="AD41" s="1841"/>
      <c r="AE41" s="1843"/>
      <c r="AF41" s="1843"/>
      <c r="AG41" s="1853"/>
      <c r="AH41" s="1854"/>
      <c r="AI41" s="1854"/>
      <c r="AJ41" s="1844"/>
      <c r="AK41" s="1859"/>
      <c r="AL41" s="1855"/>
      <c r="AM41" s="1843"/>
      <c r="AN41" s="1843"/>
      <c r="AO41" s="1856"/>
      <c r="AP41" s="1843"/>
      <c r="AQ41" s="1859"/>
      <c r="AR41" s="1855"/>
      <c r="AS41" s="1843"/>
      <c r="AT41" s="1843"/>
      <c r="AU41" s="1856"/>
      <c r="AV41" s="1843"/>
      <c r="AW41" s="1859"/>
      <c r="AX41" s="1855"/>
      <c r="AY41" s="1843"/>
      <c r="AZ41" s="1843"/>
      <c r="BA41" s="1856"/>
      <c r="BB41" s="1843"/>
      <c r="BC41" s="1846"/>
      <c r="BD41" s="1847"/>
    </row>
    <row r="42" spans="1:56" s="21" customFormat="1">
      <c r="A42" s="3515" t="str">
        <f>IF('Step 7a--Feedstuff Required'!B38="[add grain crop here]"," ",'Step 7a--Feedstuff Required'!B38)</f>
        <v xml:space="preserve"> </v>
      </c>
      <c r="B42" s="1726"/>
      <c r="C42" s="514"/>
      <c r="D42" s="1966">
        <f>'Step 8b--DMI Worksheet'!O24</f>
        <v>0</v>
      </c>
      <c r="E42" s="1836"/>
      <c r="F42" s="1848">
        <f>D42*F3_DMI_Lact_Cow_lb</f>
        <v>0</v>
      </c>
      <c r="G42" s="1849" t="s">
        <v>277</v>
      </c>
      <c r="H42" s="1849"/>
      <c r="I42" s="1837"/>
      <c r="J42" s="1575"/>
      <c r="K42" s="1850"/>
      <c r="L42" s="1848">
        <f>J42*F3_DMI_Dry_Cow_lb*F3_Dry_Cow_Units</f>
        <v>0</v>
      </c>
      <c r="M42" s="1849" t="s">
        <v>277</v>
      </c>
      <c r="N42" s="1851"/>
      <c r="O42" s="1836"/>
      <c r="P42" s="1575"/>
      <c r="Q42" s="1850"/>
      <c r="R42" s="1848">
        <f>P42*F3_DMI_Heifer_lb*F3_Heifer_Units</f>
        <v>0</v>
      </c>
      <c r="S42" s="1849" t="s">
        <v>277</v>
      </c>
      <c r="T42" s="1851"/>
      <c r="U42" s="1836"/>
      <c r="V42" s="1575"/>
      <c r="W42" s="1850"/>
      <c r="X42" s="1848">
        <f>V42*F3_DMI_Heifer_Calf_lb*F3_Heifer_Calf_Units</f>
        <v>0</v>
      </c>
      <c r="Y42" s="1849" t="s">
        <v>277</v>
      </c>
      <c r="Z42" s="1851"/>
      <c r="AA42" s="1836"/>
      <c r="AB42" s="1852">
        <f>F42+L42+R42+X42</f>
        <v>0</v>
      </c>
      <c r="AC42" s="1840"/>
      <c r="AD42" s="1841"/>
      <c r="AE42" s="1967">
        <f>'Step 8b--DMI Worksheet'!AC24</f>
        <v>0</v>
      </c>
      <c r="AF42" s="1843"/>
      <c r="AG42" s="1853">
        <f>AE42*F4_DMI_Lact_Cow_lb</f>
        <v>0</v>
      </c>
      <c r="AH42" s="1854" t="s">
        <v>277</v>
      </c>
      <c r="AI42" s="1854"/>
      <c r="AJ42" s="1844"/>
      <c r="AK42" s="1575"/>
      <c r="AL42" s="1855"/>
      <c r="AM42" s="1853">
        <f>AK42*F4_DMI_Dry_Cow_lb*F4_Dry_Cow_Units</f>
        <v>0</v>
      </c>
      <c r="AN42" s="1854" t="s">
        <v>277</v>
      </c>
      <c r="AO42" s="1856"/>
      <c r="AP42" s="1843"/>
      <c r="AQ42" s="1575"/>
      <c r="AR42" s="1855"/>
      <c r="AS42" s="1853">
        <f>AQ42*F4_DMI_Heifer_lb*F4_Heifer_Units</f>
        <v>0</v>
      </c>
      <c r="AT42" s="1854" t="s">
        <v>277</v>
      </c>
      <c r="AU42" s="1856"/>
      <c r="AV42" s="1843"/>
      <c r="AW42" s="1575"/>
      <c r="AX42" s="1855"/>
      <c r="AY42" s="1853">
        <f>AW42*F4_DMI_Heifer_Calf_lb*F4_Heifer_Calf_Units</f>
        <v>0</v>
      </c>
      <c r="AZ42" s="1854" t="s">
        <v>277</v>
      </c>
      <c r="BA42" s="1856"/>
      <c r="BB42" s="1843"/>
      <c r="BC42" s="1857">
        <f>AG42+AM42+AS42+AY42</f>
        <v>0</v>
      </c>
      <c r="BD42" s="1847"/>
    </row>
    <row r="43" spans="1:56" s="21" customFormat="1" ht="3.75" customHeight="1">
      <c r="A43" s="3515"/>
      <c r="B43" s="1726"/>
      <c r="C43" s="514"/>
      <c r="D43" s="1836"/>
      <c r="E43" s="1836"/>
      <c r="F43" s="1848"/>
      <c r="G43" s="1849"/>
      <c r="H43" s="1849"/>
      <c r="I43" s="1837"/>
      <c r="J43" s="1858"/>
      <c r="K43" s="1850"/>
      <c r="L43" s="1836"/>
      <c r="M43" s="1836"/>
      <c r="N43" s="1851"/>
      <c r="O43" s="1836"/>
      <c r="P43" s="1858"/>
      <c r="Q43" s="1850"/>
      <c r="R43" s="1836"/>
      <c r="S43" s="1836"/>
      <c r="T43" s="1851"/>
      <c r="U43" s="1836"/>
      <c r="V43" s="1858"/>
      <c r="W43" s="1850"/>
      <c r="X43" s="1836"/>
      <c r="Y43" s="1836"/>
      <c r="Z43" s="1851"/>
      <c r="AA43" s="1836"/>
      <c r="AB43" s="1839"/>
      <c r="AC43" s="1840"/>
      <c r="AD43" s="1841"/>
      <c r="AE43" s="1843"/>
      <c r="AF43" s="1843"/>
      <c r="AG43" s="1853"/>
      <c r="AH43" s="1854"/>
      <c r="AI43" s="1854"/>
      <c r="AJ43" s="1844"/>
      <c r="AK43" s="1859"/>
      <c r="AL43" s="1855"/>
      <c r="AM43" s="1843"/>
      <c r="AN43" s="1843"/>
      <c r="AO43" s="1856"/>
      <c r="AP43" s="1843"/>
      <c r="AQ43" s="1859"/>
      <c r="AR43" s="1855"/>
      <c r="AS43" s="1843"/>
      <c r="AT43" s="1843"/>
      <c r="AU43" s="1856"/>
      <c r="AV43" s="1843"/>
      <c r="AW43" s="1859"/>
      <c r="AX43" s="1855"/>
      <c r="AY43" s="1843"/>
      <c r="AZ43" s="1843"/>
      <c r="BA43" s="1856"/>
      <c r="BB43" s="1843"/>
      <c r="BC43" s="1846"/>
      <c r="BD43" s="1847"/>
    </row>
    <row r="44" spans="1:56" s="21" customFormat="1">
      <c r="A44" s="3515" t="str">
        <f>IF('Step 7a--Feedstuff Required'!B40="[add grain crop here]"," ",'Step 7a--Feedstuff Required'!B40)</f>
        <v xml:space="preserve"> </v>
      </c>
      <c r="B44" s="1726"/>
      <c r="C44" s="514"/>
      <c r="D44" s="1966">
        <f>'Step 8b--DMI Worksheet'!O25</f>
        <v>0</v>
      </c>
      <c r="E44" s="1836"/>
      <c r="F44" s="1848">
        <f>D44*F3_DMI_Lact_Cow_lb</f>
        <v>0</v>
      </c>
      <c r="G44" s="1849" t="s">
        <v>277</v>
      </c>
      <c r="H44" s="1849"/>
      <c r="I44" s="1837"/>
      <c r="J44" s="1575"/>
      <c r="K44" s="1850"/>
      <c r="L44" s="1848">
        <f>J44*F3_DMI_Dry_Cow_lb*F3_Dry_Cow_Units</f>
        <v>0</v>
      </c>
      <c r="M44" s="1849" t="s">
        <v>277</v>
      </c>
      <c r="N44" s="1851"/>
      <c r="O44" s="1836"/>
      <c r="P44" s="1575"/>
      <c r="Q44" s="1850"/>
      <c r="R44" s="1848">
        <f>P44*F3_DMI_Heifer_lb*F3_Heifer_Units</f>
        <v>0</v>
      </c>
      <c r="S44" s="1849" t="s">
        <v>277</v>
      </c>
      <c r="T44" s="1851"/>
      <c r="U44" s="1836"/>
      <c r="V44" s="1575"/>
      <c r="W44" s="1850"/>
      <c r="X44" s="1848">
        <f>V44*F3_DMI_Heifer_Calf_lb*F3_Heifer_Calf_Units</f>
        <v>0</v>
      </c>
      <c r="Y44" s="1849" t="s">
        <v>277</v>
      </c>
      <c r="Z44" s="1851"/>
      <c r="AA44" s="1836"/>
      <c r="AB44" s="1852">
        <f>F44+L44+R44+X44</f>
        <v>0</v>
      </c>
      <c r="AC44" s="1840"/>
      <c r="AD44" s="1841"/>
      <c r="AE44" s="1967">
        <f>'Step 8b--DMI Worksheet'!AC25</f>
        <v>0</v>
      </c>
      <c r="AF44" s="1843"/>
      <c r="AG44" s="1853">
        <f>AE44*F4_DMI_Lact_Cow_lb</f>
        <v>0</v>
      </c>
      <c r="AH44" s="1854" t="s">
        <v>277</v>
      </c>
      <c r="AI44" s="1854"/>
      <c r="AJ44" s="1844"/>
      <c r="AK44" s="1575"/>
      <c r="AL44" s="1855"/>
      <c r="AM44" s="1853">
        <f>AK44*F4_DMI_Dry_Cow_lb*F4_Dry_Cow_Units</f>
        <v>0</v>
      </c>
      <c r="AN44" s="1854" t="s">
        <v>277</v>
      </c>
      <c r="AO44" s="1856"/>
      <c r="AP44" s="1843"/>
      <c r="AQ44" s="1575"/>
      <c r="AR44" s="1855"/>
      <c r="AS44" s="1853">
        <f>AQ44*F4_DMI_Heifer_lb*F4_Heifer_Units</f>
        <v>0</v>
      </c>
      <c r="AT44" s="1854" t="s">
        <v>277</v>
      </c>
      <c r="AU44" s="1856"/>
      <c r="AV44" s="1843"/>
      <c r="AW44" s="1575"/>
      <c r="AX44" s="1855"/>
      <c r="AY44" s="1853">
        <f>AW44*F4_DMI_Heifer_Calf_lb*F4_Heifer_Calf_Units</f>
        <v>0</v>
      </c>
      <c r="AZ44" s="1854" t="s">
        <v>277</v>
      </c>
      <c r="BA44" s="1856"/>
      <c r="BB44" s="1843"/>
      <c r="BC44" s="1857">
        <f>AG44+AM44+AS44+AY44</f>
        <v>0</v>
      </c>
      <c r="BD44" s="1847"/>
    </row>
    <row r="45" spans="1:56" s="21" customFormat="1" ht="3.75" customHeight="1">
      <c r="A45" s="3515"/>
      <c r="B45" s="1726"/>
      <c r="C45" s="514"/>
      <c r="D45" s="1836"/>
      <c r="E45" s="1836"/>
      <c r="F45" s="1848"/>
      <c r="G45" s="1849"/>
      <c r="H45" s="1849"/>
      <c r="I45" s="1837"/>
      <c r="J45" s="1858"/>
      <c r="K45" s="1850"/>
      <c r="L45" s="1836"/>
      <c r="M45" s="1836"/>
      <c r="N45" s="1851"/>
      <c r="O45" s="1836"/>
      <c r="P45" s="1858"/>
      <c r="Q45" s="1850"/>
      <c r="R45" s="1836"/>
      <c r="S45" s="1836"/>
      <c r="T45" s="1851"/>
      <c r="U45" s="1836"/>
      <c r="V45" s="1858"/>
      <c r="W45" s="1850"/>
      <c r="X45" s="1836"/>
      <c r="Y45" s="1836"/>
      <c r="Z45" s="1851"/>
      <c r="AA45" s="1836"/>
      <c r="AB45" s="1839"/>
      <c r="AC45" s="1840"/>
      <c r="AD45" s="1841"/>
      <c r="AE45" s="1843"/>
      <c r="AF45" s="1843"/>
      <c r="AG45" s="1853"/>
      <c r="AH45" s="1854"/>
      <c r="AI45" s="1854"/>
      <c r="AJ45" s="1844"/>
      <c r="AK45" s="1859"/>
      <c r="AL45" s="1855"/>
      <c r="AM45" s="1843"/>
      <c r="AN45" s="1843"/>
      <c r="AO45" s="1856"/>
      <c r="AP45" s="1843"/>
      <c r="AQ45" s="1859"/>
      <c r="AR45" s="1855"/>
      <c r="AS45" s="1843"/>
      <c r="AT45" s="1843"/>
      <c r="AU45" s="1856"/>
      <c r="AV45" s="1843"/>
      <c r="AW45" s="1859"/>
      <c r="AX45" s="1855"/>
      <c r="AY45" s="1843"/>
      <c r="AZ45" s="1843"/>
      <c r="BA45" s="1856"/>
      <c r="BB45" s="1843"/>
      <c r="BC45" s="1846"/>
      <c r="BD45" s="1847"/>
    </row>
    <row r="46" spans="1:56" s="21" customFormat="1">
      <c r="A46" s="3515" t="str">
        <f>IF('Step 7a--Feedstuff Required'!B42="[add grain crop here]"," ",'Step 7a--Feedstuff Required'!B42)</f>
        <v xml:space="preserve"> </v>
      </c>
      <c r="B46" s="1726"/>
      <c r="C46" s="514"/>
      <c r="D46" s="1966">
        <f>'Step 8b--DMI Worksheet'!O26</f>
        <v>0</v>
      </c>
      <c r="E46" s="1836"/>
      <c r="F46" s="1848">
        <f>D46*F3_DMI_Lact_Cow_lb</f>
        <v>0</v>
      </c>
      <c r="G46" s="1849" t="s">
        <v>277</v>
      </c>
      <c r="H46" s="1849"/>
      <c r="I46" s="1837"/>
      <c r="J46" s="1575"/>
      <c r="K46" s="1850"/>
      <c r="L46" s="1848">
        <f>J46*F3_DMI_Dry_Cow_lb*F3_Dry_Cow_Units</f>
        <v>0</v>
      </c>
      <c r="M46" s="1849" t="s">
        <v>277</v>
      </c>
      <c r="N46" s="1851"/>
      <c r="O46" s="1836"/>
      <c r="P46" s="1575"/>
      <c r="Q46" s="1850"/>
      <c r="R46" s="1848">
        <f>P46*F3_DMI_Heifer_lb*F3_Heifer_Units</f>
        <v>0</v>
      </c>
      <c r="S46" s="1849" t="s">
        <v>277</v>
      </c>
      <c r="T46" s="1851"/>
      <c r="U46" s="1836"/>
      <c r="V46" s="1575"/>
      <c r="W46" s="1850"/>
      <c r="X46" s="1848">
        <f>V46*F3_DMI_Heifer_Calf_lb*F3_Heifer_Calf_Units</f>
        <v>0</v>
      </c>
      <c r="Y46" s="1849" t="s">
        <v>277</v>
      </c>
      <c r="Z46" s="1851"/>
      <c r="AA46" s="1836"/>
      <c r="AB46" s="1852">
        <f>F46+L46+R46+X46</f>
        <v>0</v>
      </c>
      <c r="AC46" s="1840"/>
      <c r="AD46" s="1841"/>
      <c r="AE46" s="1967">
        <f>'Step 8b--DMI Worksheet'!AC26</f>
        <v>0</v>
      </c>
      <c r="AF46" s="1843"/>
      <c r="AG46" s="1853">
        <f>AE46*F4_DMI_Lact_Cow_lb</f>
        <v>0</v>
      </c>
      <c r="AH46" s="1854" t="s">
        <v>277</v>
      </c>
      <c r="AI46" s="1854"/>
      <c r="AJ46" s="1844"/>
      <c r="AK46" s="1575"/>
      <c r="AL46" s="1855"/>
      <c r="AM46" s="1853">
        <f>AK46*F4_DMI_Dry_Cow_lb*F4_Dry_Cow_Units</f>
        <v>0</v>
      </c>
      <c r="AN46" s="1854" t="s">
        <v>277</v>
      </c>
      <c r="AO46" s="1856"/>
      <c r="AP46" s="1843"/>
      <c r="AQ46" s="1575"/>
      <c r="AR46" s="1855"/>
      <c r="AS46" s="1853">
        <f>AQ46*F4_DMI_Heifer_lb*F4_Heifer_Units</f>
        <v>0</v>
      </c>
      <c r="AT46" s="1854" t="s">
        <v>277</v>
      </c>
      <c r="AU46" s="1856"/>
      <c r="AV46" s="1843"/>
      <c r="AW46" s="1575"/>
      <c r="AX46" s="1855"/>
      <c r="AY46" s="1853">
        <f>AW46*F4_DMI_Heifer_Calf_lb*F4_Heifer_Calf_Units</f>
        <v>0</v>
      </c>
      <c r="AZ46" s="1854" t="s">
        <v>277</v>
      </c>
      <c r="BA46" s="1856"/>
      <c r="BB46" s="1843"/>
      <c r="BC46" s="1857">
        <f>AG46+AM46+AS46+AY46</f>
        <v>0</v>
      </c>
      <c r="BD46" s="1847"/>
    </row>
    <row r="47" spans="1:56" s="21" customFormat="1" ht="3.75" customHeight="1">
      <c r="A47" s="3523"/>
      <c r="B47" s="1726"/>
      <c r="C47" s="514"/>
      <c r="D47" s="1836"/>
      <c r="E47" s="1836"/>
      <c r="F47" s="1850"/>
      <c r="G47" s="1836"/>
      <c r="H47" s="1836"/>
      <c r="I47" s="1837"/>
      <c r="J47" s="1858"/>
      <c r="K47" s="1850"/>
      <c r="L47" s="1836"/>
      <c r="M47" s="1836"/>
      <c r="N47" s="1888"/>
      <c r="O47" s="1836"/>
      <c r="P47" s="1858"/>
      <c r="Q47" s="1850"/>
      <c r="R47" s="1836"/>
      <c r="S47" s="1836"/>
      <c r="T47" s="1888"/>
      <c r="U47" s="1836"/>
      <c r="V47" s="1858"/>
      <c r="W47" s="1850"/>
      <c r="X47" s="1836"/>
      <c r="Y47" s="1836"/>
      <c r="Z47" s="1888"/>
      <c r="AA47" s="1836"/>
      <c r="AB47" s="1861"/>
      <c r="AC47" s="1840"/>
      <c r="AD47" s="1841"/>
      <c r="AE47" s="1843"/>
      <c r="AF47" s="1843"/>
      <c r="AG47" s="1855"/>
      <c r="AH47" s="1843"/>
      <c r="AI47" s="1843"/>
      <c r="AJ47" s="1844"/>
      <c r="AK47" s="1859"/>
      <c r="AL47" s="1855"/>
      <c r="AM47" s="1843"/>
      <c r="AN47" s="1843"/>
      <c r="AO47" s="1889"/>
      <c r="AP47" s="1843"/>
      <c r="AQ47" s="1859"/>
      <c r="AR47" s="1855"/>
      <c r="AS47" s="1843"/>
      <c r="AT47" s="1843"/>
      <c r="AU47" s="1889"/>
      <c r="AV47" s="1843"/>
      <c r="AW47" s="1859"/>
      <c r="AX47" s="1855"/>
      <c r="AY47" s="1843"/>
      <c r="AZ47" s="1843"/>
      <c r="BA47" s="1889"/>
      <c r="BB47" s="1843"/>
      <c r="BC47" s="1863"/>
      <c r="BD47" s="1847"/>
    </row>
    <row r="48" spans="1:56" s="20" customFormat="1" ht="13.5" thickBot="1">
      <c r="A48" s="3524" t="s">
        <v>5</v>
      </c>
      <c r="B48" s="1726"/>
      <c r="C48" s="514"/>
      <c r="D48" s="3436">
        <f>SUM(D34:D46)</f>
        <v>0.14000000000000001</v>
      </c>
      <c r="E48" s="1865"/>
      <c r="F48" s="1866">
        <f>SUM(F34:F46)</f>
        <v>6.621999999999999</v>
      </c>
      <c r="G48" s="1890" t="s">
        <v>277</v>
      </c>
      <c r="H48" s="1891"/>
      <c r="I48" s="1892"/>
      <c r="J48" s="1864">
        <f>SUM(J34:J46)</f>
        <v>0</v>
      </c>
      <c r="K48" s="1865"/>
      <c r="L48" s="1866">
        <f>SUM(L34:L46)</f>
        <v>0</v>
      </c>
      <c r="M48" s="1890" t="s">
        <v>277</v>
      </c>
      <c r="N48" s="1891"/>
      <c r="O48" s="1871"/>
      <c r="P48" s="1864">
        <f>SUM(P34:P46)</f>
        <v>0</v>
      </c>
      <c r="Q48" s="1865"/>
      <c r="R48" s="1866">
        <f>SUM(R34:R46)</f>
        <v>0</v>
      </c>
      <c r="S48" s="1890" t="s">
        <v>277</v>
      </c>
      <c r="T48" s="1891"/>
      <c r="U48" s="1871"/>
      <c r="V48" s="1864">
        <f>SUM(V34:V46)</f>
        <v>0</v>
      </c>
      <c r="W48" s="1865"/>
      <c r="X48" s="1866">
        <f>SUM(X34:X46)</f>
        <v>0</v>
      </c>
      <c r="Y48" s="1890" t="s">
        <v>277</v>
      </c>
      <c r="Z48" s="1891"/>
      <c r="AA48" s="1871"/>
      <c r="AB48" s="1872">
        <f>F48+L48+R48+X48</f>
        <v>6.621999999999999</v>
      </c>
      <c r="AC48" s="1873"/>
      <c r="AD48" s="1841"/>
      <c r="AE48" s="3440">
        <f>SUM(AE34:AE46)</f>
        <v>0.14699999999999999</v>
      </c>
      <c r="AF48" s="1875"/>
      <c r="AG48" s="1876">
        <f>SUM(AG34:AG46)</f>
        <v>5.7403499999999994</v>
      </c>
      <c r="AH48" s="1893" t="s">
        <v>277</v>
      </c>
      <c r="AI48" s="1894"/>
      <c r="AJ48" s="1895"/>
      <c r="AK48" s="1874">
        <f>SUM(AK34:AK46)</f>
        <v>0</v>
      </c>
      <c r="AL48" s="1875"/>
      <c r="AM48" s="1876">
        <f>SUM(AM34:AM46)</f>
        <v>0</v>
      </c>
      <c r="AN48" s="1893" t="s">
        <v>277</v>
      </c>
      <c r="AO48" s="1894"/>
      <c r="AP48" s="1881"/>
      <c r="AQ48" s="1874">
        <f>SUM(AQ34:AQ46)</f>
        <v>0</v>
      </c>
      <c r="AR48" s="1875"/>
      <c r="AS48" s="1876">
        <f>SUM(AS34:AS46)</f>
        <v>0</v>
      </c>
      <c r="AT48" s="1893" t="s">
        <v>277</v>
      </c>
      <c r="AU48" s="1894"/>
      <c r="AV48" s="1881"/>
      <c r="AW48" s="1874">
        <f>SUM(AW34:AW46)</f>
        <v>0</v>
      </c>
      <c r="AX48" s="1875"/>
      <c r="AY48" s="1876">
        <f>SUM(AY34:AY46)</f>
        <v>0</v>
      </c>
      <c r="AZ48" s="1893" t="s">
        <v>277</v>
      </c>
      <c r="BA48" s="1894"/>
      <c r="BB48" s="1881"/>
      <c r="BC48" s="1882">
        <f>AG48+AM48+AS48+AY48</f>
        <v>5.7403499999999994</v>
      </c>
      <c r="BD48" s="1883"/>
    </row>
    <row r="49" spans="1:56" ht="15" thickTop="1">
      <c r="A49" s="787"/>
      <c r="B49" s="788"/>
      <c r="C49" s="1254"/>
      <c r="D49" s="1262"/>
      <c r="E49" s="1262"/>
      <c r="F49" s="1262"/>
      <c r="G49" s="1262"/>
      <c r="H49" s="1262"/>
      <c r="I49" s="1263"/>
      <c r="J49" s="736"/>
      <c r="K49" s="1257"/>
      <c r="L49" s="1262"/>
      <c r="M49" s="1262"/>
      <c r="N49" s="1265"/>
      <c r="O49" s="1262"/>
      <c r="P49" s="736"/>
      <c r="Q49" s="1257"/>
      <c r="R49" s="1262"/>
      <c r="S49" s="1262"/>
      <c r="T49" s="1265"/>
      <c r="U49" s="1262"/>
      <c r="V49" s="736"/>
      <c r="W49" s="1257"/>
      <c r="X49" s="1262"/>
      <c r="Y49" s="1262"/>
      <c r="Z49" s="1265"/>
      <c r="AA49" s="1262"/>
      <c r="AB49" s="1267"/>
      <c r="AC49" s="1260"/>
      <c r="AD49" s="1278"/>
      <c r="AE49" s="1287"/>
      <c r="AF49" s="1287"/>
      <c r="AG49" s="1287"/>
      <c r="AH49" s="1287"/>
      <c r="AI49" s="1287"/>
      <c r="AJ49" s="1288"/>
      <c r="AK49" s="781"/>
      <c r="AL49" s="1282"/>
      <c r="AM49" s="1287"/>
      <c r="AN49" s="1287"/>
      <c r="AO49" s="1290"/>
      <c r="AP49" s="1287"/>
      <c r="AQ49" s="781"/>
      <c r="AR49" s="1282"/>
      <c r="AS49" s="1287"/>
      <c r="AT49" s="1287"/>
      <c r="AU49" s="1290"/>
      <c r="AV49" s="1287"/>
      <c r="AW49" s="781"/>
      <c r="AX49" s="1282"/>
      <c r="AY49" s="1287"/>
      <c r="AZ49" s="1287"/>
      <c r="BA49" s="1290"/>
      <c r="BB49" s="1287"/>
      <c r="BC49" s="1292"/>
      <c r="BD49" s="1285"/>
    </row>
    <row r="50" spans="1:56" ht="20.25" customHeight="1">
      <c r="A50" s="4031" t="s">
        <v>888</v>
      </c>
      <c r="B50" s="4032"/>
      <c r="C50" s="4032"/>
      <c r="D50" s="4032"/>
      <c r="E50" s="4032"/>
      <c r="F50" s="4032"/>
      <c r="G50" s="4032"/>
      <c r="H50" s="4032"/>
      <c r="I50" s="4032"/>
      <c r="J50" s="4032"/>
      <c r="K50" s="4032"/>
      <c r="L50" s="4032"/>
      <c r="M50" s="4032"/>
      <c r="N50" s="4032"/>
      <c r="O50" s="4032"/>
      <c r="P50" s="4032"/>
      <c r="Q50" s="4032"/>
      <c r="R50" s="4032"/>
      <c r="S50" s="4032"/>
      <c r="T50" s="4032"/>
      <c r="U50" s="4032"/>
      <c r="V50" s="4032"/>
      <c r="W50" s="4032"/>
      <c r="X50" s="4032"/>
      <c r="Y50" s="4032"/>
      <c r="Z50" s="4032"/>
      <c r="AA50" s="4032"/>
      <c r="AB50" s="4032"/>
      <c r="AC50" s="4032"/>
      <c r="AD50" s="4032"/>
      <c r="AE50" s="4032"/>
      <c r="AF50" s="4032"/>
      <c r="AG50" s="4032"/>
      <c r="AH50" s="4032"/>
      <c r="AI50" s="4032"/>
      <c r="AJ50" s="4032"/>
      <c r="AK50" s="4032"/>
      <c r="AL50" s="4032"/>
      <c r="AM50" s="4032"/>
      <c r="AN50" s="4032"/>
      <c r="AO50" s="4032"/>
      <c r="AP50" s="4032"/>
      <c r="AQ50" s="4032"/>
      <c r="AR50" s="4032"/>
      <c r="AS50" s="4032"/>
      <c r="AT50" s="4032"/>
      <c r="AU50" s="4032"/>
      <c r="AV50" s="4032"/>
      <c r="AW50" s="4032"/>
      <c r="AX50" s="4032"/>
      <c r="AY50" s="4032"/>
      <c r="AZ50" s="4032"/>
      <c r="BA50" s="4032"/>
      <c r="BB50" s="4032"/>
      <c r="BC50" s="4032"/>
      <c r="BD50" s="4033"/>
    </row>
    <row r="51" spans="1:56" ht="3.75" customHeight="1">
      <c r="A51" s="281"/>
      <c r="B51" s="786"/>
      <c r="C51" s="1261"/>
      <c r="D51" s="736"/>
      <c r="E51" s="1262"/>
      <c r="F51" s="1262"/>
      <c r="G51" s="1262"/>
      <c r="H51" s="1262"/>
      <c r="I51" s="1263"/>
      <c r="J51" s="1264"/>
      <c r="K51" s="1264"/>
      <c r="L51" s="1262"/>
      <c r="M51" s="1262"/>
      <c r="N51" s="1265"/>
      <c r="O51" s="1262"/>
      <c r="P51" s="1266"/>
      <c r="Q51" s="1264"/>
      <c r="R51" s="1262"/>
      <c r="S51" s="1262"/>
      <c r="T51" s="1265"/>
      <c r="U51" s="1262"/>
      <c r="V51" s="1267"/>
      <c r="W51" s="1264"/>
      <c r="X51" s="1262"/>
      <c r="Y51" s="1262"/>
      <c r="Z51" s="1265"/>
      <c r="AA51" s="1262"/>
      <c r="AB51" s="1267"/>
      <c r="AC51" s="1268"/>
      <c r="AD51" s="1286"/>
      <c r="AE51" s="781"/>
      <c r="AF51" s="1287"/>
      <c r="AG51" s="1287"/>
      <c r="AH51" s="1287"/>
      <c r="AI51" s="1287"/>
      <c r="AJ51" s="1288"/>
      <c r="AK51" s="1289"/>
      <c r="AL51" s="1289"/>
      <c r="AM51" s="1287"/>
      <c r="AN51" s="1287"/>
      <c r="AO51" s="1290"/>
      <c r="AP51" s="1287"/>
      <c r="AQ51" s="1291"/>
      <c r="AR51" s="1289"/>
      <c r="AS51" s="1287"/>
      <c r="AT51" s="1287"/>
      <c r="AU51" s="1290"/>
      <c r="AV51" s="1287"/>
      <c r="AW51" s="1292"/>
      <c r="AX51" s="1289"/>
      <c r="AY51" s="1287"/>
      <c r="AZ51" s="1287"/>
      <c r="BA51" s="1290"/>
      <c r="BB51" s="1287"/>
      <c r="BC51" s="1292"/>
      <c r="BD51" s="1293"/>
    </row>
    <row r="52" spans="1:56" s="21" customFormat="1">
      <c r="A52" s="209" t="s">
        <v>7</v>
      </c>
      <c r="B52" s="1726"/>
      <c r="C52" s="514"/>
      <c r="D52" s="1966">
        <f>'Step 8b--DMI Worksheet'!O29</f>
        <v>0.05</v>
      </c>
      <c r="E52" s="1836"/>
      <c r="F52" s="1848">
        <f>D52*F3_DMI_Lact_Cow_lb</f>
        <v>2.3649999999999998</v>
      </c>
      <c r="G52" s="1849" t="s">
        <v>277</v>
      </c>
      <c r="H52" s="1849"/>
      <c r="I52" s="1837"/>
      <c r="J52" s="1575"/>
      <c r="K52" s="1962"/>
      <c r="L52" s="1848">
        <f>J52*F3_DMI_Dry_Cow_lb*F3_Dry_Cow_Units</f>
        <v>0</v>
      </c>
      <c r="M52" s="1849" t="s">
        <v>277</v>
      </c>
      <c r="N52" s="1851"/>
      <c r="O52" s="1836"/>
      <c r="P52" s="1575"/>
      <c r="Q52" s="1962"/>
      <c r="R52" s="1848">
        <f>P52*F3_DMI_Heifer_lb*F3_Heifer_Units</f>
        <v>0</v>
      </c>
      <c r="S52" s="1849" t="s">
        <v>277</v>
      </c>
      <c r="T52" s="1851"/>
      <c r="U52" s="1836"/>
      <c r="V52" s="1575"/>
      <c r="W52" s="1962"/>
      <c r="X52" s="1848">
        <f>V52*F3_DMI_Heifer_Calf_lb*F3_Heifer_Calf_Units</f>
        <v>0</v>
      </c>
      <c r="Y52" s="1849" t="s">
        <v>277</v>
      </c>
      <c r="Z52" s="1851"/>
      <c r="AA52" s="1836"/>
      <c r="AB52" s="2863">
        <f>F52+L52+R52+X52</f>
        <v>2.3649999999999998</v>
      </c>
      <c r="AC52" s="1963"/>
      <c r="AD52" s="1964"/>
      <c r="AE52" s="1967">
        <f>'Step 8b--DMI Worksheet'!AC29</f>
        <v>0.02</v>
      </c>
      <c r="AF52" s="1843"/>
      <c r="AG52" s="1853">
        <f>AE52*F4_DMI_Lact_Cow_lb</f>
        <v>0.78099999999999992</v>
      </c>
      <c r="AH52" s="1854" t="s">
        <v>277</v>
      </c>
      <c r="AI52" s="1854"/>
      <c r="AJ52" s="1844"/>
      <c r="AK52" s="1575"/>
      <c r="AL52" s="1965"/>
      <c r="AM52" s="1853">
        <f>AK52*F4_DMI_Dry_Cow_lb*F4_Dry_Cow_Units</f>
        <v>0</v>
      </c>
      <c r="AN52" s="1854" t="s">
        <v>277</v>
      </c>
      <c r="AO52" s="1856"/>
      <c r="AP52" s="1843"/>
      <c r="AQ52" s="1575"/>
      <c r="AR52" s="1965"/>
      <c r="AS52" s="1853">
        <f>AQ52*F4_DMI_Heifer_lb*F4_Heifer_Units</f>
        <v>0</v>
      </c>
      <c r="AT52" s="1854" t="s">
        <v>277</v>
      </c>
      <c r="AU52" s="1856"/>
      <c r="AV52" s="1843"/>
      <c r="AW52" s="1575"/>
      <c r="AX52" s="1855"/>
      <c r="AY52" s="1853">
        <f>AW52*F4_DMI_Heifer_Calf_lb*F4_Heifer_Calf_Units</f>
        <v>0</v>
      </c>
      <c r="AZ52" s="1854" t="s">
        <v>277</v>
      </c>
      <c r="BA52" s="1856"/>
      <c r="BB52" s="1843"/>
      <c r="BC52" s="1857">
        <f>AG52+AM52+AS52+AY52</f>
        <v>0.78099999999999992</v>
      </c>
      <c r="BD52" s="1847"/>
    </row>
    <row r="53" spans="1:56" s="21" customFormat="1" ht="3.75" customHeight="1">
      <c r="A53" s="209"/>
      <c r="B53" s="1726"/>
      <c r="C53" s="514"/>
      <c r="D53" s="1836"/>
      <c r="E53" s="1836"/>
      <c r="F53" s="1850"/>
      <c r="G53" s="1836"/>
      <c r="H53" s="1836"/>
      <c r="I53" s="1837"/>
      <c r="J53" s="1858"/>
      <c r="K53" s="1850"/>
      <c r="L53" s="1850"/>
      <c r="M53" s="1836"/>
      <c r="N53" s="1888"/>
      <c r="O53" s="1836"/>
      <c r="P53" s="1858"/>
      <c r="Q53" s="1850"/>
      <c r="R53" s="1850"/>
      <c r="S53" s="1836"/>
      <c r="T53" s="1888"/>
      <c r="U53" s="1836"/>
      <c r="V53" s="1858"/>
      <c r="W53" s="1850"/>
      <c r="X53" s="1850"/>
      <c r="Y53" s="1836"/>
      <c r="Z53" s="1888"/>
      <c r="AA53" s="1836"/>
      <c r="AB53" s="2863"/>
      <c r="AC53" s="1840"/>
      <c r="AD53" s="1841"/>
      <c r="AE53" s="1843"/>
      <c r="AF53" s="1843"/>
      <c r="AG53" s="1855"/>
      <c r="AH53" s="1843"/>
      <c r="AI53" s="1843"/>
      <c r="AJ53" s="1844"/>
      <c r="AK53" s="1859"/>
      <c r="AL53" s="1855"/>
      <c r="AM53" s="1855"/>
      <c r="AN53" s="1843"/>
      <c r="AO53" s="1889"/>
      <c r="AP53" s="1843"/>
      <c r="AQ53" s="1859"/>
      <c r="AR53" s="1855"/>
      <c r="AS53" s="1855"/>
      <c r="AT53" s="1843"/>
      <c r="AU53" s="1889"/>
      <c r="AV53" s="1843"/>
      <c r="AW53" s="1859"/>
      <c r="AX53" s="1855"/>
      <c r="AY53" s="1855"/>
      <c r="AZ53" s="1843"/>
      <c r="BA53" s="1889"/>
      <c r="BB53" s="1843"/>
      <c r="BC53" s="1846"/>
      <c r="BD53" s="1847"/>
    </row>
    <row r="54" spans="1:56" s="21" customFormat="1">
      <c r="A54" s="209" t="s">
        <v>8</v>
      </c>
      <c r="B54" s="1769"/>
      <c r="C54" s="1884"/>
      <c r="D54" s="1966">
        <f>'Step 8b--DMI Worksheet'!O30</f>
        <v>0</v>
      </c>
      <c r="E54" s="1836"/>
      <c r="F54" s="1848">
        <f>D54*F3_DMI_Lact_Cow_lb</f>
        <v>0</v>
      </c>
      <c r="G54" s="1849" t="s">
        <v>277</v>
      </c>
      <c r="H54" s="1849"/>
      <c r="I54" s="1837"/>
      <c r="J54" s="1575"/>
      <c r="K54" s="1850"/>
      <c r="L54" s="1848">
        <f>J54*F3_DMI_Dry_Cow_lb*F3_Dry_Cow_Units</f>
        <v>0</v>
      </c>
      <c r="M54" s="1849" t="s">
        <v>277</v>
      </c>
      <c r="N54" s="1851"/>
      <c r="O54" s="1836"/>
      <c r="P54" s="1575"/>
      <c r="Q54" s="1850"/>
      <c r="R54" s="1848">
        <f>P54*F3_DMI_Heifer_lb*F3_Heifer_Units</f>
        <v>0</v>
      </c>
      <c r="S54" s="1849" t="s">
        <v>277</v>
      </c>
      <c r="T54" s="1851"/>
      <c r="U54" s="1836"/>
      <c r="V54" s="1575"/>
      <c r="W54" s="1850"/>
      <c r="X54" s="1848">
        <f>V54*F3_DMI_Heifer_Calf_lb*F3_Heifer_Calf_Units</f>
        <v>0</v>
      </c>
      <c r="Y54" s="1849" t="s">
        <v>277</v>
      </c>
      <c r="Z54" s="1851"/>
      <c r="AA54" s="1836"/>
      <c r="AB54" s="2863">
        <f>F54+L54+R54+X54</f>
        <v>0</v>
      </c>
      <c r="AC54" s="1840"/>
      <c r="AD54" s="1885"/>
      <c r="AE54" s="1967">
        <f>'Step 8b--DMI Worksheet'!AC30</f>
        <v>0</v>
      </c>
      <c r="AF54" s="1843"/>
      <c r="AG54" s="1853">
        <f>AE54*F4_DMI_Lact_Cow_lb</f>
        <v>0</v>
      </c>
      <c r="AH54" s="1854" t="s">
        <v>277</v>
      </c>
      <c r="AI54" s="1854"/>
      <c r="AJ54" s="1844"/>
      <c r="AK54" s="1575"/>
      <c r="AL54" s="1855"/>
      <c r="AM54" s="1853">
        <f>AK54*F4_DMI_Dry_Cow_lb*F4_Dry_Cow_Units</f>
        <v>0</v>
      </c>
      <c r="AN54" s="1854" t="s">
        <v>277</v>
      </c>
      <c r="AO54" s="1856"/>
      <c r="AP54" s="1843"/>
      <c r="AQ54" s="1575"/>
      <c r="AR54" s="1855"/>
      <c r="AS54" s="1853">
        <f>AQ54*F4_DMI_Heifer_lb*F4_Heifer_Units</f>
        <v>0</v>
      </c>
      <c r="AT54" s="1854" t="s">
        <v>277</v>
      </c>
      <c r="AU54" s="1856"/>
      <c r="AV54" s="1843"/>
      <c r="AW54" s="1575"/>
      <c r="AX54" s="1855"/>
      <c r="AY54" s="1853">
        <f>AW54*F4_DMI_Heifer_Calf_lb*F4_Heifer_Calf_Units</f>
        <v>0</v>
      </c>
      <c r="AZ54" s="1854" t="s">
        <v>277</v>
      </c>
      <c r="BA54" s="1856"/>
      <c r="BB54" s="1843"/>
      <c r="BC54" s="1857">
        <f>AG54+AM54+AS54+AY54</f>
        <v>0</v>
      </c>
      <c r="BD54" s="1847"/>
    </row>
    <row r="55" spans="1:56" s="21" customFormat="1" ht="3.75" customHeight="1">
      <c r="A55" s="209"/>
      <c r="B55" s="1726"/>
      <c r="C55" s="514"/>
      <c r="D55" s="1836"/>
      <c r="E55" s="1836"/>
      <c r="F55" s="1850"/>
      <c r="G55" s="1836"/>
      <c r="H55" s="1836"/>
      <c r="I55" s="1837"/>
      <c r="J55" s="1858"/>
      <c r="K55" s="1850"/>
      <c r="L55" s="1850"/>
      <c r="M55" s="1836"/>
      <c r="N55" s="1888"/>
      <c r="O55" s="1836"/>
      <c r="P55" s="1858"/>
      <c r="Q55" s="1850"/>
      <c r="R55" s="1850"/>
      <c r="S55" s="1836"/>
      <c r="T55" s="1888"/>
      <c r="U55" s="1836"/>
      <c r="V55" s="1858"/>
      <c r="W55" s="1850"/>
      <c r="X55" s="1850"/>
      <c r="Y55" s="1836"/>
      <c r="Z55" s="1888"/>
      <c r="AA55" s="1836"/>
      <c r="AB55" s="2863"/>
      <c r="AC55" s="1840"/>
      <c r="AD55" s="1841"/>
      <c r="AE55" s="1843"/>
      <c r="AF55" s="1843"/>
      <c r="AG55" s="1855"/>
      <c r="AH55" s="1843"/>
      <c r="AI55" s="1843"/>
      <c r="AJ55" s="1844"/>
      <c r="AK55" s="1859"/>
      <c r="AL55" s="1855"/>
      <c r="AM55" s="1855"/>
      <c r="AN55" s="1843"/>
      <c r="AO55" s="1889"/>
      <c r="AP55" s="1843"/>
      <c r="AQ55" s="1859"/>
      <c r="AR55" s="1855"/>
      <c r="AS55" s="1855"/>
      <c r="AT55" s="1843"/>
      <c r="AU55" s="1889"/>
      <c r="AV55" s="1843"/>
      <c r="AW55" s="1859"/>
      <c r="AX55" s="1855"/>
      <c r="AY55" s="1855"/>
      <c r="AZ55" s="1843"/>
      <c r="BA55" s="1889"/>
      <c r="BB55" s="1843"/>
      <c r="BC55" s="1846"/>
      <c r="BD55" s="1847"/>
    </row>
    <row r="56" spans="1:56" s="21" customFormat="1">
      <c r="A56" s="3515" t="str">
        <f>IF('Step 7a--Feedstuff Required'!B52="[add protein source here]"," ",'Step 7a--Feedstuff Required'!B52)</f>
        <v xml:space="preserve"> </v>
      </c>
      <c r="B56" s="1726"/>
      <c r="C56" s="514"/>
      <c r="D56" s="1966">
        <f>'Step 8b--DMI Worksheet'!O31</f>
        <v>0</v>
      </c>
      <c r="E56" s="1836"/>
      <c r="F56" s="1848">
        <f>D56*F3_DMI_Lact_Cow_lb</f>
        <v>0</v>
      </c>
      <c r="G56" s="1849" t="s">
        <v>277</v>
      </c>
      <c r="H56" s="1849"/>
      <c r="I56" s="1837"/>
      <c r="J56" s="1575"/>
      <c r="K56" s="1850"/>
      <c r="L56" s="1848">
        <f>J56*F3_DMI_Dry_Cow_lb*F3_Dry_Cow_Units</f>
        <v>0</v>
      </c>
      <c r="M56" s="1849" t="s">
        <v>277</v>
      </c>
      <c r="N56" s="1851"/>
      <c r="O56" s="1836"/>
      <c r="P56" s="1575"/>
      <c r="Q56" s="1850"/>
      <c r="R56" s="1848">
        <f>P56*F3_DMI_Heifer_lb*F3_Heifer_Units</f>
        <v>0</v>
      </c>
      <c r="S56" s="1849" t="s">
        <v>277</v>
      </c>
      <c r="T56" s="1851"/>
      <c r="U56" s="1836"/>
      <c r="V56" s="1575"/>
      <c r="W56" s="1850"/>
      <c r="X56" s="1848">
        <f>V56*F3_DMI_Heifer_Calf_lb*F3_Heifer_Calf_Units</f>
        <v>0</v>
      </c>
      <c r="Y56" s="1849" t="s">
        <v>277</v>
      </c>
      <c r="Z56" s="1851"/>
      <c r="AA56" s="1836"/>
      <c r="AB56" s="2863">
        <f>F56+L56+R56+X56</f>
        <v>0</v>
      </c>
      <c r="AC56" s="1840"/>
      <c r="AD56" s="1841"/>
      <c r="AE56" s="1967">
        <f>'Step 8b--DMI Worksheet'!AC31</f>
        <v>0</v>
      </c>
      <c r="AF56" s="1843"/>
      <c r="AG56" s="1853">
        <f>AE56*F4_DMI_Lact_Cow_lb</f>
        <v>0</v>
      </c>
      <c r="AH56" s="1854" t="s">
        <v>277</v>
      </c>
      <c r="AI56" s="1854"/>
      <c r="AJ56" s="1844"/>
      <c r="AK56" s="1575"/>
      <c r="AL56" s="1855"/>
      <c r="AM56" s="1853">
        <f>AK56*F4_DMI_Dry_Cow_lb*F4_Dry_Cow_Units</f>
        <v>0</v>
      </c>
      <c r="AN56" s="1854" t="s">
        <v>277</v>
      </c>
      <c r="AO56" s="1856"/>
      <c r="AP56" s="1843"/>
      <c r="AQ56" s="1575"/>
      <c r="AR56" s="1855"/>
      <c r="AS56" s="1853">
        <f>AQ56*F4_DMI_Heifer_lb*F4_Heifer_Units</f>
        <v>0</v>
      </c>
      <c r="AT56" s="1854" t="s">
        <v>277</v>
      </c>
      <c r="AU56" s="1856"/>
      <c r="AV56" s="1843"/>
      <c r="AW56" s="1575"/>
      <c r="AX56" s="1855"/>
      <c r="AY56" s="1853">
        <f>AW56*F4_DMI_Heifer_Calf_lb*F4_Heifer_Calf_Units</f>
        <v>0</v>
      </c>
      <c r="AZ56" s="1854" t="s">
        <v>277</v>
      </c>
      <c r="BA56" s="1856"/>
      <c r="BB56" s="1843"/>
      <c r="BC56" s="1857">
        <f>AG56+AM56+AS56+AY56</f>
        <v>0</v>
      </c>
      <c r="BD56" s="1847"/>
    </row>
    <row r="57" spans="1:56" s="21" customFormat="1" ht="3.75" customHeight="1">
      <c r="A57" s="3515"/>
      <c r="B57" s="1726"/>
      <c r="C57" s="514"/>
      <c r="D57" s="1836"/>
      <c r="E57" s="1836"/>
      <c r="F57" s="1848"/>
      <c r="G57" s="1849"/>
      <c r="H57" s="1849"/>
      <c r="I57" s="1837"/>
      <c r="J57" s="1858"/>
      <c r="K57" s="1850"/>
      <c r="L57" s="1850"/>
      <c r="M57" s="1836"/>
      <c r="N57" s="1851"/>
      <c r="O57" s="1836"/>
      <c r="P57" s="1858"/>
      <c r="Q57" s="1850"/>
      <c r="R57" s="1850"/>
      <c r="S57" s="1836"/>
      <c r="T57" s="1851"/>
      <c r="U57" s="1836"/>
      <c r="V57" s="1858"/>
      <c r="W57" s="1850"/>
      <c r="X57" s="1850"/>
      <c r="Y57" s="1836"/>
      <c r="Z57" s="1851"/>
      <c r="AA57" s="1836"/>
      <c r="AB57" s="2863"/>
      <c r="AC57" s="1840"/>
      <c r="AD57" s="1841"/>
      <c r="AE57" s="1843"/>
      <c r="AF57" s="1843"/>
      <c r="AG57" s="1853"/>
      <c r="AH57" s="1854"/>
      <c r="AI57" s="1854"/>
      <c r="AJ57" s="1844"/>
      <c r="AK57" s="1859"/>
      <c r="AL57" s="1855"/>
      <c r="AM57" s="1855"/>
      <c r="AN57" s="1843"/>
      <c r="AO57" s="1856"/>
      <c r="AP57" s="1843"/>
      <c r="AQ57" s="1859"/>
      <c r="AR57" s="1855"/>
      <c r="AS57" s="1855"/>
      <c r="AT57" s="1843"/>
      <c r="AU57" s="1856"/>
      <c r="AV57" s="1843"/>
      <c r="AW57" s="1859"/>
      <c r="AX57" s="1855"/>
      <c r="AY57" s="1855"/>
      <c r="AZ57" s="1843"/>
      <c r="BA57" s="1856"/>
      <c r="BB57" s="1843"/>
      <c r="BC57" s="1846"/>
      <c r="BD57" s="1847"/>
    </row>
    <row r="58" spans="1:56" s="21" customFormat="1">
      <c r="A58" s="3515" t="str">
        <f>IF('Step 7a--Feedstuff Required'!B54="[add protein source here]"," ",'Step 7a--Feedstuff Required'!B54)</f>
        <v xml:space="preserve"> </v>
      </c>
      <c r="B58" s="1726"/>
      <c r="C58" s="514"/>
      <c r="D58" s="1966">
        <f>'Step 8b--DMI Worksheet'!O32</f>
        <v>0</v>
      </c>
      <c r="E58" s="1836"/>
      <c r="F58" s="1848">
        <f>D58*F3_DMI_Lact_Cow_lb</f>
        <v>0</v>
      </c>
      <c r="G58" s="1849" t="s">
        <v>277</v>
      </c>
      <c r="H58" s="1849"/>
      <c r="I58" s="1837"/>
      <c r="J58" s="1575"/>
      <c r="K58" s="1850"/>
      <c r="L58" s="1848">
        <f>J58*F3_DMI_Dry_Cow_lb*F3_Dry_Cow_Units</f>
        <v>0</v>
      </c>
      <c r="M58" s="1849" t="s">
        <v>277</v>
      </c>
      <c r="N58" s="1851"/>
      <c r="O58" s="1836"/>
      <c r="P58" s="1575"/>
      <c r="Q58" s="1850"/>
      <c r="R58" s="1848">
        <f>P58*F3_DMI_Heifer_lb*F3_Heifer_Units</f>
        <v>0</v>
      </c>
      <c r="S58" s="1849" t="s">
        <v>277</v>
      </c>
      <c r="T58" s="1851"/>
      <c r="U58" s="1836"/>
      <c r="V58" s="1575"/>
      <c r="W58" s="1850"/>
      <c r="X58" s="1848">
        <f>V58*F3_DMI_Heifer_Calf_lb*F3_Heifer_Calf_Units</f>
        <v>0</v>
      </c>
      <c r="Y58" s="1849" t="s">
        <v>277</v>
      </c>
      <c r="Z58" s="1851"/>
      <c r="AA58" s="1836"/>
      <c r="AB58" s="2863">
        <f>F58+L58+R58+X58</f>
        <v>0</v>
      </c>
      <c r="AC58" s="1840"/>
      <c r="AD58" s="1841"/>
      <c r="AE58" s="1967">
        <f>'Step 8b--DMI Worksheet'!AC32</f>
        <v>0</v>
      </c>
      <c r="AF58" s="1843"/>
      <c r="AG58" s="1853">
        <f>AE58*F4_DMI_Lact_Cow_lb</f>
        <v>0</v>
      </c>
      <c r="AH58" s="1854" t="s">
        <v>277</v>
      </c>
      <c r="AI58" s="1854"/>
      <c r="AJ58" s="1844"/>
      <c r="AK58" s="1575"/>
      <c r="AL58" s="1855"/>
      <c r="AM58" s="1853">
        <f>AK58*F4_DMI_Dry_Cow_lb*F4_Dry_Cow_Units</f>
        <v>0</v>
      </c>
      <c r="AN58" s="1854" t="s">
        <v>277</v>
      </c>
      <c r="AO58" s="1856"/>
      <c r="AP58" s="1843"/>
      <c r="AQ58" s="1575"/>
      <c r="AR58" s="1855"/>
      <c r="AS58" s="1853">
        <f>AQ58*F4_DMI_Heifer_lb*F4_Heifer_Units</f>
        <v>0</v>
      </c>
      <c r="AT58" s="1854" t="s">
        <v>277</v>
      </c>
      <c r="AU58" s="1856"/>
      <c r="AV58" s="1843"/>
      <c r="AW58" s="1575"/>
      <c r="AX58" s="1855"/>
      <c r="AY58" s="1853">
        <f>AW58*F4_DMI_Heifer_Calf_lb*F4_Heifer_Calf_Units</f>
        <v>0</v>
      </c>
      <c r="AZ58" s="1854" t="s">
        <v>277</v>
      </c>
      <c r="BA58" s="1856"/>
      <c r="BB58" s="1843"/>
      <c r="BC58" s="1857">
        <f>AG58+AM58+AS58+AY58</f>
        <v>0</v>
      </c>
      <c r="BD58" s="1847"/>
    </row>
    <row r="59" spans="1:56" s="21" customFormat="1" ht="3.75" customHeight="1">
      <c r="A59" s="3515"/>
      <c r="B59" s="1726"/>
      <c r="C59" s="514"/>
      <c r="D59" s="1836"/>
      <c r="E59" s="1836"/>
      <c r="F59" s="1850"/>
      <c r="G59" s="1836"/>
      <c r="H59" s="1836"/>
      <c r="I59" s="1837"/>
      <c r="J59" s="1858"/>
      <c r="K59" s="1850"/>
      <c r="L59" s="1850"/>
      <c r="M59" s="1836"/>
      <c r="N59" s="1888"/>
      <c r="O59" s="1836"/>
      <c r="P59" s="1858"/>
      <c r="Q59" s="1850"/>
      <c r="R59" s="1850"/>
      <c r="S59" s="1836"/>
      <c r="T59" s="1888"/>
      <c r="U59" s="1836"/>
      <c r="V59" s="1858"/>
      <c r="W59" s="1850"/>
      <c r="X59" s="1850"/>
      <c r="Y59" s="1836"/>
      <c r="Z59" s="1888"/>
      <c r="AA59" s="1836"/>
      <c r="AB59" s="2863"/>
      <c r="AC59" s="1840"/>
      <c r="AD59" s="1841"/>
      <c r="AE59" s="1843"/>
      <c r="AF59" s="1843"/>
      <c r="AG59" s="1855"/>
      <c r="AH59" s="1843"/>
      <c r="AI59" s="1843"/>
      <c r="AJ59" s="1844"/>
      <c r="AK59" s="1859"/>
      <c r="AL59" s="1855"/>
      <c r="AM59" s="1855"/>
      <c r="AN59" s="1843"/>
      <c r="AO59" s="1889"/>
      <c r="AP59" s="1843"/>
      <c r="AQ59" s="1859"/>
      <c r="AR59" s="1855"/>
      <c r="AS59" s="1855"/>
      <c r="AT59" s="1843"/>
      <c r="AU59" s="1889"/>
      <c r="AV59" s="1843"/>
      <c r="AW59" s="1859"/>
      <c r="AX59" s="1855"/>
      <c r="AY59" s="1855"/>
      <c r="AZ59" s="1843"/>
      <c r="BA59" s="1889"/>
      <c r="BB59" s="1843"/>
      <c r="BC59" s="1846"/>
      <c r="BD59" s="1847"/>
    </row>
    <row r="60" spans="1:56" s="21" customFormat="1">
      <c r="A60" s="3515" t="str">
        <f>IF('Step 7a--Feedstuff Required'!B56="[add protein source here]"," ",'Step 7a--Feedstuff Required'!B56)</f>
        <v xml:space="preserve"> </v>
      </c>
      <c r="B60" s="1726"/>
      <c r="C60" s="514"/>
      <c r="D60" s="1966">
        <f>'Step 8b--DMI Worksheet'!O33</f>
        <v>0</v>
      </c>
      <c r="E60" s="1836"/>
      <c r="F60" s="1848">
        <f>D60*F3_DMI_Lact_Cow_lb</f>
        <v>0</v>
      </c>
      <c r="G60" s="1849" t="s">
        <v>277</v>
      </c>
      <c r="H60" s="1849"/>
      <c r="I60" s="1837"/>
      <c r="J60" s="1575"/>
      <c r="K60" s="1850"/>
      <c r="L60" s="1848">
        <f>J60*F3_DMI_Dry_Cow_lb*F3_Dry_Cow_Units</f>
        <v>0</v>
      </c>
      <c r="M60" s="1849" t="s">
        <v>277</v>
      </c>
      <c r="N60" s="1851"/>
      <c r="O60" s="1836"/>
      <c r="P60" s="1575"/>
      <c r="Q60" s="1850"/>
      <c r="R60" s="1848">
        <f>P60*F3_DMI_Heifer_lb*F3_Heifer_Units</f>
        <v>0</v>
      </c>
      <c r="S60" s="1849" t="s">
        <v>277</v>
      </c>
      <c r="T60" s="1851"/>
      <c r="U60" s="1836"/>
      <c r="V60" s="1575"/>
      <c r="W60" s="1850"/>
      <c r="X60" s="1848">
        <f>V60*F3_DMI_Heifer_Calf_lb*F3_Heifer_Calf_Units</f>
        <v>0</v>
      </c>
      <c r="Y60" s="1849" t="s">
        <v>277</v>
      </c>
      <c r="Z60" s="1851"/>
      <c r="AA60" s="1836"/>
      <c r="AB60" s="2863">
        <f>F60+L60+R60+X60</f>
        <v>0</v>
      </c>
      <c r="AC60" s="1840"/>
      <c r="AD60" s="1841"/>
      <c r="AE60" s="1967">
        <f>'Step 8b--DMI Worksheet'!AC33</f>
        <v>0</v>
      </c>
      <c r="AF60" s="1843"/>
      <c r="AG60" s="1853">
        <f>AE60*F4_DMI_Lact_Cow_lb</f>
        <v>0</v>
      </c>
      <c r="AH60" s="1854" t="s">
        <v>277</v>
      </c>
      <c r="AI60" s="1854"/>
      <c r="AJ60" s="1844"/>
      <c r="AK60" s="1575"/>
      <c r="AL60" s="1855"/>
      <c r="AM60" s="1853">
        <f>AK60*F4_DMI_Dry_Cow_lb*F4_Dry_Cow_Units</f>
        <v>0</v>
      </c>
      <c r="AN60" s="1854" t="s">
        <v>277</v>
      </c>
      <c r="AO60" s="1856"/>
      <c r="AP60" s="1843"/>
      <c r="AQ60" s="1575"/>
      <c r="AR60" s="1855"/>
      <c r="AS60" s="1853">
        <f>AQ60*F4_DMI_Heifer_lb*F4_Heifer_Units</f>
        <v>0</v>
      </c>
      <c r="AT60" s="1854" t="s">
        <v>277</v>
      </c>
      <c r="AU60" s="1856"/>
      <c r="AV60" s="1843"/>
      <c r="AW60" s="1575"/>
      <c r="AX60" s="1855"/>
      <c r="AY60" s="1853">
        <f>AW60*F4_DMI_Heifer_Calf_lb*F4_Heifer_Calf_Units</f>
        <v>0</v>
      </c>
      <c r="AZ60" s="1854" t="s">
        <v>277</v>
      </c>
      <c r="BA60" s="1856"/>
      <c r="BB60" s="1843"/>
      <c r="BC60" s="1857">
        <f>AG60+AM60+AS60+AY60</f>
        <v>0</v>
      </c>
      <c r="BD60" s="1847"/>
    </row>
    <row r="61" spans="1:56" s="21" customFormat="1" ht="3.75" customHeight="1">
      <c r="A61" s="3523"/>
      <c r="B61" s="1726"/>
      <c r="C61" s="514"/>
      <c r="D61" s="1836"/>
      <c r="E61" s="1836"/>
      <c r="F61" s="1850"/>
      <c r="G61" s="1836"/>
      <c r="H61" s="1836"/>
      <c r="I61" s="1837"/>
      <c r="J61" s="1858"/>
      <c r="K61" s="1850"/>
      <c r="L61" s="1836"/>
      <c r="M61" s="1836"/>
      <c r="N61" s="1888"/>
      <c r="O61" s="1836"/>
      <c r="P61" s="1858"/>
      <c r="Q61" s="1850"/>
      <c r="R61" s="1836"/>
      <c r="S61" s="1836"/>
      <c r="T61" s="1888"/>
      <c r="U61" s="1836"/>
      <c r="V61" s="1858"/>
      <c r="W61" s="1850"/>
      <c r="X61" s="1836"/>
      <c r="Y61" s="1836"/>
      <c r="Z61" s="1888"/>
      <c r="AA61" s="1836"/>
      <c r="AB61" s="1839"/>
      <c r="AC61" s="1840"/>
      <c r="AD61" s="1841"/>
      <c r="AE61" s="1843"/>
      <c r="AF61" s="1843"/>
      <c r="AG61" s="1855"/>
      <c r="AH61" s="1843"/>
      <c r="AI61" s="1843"/>
      <c r="AJ61" s="1844"/>
      <c r="AK61" s="1859"/>
      <c r="AL61" s="1855"/>
      <c r="AM61" s="1843"/>
      <c r="AN61" s="1843"/>
      <c r="AO61" s="1889"/>
      <c r="AP61" s="1843"/>
      <c r="AQ61" s="1859"/>
      <c r="AR61" s="1855"/>
      <c r="AS61" s="1843"/>
      <c r="AT61" s="1843"/>
      <c r="AU61" s="1889"/>
      <c r="AV61" s="1843"/>
      <c r="AW61" s="1859"/>
      <c r="AX61" s="1855"/>
      <c r="AY61" s="1843"/>
      <c r="AZ61" s="1843"/>
      <c r="BA61" s="1889"/>
      <c r="BB61" s="1843"/>
      <c r="BC61" s="1846"/>
      <c r="BD61" s="1847"/>
    </row>
    <row r="62" spans="1:56" s="20" customFormat="1" ht="13.5" thickBot="1">
      <c r="A62" s="3525" t="s">
        <v>286</v>
      </c>
      <c r="B62" s="1772"/>
      <c r="C62" s="1886"/>
      <c r="D62" s="3437">
        <f>SUM(D52:D60)</f>
        <v>0.05</v>
      </c>
      <c r="E62" s="3438"/>
      <c r="F62" s="1898">
        <f>SUM(F52:F60)</f>
        <v>2.3649999999999998</v>
      </c>
      <c r="G62" s="1899" t="s">
        <v>277</v>
      </c>
      <c r="H62" s="1900"/>
      <c r="I62" s="1901"/>
      <c r="J62" s="1896">
        <f>SUM(J52:J60)</f>
        <v>0</v>
      </c>
      <c r="K62" s="1897"/>
      <c r="L62" s="1898">
        <f>SUM(L52:L60)</f>
        <v>0</v>
      </c>
      <c r="M62" s="1899" t="s">
        <v>277</v>
      </c>
      <c r="N62" s="1900"/>
      <c r="O62" s="1902"/>
      <c r="P62" s="1896">
        <f>SUM(P52:P60)</f>
        <v>0</v>
      </c>
      <c r="Q62" s="1897"/>
      <c r="R62" s="1898">
        <f>SUM(R52:R60)</f>
        <v>0</v>
      </c>
      <c r="S62" s="1899" t="s">
        <v>277</v>
      </c>
      <c r="T62" s="1900"/>
      <c r="U62" s="1902"/>
      <c r="V62" s="1896">
        <f>SUM(V52:V60)</f>
        <v>0</v>
      </c>
      <c r="W62" s="1897"/>
      <c r="X62" s="1898">
        <f>SUM(X52:X60)</f>
        <v>0</v>
      </c>
      <c r="Y62" s="1899" t="s">
        <v>277</v>
      </c>
      <c r="Z62" s="1900"/>
      <c r="AA62" s="1902"/>
      <c r="AB62" s="1872">
        <f>F62+L62+R62+X62</f>
        <v>2.3649999999999998</v>
      </c>
      <c r="AC62" s="1903"/>
      <c r="AD62" s="1887"/>
      <c r="AE62" s="3441">
        <f>SUM(AE52:AE60)</f>
        <v>0.02</v>
      </c>
      <c r="AF62" s="3442"/>
      <c r="AG62" s="1906">
        <f>SUM(AG52:AG60)</f>
        <v>0.78099999999999992</v>
      </c>
      <c r="AH62" s="1907" t="s">
        <v>277</v>
      </c>
      <c r="AI62" s="1908"/>
      <c r="AJ62" s="1909"/>
      <c r="AK62" s="1904">
        <f>SUM(AK52:AK60)</f>
        <v>0</v>
      </c>
      <c r="AL62" s="1905"/>
      <c r="AM62" s="1906">
        <f>SUM(AM52:AM60)</f>
        <v>0</v>
      </c>
      <c r="AN62" s="1907" t="s">
        <v>277</v>
      </c>
      <c r="AO62" s="1908"/>
      <c r="AP62" s="1910"/>
      <c r="AQ62" s="1904">
        <f>SUM(AQ52:AQ60)</f>
        <v>0</v>
      </c>
      <c r="AR62" s="1905"/>
      <c r="AS62" s="1906">
        <f>SUM(AS52:AS60)</f>
        <v>0</v>
      </c>
      <c r="AT62" s="1907" t="s">
        <v>277</v>
      </c>
      <c r="AU62" s="1908"/>
      <c r="AV62" s="1910"/>
      <c r="AW62" s="1904">
        <f>SUM(AW52:AW60)</f>
        <v>0</v>
      </c>
      <c r="AX62" s="1905"/>
      <c r="AY62" s="1906">
        <f>SUM(AY52:AY60)</f>
        <v>0</v>
      </c>
      <c r="AZ62" s="1907" t="s">
        <v>277</v>
      </c>
      <c r="BA62" s="1908"/>
      <c r="BB62" s="1910"/>
      <c r="BC62" s="1882">
        <f>AG62+AM62+AS62+AY62</f>
        <v>0.78099999999999992</v>
      </c>
      <c r="BD62" s="1911"/>
    </row>
    <row r="63" spans="1:56" ht="6" customHeight="1" thickTop="1">
      <c r="A63" s="3526"/>
      <c r="B63" s="788"/>
      <c r="C63" s="1254"/>
      <c r="D63" s="1255"/>
      <c r="E63" s="1255"/>
      <c r="F63" s="1255"/>
      <c r="G63" s="1269"/>
      <c r="H63" s="1269"/>
      <c r="I63" s="1269"/>
      <c r="J63" s="1264"/>
      <c r="K63" s="1264"/>
      <c r="L63" s="1057"/>
      <c r="M63" s="1269"/>
      <c r="N63" s="1269"/>
      <c r="O63" s="1269"/>
      <c r="P63" s="1270"/>
      <c r="Q63" s="1264"/>
      <c r="R63" s="1057"/>
      <c r="S63" s="1269"/>
      <c r="T63" s="1269"/>
      <c r="U63" s="1269"/>
      <c r="V63" s="1271"/>
      <c r="W63" s="1264"/>
      <c r="X63" s="1057"/>
      <c r="Y63" s="1269"/>
      <c r="Z63" s="1269"/>
      <c r="AA63" s="1269"/>
      <c r="AB63" s="1267"/>
      <c r="AC63" s="1268"/>
      <c r="AD63" s="1278"/>
      <c r="AE63" s="1280"/>
      <c r="AF63" s="1280"/>
      <c r="AG63" s="1280"/>
      <c r="AH63" s="1294"/>
      <c r="AI63" s="1294"/>
      <c r="AJ63" s="1294"/>
      <c r="AK63" s="1289"/>
      <c r="AL63" s="1289"/>
      <c r="AM63" s="1279"/>
      <c r="AN63" s="1294"/>
      <c r="AO63" s="1294"/>
      <c r="AP63" s="1294"/>
      <c r="AQ63" s="1296"/>
      <c r="AR63" s="1289"/>
      <c r="AS63" s="1279"/>
      <c r="AT63" s="1294"/>
      <c r="AU63" s="1294"/>
      <c r="AV63" s="1294"/>
      <c r="AW63" s="1297"/>
      <c r="AX63" s="1289"/>
      <c r="AY63" s="1279"/>
      <c r="AZ63" s="1294"/>
      <c r="BA63" s="1294"/>
      <c r="BB63" s="1294"/>
      <c r="BC63" s="1292"/>
      <c r="BD63" s="1293"/>
    </row>
    <row r="64" spans="1:56" ht="99.75" customHeight="1">
      <c r="A64" s="1777" t="s">
        <v>106</v>
      </c>
      <c r="B64" s="788"/>
      <c r="C64" s="1254"/>
      <c r="D64" s="3439">
        <f>D30+D48+D62</f>
        <v>1</v>
      </c>
      <c r="E64" s="4801" t="str">
        <f>IF(D64=100%," ","Total Percent of Daily DMI Rations must equal 100%. Re-enter percents on Step 8. DMI Worksheet.")</f>
        <v xml:space="preserve"> </v>
      </c>
      <c r="F64" s="4801"/>
      <c r="G64" s="4801"/>
      <c r="H64" s="4801"/>
      <c r="I64" s="1272"/>
      <c r="J64" s="1058">
        <f>J30+J48+J62</f>
        <v>1</v>
      </c>
      <c r="K64" s="4801" t="str">
        <f>IF(J64=100%," ","Total Percent of Daily DMI Rations must equal 100%. Re-enter percentages in column J.")</f>
        <v xml:space="preserve"> </v>
      </c>
      <c r="L64" s="4801"/>
      <c r="M64" s="4801"/>
      <c r="N64" s="4801"/>
      <c r="O64" s="1272"/>
      <c r="P64" s="1058">
        <f>P30+P48+P62</f>
        <v>1</v>
      </c>
      <c r="Q64" s="4801" t="str">
        <f>IF(P64=100%," ","Total Percent of Daily DMI Rations must equal 100%. Re-enter percentages in column P.")</f>
        <v xml:space="preserve"> </v>
      </c>
      <c r="R64" s="4801"/>
      <c r="S64" s="4801"/>
      <c r="T64" s="4801"/>
      <c r="U64" s="1272"/>
      <c r="V64" s="1058">
        <f>V30+V48+V62</f>
        <v>1</v>
      </c>
      <c r="W64" s="4801" t="str">
        <f>IF(V64=100%," ","Total Percent of Daily DMI Rations must equal 100%. Re-enter percentages in column V.")</f>
        <v xml:space="preserve"> </v>
      </c>
      <c r="X64" s="4801"/>
      <c r="Y64" s="4801"/>
      <c r="Z64" s="4801"/>
      <c r="AA64" s="1272"/>
      <c r="AB64" s="1272"/>
      <c r="AC64" s="1273"/>
      <c r="AD64" s="1278"/>
      <c r="AE64" s="3443">
        <f>AE30+AE48+AE62</f>
        <v>1</v>
      </c>
      <c r="AF64" s="4800" t="str">
        <f>IF(AE64=100%," ","Total Percent of Daily DMI Rations must equal 100%. Re-enter amounts on Step 8. DMI Worksheet.")</f>
        <v xml:space="preserve"> </v>
      </c>
      <c r="AG64" s="4800"/>
      <c r="AH64" s="4800"/>
      <c r="AI64" s="4800"/>
      <c r="AJ64" s="1295"/>
      <c r="AK64" s="1298">
        <f>AK30+AK48+AK62</f>
        <v>1</v>
      </c>
      <c r="AL64" s="4800" t="str">
        <f>IF(AK64=100%," ","Total Percent of Daily DMI Rations must equal 100%. Re-enter percentages in column AK.")</f>
        <v xml:space="preserve"> </v>
      </c>
      <c r="AM64" s="4800"/>
      <c r="AN64" s="4800"/>
      <c r="AO64" s="4800"/>
      <c r="AP64" s="1295"/>
      <c r="AQ64" s="1298">
        <f>AQ30+AQ48+AQ62</f>
        <v>1</v>
      </c>
      <c r="AR64" s="4800" t="str">
        <f>IF(AQ64=100%," ","Total Percent of Daily DMI Rations must equal 100%. Re-enter percentages in column AQ.")</f>
        <v xml:space="preserve"> </v>
      </c>
      <c r="AS64" s="4800"/>
      <c r="AT64" s="4800"/>
      <c r="AU64" s="4800"/>
      <c r="AV64" s="1295"/>
      <c r="AW64" s="1298">
        <f>AW30+AW48+AW62</f>
        <v>1</v>
      </c>
      <c r="AX64" s="4800" t="str">
        <f>IF(AW64=100%," ","Total Percent of Daily DMI Rations must equal 100%. Re-enter percentages in column AW.")</f>
        <v xml:space="preserve"> </v>
      </c>
      <c r="AY64" s="4800"/>
      <c r="AZ64" s="4800"/>
      <c r="BA64" s="4800"/>
      <c r="BB64" s="1295"/>
      <c r="BC64" s="1295"/>
      <c r="BD64" s="1299"/>
    </row>
    <row r="65" spans="1:56" ht="3.75" customHeight="1">
      <c r="A65" s="787"/>
      <c r="B65" s="788"/>
      <c r="C65" s="1254"/>
      <c r="D65" s="1057"/>
      <c r="E65" s="1711"/>
      <c r="F65" s="1057"/>
      <c r="G65" s="1255"/>
      <c r="H65" s="1255"/>
      <c r="I65" s="1255"/>
      <c r="J65" s="1257"/>
      <c r="K65" s="1257"/>
      <c r="L65" s="1057"/>
      <c r="M65" s="1255"/>
      <c r="N65" s="1255"/>
      <c r="O65" s="1255"/>
      <c r="P65" s="1274"/>
      <c r="Q65" s="1257"/>
      <c r="R65" s="1057"/>
      <c r="S65" s="1255"/>
      <c r="T65" s="1255"/>
      <c r="U65" s="1255"/>
      <c r="V65" s="1275"/>
      <c r="W65" s="1257"/>
      <c r="X65" s="1057"/>
      <c r="Y65" s="1255"/>
      <c r="Z65" s="1255"/>
      <c r="AA65" s="1255"/>
      <c r="AB65" s="1276"/>
      <c r="AC65" s="1257"/>
      <c r="AD65" s="1278"/>
      <c r="AE65" s="1279"/>
      <c r="AF65" s="1711"/>
      <c r="AG65" s="1279"/>
      <c r="AH65" s="1280"/>
      <c r="AI65" s="1280"/>
      <c r="AJ65" s="1280"/>
      <c r="AK65" s="1282"/>
      <c r="AL65" s="1282"/>
      <c r="AM65" s="1279"/>
      <c r="AN65" s="1280"/>
      <c r="AO65" s="1280"/>
      <c r="AP65" s="1280"/>
      <c r="AQ65" s="1300"/>
      <c r="AR65" s="1282"/>
      <c r="AS65" s="1279"/>
      <c r="AT65" s="1280"/>
      <c r="AU65" s="1280"/>
      <c r="AV65" s="1280"/>
      <c r="AW65" s="1301"/>
      <c r="AX65" s="1282"/>
      <c r="AY65" s="1279"/>
      <c r="AZ65" s="1280"/>
      <c r="BA65" s="1280"/>
      <c r="BB65" s="1280"/>
      <c r="BC65" s="1302"/>
      <c r="BD65" s="1285"/>
    </row>
    <row r="66" spans="1:56" ht="30" customHeight="1">
      <c r="A66" s="4743" t="s">
        <v>20</v>
      </c>
      <c r="B66" s="4744"/>
      <c r="C66" s="4744"/>
      <c r="D66" s="4744"/>
      <c r="E66" s="4744"/>
      <c r="F66" s="4744"/>
      <c r="G66" s="4744"/>
      <c r="H66" s="4744"/>
      <c r="I66" s="4744"/>
      <c r="J66" s="4744"/>
      <c r="K66" s="4744"/>
      <c r="L66" s="4744"/>
      <c r="M66" s="4744"/>
      <c r="N66" s="4744"/>
      <c r="O66" s="4744"/>
      <c r="P66" s="4744"/>
      <c r="Q66" s="4744"/>
      <c r="R66" s="4744"/>
      <c r="S66" s="4744"/>
      <c r="T66" s="4744"/>
      <c r="U66" s="4744"/>
      <c r="V66" s="4744"/>
      <c r="W66" s="4744"/>
      <c r="X66" s="4744"/>
      <c r="Y66" s="4744"/>
      <c r="Z66" s="4744"/>
      <c r="AA66" s="4744"/>
      <c r="AB66" s="4744"/>
      <c r="AC66" s="4744"/>
      <c r="AD66" s="4744"/>
      <c r="AE66" s="4744"/>
      <c r="AF66" s="4744"/>
      <c r="AG66" s="4744"/>
      <c r="AH66" s="4744"/>
      <c r="AI66" s="4744"/>
      <c r="AJ66" s="4744"/>
      <c r="AK66" s="4744"/>
      <c r="AL66" s="4744"/>
      <c r="AM66" s="4744"/>
      <c r="AN66" s="4744"/>
      <c r="AO66" s="4744"/>
      <c r="AP66" s="4744"/>
      <c r="AQ66" s="4744"/>
      <c r="AR66" s="4744"/>
      <c r="AS66" s="4744"/>
      <c r="AT66" s="4744"/>
      <c r="AU66" s="4744"/>
      <c r="AV66" s="4744"/>
      <c r="AW66" s="4744"/>
      <c r="AX66" s="4744"/>
      <c r="AY66" s="4744"/>
      <c r="AZ66" s="4744"/>
      <c r="BA66" s="4744"/>
      <c r="BB66" s="4744"/>
      <c r="BC66" s="4744"/>
      <c r="BD66" s="4745"/>
    </row>
    <row r="67" spans="1:56" ht="12.75" customHeight="1">
      <c r="A67" s="4739" t="s">
        <v>683</v>
      </c>
      <c r="B67" s="4740"/>
      <c r="C67" s="4740"/>
      <c r="D67" s="4740"/>
      <c r="E67" s="4740"/>
      <c r="F67" s="4740"/>
      <c r="G67" s="4740"/>
      <c r="H67" s="4740"/>
      <c r="I67" s="4740"/>
      <c r="J67" s="4740"/>
      <c r="K67" s="4740"/>
      <c r="L67" s="4740"/>
      <c r="M67" s="4740"/>
      <c r="N67" s="4740"/>
      <c r="O67" s="4740"/>
      <c r="P67" s="4740"/>
      <c r="Q67" s="4740"/>
      <c r="R67" s="4740"/>
      <c r="S67" s="4740"/>
      <c r="T67" s="4740"/>
      <c r="U67" s="4740"/>
      <c r="V67" s="4740"/>
      <c r="W67" s="4740"/>
      <c r="X67" s="4740"/>
      <c r="Y67" s="4740"/>
      <c r="Z67" s="4740"/>
      <c r="AA67" s="4740"/>
      <c r="AB67" s="4740"/>
      <c r="AC67" s="4740"/>
      <c r="AD67" s="4740"/>
      <c r="AE67" s="4740"/>
      <c r="AF67" s="4740"/>
      <c r="AG67" s="4740"/>
      <c r="AH67" s="4740"/>
      <c r="AI67" s="4740"/>
      <c r="AJ67" s="4740"/>
      <c r="AK67" s="4740"/>
      <c r="AL67" s="4740"/>
      <c r="AM67" s="4740"/>
      <c r="AN67" s="4740"/>
      <c r="AO67" s="4740"/>
      <c r="AP67" s="4740"/>
      <c r="AQ67" s="4740"/>
      <c r="AR67" s="4740"/>
      <c r="AS67" s="4740"/>
      <c r="AT67" s="4740"/>
      <c r="AU67" s="4740"/>
      <c r="AV67" s="4740"/>
      <c r="AW67" s="4740"/>
      <c r="AX67" s="4740"/>
      <c r="AY67" s="4740"/>
      <c r="AZ67" s="4740"/>
      <c r="BA67" s="4740"/>
      <c r="BB67" s="4740"/>
      <c r="BC67" s="4740"/>
      <c r="BD67" s="4741"/>
    </row>
    <row r="68" spans="1:56" ht="12.75" customHeight="1">
      <c r="A68" s="4742" t="s">
        <v>684</v>
      </c>
      <c r="B68" s="3905"/>
      <c r="C68" s="3905"/>
      <c r="D68" s="3905"/>
      <c r="E68" s="3905"/>
      <c r="F68" s="3905"/>
      <c r="G68" s="3905"/>
      <c r="H68" s="3905"/>
      <c r="I68" s="3905"/>
      <c r="J68" s="3905"/>
      <c r="K68" s="3905"/>
      <c r="L68" s="3905"/>
      <c r="M68" s="3905"/>
      <c r="N68" s="3905"/>
      <c r="O68" s="3905"/>
      <c r="P68" s="3905"/>
      <c r="Q68" s="3905"/>
      <c r="R68" s="3905"/>
      <c r="S68" s="3905"/>
      <c r="T68" s="3905"/>
      <c r="U68" s="3905"/>
      <c r="V68" s="3905"/>
      <c r="W68" s="3905"/>
      <c r="X68" s="3905"/>
      <c r="Y68" s="3905"/>
      <c r="Z68" s="3905"/>
      <c r="AA68" s="3905"/>
      <c r="AB68" s="3905"/>
      <c r="AC68" s="3905"/>
      <c r="AD68" s="3905"/>
      <c r="AE68" s="3905"/>
      <c r="AF68" s="3905"/>
      <c r="AG68" s="3905"/>
      <c r="AH68" s="3905"/>
      <c r="AI68" s="3905"/>
      <c r="AJ68" s="3905"/>
      <c r="AK68" s="3905"/>
      <c r="AL68" s="3905"/>
      <c r="AM68" s="3905"/>
      <c r="AN68" s="3905"/>
      <c r="AO68" s="3905"/>
      <c r="AP68" s="3905"/>
      <c r="AQ68" s="3905"/>
      <c r="AR68" s="3905"/>
      <c r="AS68" s="3905"/>
      <c r="AT68" s="3905"/>
      <c r="AU68" s="3905"/>
      <c r="AV68" s="3905"/>
      <c r="AW68" s="3905"/>
      <c r="AX68" s="3905"/>
      <c r="AY68" s="3905"/>
      <c r="AZ68" s="3905"/>
      <c r="BA68" s="3905"/>
      <c r="BB68" s="3905"/>
      <c r="BC68" s="3905"/>
      <c r="BD68" s="3906"/>
    </row>
    <row r="69" spans="1:56" ht="12.75" customHeight="1">
      <c r="A69" s="4739" t="s">
        <v>685</v>
      </c>
      <c r="B69" s="4740"/>
      <c r="C69" s="4740"/>
      <c r="D69" s="4740"/>
      <c r="E69" s="4740"/>
      <c r="F69" s="4740"/>
      <c r="G69" s="4740"/>
      <c r="H69" s="4740"/>
      <c r="I69" s="4740"/>
      <c r="J69" s="4740"/>
      <c r="K69" s="4740"/>
      <c r="L69" s="4740"/>
      <c r="M69" s="4740"/>
      <c r="N69" s="4740"/>
      <c r="O69" s="4740"/>
      <c r="P69" s="4740"/>
      <c r="Q69" s="4740"/>
      <c r="R69" s="4740"/>
      <c r="S69" s="4740"/>
      <c r="T69" s="4740"/>
      <c r="U69" s="4740"/>
      <c r="V69" s="4740"/>
      <c r="W69" s="4740"/>
      <c r="X69" s="4740"/>
      <c r="Y69" s="4740"/>
      <c r="Z69" s="4740"/>
      <c r="AA69" s="4740"/>
      <c r="AB69" s="4740"/>
      <c r="AC69" s="4740"/>
      <c r="AD69" s="4740"/>
      <c r="AE69" s="4740"/>
      <c r="AF69" s="4740"/>
      <c r="AG69" s="4740"/>
      <c r="AH69" s="4740"/>
      <c r="AI69" s="4740"/>
      <c r="AJ69" s="4740"/>
      <c r="AK69" s="4740"/>
      <c r="AL69" s="4740"/>
      <c r="AM69" s="4740"/>
      <c r="AN69" s="4740"/>
      <c r="AO69" s="4740"/>
      <c r="AP69" s="4740"/>
      <c r="AQ69" s="4740"/>
      <c r="AR69" s="4740"/>
      <c r="AS69" s="4740"/>
      <c r="AT69" s="4740"/>
      <c r="AU69" s="4740"/>
      <c r="AV69" s="4740"/>
      <c r="AW69" s="4740"/>
      <c r="AX69" s="4740"/>
      <c r="AY69" s="4740"/>
      <c r="AZ69" s="4740"/>
      <c r="BA69" s="4740"/>
      <c r="BB69" s="4740"/>
      <c r="BC69" s="4740"/>
      <c r="BD69" s="4741"/>
    </row>
    <row r="70" spans="1:56">
      <c r="A70" s="4742" t="s">
        <v>186</v>
      </c>
      <c r="B70" s="3905"/>
      <c r="C70" s="3905"/>
      <c r="D70" s="3905"/>
      <c r="E70" s="3905"/>
      <c r="F70" s="3905"/>
      <c r="G70" s="3905"/>
      <c r="H70" s="3905"/>
      <c r="I70" s="3905"/>
      <c r="J70" s="3905"/>
      <c r="K70" s="3905"/>
      <c r="L70" s="3905"/>
      <c r="M70" s="3905"/>
      <c r="N70" s="3905"/>
      <c r="O70" s="3905"/>
      <c r="P70" s="3905"/>
      <c r="Q70" s="3905"/>
      <c r="R70" s="3905"/>
      <c r="S70" s="3905"/>
      <c r="T70" s="3905"/>
      <c r="U70" s="3905"/>
      <c r="V70" s="3905"/>
      <c r="W70" s="3905"/>
      <c r="X70" s="3905"/>
      <c r="Y70" s="3905"/>
      <c r="Z70" s="3905"/>
      <c r="AA70" s="3905"/>
      <c r="AB70" s="3905"/>
      <c r="AC70" s="3905"/>
      <c r="AD70" s="3905"/>
      <c r="AE70" s="3905"/>
      <c r="AF70" s="3905"/>
      <c r="AG70" s="3905"/>
      <c r="AH70" s="3905"/>
      <c r="AI70" s="3905"/>
      <c r="AJ70" s="3905"/>
      <c r="AK70" s="3905"/>
      <c r="AL70" s="3905"/>
      <c r="AM70" s="3905"/>
      <c r="AN70" s="3905"/>
      <c r="AO70" s="3905"/>
      <c r="AP70" s="3905"/>
      <c r="AQ70" s="3905"/>
      <c r="AR70" s="3905"/>
      <c r="AS70" s="3905"/>
      <c r="AT70" s="3905"/>
      <c r="AU70" s="3905"/>
      <c r="AV70" s="3905"/>
      <c r="AW70" s="3905"/>
      <c r="AX70" s="3905"/>
      <c r="AY70" s="3905"/>
      <c r="AZ70" s="3905"/>
      <c r="BA70" s="3905"/>
      <c r="BB70" s="3905"/>
      <c r="BC70" s="3905"/>
      <c r="BD70" s="3906"/>
    </row>
    <row r="71" spans="1:56">
      <c r="A71" s="4435" t="s">
        <v>187</v>
      </c>
      <c r="B71" s="4436"/>
      <c r="C71" s="4436"/>
      <c r="D71" s="4436"/>
      <c r="E71" s="4436"/>
      <c r="F71" s="4436"/>
      <c r="G71" s="4436"/>
      <c r="H71" s="4436"/>
      <c r="I71" s="4436"/>
      <c r="J71" s="4436"/>
      <c r="K71" s="4436"/>
      <c r="L71" s="4436"/>
      <c r="M71" s="4436"/>
      <c r="N71" s="4436"/>
      <c r="O71" s="4436"/>
      <c r="P71" s="4436"/>
      <c r="Q71" s="4436"/>
      <c r="R71" s="4436"/>
      <c r="S71" s="4436"/>
      <c r="T71" s="4436"/>
      <c r="U71" s="4436"/>
      <c r="V71" s="4436"/>
      <c r="W71" s="4436"/>
      <c r="X71" s="4436"/>
      <c r="Y71" s="4436"/>
      <c r="Z71" s="4436"/>
      <c r="AA71" s="4436"/>
      <c r="AB71" s="4436"/>
      <c r="AC71" s="4436"/>
      <c r="AD71" s="4436"/>
      <c r="AE71" s="4436"/>
      <c r="AF71" s="4436"/>
      <c r="AG71" s="4436"/>
      <c r="AH71" s="4436"/>
      <c r="AI71" s="4436"/>
      <c r="AJ71" s="4436"/>
      <c r="AK71" s="4436"/>
      <c r="AL71" s="4436"/>
      <c r="AM71" s="4436"/>
      <c r="AN71" s="4436"/>
      <c r="AO71" s="4436"/>
      <c r="AP71" s="4436"/>
      <c r="AQ71" s="4436"/>
      <c r="AR71" s="4436"/>
      <c r="AS71" s="4436"/>
      <c r="AT71" s="4436"/>
      <c r="AU71" s="4436"/>
      <c r="AV71" s="4436"/>
      <c r="AW71" s="4436"/>
      <c r="AX71" s="4436"/>
      <c r="AY71" s="4436"/>
      <c r="AZ71" s="4436"/>
      <c r="BA71" s="4436"/>
      <c r="BB71" s="4436"/>
      <c r="BC71" s="4436"/>
      <c r="BD71" s="4437"/>
    </row>
    <row r="72" spans="1:56" ht="12.75" customHeight="1">
      <c r="A72" s="4742" t="s">
        <v>188</v>
      </c>
      <c r="B72" s="3905"/>
      <c r="C72" s="3905"/>
      <c r="D72" s="3905"/>
      <c r="E72" s="3905"/>
      <c r="F72" s="3905"/>
      <c r="G72" s="3905"/>
      <c r="H72" s="3905"/>
      <c r="I72" s="3905"/>
      <c r="J72" s="3905"/>
      <c r="K72" s="3905"/>
      <c r="L72" s="3905"/>
      <c r="M72" s="3905"/>
      <c r="N72" s="3905"/>
      <c r="O72" s="3905"/>
      <c r="P72" s="3905"/>
      <c r="Q72" s="3905"/>
      <c r="R72" s="3905"/>
      <c r="S72" s="3905"/>
      <c r="T72" s="3905"/>
      <c r="U72" s="3905"/>
      <c r="V72" s="3905"/>
      <c r="W72" s="3905"/>
      <c r="X72" s="3905"/>
      <c r="Y72" s="3905"/>
      <c r="Z72" s="3905"/>
      <c r="AA72" s="3905"/>
      <c r="AB72" s="3905"/>
      <c r="AC72" s="3905"/>
      <c r="AD72" s="3905"/>
      <c r="AE72" s="3905"/>
      <c r="AF72" s="3905"/>
      <c r="AG72" s="3905"/>
      <c r="AH72" s="3905"/>
      <c r="AI72" s="3905"/>
      <c r="AJ72" s="3905"/>
      <c r="AK72" s="3905"/>
      <c r="AL72" s="3905"/>
      <c r="AM72" s="3905"/>
      <c r="AN72" s="3905"/>
      <c r="AO72" s="3905"/>
      <c r="AP72" s="3905"/>
      <c r="AQ72" s="3905"/>
      <c r="AR72" s="3905"/>
      <c r="AS72" s="3905"/>
      <c r="AT72" s="3905"/>
      <c r="AU72" s="3905"/>
      <c r="AV72" s="3905"/>
      <c r="AW72" s="3905"/>
      <c r="AX72" s="3905"/>
      <c r="AY72" s="3905"/>
      <c r="AZ72" s="3905"/>
      <c r="BA72" s="3905"/>
      <c r="BB72" s="3905"/>
      <c r="BC72" s="3905"/>
      <c r="BD72" s="3906"/>
    </row>
    <row r="73" spans="1:56" ht="13.5" customHeight="1" thickBot="1">
      <c r="A73" s="4734" t="s">
        <v>823</v>
      </c>
      <c r="B73" s="4735"/>
      <c r="C73" s="4735"/>
      <c r="D73" s="4735"/>
      <c r="E73" s="4735"/>
      <c r="F73" s="4735"/>
      <c r="G73" s="4735"/>
      <c r="H73" s="4735"/>
      <c r="I73" s="4735"/>
      <c r="J73" s="4735"/>
      <c r="K73" s="4735"/>
      <c r="L73" s="4735"/>
      <c r="M73" s="4735"/>
      <c r="N73" s="4735"/>
      <c r="O73" s="4735"/>
      <c r="P73" s="4735"/>
      <c r="Q73" s="4735"/>
      <c r="R73" s="4735"/>
      <c r="S73" s="4735"/>
      <c r="T73" s="4735"/>
      <c r="U73" s="4735"/>
      <c r="V73" s="4735"/>
      <c r="W73" s="4735"/>
      <c r="X73" s="4735"/>
      <c r="Y73" s="4735"/>
      <c r="Z73" s="4735"/>
      <c r="AA73" s="4735"/>
      <c r="AB73" s="4735"/>
      <c r="AC73" s="4735"/>
      <c r="AD73" s="4735"/>
      <c r="AE73" s="4735"/>
      <c r="AF73" s="4735"/>
      <c r="AG73" s="4735"/>
      <c r="AH73" s="4735"/>
      <c r="AI73" s="4735"/>
      <c r="AJ73" s="4735"/>
      <c r="AK73" s="4735"/>
      <c r="AL73" s="4735"/>
      <c r="AM73" s="4735"/>
      <c r="AN73" s="4735"/>
      <c r="AO73" s="4735"/>
      <c r="AP73" s="4735"/>
      <c r="AQ73" s="4735"/>
      <c r="AR73" s="4735"/>
      <c r="AS73" s="4735"/>
      <c r="AT73" s="4735"/>
      <c r="AU73" s="4735"/>
      <c r="AV73" s="4735"/>
      <c r="AW73" s="4735"/>
      <c r="AX73" s="4735"/>
      <c r="AY73" s="4735"/>
      <c r="AZ73" s="4735"/>
      <c r="BA73" s="4735"/>
      <c r="BB73" s="4735"/>
      <c r="BC73" s="4735"/>
      <c r="BD73" s="4736"/>
    </row>
    <row r="74" spans="1:56">
      <c r="B74" s="102"/>
      <c r="C74" s="102"/>
      <c r="AD74" s="102"/>
    </row>
    <row r="75" spans="1:56">
      <c r="B75" s="102"/>
      <c r="C75" s="102"/>
      <c r="AD75" s="102"/>
    </row>
    <row r="76" spans="1:56">
      <c r="B76" s="102"/>
      <c r="C76" s="102"/>
      <c r="AD76" s="102"/>
    </row>
    <row r="77" spans="1:56">
      <c r="B77" s="102"/>
      <c r="C77" s="102"/>
      <c r="AD77" s="102"/>
    </row>
  </sheetData>
  <sheetProtection password="E0BE" sheet="1" objects="1" scenarios="1"/>
  <mergeCells count="62">
    <mergeCell ref="A1:BD1"/>
    <mergeCell ref="AV5:BA5"/>
    <mergeCell ref="C3:AC3"/>
    <mergeCell ref="AD3:BD3"/>
    <mergeCell ref="C4:AC4"/>
    <mergeCell ref="AD4:BD4"/>
    <mergeCell ref="C5:H5"/>
    <mergeCell ref="I5:N5"/>
    <mergeCell ref="O5:T5"/>
    <mergeCell ref="U5:Z5"/>
    <mergeCell ref="AP5:AU5"/>
    <mergeCell ref="AD5:AI5"/>
    <mergeCell ref="AJ5:AO5"/>
    <mergeCell ref="A2:BD2"/>
    <mergeCell ref="A5:B5"/>
    <mergeCell ref="D7:G7"/>
    <mergeCell ref="J7:M7"/>
    <mergeCell ref="P7:S7"/>
    <mergeCell ref="V7:Y7"/>
    <mergeCell ref="AE7:AH7"/>
    <mergeCell ref="AE6:AH6"/>
    <mergeCell ref="AK6:AN6"/>
    <mergeCell ref="AL64:AO64"/>
    <mergeCell ref="A50:BD50"/>
    <mergeCell ref="A10:BD10"/>
    <mergeCell ref="A32:BD32"/>
    <mergeCell ref="D6:G6"/>
    <mergeCell ref="J6:M6"/>
    <mergeCell ref="P6:S6"/>
    <mergeCell ref="V6:Y6"/>
    <mergeCell ref="AQ6:AT6"/>
    <mergeCell ref="AW6:AZ6"/>
    <mergeCell ref="AA7:AC7"/>
    <mergeCell ref="BB7:BD7"/>
    <mergeCell ref="F8:G8"/>
    <mergeCell ref="L8:M8"/>
    <mergeCell ref="A70:BD70"/>
    <mergeCell ref="A71:BD71"/>
    <mergeCell ref="A72:BD72"/>
    <mergeCell ref="A73:BD73"/>
    <mergeCell ref="AR64:AU64"/>
    <mergeCell ref="AX64:BA64"/>
    <mergeCell ref="A66:BD66"/>
    <mergeCell ref="A67:BD67"/>
    <mergeCell ref="A68:BD68"/>
    <mergeCell ref="A69:BD69"/>
    <mergeCell ref="E64:H64"/>
    <mergeCell ref="K64:N64"/>
    <mergeCell ref="Q64:T64"/>
    <mergeCell ref="W64:Z64"/>
    <mergeCell ref="AF64:AI64"/>
    <mergeCell ref="R8:S8"/>
    <mergeCell ref="X8:Y8"/>
    <mergeCell ref="AA8:AC8"/>
    <mergeCell ref="AG8:AH8"/>
    <mergeCell ref="AM8:AN8"/>
    <mergeCell ref="AS8:AT8"/>
    <mergeCell ref="AY8:AZ8"/>
    <mergeCell ref="BB8:BD8"/>
    <mergeCell ref="AK7:AN7"/>
    <mergeCell ref="AQ7:AT7"/>
    <mergeCell ref="AW7:AZ7"/>
  </mergeCells>
  <conditionalFormatting sqref="D64">
    <cfRule type="cellIs" dxfId="25" priority="17" operator="lessThan">
      <formula>1</formula>
    </cfRule>
    <cfRule type="cellIs" dxfId="24" priority="18" operator="greaterThan">
      <formula>1</formula>
    </cfRule>
  </conditionalFormatting>
  <conditionalFormatting sqref="J64">
    <cfRule type="cellIs" dxfId="23" priority="15" operator="lessThan">
      <formula>1</formula>
    </cfRule>
    <cfRule type="cellIs" dxfId="22" priority="16" operator="greaterThan">
      <formula>1</formula>
    </cfRule>
  </conditionalFormatting>
  <conditionalFormatting sqref="P64">
    <cfRule type="cellIs" dxfId="21" priority="13" operator="lessThan">
      <formula>1</formula>
    </cfRule>
    <cfRule type="cellIs" dxfId="20" priority="14" operator="greaterThan">
      <formula>1</formula>
    </cfRule>
  </conditionalFormatting>
  <conditionalFormatting sqref="V64">
    <cfRule type="cellIs" dxfId="19" priority="11" operator="lessThan">
      <formula>1</formula>
    </cfRule>
    <cfRule type="cellIs" dxfId="18" priority="12" operator="greaterThan">
      <formula>1</formula>
    </cfRule>
  </conditionalFormatting>
  <conditionalFormatting sqref="AE64">
    <cfRule type="cellIs" dxfId="17" priority="9" operator="lessThan">
      <formula>1</formula>
    </cfRule>
    <cfRule type="cellIs" dxfId="16" priority="10" operator="greaterThan">
      <formula>1</formula>
    </cfRule>
  </conditionalFormatting>
  <conditionalFormatting sqref="AK64">
    <cfRule type="cellIs" dxfId="15" priority="7" operator="lessThan">
      <formula>1</formula>
    </cfRule>
    <cfRule type="cellIs" dxfId="14" priority="8" operator="greaterThan">
      <formula>1</formula>
    </cfRule>
  </conditionalFormatting>
  <conditionalFormatting sqref="AQ64">
    <cfRule type="cellIs" dxfId="13" priority="5" operator="lessThan">
      <formula>1</formula>
    </cfRule>
    <cfRule type="cellIs" dxfId="12" priority="6" operator="greaterThan">
      <formula>1</formula>
    </cfRule>
  </conditionalFormatting>
  <conditionalFormatting sqref="AW64">
    <cfRule type="cellIs" dxfId="11" priority="3" operator="lessThan">
      <formula>1</formula>
    </cfRule>
    <cfRule type="cellIs" dxfId="10" priority="4" operator="greaterThan">
      <formula>1</formula>
    </cfRule>
  </conditionalFormatting>
  <conditionalFormatting sqref="AE64 AK64 AQ64 AW64 J64 P64 V64">
    <cfRule type="cellIs" dxfId="9" priority="1" operator="lessThan">
      <formula>1</formula>
    </cfRule>
    <cfRule type="cellIs" dxfId="8" priority="2" operator="greaterThan">
      <formula>1</formula>
    </cfRule>
  </conditionalFormatting>
  <pageMargins left="0.7" right="0.7" top="0.75" bottom="0.75" header="0.3" footer="0.3"/>
  <pageSetup scale="48" orientation="landscape" r:id="rId1"/>
  <headerFooter>
    <oddFooter>&amp;L&amp;A&amp;C&amp;F&amp;R&amp;D</oddFooter>
  </headerFooter>
  <ignoredErrors>
    <ignoredError sqref="D53:D59 AE53:AE60 AE15 D15 AE35:AE37 D35 D17 D19 AE17 AE19 AE21 D21 D23:D32 D37:D50 AE23:AE32 AE39:AE50" unlockedFormula="1"/>
  </ignoredErrors>
</worksheet>
</file>

<file path=xl/worksheets/sheet23.xml><?xml version="1.0" encoding="utf-8"?>
<worksheet xmlns="http://schemas.openxmlformats.org/spreadsheetml/2006/main" xmlns:r="http://schemas.openxmlformats.org/officeDocument/2006/relationships">
  <sheetPr codeName="Sheet16">
    <pageSetUpPr fitToPage="1"/>
  </sheetPr>
  <dimension ref="A1:BE73"/>
  <sheetViews>
    <sheetView zoomScale="75" zoomScaleNormal="75" workbookViewId="0">
      <selection activeCell="D7" sqref="D7"/>
    </sheetView>
  </sheetViews>
  <sheetFormatPr defaultRowHeight="12.75"/>
  <cols>
    <col min="1" max="1" width="29.7109375" customWidth="1"/>
    <col min="2" max="3" width="1.28515625" customWidth="1"/>
    <col min="4" max="4" width="10.7109375" style="795" customWidth="1"/>
    <col min="5" max="5" width="3.28515625" style="795" customWidth="1"/>
    <col min="6" max="6" width="10.7109375" style="796" customWidth="1"/>
    <col min="7" max="7" width="3.28515625" style="795" customWidth="1"/>
    <col min="8" max="8" width="10.7109375" customWidth="1"/>
    <col min="9" max="9" width="3.28515625" style="795" customWidth="1"/>
    <col min="10" max="10" width="11.85546875" customWidth="1"/>
    <col min="11" max="11" width="3.28515625" style="795" customWidth="1"/>
    <col min="12" max="12" width="12.7109375" style="795" customWidth="1"/>
    <col min="13" max="13" width="3" style="795" customWidth="1"/>
    <col min="14" max="14" width="9.7109375" customWidth="1"/>
    <col min="15" max="15" width="6" style="795" customWidth="1"/>
    <col min="16" max="16" width="10.28515625" customWidth="1"/>
    <col min="17" max="17" width="4.28515625" customWidth="1"/>
    <col min="18" max="18" width="1.28515625" customWidth="1"/>
    <col min="19" max="19" width="10.7109375" style="795" customWidth="1"/>
    <col min="20" max="20" width="3.28515625" style="795" customWidth="1"/>
    <col min="21" max="21" width="10.5703125" style="796" customWidth="1"/>
    <col min="22" max="22" width="3.28515625" style="795" customWidth="1"/>
    <col min="23" max="23" width="10.5703125" customWidth="1"/>
    <col min="24" max="24" width="3.28515625" style="795" customWidth="1"/>
    <col min="25" max="25" width="11.7109375" customWidth="1"/>
    <col min="26" max="26" width="3.85546875" style="795" customWidth="1"/>
    <col min="27" max="27" width="12.7109375" style="795" customWidth="1"/>
    <col min="28" max="28" width="3" style="795" customWidth="1"/>
    <col min="29" max="29" width="9.7109375" customWidth="1"/>
    <col min="30" max="30" width="6.140625" style="795" customWidth="1"/>
    <col min="31" max="31" width="10.28515625" customWidth="1"/>
    <col min="32" max="32" width="4.28515625" customWidth="1"/>
    <col min="33" max="33" width="4.28515625" style="40" customWidth="1"/>
  </cols>
  <sheetData>
    <row r="1" spans="1:5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3"/>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769" t="s">
        <v>982</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1"/>
      <c r="AG2" s="1519"/>
    </row>
    <row r="3" spans="1:57" ht="21" customHeight="1">
      <c r="A3" s="1183"/>
      <c r="B3" s="1175"/>
      <c r="C3" s="4784" t="str">
        <f>'Chosen Parameters-Part I'!B4</f>
        <v>Scenario 1</v>
      </c>
      <c r="D3" s="4785"/>
      <c r="E3" s="4785"/>
      <c r="F3" s="4785"/>
      <c r="G3" s="4785"/>
      <c r="H3" s="4785"/>
      <c r="I3" s="4785"/>
      <c r="J3" s="4785"/>
      <c r="K3" s="4785"/>
      <c r="L3" s="4785"/>
      <c r="M3" s="4785"/>
      <c r="N3" s="4785"/>
      <c r="O3" s="4785"/>
      <c r="P3" s="4785"/>
      <c r="Q3" s="4786"/>
      <c r="R3" s="4787" t="str">
        <f>'Chosen Parameters-Part I'!C4</f>
        <v>Scenario 2</v>
      </c>
      <c r="S3" s="4788"/>
      <c r="T3" s="4788"/>
      <c r="U3" s="4788"/>
      <c r="V3" s="4788"/>
      <c r="W3" s="4788"/>
      <c r="X3" s="4788"/>
      <c r="Y3" s="4788"/>
      <c r="Z3" s="4788"/>
      <c r="AA3" s="4788"/>
      <c r="AB3" s="4788"/>
      <c r="AC3" s="4788"/>
      <c r="AD3" s="4788"/>
      <c r="AE3" s="4788"/>
      <c r="AF3" s="4789"/>
      <c r="AG3" s="1520"/>
    </row>
    <row r="4" spans="1:57" ht="23.25" customHeight="1">
      <c r="A4" s="1184"/>
      <c r="B4" s="1176"/>
      <c r="C4" s="3983" t="str">
        <f>'Application Setup'!B4</f>
        <v>Intensive Conventional Management with Holsteins and rbST</v>
      </c>
      <c r="D4" s="3984"/>
      <c r="E4" s="3984"/>
      <c r="F4" s="3984"/>
      <c r="G4" s="3984"/>
      <c r="H4" s="3984"/>
      <c r="I4" s="3984"/>
      <c r="J4" s="3984"/>
      <c r="K4" s="3984"/>
      <c r="L4" s="3984"/>
      <c r="M4" s="3984"/>
      <c r="N4" s="3984"/>
      <c r="O4" s="3984"/>
      <c r="P4" s="3984"/>
      <c r="Q4" s="3985"/>
      <c r="R4" s="4121" t="str">
        <f>'Application Setup'!B5</f>
        <v>Conventional Management, Holsteins</v>
      </c>
      <c r="S4" s="4122"/>
      <c r="T4" s="4122"/>
      <c r="U4" s="4122"/>
      <c r="V4" s="4122"/>
      <c r="W4" s="4122"/>
      <c r="X4" s="4122"/>
      <c r="Y4" s="4122"/>
      <c r="Z4" s="4122"/>
      <c r="AA4" s="4122"/>
      <c r="AB4" s="4122"/>
      <c r="AC4" s="4122"/>
      <c r="AD4" s="4122"/>
      <c r="AE4" s="4122"/>
      <c r="AF4" s="4123"/>
      <c r="AG4" s="1521"/>
    </row>
    <row r="5" spans="1:57" ht="90" customHeight="1">
      <c r="A5" s="4838"/>
      <c r="B5" s="4839"/>
      <c r="C5" s="4842" t="s">
        <v>280</v>
      </c>
      <c r="D5" s="4843"/>
      <c r="E5" s="4841"/>
      <c r="F5" s="4840" t="s">
        <v>17</v>
      </c>
      <c r="G5" s="4841"/>
      <c r="H5" s="4593" t="s">
        <v>169</v>
      </c>
      <c r="I5" s="4592"/>
      <c r="J5" s="4593" t="s">
        <v>18</v>
      </c>
      <c r="K5" s="4592"/>
      <c r="L5" s="4593" t="s">
        <v>372</v>
      </c>
      <c r="M5" s="4592"/>
      <c r="N5" s="4593" t="str">
        <f xml:space="preserve"> CONCATENATE("Acres Required per Lactation (",ROUND(F1_Length_of_Lactation,0)," days)")</f>
        <v>Acres Required per Lactation (410 days)</v>
      </c>
      <c r="O5" s="4592"/>
      <c r="P5" s="4593" t="str">
        <f xml:space="preserve"> CONCATENATE("Hectacres Required per Lactation (",ROUND(F1_Length_of_Lactation,0)," days)")</f>
        <v>Hectacres Required per Lactation (410 days)</v>
      </c>
      <c r="Q5" s="4617"/>
      <c r="R5" s="4850" t="s">
        <v>280</v>
      </c>
      <c r="S5" s="4851"/>
      <c r="T5" s="4837"/>
      <c r="U5" s="4836" t="s">
        <v>17</v>
      </c>
      <c r="V5" s="4837"/>
      <c r="W5" s="4594" t="s">
        <v>169</v>
      </c>
      <c r="X5" s="4596"/>
      <c r="Y5" s="4594" t="s">
        <v>18</v>
      </c>
      <c r="Z5" s="4596"/>
      <c r="AA5" s="4594" t="s">
        <v>372</v>
      </c>
      <c r="AB5" s="4596"/>
      <c r="AC5" s="4594" t="str">
        <f xml:space="preserve"> CONCATENATE("Acres Required per Lactation (",ROUND(F2_Length_of_Lactation,0)," days)")</f>
        <v>Acres Required per Lactation (391 days)</v>
      </c>
      <c r="AD5" s="4596"/>
      <c r="AE5" s="4594" t="str">
        <f xml:space="preserve"> CONCATENATE("Hectacres Required per Lactation (",ROUND(F2_Length_of_Lactation,0)," days)")</f>
        <v>Hectacres Required per Lactation (391 days)</v>
      </c>
      <c r="AF5" s="4625"/>
      <c r="AG5" s="1522"/>
    </row>
    <row r="6" spans="1:57" ht="20.25" customHeight="1">
      <c r="A6" s="4028" t="s">
        <v>965</v>
      </c>
      <c r="B6" s="4832"/>
      <c r="C6" s="4832"/>
      <c r="D6" s="4832"/>
      <c r="E6" s="4832"/>
      <c r="F6" s="4832"/>
      <c r="G6" s="4832"/>
      <c r="H6" s="4832"/>
      <c r="I6" s="4832"/>
      <c r="J6" s="4832"/>
      <c r="K6" s="4832"/>
      <c r="L6" s="4832"/>
      <c r="M6" s="4832"/>
      <c r="N6" s="4832"/>
      <c r="O6" s="4832"/>
      <c r="P6" s="4832"/>
      <c r="Q6" s="4832"/>
      <c r="R6" s="4832"/>
      <c r="S6" s="4832"/>
      <c r="T6" s="4832"/>
      <c r="U6" s="4832"/>
      <c r="V6" s="4832"/>
      <c r="W6" s="4832"/>
      <c r="X6" s="4832"/>
      <c r="Y6" s="4832"/>
      <c r="Z6" s="4832"/>
      <c r="AA6" s="4832"/>
      <c r="AB6" s="4832"/>
      <c r="AC6" s="4832"/>
      <c r="AD6" s="4832"/>
      <c r="AE6" s="4832"/>
      <c r="AF6" s="4833"/>
      <c r="AG6" s="1523"/>
    </row>
    <row r="7" spans="1:57" ht="14.25">
      <c r="A7" s="3658" t="s">
        <v>34</v>
      </c>
      <c r="B7" s="788"/>
      <c r="C7" s="1179"/>
      <c r="D7" s="1127">
        <f>'Step 9a--Daily DMI Rations'!AB12</f>
        <v>20.010043912513588</v>
      </c>
      <c r="E7" s="1127"/>
      <c r="F7" s="1128">
        <f>IF('Step 7a--Feedstuff Required'!E8=0,0,D7/'Step 7a--Feedstuff Required'!E8)</f>
        <v>22.233382125015098</v>
      </c>
      <c r="G7" s="1127"/>
      <c r="H7" s="1129">
        <f>F7*'Step 7a--Feedstuff Required'!Q8</f>
        <v>24.456720337516611</v>
      </c>
      <c r="I7" s="1127"/>
      <c r="J7" s="1130">
        <f>IF('Step 7a--Feedstuff Required'!N8=0,0,H7/'Step 7a--Feedstuff Required'!N8)</f>
        <v>2.7174133708351791E-3</v>
      </c>
      <c r="K7" s="1127"/>
      <c r="L7" s="1576">
        <f>J7*'Step 7a--Feedstuff Required'!$T8</f>
        <v>1.3587066854175895E-3</v>
      </c>
      <c r="M7" s="1127"/>
      <c r="N7" s="1131">
        <f>J7*F1_Length_of_Lactation</f>
        <v>1.1141808339850232</v>
      </c>
      <c r="O7" s="1127"/>
      <c r="P7" s="1129">
        <f>N7*Defaults!$D$6</f>
        <v>0.45089298610532452</v>
      </c>
      <c r="Q7" s="1180"/>
      <c r="R7" s="1228"/>
      <c r="S7" s="1154">
        <f>'Step 9a--Daily DMI Rations'!BC12</f>
        <v>20.800426083541264</v>
      </c>
      <c r="T7" s="1154"/>
      <c r="U7" s="1155">
        <f>IF('Step 7a--Feedstuff Required'!Z8=0,0,S7/'Step 7a--Feedstuff Required'!Z8)</f>
        <v>23.111584537268072</v>
      </c>
      <c r="V7" s="1154"/>
      <c r="W7" s="1156">
        <f>U7*'Step 7a--Feedstuff Required'!AL8</f>
        <v>25.42274299099488</v>
      </c>
      <c r="X7" s="1154"/>
      <c r="Y7" s="1157">
        <f>IF('Step 7a--Feedstuff Required'!AI8=0,0,W7/'Step 7a--Feedstuff Required'!AI8)</f>
        <v>2.8247492212216535E-3</v>
      </c>
      <c r="Z7" s="1154"/>
      <c r="AA7" s="1577">
        <f>Y7*'Step 7a--Feedstuff Required'!T8</f>
        <v>1.4123746106108268E-3</v>
      </c>
      <c r="AB7" s="1154"/>
      <c r="AC7" s="1158">
        <f>Y7*F2_Length_of_Lactation</f>
        <v>1.1057225578048557</v>
      </c>
      <c r="AD7" s="1154"/>
      <c r="AE7" s="1156">
        <f>AC7*Defaults!$D$6</f>
        <v>0.44747004317914019</v>
      </c>
      <c r="AF7" s="1186"/>
      <c r="AG7" s="1524"/>
    </row>
    <row r="8" spans="1:57" ht="3.75" customHeight="1">
      <c r="A8" s="3658"/>
      <c r="B8" s="788"/>
      <c r="C8" s="1179"/>
      <c r="D8" s="1127"/>
      <c r="E8" s="1127"/>
      <c r="F8" s="1128"/>
      <c r="G8" s="1127"/>
      <c r="H8" s="1129"/>
      <c r="I8" s="1127"/>
      <c r="J8" s="1130"/>
      <c r="K8" s="1127"/>
      <c r="L8" s="1127"/>
      <c r="M8" s="1127"/>
      <c r="N8" s="1131"/>
      <c r="O8" s="1127"/>
      <c r="P8" s="1129"/>
      <c r="Q8" s="1180"/>
      <c r="R8" s="1228"/>
      <c r="S8" s="1154"/>
      <c r="T8" s="1154"/>
      <c r="U8" s="1155"/>
      <c r="V8" s="1154"/>
      <c r="W8" s="1156"/>
      <c r="X8" s="1154"/>
      <c r="Y8" s="1157"/>
      <c r="Z8" s="1154"/>
      <c r="AA8" s="1154"/>
      <c r="AB8" s="1154"/>
      <c r="AC8" s="1158"/>
      <c r="AD8" s="1154"/>
      <c r="AE8" s="1156"/>
      <c r="AF8" s="1186"/>
      <c r="AG8" s="1524"/>
    </row>
    <row r="9" spans="1:57" ht="14.25">
      <c r="A9" s="3658" t="s">
        <v>29</v>
      </c>
      <c r="B9" s="788"/>
      <c r="C9" s="1179"/>
      <c r="D9" s="1127">
        <f>'Step 9a--Daily DMI Rations'!AB14</f>
        <v>0</v>
      </c>
      <c r="E9" s="1127"/>
      <c r="F9" s="1128">
        <f>IF('Step 7a--Feedstuff Required'!E10=0,0,D9/'Step 7a--Feedstuff Required'!E10)</f>
        <v>0</v>
      </c>
      <c r="G9" s="1127"/>
      <c r="H9" s="1129">
        <f>F9*'Step 7a--Feedstuff Required'!Q10</f>
        <v>0</v>
      </c>
      <c r="I9" s="1127"/>
      <c r="J9" s="1130">
        <f>IF('Step 7a--Feedstuff Required'!N10=0,0,H9/'Step 7a--Feedstuff Required'!N10)</f>
        <v>0</v>
      </c>
      <c r="K9" s="1127"/>
      <c r="L9" s="1576">
        <f>J9*'Step 7a--Feedstuff Required'!T10</f>
        <v>0</v>
      </c>
      <c r="M9" s="1127"/>
      <c r="N9" s="1131">
        <f>J9*F1_Length_of_Lactation</f>
        <v>0</v>
      </c>
      <c r="O9" s="1127"/>
      <c r="P9" s="1129">
        <f>N9*Defaults!$D$6</f>
        <v>0</v>
      </c>
      <c r="Q9" s="1180"/>
      <c r="R9" s="1228"/>
      <c r="S9" s="1154">
        <f>'Step 9a--Daily DMI Rations'!BC14</f>
        <v>0.72599999999999998</v>
      </c>
      <c r="T9" s="1154"/>
      <c r="U9" s="1155">
        <f>IF('Step 7a--Feedstuff Required'!Z10=0,0,S9/'Step 7a--Feedstuff Required'!Z10)</f>
        <v>2.42</v>
      </c>
      <c r="V9" s="1154"/>
      <c r="W9" s="1156">
        <f>U9*'Step 7a--Feedstuff Required'!AL10</f>
        <v>2.7829999999999999</v>
      </c>
      <c r="X9" s="1154"/>
      <c r="Y9" s="1157">
        <f>IF('Step 7a--Feedstuff Required'!AI10=0,0,W9/'Step 7a--Feedstuff Required'!AI10)</f>
        <v>1.7393749999999999E-4</v>
      </c>
      <c r="Z9" s="1154"/>
      <c r="AA9" s="1577">
        <f>Y9*'Step 7a--Feedstuff Required'!T10</f>
        <v>3.4787499999999999E-5</v>
      </c>
      <c r="AB9" s="1154"/>
      <c r="AC9" s="1158">
        <f>Y9*F2_Length_of_Lactation</f>
        <v>6.80862626506024E-2</v>
      </c>
      <c r="AD9" s="1154"/>
      <c r="AE9" s="1156">
        <f>AC9*Defaults!$D$6</f>
        <v>2.7553532912139654E-2</v>
      </c>
      <c r="AF9" s="1186"/>
      <c r="AG9" s="1524"/>
    </row>
    <row r="10" spans="1:57" ht="3.75" customHeight="1">
      <c r="A10" s="3658"/>
      <c r="B10" s="788"/>
      <c r="C10" s="1179"/>
      <c r="D10" s="1127"/>
      <c r="E10" s="1127"/>
      <c r="F10" s="1128"/>
      <c r="G10" s="1127"/>
      <c r="H10" s="1129"/>
      <c r="I10" s="1127"/>
      <c r="J10" s="1130"/>
      <c r="K10" s="1127"/>
      <c r="L10" s="1127"/>
      <c r="M10" s="1127"/>
      <c r="N10" s="1131"/>
      <c r="O10" s="1127"/>
      <c r="P10" s="1129"/>
      <c r="Q10" s="1180"/>
      <c r="R10" s="1228"/>
      <c r="S10" s="1154"/>
      <c r="T10" s="1154"/>
      <c r="U10" s="1155"/>
      <c r="V10" s="1154"/>
      <c r="W10" s="1156"/>
      <c r="X10" s="1154"/>
      <c r="Y10" s="1157"/>
      <c r="Z10" s="1154"/>
      <c r="AA10" s="1154"/>
      <c r="AB10" s="1154"/>
      <c r="AC10" s="1158"/>
      <c r="AD10" s="1154"/>
      <c r="AE10" s="1156"/>
      <c r="AF10" s="1186"/>
      <c r="AG10" s="1524"/>
    </row>
    <row r="11" spans="1:57" ht="14.25">
      <c r="A11" s="3658" t="s">
        <v>3</v>
      </c>
      <c r="B11" s="788"/>
      <c r="C11" s="1179"/>
      <c r="D11" s="1127">
        <f>'Step 9a--Daily DMI Rations'!AB16</f>
        <v>16.589100000000002</v>
      </c>
      <c r="E11" s="1127"/>
      <c r="F11" s="1128">
        <f>IF('Step 7a--Feedstuff Required'!E12=0,0,D11/'Step 7a--Feedstuff Required'!E12)</f>
        <v>50.27</v>
      </c>
      <c r="G11" s="1127"/>
      <c r="H11" s="1129">
        <f>F11*'Step 7a--Feedstuff Required'!Q12</f>
        <v>58.815899999999999</v>
      </c>
      <c r="I11" s="1127"/>
      <c r="J11" s="1130">
        <f>IF('Step 7a--Feedstuff Required'!N12=0,0,H11/'Step 7a--Feedstuff Required'!N12)</f>
        <v>1.5726176470588235E-3</v>
      </c>
      <c r="K11" s="1127"/>
      <c r="L11" s="1576">
        <f>J11*'Step 7a--Feedstuff Required'!T12</f>
        <v>1.5726176470588235E-3</v>
      </c>
      <c r="M11" s="1127"/>
      <c r="N11" s="1131">
        <f>J11*F1_Length_of_Lactation</f>
        <v>0.64479716643222507</v>
      </c>
      <c r="O11" s="1127"/>
      <c r="P11" s="1129">
        <f>N11*Defaults!$D$6</f>
        <v>0.26094015525740588</v>
      </c>
      <c r="Q11" s="1180"/>
      <c r="R11" s="1228"/>
      <c r="S11" s="1154">
        <f>'Step 9a--Daily DMI Rations'!BC16</f>
        <v>14.52</v>
      </c>
      <c r="T11" s="1154"/>
      <c r="U11" s="1155">
        <f>IF('Step 7a--Feedstuff Required'!Z12=0,0,S11/'Step 7a--Feedstuff Required'!Z12)</f>
        <v>44</v>
      </c>
      <c r="V11" s="1154"/>
      <c r="W11" s="1156">
        <f>U11*'Step 7a--Feedstuff Required'!AL12</f>
        <v>51.48</v>
      </c>
      <c r="X11" s="1154"/>
      <c r="Y11" s="1157">
        <f>IF('Step 7a--Feedstuff Required'!AI12=0,0,W11/'Step 7a--Feedstuff Required'!AI12)</f>
        <v>1.3764705882352941E-3</v>
      </c>
      <c r="Z11" s="1154"/>
      <c r="AA11" s="1577">
        <f>Y11*'Step 7a--Feedstuff Required'!T12</f>
        <v>1.3764705882352941E-3</v>
      </c>
      <c r="AB11" s="1154"/>
      <c r="AC11" s="1158">
        <f>Y11*F2_Length_of_Lactation</f>
        <v>0.53880697377746278</v>
      </c>
      <c r="AD11" s="1154"/>
      <c r="AE11" s="1156">
        <f>AC11*Defaults!$D$6</f>
        <v>0.21804744609720969</v>
      </c>
      <c r="AF11" s="1186"/>
      <c r="AG11" s="1524"/>
    </row>
    <row r="12" spans="1:57" ht="3.75" customHeight="1">
      <c r="A12" s="3658"/>
      <c r="B12" s="788"/>
      <c r="C12" s="1179"/>
      <c r="D12" s="1127"/>
      <c r="E12" s="1127"/>
      <c r="F12" s="1128"/>
      <c r="G12" s="1127"/>
      <c r="H12" s="1129"/>
      <c r="I12" s="1127"/>
      <c r="J12" s="1130"/>
      <c r="K12" s="1127"/>
      <c r="L12" s="1127"/>
      <c r="M12" s="1127"/>
      <c r="N12" s="1131"/>
      <c r="O12" s="1127"/>
      <c r="P12" s="1129"/>
      <c r="Q12" s="1180"/>
      <c r="R12" s="1228"/>
      <c r="S12" s="1154"/>
      <c r="T12" s="1154"/>
      <c r="U12" s="1155"/>
      <c r="V12" s="1154"/>
      <c r="W12" s="1156"/>
      <c r="X12" s="1154"/>
      <c r="Y12" s="1157"/>
      <c r="Z12" s="1154"/>
      <c r="AA12" s="1154"/>
      <c r="AB12" s="1154"/>
      <c r="AC12" s="1158"/>
      <c r="AD12" s="1154"/>
      <c r="AE12" s="1156"/>
      <c r="AF12" s="1186"/>
      <c r="AG12" s="1524"/>
    </row>
    <row r="13" spans="1:57" ht="14.25">
      <c r="A13" s="3658" t="s">
        <v>35</v>
      </c>
      <c r="B13" s="788"/>
      <c r="C13" s="1179"/>
      <c r="D13" s="1127">
        <f>'Step 9a--Daily DMI Rations'!AB18</f>
        <v>4.4949131737540755</v>
      </c>
      <c r="E13" s="1127"/>
      <c r="F13" s="1128">
        <f>IF('Step 7a--Feedstuff Required'!E14=0,0,D13/'Step 7a--Feedstuff Required'!E14)</f>
        <v>4.994347970837862</v>
      </c>
      <c r="G13" s="1127"/>
      <c r="H13" s="1129">
        <f>F13*'Step 7a--Feedstuff Required'!Q14</f>
        <v>5.4937827679216484</v>
      </c>
      <c r="I13" s="1127"/>
      <c r="J13" s="1130">
        <f>IF('Step 7a--Feedstuff Required'!N14=0,0,H13/'Step 7a--Feedstuff Required'!N14)</f>
        <v>9.1563046132027469E-4</v>
      </c>
      <c r="K13" s="1127"/>
      <c r="L13" s="1576">
        <f>J13*'Step 7a--Feedstuff Required'!T14</f>
        <v>1.8312609226405494E-4</v>
      </c>
      <c r="M13" s="1127"/>
      <c r="N13" s="1131">
        <f>J13*F1_Length_of_Lactation</f>
        <v>0.37542242264833275</v>
      </c>
      <c r="O13" s="1127"/>
      <c r="P13" s="1129">
        <f>N13*Defaults!$D$6</f>
        <v>0.15192806413063589</v>
      </c>
      <c r="Q13" s="1180"/>
      <c r="R13" s="1228"/>
      <c r="S13" s="1154">
        <f>'Step 9a--Daily DMI Rations'!BC18</f>
        <v>5.0301278250623804</v>
      </c>
      <c r="T13" s="1154"/>
      <c r="U13" s="1155">
        <f>IF('Step 7a--Feedstuff Required'!Z14=0,0,S13/'Step 7a--Feedstuff Required'!Z14)</f>
        <v>5.589030916735978</v>
      </c>
      <c r="V13" s="1154"/>
      <c r="W13" s="1156">
        <f>U13*'Step 7a--Feedstuff Required'!AL14</f>
        <v>6.1479340084095764</v>
      </c>
      <c r="X13" s="1154"/>
      <c r="Y13" s="1157">
        <f>IF('Step 7a--Feedstuff Required'!AI14=0,0,W13/'Step 7a--Feedstuff Required'!AI14)</f>
        <v>1.0246556680682628E-3</v>
      </c>
      <c r="Z13" s="1154"/>
      <c r="AA13" s="1577">
        <f>Y13*'Step 7a--Feedstuff Required'!T14</f>
        <v>2.0493113361365258E-4</v>
      </c>
      <c r="AB13" s="1154"/>
      <c r="AC13" s="1158">
        <f>Y13*F2_Length_of_Lactation</f>
        <v>0.4010922023285618</v>
      </c>
      <c r="AD13" s="1154"/>
      <c r="AE13" s="1156">
        <f>AC13*Defaults!$D$6</f>
        <v>0.16231625540052794</v>
      </c>
      <c r="AF13" s="1186"/>
      <c r="AG13" s="1524"/>
    </row>
    <row r="14" spans="1:57" ht="3.75" customHeight="1">
      <c r="A14" s="3658"/>
      <c r="B14" s="788"/>
      <c r="C14" s="1179"/>
      <c r="D14" s="1127"/>
      <c r="E14" s="1127"/>
      <c r="F14" s="1128"/>
      <c r="G14" s="1127"/>
      <c r="H14" s="1129"/>
      <c r="I14" s="1127"/>
      <c r="J14" s="1130"/>
      <c r="K14" s="1127"/>
      <c r="L14" s="1127"/>
      <c r="M14" s="1127"/>
      <c r="N14" s="1131"/>
      <c r="O14" s="1127"/>
      <c r="P14" s="1129"/>
      <c r="Q14" s="1180"/>
      <c r="R14" s="1228"/>
      <c r="S14" s="1154"/>
      <c r="T14" s="1154"/>
      <c r="U14" s="1155"/>
      <c r="V14" s="1154"/>
      <c r="W14" s="1156"/>
      <c r="X14" s="1154"/>
      <c r="Y14" s="1157"/>
      <c r="Z14" s="1154"/>
      <c r="AA14" s="1154"/>
      <c r="AB14" s="1154"/>
      <c r="AC14" s="1158"/>
      <c r="AD14" s="1154"/>
      <c r="AE14" s="1156"/>
      <c r="AF14" s="1186"/>
      <c r="AG14" s="1524"/>
    </row>
    <row r="15" spans="1:57" ht="14.25">
      <c r="A15" s="3658" t="s">
        <v>19</v>
      </c>
      <c r="B15" s="788"/>
      <c r="C15" s="1179"/>
      <c r="D15" s="1127">
        <f>'Step 9a--Daily DMI Rations'!AB20</f>
        <v>5.4807219562567928</v>
      </c>
      <c r="E15" s="1127"/>
      <c r="F15" s="1128">
        <f>IF('Step 7a--Feedstuff Required'!E16=0,0,D15/'Step 7a--Feedstuff Required'!E16)</f>
        <v>18.269073187522643</v>
      </c>
      <c r="G15" s="1127"/>
      <c r="H15" s="1129">
        <f>F15*'Step 7a--Feedstuff Required'!Q16</f>
        <v>18.269073187522643</v>
      </c>
      <c r="I15" s="1127"/>
      <c r="J15" s="1130">
        <f>IF('Step 7a--Feedstuff Required'!N16=0,0,H15/'Step 7a--Feedstuff Required'!N16)</f>
        <v>1.522422765626887E-3</v>
      </c>
      <c r="K15" s="1127"/>
      <c r="L15" s="1576">
        <f>J15*'Step 7a--Feedstuff Required'!T16</f>
        <v>1.5224227656268871E-4</v>
      </c>
      <c r="M15" s="1127"/>
      <c r="N15" s="1131">
        <f>J15*F1_Length_of_Lactation</f>
        <v>0.62421650120997885</v>
      </c>
      <c r="O15" s="1127"/>
      <c r="P15" s="1129">
        <f>N15*Defaults!$D$6</f>
        <v>0.2526114555391541</v>
      </c>
      <c r="Q15" s="1180"/>
      <c r="R15" s="1228"/>
      <c r="S15" s="1154">
        <f>'Step 9a--Daily DMI Rations'!BC20</f>
        <v>5.5602130417706341</v>
      </c>
      <c r="T15" s="1154"/>
      <c r="U15" s="1155">
        <f>IF('Step 7a--Feedstuff Required'!Z16=0,0,S15/'Step 7a--Feedstuff Required'!Z16)</f>
        <v>18.534043472568783</v>
      </c>
      <c r="V15" s="1154"/>
      <c r="W15" s="1156">
        <f>U15*'Step 7a--Feedstuff Required'!AL16</f>
        <v>18.534043472568783</v>
      </c>
      <c r="X15" s="1154"/>
      <c r="Y15" s="1157">
        <f>IF('Step 7a--Feedstuff Required'!AI16=0,0,W15/'Step 7a--Feedstuff Required'!AI16)</f>
        <v>1.5445036227140652E-3</v>
      </c>
      <c r="Z15" s="1154"/>
      <c r="AA15" s="1577">
        <f>Y15*'Step 7a--Feedstuff Required'!T16</f>
        <v>1.5445036227140654E-4</v>
      </c>
      <c r="AB15" s="1154"/>
      <c r="AC15" s="1158">
        <f>Y15*F2_Length_of_Lactation</f>
        <v>0.60458198675338426</v>
      </c>
      <c r="AD15" s="1154"/>
      <c r="AE15" s="1156">
        <f>AC15*Defaults!$D$6</f>
        <v>0.24466564945092881</v>
      </c>
      <c r="AF15" s="1186"/>
      <c r="AG15" s="1524"/>
    </row>
    <row r="16" spans="1:57" ht="3.75" customHeight="1">
      <c r="A16" s="3658"/>
      <c r="B16" s="788"/>
      <c r="C16" s="1179"/>
      <c r="D16" s="1127"/>
      <c r="E16" s="1127"/>
      <c r="F16" s="1128"/>
      <c r="G16" s="1127"/>
      <c r="H16" s="1129"/>
      <c r="I16" s="1127"/>
      <c r="J16" s="1130"/>
      <c r="K16" s="1127"/>
      <c r="L16" s="1127"/>
      <c r="M16" s="1127"/>
      <c r="N16" s="1131"/>
      <c r="O16" s="1127"/>
      <c r="P16" s="1129"/>
      <c r="Q16" s="1180"/>
      <c r="R16" s="1228"/>
      <c r="S16" s="1154"/>
      <c r="T16" s="1154"/>
      <c r="U16" s="1155"/>
      <c r="V16" s="1154"/>
      <c r="W16" s="1156"/>
      <c r="X16" s="1154"/>
      <c r="Y16" s="1157"/>
      <c r="Z16" s="1154"/>
      <c r="AA16" s="1154"/>
      <c r="AB16" s="1154"/>
      <c r="AC16" s="1158"/>
      <c r="AD16" s="1154"/>
      <c r="AE16" s="1156"/>
      <c r="AF16" s="1186"/>
      <c r="AG16" s="1524"/>
    </row>
    <row r="17" spans="1:33" ht="14.25">
      <c r="A17" s="3658" t="s">
        <v>31</v>
      </c>
      <c r="B17" s="788"/>
      <c r="C17" s="1179"/>
      <c r="D17" s="1127">
        <f>'Step 9a--Daily DMI Rations'!AB22</f>
        <v>2.9966087825027174</v>
      </c>
      <c r="E17" s="1127"/>
      <c r="F17" s="1128">
        <f>IF('Step 7a--Feedstuff Required'!E18=0,0,D17/'Step 7a--Feedstuff Required'!E18)</f>
        <v>9.9886959416757257</v>
      </c>
      <c r="G17" s="1127"/>
      <c r="H17" s="1129">
        <f>F17*'Step 7a--Feedstuff Required'!Q18</f>
        <v>10.987565535843299</v>
      </c>
      <c r="I17" s="1127"/>
      <c r="J17" s="1130">
        <f>IF('Step 7a--Feedstuff Required'!N18=0,0,H17/'Step 7a--Feedstuff Required'!N18)</f>
        <v>1.0987565535843298E-3</v>
      </c>
      <c r="K17" s="1127"/>
      <c r="L17" s="1576">
        <f>J17*'Step 7a--Feedstuff Required'!T18</f>
        <v>5.4937827679216492E-4</v>
      </c>
      <c r="M17" s="1127"/>
      <c r="N17" s="1131">
        <f>J17*F1_Length_of_Lactation</f>
        <v>0.45050690717799935</v>
      </c>
      <c r="O17" s="1127"/>
      <c r="P17" s="1129">
        <f>N17*Defaults!$D$6</f>
        <v>0.18231367695676309</v>
      </c>
      <c r="Q17" s="1180"/>
      <c r="R17" s="1228"/>
      <c r="S17" s="1154">
        <f>'Step 9a--Daily DMI Rations'!BC22</f>
        <v>2.7080852167082536</v>
      </c>
      <c r="T17" s="1154"/>
      <c r="U17" s="1155">
        <f>IF('Step 7a--Feedstuff Required'!Z18=0,0,S17/'Step 7a--Feedstuff Required'!Z18)</f>
        <v>9.0269507223608461</v>
      </c>
      <c r="V17" s="1154"/>
      <c r="W17" s="1156">
        <f>U17*'Step 7a--Feedstuff Required'!AL18</f>
        <v>9.9296457945969312</v>
      </c>
      <c r="X17" s="1154"/>
      <c r="Y17" s="1157">
        <f>IF('Step 7a--Feedstuff Required'!AI18=0,0,W17/'Step 7a--Feedstuff Required'!AI18)</f>
        <v>9.9296457945969316E-4</v>
      </c>
      <c r="Z17" s="1154"/>
      <c r="AA17" s="1577">
        <f>Y17*'Step 7a--Feedstuff Required'!T18</f>
        <v>4.9648228972984658E-4</v>
      </c>
      <c r="AB17" s="1154"/>
      <c r="AC17" s="1158">
        <f>Y17*F2_Length_of_Lactation</f>
        <v>0.38868701205799572</v>
      </c>
      <c r="AD17" s="1154"/>
      <c r="AE17" s="1156">
        <f>AC17*Defaults!$D$6</f>
        <v>0.15729605301175173</v>
      </c>
      <c r="AF17" s="1186"/>
      <c r="AG17" s="1524"/>
    </row>
    <row r="18" spans="1:33" ht="3.75" customHeight="1">
      <c r="A18" s="3658"/>
      <c r="B18" s="788"/>
      <c r="C18" s="1179"/>
      <c r="D18" s="1127"/>
      <c r="E18" s="1127"/>
      <c r="F18" s="1128"/>
      <c r="G18" s="1127"/>
      <c r="H18" s="1129"/>
      <c r="I18" s="1127"/>
      <c r="J18" s="1130"/>
      <c r="K18" s="1127"/>
      <c r="L18" s="1127"/>
      <c r="M18" s="1127"/>
      <c r="N18" s="1131"/>
      <c r="O18" s="1127"/>
      <c r="P18" s="1129"/>
      <c r="Q18" s="1180"/>
      <c r="R18" s="1228"/>
      <c r="S18" s="1154"/>
      <c r="T18" s="1154"/>
      <c r="U18" s="1155"/>
      <c r="V18" s="1154"/>
      <c r="W18" s="1156"/>
      <c r="X18" s="1154"/>
      <c r="Y18" s="1157"/>
      <c r="Z18" s="1154"/>
      <c r="AA18" s="1154"/>
      <c r="AB18" s="1154"/>
      <c r="AC18" s="1158"/>
      <c r="AD18" s="1154"/>
      <c r="AE18" s="1156"/>
      <c r="AF18" s="1186"/>
      <c r="AG18" s="1524"/>
    </row>
    <row r="19" spans="1:33" ht="14.25">
      <c r="A19" s="3659" t="str">
        <f>IF('Step 7a--Feedstuff Required'!B20="[add forage crop here]"," ",'Step 7a--Feedstuff Required'!B20)</f>
        <v xml:space="preserve"> </v>
      </c>
      <c r="B19" s="788"/>
      <c r="C19" s="1179"/>
      <c r="D19" s="1127">
        <f>'Step 9a--Daily DMI Rations'!AB24</f>
        <v>0.50270000000000004</v>
      </c>
      <c r="E19" s="1127"/>
      <c r="F19" s="1128">
        <f>IF('Step 7a--Feedstuff Required'!E20=0,0,D19/'Step 7a--Feedstuff Required'!E20)</f>
        <v>0</v>
      </c>
      <c r="G19" s="1127"/>
      <c r="H19" s="1129">
        <f>F19*'Step 7a--Feedstuff Required'!Q20</f>
        <v>0</v>
      </c>
      <c r="I19" s="1127"/>
      <c r="J19" s="1130">
        <f>IF('Step 7a--Feedstuff Required'!N20=0,0,H19/'Step 7a--Feedstuff Required'!N20)</f>
        <v>0</v>
      </c>
      <c r="K19" s="1127"/>
      <c r="L19" s="1576">
        <f>J19*'Step 7a--Feedstuff Required'!T20</f>
        <v>0</v>
      </c>
      <c r="M19" s="1127"/>
      <c r="N19" s="1131">
        <f>J19*F1_Length_of_Lactation</f>
        <v>0</v>
      </c>
      <c r="O19" s="1127"/>
      <c r="P19" s="1129">
        <f>N19*Defaults!$D$6</f>
        <v>0</v>
      </c>
      <c r="Q19" s="1180"/>
      <c r="R19" s="1228"/>
      <c r="S19" s="1154">
        <f>'Step 9a--Daily DMI Rations'!BC24</f>
        <v>0</v>
      </c>
      <c r="T19" s="1154"/>
      <c r="U19" s="1155">
        <f>IF('Step 7a--Feedstuff Required'!Z20=0,0,S19/'Step 7a--Feedstuff Required'!Z20)</f>
        <v>0</v>
      </c>
      <c r="V19" s="1154"/>
      <c r="W19" s="1156">
        <f>U19*'Step 7a--Feedstuff Required'!AL20</f>
        <v>0</v>
      </c>
      <c r="X19" s="1154"/>
      <c r="Y19" s="1157">
        <f>IF('Step 7a--Feedstuff Required'!AI20=0,0,W19/'Step 7a--Feedstuff Required'!AI20)</f>
        <v>0</v>
      </c>
      <c r="Z19" s="1154"/>
      <c r="AA19" s="1577">
        <f>Y19*'Step 7a--Feedstuff Required'!T20</f>
        <v>0</v>
      </c>
      <c r="AB19" s="1154"/>
      <c r="AC19" s="1158">
        <f>Y19*F2_Length_of_Lactation</f>
        <v>0</v>
      </c>
      <c r="AD19" s="1154"/>
      <c r="AE19" s="1156">
        <f>AC19*Defaults!$D$6</f>
        <v>0</v>
      </c>
      <c r="AF19" s="1186"/>
      <c r="AG19" s="1524"/>
    </row>
    <row r="20" spans="1:33" ht="3.75" customHeight="1">
      <c r="A20" s="3658"/>
      <c r="B20" s="788"/>
      <c r="C20" s="1179"/>
      <c r="D20" s="1127"/>
      <c r="E20" s="1127"/>
      <c r="F20" s="1128"/>
      <c r="G20" s="1127"/>
      <c r="H20" s="1129"/>
      <c r="I20" s="1127"/>
      <c r="J20" s="1130"/>
      <c r="K20" s="1127"/>
      <c r="L20" s="1127"/>
      <c r="M20" s="1127"/>
      <c r="N20" s="1131"/>
      <c r="O20" s="1127"/>
      <c r="P20" s="1129"/>
      <c r="Q20" s="1180"/>
      <c r="R20" s="1228"/>
      <c r="S20" s="1154"/>
      <c r="T20" s="1154"/>
      <c r="U20" s="1155"/>
      <c r="V20" s="1154"/>
      <c r="W20" s="1156"/>
      <c r="X20" s="1154"/>
      <c r="Y20" s="1157"/>
      <c r="Z20" s="1154"/>
      <c r="AA20" s="1154"/>
      <c r="AB20" s="1154"/>
      <c r="AC20" s="1158"/>
      <c r="AD20" s="1154"/>
      <c r="AE20" s="1156"/>
      <c r="AF20" s="1186"/>
      <c r="AG20" s="1524"/>
    </row>
    <row r="21" spans="1:33" ht="14.25">
      <c r="A21" s="3659" t="str">
        <f>IF('Step 7a--Feedstuff Required'!B22="[add forage crop here]"," ",'Step 7a--Feedstuff Required'!B22)</f>
        <v xml:space="preserve"> </v>
      </c>
      <c r="B21" s="788"/>
      <c r="C21" s="1179"/>
      <c r="D21" s="1127">
        <f>'Step 9a--Daily DMI Rations'!AB26</f>
        <v>0</v>
      </c>
      <c r="E21" s="1127"/>
      <c r="F21" s="1128">
        <f>IF('Step 7a--Feedstuff Required'!E22=0,0,D21/'Step 7a--Feedstuff Required'!E22)</f>
        <v>0</v>
      </c>
      <c r="G21" s="1127"/>
      <c r="H21" s="1129">
        <f>F21*'Step 7a--Feedstuff Required'!Q22</f>
        <v>0</v>
      </c>
      <c r="I21" s="1127"/>
      <c r="J21" s="1130">
        <f>IF('Step 7a--Feedstuff Required'!N22=0,0,H21/'Step 7a--Feedstuff Required'!N22)</f>
        <v>0</v>
      </c>
      <c r="K21" s="1127"/>
      <c r="L21" s="1576">
        <f>J21*'Step 7a--Feedstuff Required'!T22</f>
        <v>0</v>
      </c>
      <c r="M21" s="1127"/>
      <c r="N21" s="1131">
        <f>J21*F1_Length_of_Lactation</f>
        <v>0</v>
      </c>
      <c r="O21" s="1127"/>
      <c r="P21" s="1129">
        <f>N21*Defaults!$D$6</f>
        <v>0</v>
      </c>
      <c r="Q21" s="1180"/>
      <c r="R21" s="1228"/>
      <c r="S21" s="1154">
        <f>'Step 9a--Daily DMI Rations'!BC26</f>
        <v>0</v>
      </c>
      <c r="T21" s="1154"/>
      <c r="U21" s="1155">
        <f>IF('Step 7a--Feedstuff Required'!Z22=0,0,S21/'Step 7a--Feedstuff Required'!Z22)</f>
        <v>0</v>
      </c>
      <c r="V21" s="1154"/>
      <c r="W21" s="1156">
        <f>U21*'Step 7a--Feedstuff Required'!AL22</f>
        <v>0</v>
      </c>
      <c r="X21" s="1154"/>
      <c r="Y21" s="1157">
        <f>IF('Step 7a--Feedstuff Required'!AI22=0,0,W21/'Step 7a--Feedstuff Required'!AI22)</f>
        <v>0</v>
      </c>
      <c r="Z21" s="1154"/>
      <c r="AA21" s="1577">
        <f>Y21*'Step 7a--Feedstuff Required'!T22</f>
        <v>0</v>
      </c>
      <c r="AB21" s="1154"/>
      <c r="AC21" s="1158">
        <f>Y21*F2_Length_of_Lactation</f>
        <v>0</v>
      </c>
      <c r="AD21" s="1154"/>
      <c r="AE21" s="1156">
        <f>AC21*Defaults!$D$6</f>
        <v>0</v>
      </c>
      <c r="AF21" s="1186"/>
      <c r="AG21" s="1524"/>
    </row>
    <row r="22" spans="1:33" ht="3.75" customHeight="1">
      <c r="A22" s="3658"/>
      <c r="B22" s="788"/>
      <c r="C22" s="1179"/>
      <c r="D22" s="1127"/>
      <c r="E22" s="1127"/>
      <c r="F22" s="1128"/>
      <c r="G22" s="1127"/>
      <c r="H22" s="1129"/>
      <c r="I22" s="1127"/>
      <c r="J22" s="1130"/>
      <c r="K22" s="1127"/>
      <c r="L22" s="1127"/>
      <c r="M22" s="1127"/>
      <c r="N22" s="1131"/>
      <c r="O22" s="1127"/>
      <c r="P22" s="1129"/>
      <c r="Q22" s="1180"/>
      <c r="R22" s="1228"/>
      <c r="S22" s="1154"/>
      <c r="T22" s="1154"/>
      <c r="U22" s="1155"/>
      <c r="V22" s="1154"/>
      <c r="W22" s="1156"/>
      <c r="X22" s="1154"/>
      <c r="Y22" s="1157"/>
      <c r="Z22" s="1154"/>
      <c r="AA22" s="1154"/>
      <c r="AB22" s="1154"/>
      <c r="AC22" s="1158"/>
      <c r="AD22" s="1154"/>
      <c r="AE22" s="1156"/>
      <c r="AF22" s="1186"/>
      <c r="AG22" s="1524"/>
    </row>
    <row r="23" spans="1:33" ht="14.25">
      <c r="A23" s="3659" t="str">
        <f>IF('Step 7a--Feedstuff Required'!B24="[add forage crop here]"," ",'Step 7a--Feedstuff Required'!B24)</f>
        <v xml:space="preserve"> </v>
      </c>
      <c r="B23" s="788"/>
      <c r="C23" s="1179"/>
      <c r="D23" s="1127">
        <f>'Step 9a--Daily DMI Rations'!AB28</f>
        <v>0</v>
      </c>
      <c r="E23" s="1127"/>
      <c r="F23" s="1128">
        <f>IF('Step 7a--Feedstuff Required'!E24=0,0,D23/'Step 7a--Feedstuff Required'!E24)</f>
        <v>0</v>
      </c>
      <c r="G23" s="1127"/>
      <c r="H23" s="1129">
        <f>F23*'Step 7a--Feedstuff Required'!Q24</f>
        <v>0</v>
      </c>
      <c r="I23" s="1127"/>
      <c r="J23" s="1130">
        <f>IF('Step 7a--Feedstuff Required'!N24=0,0,H23/'Step 7a--Feedstuff Required'!N24)</f>
        <v>0</v>
      </c>
      <c r="K23" s="1127"/>
      <c r="L23" s="1576">
        <f>J23*'Step 7a--Feedstuff Required'!T24</f>
        <v>0</v>
      </c>
      <c r="M23" s="1127"/>
      <c r="N23" s="1131">
        <f>J23*F1_Length_of_Lactation</f>
        <v>0</v>
      </c>
      <c r="O23" s="1127"/>
      <c r="P23" s="1129">
        <f>N23*Defaults!$D$6</f>
        <v>0</v>
      </c>
      <c r="Q23" s="1180"/>
      <c r="R23" s="1228"/>
      <c r="S23" s="1154">
        <f>'Step 9a--Daily DMI Rations'!BC28</f>
        <v>0</v>
      </c>
      <c r="T23" s="1154"/>
      <c r="U23" s="1155">
        <f>IF('Step 7a--Feedstuff Required'!Z24=0,0,S23/'Step 7a--Feedstuff Required'!Z24)</f>
        <v>0</v>
      </c>
      <c r="V23" s="1154"/>
      <c r="W23" s="1156">
        <f>U23*'Step 7a--Feedstuff Required'!AL24</f>
        <v>0</v>
      </c>
      <c r="X23" s="1154"/>
      <c r="Y23" s="1157">
        <f>IF('Step 7a--Feedstuff Required'!AI24=0,0,W23/'Step 7a--Feedstuff Required'!AI24)</f>
        <v>0</v>
      </c>
      <c r="Z23" s="1154"/>
      <c r="AA23" s="1577">
        <f>Y23*'Step 7a--Feedstuff Required'!T24</f>
        <v>0</v>
      </c>
      <c r="AB23" s="1154"/>
      <c r="AC23" s="1158">
        <f>Y23*F2_Length_of_Lactation</f>
        <v>0</v>
      </c>
      <c r="AD23" s="1154"/>
      <c r="AE23" s="1156">
        <f>AC23*Defaults!$D$6</f>
        <v>0</v>
      </c>
      <c r="AF23" s="1186"/>
      <c r="AG23" s="1524"/>
    </row>
    <row r="24" spans="1:33" ht="3.75" customHeight="1">
      <c r="A24" s="787"/>
      <c r="B24" s="788"/>
      <c r="C24" s="1179"/>
      <c r="D24" s="1127"/>
      <c r="E24" s="1127"/>
      <c r="F24" s="1128"/>
      <c r="G24" s="1127"/>
      <c r="H24" s="1133"/>
      <c r="I24" s="1127"/>
      <c r="J24" s="1134"/>
      <c r="K24" s="1127"/>
      <c r="L24" s="1127"/>
      <c r="M24" s="1127"/>
      <c r="N24" s="1129"/>
      <c r="O24" s="1127"/>
      <c r="P24" s="1129"/>
      <c r="Q24" s="1180"/>
      <c r="R24" s="1228"/>
      <c r="S24" s="1154"/>
      <c r="T24" s="1154"/>
      <c r="U24" s="1155"/>
      <c r="V24" s="1154"/>
      <c r="W24" s="1160"/>
      <c r="X24" s="1154"/>
      <c r="Y24" s="1161"/>
      <c r="Z24" s="1154"/>
      <c r="AA24" s="1154"/>
      <c r="AB24" s="1154"/>
      <c r="AC24" s="1156"/>
      <c r="AD24" s="1154"/>
      <c r="AE24" s="1156"/>
      <c r="AF24" s="1186"/>
      <c r="AG24" s="1524"/>
    </row>
    <row r="25" spans="1:33" s="20" customFormat="1" ht="15">
      <c r="A25" s="789" t="s">
        <v>4</v>
      </c>
      <c r="B25" s="788"/>
      <c r="C25" s="1179"/>
      <c r="D25" s="1222">
        <f>SUM(D7:D23)</f>
        <v>50.074087825027178</v>
      </c>
      <c r="E25" s="1135"/>
      <c r="F25" s="1222">
        <f>SUM(F7:F23)</f>
        <v>105.75549922505132</v>
      </c>
      <c r="G25" s="1135"/>
      <c r="H25" s="1222">
        <f>SUM(H7:H23)</f>
        <v>118.02304182880421</v>
      </c>
      <c r="I25" s="1135"/>
      <c r="J25" s="1223">
        <f>SUM(J7:J23)</f>
        <v>7.8268407984254957E-3</v>
      </c>
      <c r="K25" s="1135"/>
      <c r="L25" s="1223">
        <f>SUM(L7:L23)</f>
        <v>3.8160709780953217E-3</v>
      </c>
      <c r="M25" s="1135"/>
      <c r="N25" s="1222">
        <f>SUM(N7:N23)</f>
        <v>3.2091238314535593</v>
      </c>
      <c r="O25" s="1135"/>
      <c r="P25" s="1222">
        <f>SUM(P7:P23)</f>
        <v>1.2986863379892835</v>
      </c>
      <c r="Q25" s="1181"/>
      <c r="R25" s="1228"/>
      <c r="S25" s="1246">
        <f>SUM(S7:S23)</f>
        <v>49.344852167082536</v>
      </c>
      <c r="T25" s="1162"/>
      <c r="U25" s="1246">
        <f>SUM(U7:U23)</f>
        <v>102.68160964893369</v>
      </c>
      <c r="V25" s="1162"/>
      <c r="W25" s="1246">
        <f>SUM(W7:W23)</f>
        <v>114.29736626657018</v>
      </c>
      <c r="X25" s="1162"/>
      <c r="Y25" s="1247">
        <f>SUM(Y7:Y23)</f>
        <v>7.9372811796989684E-3</v>
      </c>
      <c r="Z25" s="1162"/>
      <c r="AA25" s="1247">
        <f>SUM(AA7:AA23)</f>
        <v>3.6794964844610268E-3</v>
      </c>
      <c r="AB25" s="1162"/>
      <c r="AC25" s="1246">
        <f>SUM(AC7:AC23)</f>
        <v>3.1069769953728628</v>
      </c>
      <c r="AD25" s="1162"/>
      <c r="AE25" s="1246">
        <f>SUM(AE7:AE23)</f>
        <v>1.2573489800516979</v>
      </c>
      <c r="AF25" s="1187"/>
      <c r="AG25" s="1525"/>
    </row>
    <row r="26" spans="1:33" ht="14.25">
      <c r="A26" s="787"/>
      <c r="B26" s="788"/>
      <c r="C26" s="1179"/>
      <c r="D26" s="1127"/>
      <c r="E26" s="1127"/>
      <c r="F26" s="1128"/>
      <c r="G26" s="1127"/>
      <c r="H26" s="1129"/>
      <c r="I26" s="1127"/>
      <c r="J26" s="1124"/>
      <c r="K26" s="1127"/>
      <c r="L26" s="1127"/>
      <c r="M26" s="1127"/>
      <c r="N26" s="1129"/>
      <c r="O26" s="1127"/>
      <c r="P26" s="1129"/>
      <c r="Q26" s="1180"/>
      <c r="R26" s="1228"/>
      <c r="S26" s="1154"/>
      <c r="T26" s="1154"/>
      <c r="U26" s="1155"/>
      <c r="V26" s="1154"/>
      <c r="W26" s="1156"/>
      <c r="X26" s="1154"/>
      <c r="Y26" s="1151"/>
      <c r="Z26" s="1154"/>
      <c r="AA26" s="1154"/>
      <c r="AB26" s="1154"/>
      <c r="AC26" s="1156"/>
      <c r="AD26" s="1154"/>
      <c r="AE26" s="1156"/>
      <c r="AF26" s="1186"/>
      <c r="AG26" s="1524"/>
    </row>
    <row r="27" spans="1:33" ht="20.25" customHeight="1">
      <c r="A27" s="4031" t="s">
        <v>966</v>
      </c>
      <c r="B27" s="4834"/>
      <c r="C27" s="4834"/>
      <c r="D27" s="4834"/>
      <c r="E27" s="4834"/>
      <c r="F27" s="4834"/>
      <c r="G27" s="4834"/>
      <c r="H27" s="4834"/>
      <c r="I27" s="4834"/>
      <c r="J27" s="4834"/>
      <c r="K27" s="4834"/>
      <c r="L27" s="4834"/>
      <c r="M27" s="4834"/>
      <c r="N27" s="4834"/>
      <c r="O27" s="4834"/>
      <c r="P27" s="4834"/>
      <c r="Q27" s="4834"/>
      <c r="R27" s="4834"/>
      <c r="S27" s="4834"/>
      <c r="T27" s="4834"/>
      <c r="U27" s="4834"/>
      <c r="V27" s="4834"/>
      <c r="W27" s="4834"/>
      <c r="X27" s="4834"/>
      <c r="Y27" s="4834"/>
      <c r="Z27" s="4834"/>
      <c r="AA27" s="4834"/>
      <c r="AB27" s="4834"/>
      <c r="AC27" s="4834"/>
      <c r="AD27" s="4834"/>
      <c r="AE27" s="4834"/>
      <c r="AF27" s="4835"/>
      <c r="AG27" s="1526"/>
    </row>
    <row r="28" spans="1:33" ht="15">
      <c r="A28" s="3658" t="s">
        <v>33</v>
      </c>
      <c r="B28" s="790"/>
      <c r="C28" s="1182"/>
      <c r="D28" s="1127">
        <f>'Step 9a--Daily DMI Rations'!AB34</f>
        <v>13.070200000000002</v>
      </c>
      <c r="E28" s="1127"/>
      <c r="F28" s="1128">
        <f>IF('Step 7a--Feedstuff Required'!E30=0,0,D28/'Step 7a--Feedstuff Required'!E30)</f>
        <v>14.852500000000001</v>
      </c>
      <c r="G28" s="1127"/>
      <c r="H28" s="1129">
        <f>F28*'Step 7a--Feedstuff Required'!Q30</f>
        <v>16.040700000000001</v>
      </c>
      <c r="I28" s="1127"/>
      <c r="J28" s="1130">
        <f>IF('Step 7a--Feedstuff Required'!N30=0,0,H28/'Step 7a--Feedstuff Required'!N30)</f>
        <v>1.861215538847118E-3</v>
      </c>
      <c r="K28" s="1127"/>
      <c r="L28" s="1576">
        <f>J28*'Step 7a--Feedstuff Required'!T30</f>
        <v>1.861215538847118E-3</v>
      </c>
      <c r="M28" s="1127"/>
      <c r="N28" s="1129">
        <f>J28*F1_Length_of_Lactation</f>
        <v>0.76312669377247477</v>
      </c>
      <c r="O28" s="1127"/>
      <c r="P28" s="1129">
        <f>N28*Defaults!$D$6</f>
        <v>0.30882641599665134</v>
      </c>
      <c r="Q28" s="1180"/>
      <c r="R28" s="1229"/>
      <c r="S28" s="1154">
        <f>'Step 9a--Daily DMI Rations'!BC34</f>
        <v>10.648</v>
      </c>
      <c r="T28" s="1154"/>
      <c r="U28" s="1155">
        <f>IF('Step 7a--Feedstuff Required'!Z30=0,0,S28/'Step 7a--Feedstuff Required'!Z30)</f>
        <v>12.1</v>
      </c>
      <c r="V28" s="1154"/>
      <c r="W28" s="1156">
        <f>U28*'Step 7a--Feedstuff Required'!AL30</f>
        <v>13.068</v>
      </c>
      <c r="X28" s="1154"/>
      <c r="Y28" s="1157">
        <f>IF('Step 7a--Feedstuff Required'!AI30=0,0,W28/'Step 7a--Feedstuff Required'!AI30)</f>
        <v>1.5162907268170425E-3</v>
      </c>
      <c r="Z28" s="1154"/>
      <c r="AA28" s="1577">
        <f>Y28*'Step 7a--Feedstuff Required'!T30</f>
        <v>1.5162907268170425E-3</v>
      </c>
      <c r="AB28" s="1154"/>
      <c r="AC28" s="1156">
        <f>Y28*F2_Length_of_Lactation</f>
        <v>0.59353830359030102</v>
      </c>
      <c r="AD28" s="1154"/>
      <c r="AE28" s="1156">
        <f>AC28*Defaults!$D$6</f>
        <v>0.24019642944003189</v>
      </c>
      <c r="AF28" s="1186"/>
      <c r="AG28" s="1524"/>
    </row>
    <row r="29" spans="1:33" ht="3.75" customHeight="1">
      <c r="A29" s="3658"/>
      <c r="B29" s="788"/>
      <c r="C29" s="1179"/>
      <c r="D29" s="1127"/>
      <c r="E29" s="1127"/>
      <c r="F29" s="1128"/>
      <c r="G29" s="1127"/>
      <c r="H29" s="1129"/>
      <c r="I29" s="1127"/>
      <c r="J29" s="1130"/>
      <c r="K29" s="1127"/>
      <c r="L29" s="1127"/>
      <c r="M29" s="1127"/>
      <c r="N29" s="1129"/>
      <c r="O29" s="1127"/>
      <c r="P29" s="1129"/>
      <c r="Q29" s="1180"/>
      <c r="R29" s="1228"/>
      <c r="S29" s="1154"/>
      <c r="T29" s="1154"/>
      <c r="U29" s="1155"/>
      <c r="V29" s="1154"/>
      <c r="W29" s="1156"/>
      <c r="X29" s="1154"/>
      <c r="Y29" s="1157"/>
      <c r="Z29" s="1154"/>
      <c r="AA29" s="1154"/>
      <c r="AB29" s="1154"/>
      <c r="AC29" s="1156"/>
      <c r="AD29" s="1154"/>
      <c r="AE29" s="1156"/>
      <c r="AF29" s="1186"/>
      <c r="AG29" s="1524"/>
    </row>
    <row r="30" spans="1:33" ht="14.25">
      <c r="A30" s="3658" t="s">
        <v>22</v>
      </c>
      <c r="B30" s="788"/>
      <c r="C30" s="1179"/>
      <c r="D30" s="1127">
        <f>'Step 9a--Daily DMI Rations'!AB36</f>
        <v>0</v>
      </c>
      <c r="E30" s="1127"/>
      <c r="F30" s="1128">
        <f>IF('Step 7a--Feedstuff Required'!E32=0,0,D30/'Step 7a--Feedstuff Required'!E32)</f>
        <v>0</v>
      </c>
      <c r="G30" s="1127"/>
      <c r="H30" s="1129">
        <f>F30*'Step 7a--Feedstuff Required'!Q32</f>
        <v>0</v>
      </c>
      <c r="I30" s="1127"/>
      <c r="J30" s="1130">
        <f>IF('Step 7a--Feedstuff Required'!N32=0,0,H30/'Step 7a--Feedstuff Required'!N32)</f>
        <v>0</v>
      </c>
      <c r="K30" s="1127"/>
      <c r="L30" s="1576">
        <f>J30*'Step 7a--Feedstuff Required'!T32</f>
        <v>0</v>
      </c>
      <c r="M30" s="1127"/>
      <c r="N30" s="1129">
        <f>J30*F1_Length_of_Lactation</f>
        <v>0</v>
      </c>
      <c r="O30" s="1127"/>
      <c r="P30" s="1129">
        <f>N30*Defaults!$D$6</f>
        <v>0</v>
      </c>
      <c r="Q30" s="1180"/>
      <c r="R30" s="1228"/>
      <c r="S30" s="1154">
        <f>'Step 9a--Daily DMI Rations'!BC36</f>
        <v>0</v>
      </c>
      <c r="T30" s="1154"/>
      <c r="U30" s="1155">
        <f>IF('Step 7a--Feedstuff Required'!Z32=0,0,S30/'Step 7a--Feedstuff Required'!Z32)</f>
        <v>0</v>
      </c>
      <c r="V30" s="1154"/>
      <c r="W30" s="1156">
        <f>U30*'Step 7a--Feedstuff Required'!AL32</f>
        <v>0</v>
      </c>
      <c r="X30" s="1154"/>
      <c r="Y30" s="1157">
        <f>IF('Step 7a--Feedstuff Required'!AI32=0,0,W30/'Step 7a--Feedstuff Required'!AI32)</f>
        <v>0</v>
      </c>
      <c r="Z30" s="1154"/>
      <c r="AA30" s="1577">
        <f>Y30*'Step 7a--Feedstuff Required'!T32</f>
        <v>0</v>
      </c>
      <c r="AB30" s="1154"/>
      <c r="AC30" s="1156">
        <f>Y30*F2_Length_of_Lactation</f>
        <v>0</v>
      </c>
      <c r="AD30" s="1154"/>
      <c r="AE30" s="1156">
        <f>AC30*Defaults!$D$6</f>
        <v>0</v>
      </c>
      <c r="AF30" s="1186"/>
      <c r="AG30" s="1524"/>
    </row>
    <row r="31" spans="1:33" ht="3.75" customHeight="1">
      <c r="A31" s="3658"/>
      <c r="B31" s="788"/>
      <c r="C31" s="1179"/>
      <c r="D31" s="1127"/>
      <c r="E31" s="1127"/>
      <c r="F31" s="1128"/>
      <c r="G31" s="1127"/>
      <c r="H31" s="1129"/>
      <c r="I31" s="1127"/>
      <c r="J31" s="1130"/>
      <c r="K31" s="1127"/>
      <c r="L31" s="1127"/>
      <c r="M31" s="1127"/>
      <c r="N31" s="1129"/>
      <c r="O31" s="1127"/>
      <c r="P31" s="1129"/>
      <c r="Q31" s="1180"/>
      <c r="R31" s="1228"/>
      <c r="S31" s="1154"/>
      <c r="T31" s="1154"/>
      <c r="U31" s="1155"/>
      <c r="V31" s="1154"/>
      <c r="W31" s="1156"/>
      <c r="X31" s="1154"/>
      <c r="Y31" s="1157"/>
      <c r="Z31" s="1154"/>
      <c r="AA31" s="1154"/>
      <c r="AB31" s="1154"/>
      <c r="AC31" s="1156"/>
      <c r="AD31" s="1154"/>
      <c r="AE31" s="1156"/>
      <c r="AF31" s="1186"/>
      <c r="AG31" s="1524"/>
    </row>
    <row r="32" spans="1:33" ht="15">
      <c r="A32" s="3658" t="s">
        <v>25</v>
      </c>
      <c r="B32" s="786"/>
      <c r="C32" s="1177"/>
      <c r="D32" s="1127">
        <f>'Step 9a--Daily DMI Rations'!AB38</f>
        <v>0</v>
      </c>
      <c r="E32" s="1127"/>
      <c r="F32" s="1128">
        <f>IF('Step 7a--Feedstuff Required'!E34=0,0,D32/'Step 7a--Feedstuff Required'!E34)</f>
        <v>0</v>
      </c>
      <c r="G32" s="1127"/>
      <c r="H32" s="1129">
        <f>F32*'Step 7a--Feedstuff Required'!Q34</f>
        <v>0</v>
      </c>
      <c r="I32" s="1127"/>
      <c r="J32" s="1130">
        <f>IF('Step 7a--Feedstuff Required'!N34=0,0,H32/'Step 7a--Feedstuff Required'!N34)</f>
        <v>0</v>
      </c>
      <c r="K32" s="1127"/>
      <c r="L32" s="1576">
        <f>J32*'Step 7a--Feedstuff Required'!T34</f>
        <v>0</v>
      </c>
      <c r="M32" s="1127"/>
      <c r="N32" s="1129">
        <f>J32*F1_Length_of_Lactation</f>
        <v>0</v>
      </c>
      <c r="O32" s="1127"/>
      <c r="P32" s="1129">
        <f>N32*Defaults!$D$6</f>
        <v>0</v>
      </c>
      <c r="Q32" s="1180"/>
      <c r="R32" s="1230"/>
      <c r="S32" s="1154">
        <f>'Step 9a--Daily DMI Rations'!BC38</f>
        <v>0</v>
      </c>
      <c r="T32" s="1154"/>
      <c r="U32" s="1155">
        <f>IF('Step 7a--Feedstuff Required'!Z34=0,0,S32/'Step 7a--Feedstuff Required'!Z34)</f>
        <v>0</v>
      </c>
      <c r="V32" s="1154"/>
      <c r="W32" s="1156">
        <f>U32*'Step 7a--Feedstuff Required'!AL34</f>
        <v>0</v>
      </c>
      <c r="X32" s="1154"/>
      <c r="Y32" s="1157">
        <f>IF('Step 7a--Feedstuff Required'!AI34=0,0,W32/'Step 7a--Feedstuff Required'!AI34)</f>
        <v>0</v>
      </c>
      <c r="Z32" s="1154"/>
      <c r="AA32" s="1577">
        <f>Y32*'Step 7a--Feedstuff Required'!T34</f>
        <v>0</v>
      </c>
      <c r="AB32" s="1154"/>
      <c r="AC32" s="1156">
        <f>Y32*F2_Length_of_Lactation</f>
        <v>0</v>
      </c>
      <c r="AD32" s="1154"/>
      <c r="AE32" s="1156">
        <f>AC32*Defaults!$D$6</f>
        <v>0</v>
      </c>
      <c r="AF32" s="1186"/>
      <c r="AG32" s="1524"/>
    </row>
    <row r="33" spans="1:33" ht="3.75" customHeight="1">
      <c r="A33" s="3658"/>
      <c r="B33" s="788"/>
      <c r="C33" s="1179"/>
      <c r="D33" s="1127"/>
      <c r="E33" s="1127"/>
      <c r="F33" s="1128"/>
      <c r="G33" s="1127"/>
      <c r="H33" s="1129"/>
      <c r="I33" s="1127"/>
      <c r="J33" s="1130"/>
      <c r="K33" s="1127"/>
      <c r="L33" s="1127"/>
      <c r="M33" s="1127"/>
      <c r="N33" s="1129"/>
      <c r="O33" s="1127"/>
      <c r="P33" s="1129"/>
      <c r="Q33" s="1180"/>
      <c r="R33" s="1228"/>
      <c r="S33" s="1154"/>
      <c r="T33" s="1154"/>
      <c r="U33" s="1155"/>
      <c r="V33" s="1154"/>
      <c r="W33" s="1156"/>
      <c r="X33" s="1154"/>
      <c r="Y33" s="1157"/>
      <c r="Z33" s="1154"/>
      <c r="AA33" s="1154"/>
      <c r="AB33" s="1154"/>
      <c r="AC33" s="1156"/>
      <c r="AD33" s="1154"/>
      <c r="AE33" s="1156"/>
      <c r="AF33" s="1186"/>
      <c r="AG33" s="1524"/>
    </row>
    <row r="34" spans="1:33" ht="14.25">
      <c r="A34" s="3658" t="s">
        <v>27</v>
      </c>
      <c r="B34" s="788"/>
      <c r="C34" s="1179"/>
      <c r="D34" s="1127">
        <f>'Step 9a--Daily DMI Rations'!AB40</f>
        <v>0</v>
      </c>
      <c r="E34" s="1127"/>
      <c r="F34" s="1128">
        <f>IF('Step 7a--Feedstuff Required'!E36=0,0,D34/'Step 7a--Feedstuff Required'!E36)</f>
        <v>0</v>
      </c>
      <c r="G34" s="1127"/>
      <c r="H34" s="1129">
        <f>F34*'Step 7a--Feedstuff Required'!Q36</f>
        <v>0</v>
      </c>
      <c r="I34" s="1127"/>
      <c r="J34" s="1130">
        <f>IF('Step 7a--Feedstuff Required'!N36=0,0,H34/'Step 7a--Feedstuff Required'!N36)</f>
        <v>0</v>
      </c>
      <c r="K34" s="1127"/>
      <c r="L34" s="1576">
        <f>J34*'Step 7a--Feedstuff Required'!T36</f>
        <v>0</v>
      </c>
      <c r="M34" s="1127"/>
      <c r="N34" s="1129">
        <f>J34*F1_Length_of_Lactation</f>
        <v>0</v>
      </c>
      <c r="O34" s="1127"/>
      <c r="P34" s="1129">
        <f>N34*Defaults!$D$6</f>
        <v>0</v>
      </c>
      <c r="Q34" s="1180"/>
      <c r="R34" s="1228"/>
      <c r="S34" s="1154">
        <f>'Step 9a--Daily DMI Rations'!BC40</f>
        <v>0</v>
      </c>
      <c r="T34" s="1154"/>
      <c r="U34" s="1155">
        <f>IF('Step 7a--Feedstuff Required'!Z36=0,0,S34/'Step 7a--Feedstuff Required'!Z36)</f>
        <v>0</v>
      </c>
      <c r="V34" s="1154"/>
      <c r="W34" s="1156">
        <f>U34*'Step 7a--Feedstuff Required'!AL36</f>
        <v>0</v>
      </c>
      <c r="X34" s="1154"/>
      <c r="Y34" s="1157">
        <f>IF('Step 7a--Feedstuff Required'!AI36=0,0,W34/'Step 7a--Feedstuff Required'!AI36)</f>
        <v>0</v>
      </c>
      <c r="Z34" s="1154"/>
      <c r="AA34" s="1577">
        <f>Y34*'Step 7a--Feedstuff Required'!T36</f>
        <v>0</v>
      </c>
      <c r="AB34" s="1154"/>
      <c r="AC34" s="1156">
        <f>Y34*F2_Length_of_Lactation</f>
        <v>0</v>
      </c>
      <c r="AD34" s="1154"/>
      <c r="AE34" s="1156">
        <f>AC34*Defaults!$D$6</f>
        <v>0</v>
      </c>
      <c r="AF34" s="1186"/>
      <c r="AG34" s="1524"/>
    </row>
    <row r="35" spans="1:33" ht="3.75" customHeight="1">
      <c r="A35" s="1224"/>
      <c r="B35" s="788"/>
      <c r="C35" s="1179"/>
      <c r="D35" s="1127"/>
      <c r="E35" s="1127"/>
      <c r="F35" s="1128"/>
      <c r="G35" s="1127"/>
      <c r="H35" s="1129"/>
      <c r="I35" s="1127"/>
      <c r="J35" s="1130"/>
      <c r="K35" s="1127"/>
      <c r="L35" s="1127"/>
      <c r="M35" s="1127"/>
      <c r="N35" s="1129"/>
      <c r="O35" s="1127"/>
      <c r="P35" s="1129"/>
      <c r="Q35" s="1180"/>
      <c r="R35" s="1228"/>
      <c r="S35" s="1154"/>
      <c r="T35" s="1154"/>
      <c r="U35" s="1155"/>
      <c r="V35" s="1154"/>
      <c r="W35" s="1156"/>
      <c r="X35" s="1154"/>
      <c r="Y35" s="1157"/>
      <c r="Z35" s="1154"/>
      <c r="AA35" s="1154"/>
      <c r="AB35" s="1154"/>
      <c r="AC35" s="1156"/>
      <c r="AD35" s="1154"/>
      <c r="AE35" s="1156"/>
      <c r="AF35" s="1186"/>
      <c r="AG35" s="1524"/>
    </row>
    <row r="36" spans="1:33" ht="14.25">
      <c r="A36" s="3659" t="str">
        <f>IF('Step 7a--Feedstuff Required'!B38="[add grain crop here]"," ",'Step 7a--Feedstuff Required'!B38)</f>
        <v xml:space="preserve"> </v>
      </c>
      <c r="B36" s="788"/>
      <c r="C36" s="1179"/>
      <c r="D36" s="1127">
        <f>'Step 9a--Daily DMI Rations'!AB42</f>
        <v>0</v>
      </c>
      <c r="E36" s="1127"/>
      <c r="F36" s="1128">
        <f>IF('Step 7a--Feedstuff Required'!E38=0,0,D36/'Step 7a--Feedstuff Required'!E38)</f>
        <v>0</v>
      </c>
      <c r="G36" s="1127"/>
      <c r="H36" s="1129">
        <f>F36*'Step 7a--Feedstuff Required'!Q38</f>
        <v>0</v>
      </c>
      <c r="I36" s="1127"/>
      <c r="J36" s="1130">
        <f>IF('Step 7a--Feedstuff Required'!N38=0,0,H36/'Step 7a--Feedstuff Required'!N38)</f>
        <v>0</v>
      </c>
      <c r="K36" s="1127"/>
      <c r="L36" s="1576">
        <f>J36*'Step 7a--Feedstuff Required'!T38</f>
        <v>0</v>
      </c>
      <c r="M36" s="1127"/>
      <c r="N36" s="1129">
        <f>J36*F1_Length_of_Lactation</f>
        <v>0</v>
      </c>
      <c r="O36" s="1127"/>
      <c r="P36" s="1129">
        <f>N36*Defaults!$D$6</f>
        <v>0</v>
      </c>
      <c r="Q36" s="1180"/>
      <c r="R36" s="1228"/>
      <c r="S36" s="1154">
        <f>'Step 9a--Daily DMI Rations'!BC42</f>
        <v>0</v>
      </c>
      <c r="T36" s="1154"/>
      <c r="U36" s="1155">
        <f>IF('Step 7a--Feedstuff Required'!Z38=0,0,S36/'Step 7a--Feedstuff Required'!Z38)</f>
        <v>0</v>
      </c>
      <c r="V36" s="1154"/>
      <c r="W36" s="1156">
        <f>U36*'Step 7a--Feedstuff Required'!AL42</f>
        <v>0</v>
      </c>
      <c r="X36" s="1154"/>
      <c r="Y36" s="1157">
        <f>IF('Step 7a--Feedstuff Required'!AI38=0,0,W36/'Step 7a--Feedstuff Required'!AI38)</f>
        <v>0</v>
      </c>
      <c r="Z36" s="1154"/>
      <c r="AA36" s="1577">
        <f>Y36*'Step 7a--Feedstuff Required'!T38</f>
        <v>0</v>
      </c>
      <c r="AB36" s="1154"/>
      <c r="AC36" s="1156">
        <f>Y36*F2_Length_of_Lactation</f>
        <v>0</v>
      </c>
      <c r="AD36" s="1154"/>
      <c r="AE36" s="1156">
        <f>AC36*Defaults!$D$6</f>
        <v>0</v>
      </c>
      <c r="AF36" s="1186"/>
      <c r="AG36" s="1524"/>
    </row>
    <row r="37" spans="1:33" ht="3.75" customHeight="1">
      <c r="A37" s="3659"/>
      <c r="B37" s="788"/>
      <c r="C37" s="1179"/>
      <c r="D37" s="1127"/>
      <c r="E37" s="1127"/>
      <c r="F37" s="1128"/>
      <c r="G37" s="1127"/>
      <c r="H37" s="1129"/>
      <c r="I37" s="1127"/>
      <c r="J37" s="1130"/>
      <c r="K37" s="1127"/>
      <c r="L37" s="1127"/>
      <c r="M37" s="1127"/>
      <c r="N37" s="1129"/>
      <c r="O37" s="1127"/>
      <c r="P37" s="1129"/>
      <c r="Q37" s="1180"/>
      <c r="R37" s="1228"/>
      <c r="S37" s="1154"/>
      <c r="T37" s="1154"/>
      <c r="U37" s="1155"/>
      <c r="V37" s="1154"/>
      <c r="W37" s="1156"/>
      <c r="X37" s="1154"/>
      <c r="Y37" s="1157"/>
      <c r="Z37" s="1154"/>
      <c r="AA37" s="1154"/>
      <c r="AB37" s="1154"/>
      <c r="AC37" s="1156"/>
      <c r="AD37" s="1154"/>
      <c r="AE37" s="1156"/>
      <c r="AF37" s="1186"/>
      <c r="AG37" s="1524"/>
    </row>
    <row r="38" spans="1:33" ht="14.25">
      <c r="A38" s="3659" t="str">
        <f>IF('Step 7a--Feedstuff Required'!B40="[add grain crop here]"," ",'Step 7a--Feedstuff Required'!B40)</f>
        <v xml:space="preserve"> </v>
      </c>
      <c r="B38" s="788"/>
      <c r="C38" s="1179"/>
      <c r="D38" s="1127">
        <f>'Step 9a--Daily DMI Rations'!AB44</f>
        <v>0</v>
      </c>
      <c r="E38" s="1127"/>
      <c r="F38" s="1128">
        <f>IF('Step 7a--Feedstuff Required'!E40=0,0,D38/'Step 7a--Feedstuff Required'!E40)</f>
        <v>0</v>
      </c>
      <c r="G38" s="1127"/>
      <c r="H38" s="1129">
        <f>F38*'Step 7a--Feedstuff Required'!Q40</f>
        <v>0</v>
      </c>
      <c r="I38" s="1127"/>
      <c r="J38" s="1130">
        <f>IF('Step 7a--Feedstuff Required'!N40=0,0,H38/'Step 7a--Feedstuff Required'!N40)</f>
        <v>0</v>
      </c>
      <c r="K38" s="1127"/>
      <c r="L38" s="1576">
        <f>J38*'Step 7a--Feedstuff Required'!T40</f>
        <v>0</v>
      </c>
      <c r="M38" s="1127"/>
      <c r="N38" s="1129">
        <f>J38*F1_Length_of_Lactation</f>
        <v>0</v>
      </c>
      <c r="O38" s="1127"/>
      <c r="P38" s="1129">
        <f>N38*Defaults!$D$6</f>
        <v>0</v>
      </c>
      <c r="Q38" s="1180"/>
      <c r="R38" s="1228"/>
      <c r="S38" s="1154">
        <f>'Step 9a--Daily DMI Rations'!BC44</f>
        <v>0</v>
      </c>
      <c r="T38" s="1154"/>
      <c r="U38" s="1155">
        <f>IF('Step 7a--Feedstuff Required'!Z40=0,0,S38/'Step 7a--Feedstuff Required'!Z40)</f>
        <v>0</v>
      </c>
      <c r="V38" s="1154"/>
      <c r="W38" s="1156">
        <f>U38*'Step 7a--Feedstuff Required'!AL46</f>
        <v>0</v>
      </c>
      <c r="X38" s="1154"/>
      <c r="Y38" s="1157">
        <f>IF('Step 7a--Feedstuff Required'!AI40=0,0,W38/'Step 7a--Feedstuff Required'!AI40)</f>
        <v>0</v>
      </c>
      <c r="Z38" s="1154"/>
      <c r="AA38" s="1577">
        <f>Y38*'Step 7a--Feedstuff Required'!T40</f>
        <v>0</v>
      </c>
      <c r="AB38" s="1154"/>
      <c r="AC38" s="1156">
        <f>Y38*F2_Length_of_Lactation</f>
        <v>0</v>
      </c>
      <c r="AD38" s="1154"/>
      <c r="AE38" s="1156">
        <f>AC38*Defaults!$D$6</f>
        <v>0</v>
      </c>
      <c r="AF38" s="1186"/>
      <c r="AG38" s="1524"/>
    </row>
    <row r="39" spans="1:33" ht="3.75" customHeight="1">
      <c r="A39" s="3659"/>
      <c r="B39" s="788"/>
      <c r="C39" s="1179"/>
      <c r="D39" s="1127"/>
      <c r="E39" s="1127"/>
      <c r="F39" s="1128"/>
      <c r="G39" s="1127"/>
      <c r="H39" s="1129"/>
      <c r="I39" s="1127"/>
      <c r="J39" s="1130">
        <f>IF('Step 7a--Feedstuff Required'!N41=0,0,H39/'Step 7a--Feedstuff Required'!N41)</f>
        <v>0</v>
      </c>
      <c r="K39" s="1127"/>
      <c r="L39" s="1127"/>
      <c r="M39" s="1127"/>
      <c r="N39" s="1129"/>
      <c r="O39" s="1127"/>
      <c r="P39" s="1129"/>
      <c r="Q39" s="1180"/>
      <c r="R39" s="1228"/>
      <c r="S39" s="1154"/>
      <c r="T39" s="1154"/>
      <c r="U39" s="1155"/>
      <c r="V39" s="1154"/>
      <c r="W39" s="1156"/>
      <c r="X39" s="1154"/>
      <c r="Y39" s="1157"/>
      <c r="Z39" s="1154"/>
      <c r="AA39" s="1154"/>
      <c r="AB39" s="1154"/>
      <c r="AC39" s="1156"/>
      <c r="AD39" s="1154"/>
      <c r="AE39" s="1156"/>
      <c r="AF39" s="1186"/>
      <c r="AG39" s="1524"/>
    </row>
    <row r="40" spans="1:33" ht="14.25">
      <c r="A40" s="3659" t="str">
        <f>IF('Step 7a--Feedstuff Required'!B42="[add grain crop here]"," ",'Step 7a--Feedstuff Required'!B42)</f>
        <v xml:space="preserve"> </v>
      </c>
      <c r="B40" s="788"/>
      <c r="C40" s="1179"/>
      <c r="D40" s="1127">
        <f>'Step 9a--Daily DMI Rations'!AB46</f>
        <v>0</v>
      </c>
      <c r="E40" s="1127"/>
      <c r="F40" s="1128">
        <f>IF('Step 7a--Feedstuff Required'!E42=0,0,D40/'Step 7a--Feedstuff Required'!E42)</f>
        <v>0</v>
      </c>
      <c r="G40" s="1127"/>
      <c r="H40" s="1129">
        <f>F40*'Step 7a--Feedstuff Required'!Q42</f>
        <v>0</v>
      </c>
      <c r="I40" s="1127"/>
      <c r="J40" s="1130">
        <f>IF('Step 7a--Feedstuff Required'!N42=0,0,H40/'Step 7a--Feedstuff Required'!N42)</f>
        <v>0</v>
      </c>
      <c r="K40" s="1127"/>
      <c r="L40" s="1576">
        <f>J40*'Step 7a--Feedstuff Required'!T42</f>
        <v>0</v>
      </c>
      <c r="M40" s="1127"/>
      <c r="N40" s="1129">
        <f>J40*F1_Length_of_Lactation</f>
        <v>0</v>
      </c>
      <c r="O40" s="1127"/>
      <c r="P40" s="1129">
        <f>N40*Defaults!$D$6</f>
        <v>0</v>
      </c>
      <c r="Q40" s="1180"/>
      <c r="R40" s="1228"/>
      <c r="S40" s="1154">
        <f>'Step 9a--Daily DMI Rations'!BC46</f>
        <v>0</v>
      </c>
      <c r="T40" s="1154"/>
      <c r="U40" s="1155">
        <f>IF('Step 7a--Feedstuff Required'!Z42=0,0,S40/'Step 7a--Feedstuff Required'!Z42)</f>
        <v>0</v>
      </c>
      <c r="V40" s="1154"/>
      <c r="W40" s="1156">
        <f>U40*'Step 7a--Feedstuff Required'!AL49</f>
        <v>0</v>
      </c>
      <c r="X40" s="1154"/>
      <c r="Y40" s="1157">
        <f>IF('Step 7a--Feedstuff Required'!AI42=0,0,W40/'Step 7a--Feedstuff Required'!AI42)</f>
        <v>0</v>
      </c>
      <c r="Z40" s="1154"/>
      <c r="AA40" s="1577">
        <f>Y40*'Step 7a--Feedstuff Required'!T42</f>
        <v>0</v>
      </c>
      <c r="AB40" s="1154"/>
      <c r="AC40" s="1156">
        <f>Y40*F2_Length_of_Lactation</f>
        <v>0</v>
      </c>
      <c r="AD40" s="1154"/>
      <c r="AE40" s="1156">
        <f>AC40*Defaults!$D$6</f>
        <v>0</v>
      </c>
      <c r="AF40" s="1186"/>
      <c r="AG40" s="1524"/>
    </row>
    <row r="41" spans="1:33" ht="3.75" customHeight="1">
      <c r="A41" s="787"/>
      <c r="B41" s="788"/>
      <c r="C41" s="1179"/>
      <c r="D41" s="1127"/>
      <c r="E41" s="1127"/>
      <c r="F41" s="1128"/>
      <c r="G41" s="1127"/>
      <c r="H41" s="1133"/>
      <c r="I41" s="1127"/>
      <c r="J41" s="1134"/>
      <c r="K41" s="1127"/>
      <c r="L41" s="1127"/>
      <c r="M41" s="1127"/>
      <c r="N41" s="1129"/>
      <c r="O41" s="1127"/>
      <c r="P41" s="1129"/>
      <c r="Q41" s="1180"/>
      <c r="R41" s="1228"/>
      <c r="S41" s="1154"/>
      <c r="T41" s="1154"/>
      <c r="U41" s="1155"/>
      <c r="V41" s="1154"/>
      <c r="W41" s="1156"/>
      <c r="X41" s="1154"/>
      <c r="Y41" s="1157"/>
      <c r="Z41" s="1154"/>
      <c r="AA41" s="1154"/>
      <c r="AB41" s="1154"/>
      <c r="AC41" s="1156"/>
      <c r="AD41" s="1154"/>
      <c r="AE41" s="1156"/>
      <c r="AF41" s="1186"/>
      <c r="AG41" s="1524"/>
    </row>
    <row r="42" spans="1:33" s="20" customFormat="1" ht="15">
      <c r="A42" s="789" t="s">
        <v>5</v>
      </c>
      <c r="B42" s="788"/>
      <c r="C42" s="1179"/>
      <c r="D42" s="1222">
        <f>SUM(D28:D40)</f>
        <v>13.070200000000002</v>
      </c>
      <c r="E42" s="1135"/>
      <c r="F42" s="1222">
        <f>SUM(F28:F40)</f>
        <v>14.852500000000001</v>
      </c>
      <c r="G42" s="1135"/>
      <c r="H42" s="1222">
        <f>SUM(H28:H40)</f>
        <v>16.040700000000001</v>
      </c>
      <c r="I42" s="1135"/>
      <c r="J42" s="1223">
        <f>SUM(J28:J40)</f>
        <v>1.861215538847118E-3</v>
      </c>
      <c r="K42" s="1135"/>
      <c r="L42" s="1223">
        <f>SUM(L28:L40)</f>
        <v>1.861215538847118E-3</v>
      </c>
      <c r="M42" s="1135"/>
      <c r="N42" s="1222">
        <f>SUM(N28:N40)</f>
        <v>0.76312669377247477</v>
      </c>
      <c r="O42" s="1135"/>
      <c r="P42" s="1222">
        <f>SUM(P28:P40)</f>
        <v>0.30882641599665134</v>
      </c>
      <c r="Q42" s="1181"/>
      <c r="R42" s="1228"/>
      <c r="S42" s="1246">
        <f>SUM(S28:S40)</f>
        <v>10.648</v>
      </c>
      <c r="T42" s="1162"/>
      <c r="U42" s="1246">
        <f>SUM(U28:U40)</f>
        <v>12.1</v>
      </c>
      <c r="V42" s="1162"/>
      <c r="W42" s="1246">
        <f>SUM(W28:W40)</f>
        <v>13.068</v>
      </c>
      <c r="X42" s="1162"/>
      <c r="Y42" s="1247">
        <f>SUM(Y28:Y40)</f>
        <v>1.5162907268170425E-3</v>
      </c>
      <c r="Z42" s="1162"/>
      <c r="AA42" s="1247">
        <f>SUM(AA28:AA40)</f>
        <v>1.5162907268170425E-3</v>
      </c>
      <c r="AB42" s="1162"/>
      <c r="AC42" s="1246">
        <f>SUM(AC28:AC40)</f>
        <v>0.59353830359030102</v>
      </c>
      <c r="AD42" s="1162"/>
      <c r="AE42" s="1246">
        <f>SUM(AE28:AE40)</f>
        <v>0.24019642944003189</v>
      </c>
      <c r="AF42" s="1187"/>
      <c r="AG42" s="1525"/>
    </row>
    <row r="43" spans="1:33" ht="14.25">
      <c r="A43" s="787"/>
      <c r="B43" s="788"/>
      <c r="C43" s="1179"/>
      <c r="D43" s="1127"/>
      <c r="E43" s="1127"/>
      <c r="F43" s="1128"/>
      <c r="G43" s="1127"/>
      <c r="H43" s="1129"/>
      <c r="I43" s="1127"/>
      <c r="J43" s="1124"/>
      <c r="K43" s="1127"/>
      <c r="L43" s="1127"/>
      <c r="M43" s="1127"/>
      <c r="N43" s="1129"/>
      <c r="O43" s="1127"/>
      <c r="P43" s="1129"/>
      <c r="Q43" s="1180"/>
      <c r="R43" s="1228"/>
      <c r="S43" s="1154"/>
      <c r="T43" s="1154"/>
      <c r="U43" s="1155"/>
      <c r="V43" s="1154"/>
      <c r="W43" s="1156"/>
      <c r="X43" s="1154"/>
      <c r="Y43" s="1151"/>
      <c r="Z43" s="1154"/>
      <c r="AA43" s="1154"/>
      <c r="AB43" s="1154"/>
      <c r="AC43" s="1156"/>
      <c r="AD43" s="1154"/>
      <c r="AE43" s="1156"/>
      <c r="AF43" s="1186"/>
      <c r="AG43" s="1524"/>
    </row>
    <row r="44" spans="1:33" ht="20.25" customHeight="1">
      <c r="A44" s="4031" t="s">
        <v>967</v>
      </c>
      <c r="B44" s="4834"/>
      <c r="C44" s="4834"/>
      <c r="D44" s="4834"/>
      <c r="E44" s="4834"/>
      <c r="F44" s="4834"/>
      <c r="G44" s="4834"/>
      <c r="H44" s="4834"/>
      <c r="I44" s="4834"/>
      <c r="J44" s="4834"/>
      <c r="K44" s="4834"/>
      <c r="L44" s="4834"/>
      <c r="M44" s="4834"/>
      <c r="N44" s="4834"/>
      <c r="O44" s="4834"/>
      <c r="P44" s="4834"/>
      <c r="Q44" s="4834"/>
      <c r="R44" s="4834"/>
      <c r="S44" s="4834"/>
      <c r="T44" s="4834"/>
      <c r="U44" s="4834"/>
      <c r="V44" s="4834"/>
      <c r="W44" s="4834"/>
      <c r="X44" s="4834"/>
      <c r="Y44" s="4834"/>
      <c r="Z44" s="4834"/>
      <c r="AA44" s="4834"/>
      <c r="AB44" s="4834"/>
      <c r="AC44" s="4834"/>
      <c r="AD44" s="4834"/>
      <c r="AE44" s="4834"/>
      <c r="AF44" s="4835"/>
      <c r="AG44" s="1523"/>
    </row>
    <row r="45" spans="1:33" ht="14.25">
      <c r="A45" s="3658" t="s">
        <v>7</v>
      </c>
      <c r="B45" s="788"/>
      <c r="C45" s="1179"/>
      <c r="D45" s="1127">
        <f>'Step 9a--Daily DMI Rations'!AB52</f>
        <v>7.0378000000000007</v>
      </c>
      <c r="E45" s="1127"/>
      <c r="F45" s="1128">
        <f>IF('Step 7a--Feedstuff Required'!E48=0,0,D45/'Step 7a--Feedstuff Required'!E48)</f>
        <v>7.8197777777777784</v>
      </c>
      <c r="G45" s="1127"/>
      <c r="H45" s="1129">
        <f>F45*'Step 7a--Feedstuff Required'!Q48</f>
        <v>8.601755555555556</v>
      </c>
      <c r="I45" s="1127"/>
      <c r="J45" s="1130">
        <f>IF('Step 7a--Feedstuff Required'!N48=0,0,H45/'Step 7a--Feedstuff Required'!N48)</f>
        <v>3.6202674897119346E-3</v>
      </c>
      <c r="K45" s="1127"/>
      <c r="L45" s="1576">
        <f>J45*'Step 7a--Feedstuff Required'!T48</f>
        <v>3.6202674897119346E-3</v>
      </c>
      <c r="M45" s="1127"/>
      <c r="N45" s="1129">
        <f>J45*F1_Length_of_Lactation</f>
        <v>1.4843647618089106</v>
      </c>
      <c r="O45" s="1127"/>
      <c r="P45" s="1129">
        <f>N45*Defaults!$D$6</f>
        <v>0.60070110659481613</v>
      </c>
      <c r="Q45" s="1180"/>
      <c r="R45" s="1228"/>
      <c r="S45" s="1154">
        <f>'Step 9a--Daily DMI Rations'!BC52</f>
        <v>5.8079999999999998</v>
      </c>
      <c r="T45" s="1154"/>
      <c r="U45" s="1155">
        <f>IF('Step 7a--Feedstuff Required'!Z48=0,0,S45/'Step 7a--Feedstuff Required'!Z48)</f>
        <v>6.4533333333333331</v>
      </c>
      <c r="V45" s="1154"/>
      <c r="W45" s="1156">
        <f>U45*'Step 7a--Feedstuff Required'!AL48</f>
        <v>7.0986666666666673</v>
      </c>
      <c r="X45" s="1154"/>
      <c r="Y45" s="1157">
        <f>IF('Step 7a--Feedstuff Required'!AI48=0,0,W45/'Step 7a--Feedstuff Required'!AI48)</f>
        <v>2.9876543209876546E-3</v>
      </c>
      <c r="Z45" s="1154"/>
      <c r="AA45" s="1577">
        <f>Y45*'Step 7a--Feedstuff Required'!T48</f>
        <v>2.9876543209876546E-3</v>
      </c>
      <c r="AB45" s="1154"/>
      <c r="AC45" s="1156">
        <f>Y45*F2_Length_of_Lactation</f>
        <v>1.169490287074223</v>
      </c>
      <c r="AD45" s="1154"/>
      <c r="AE45" s="1156">
        <f>AC45*Defaults!$D$6</f>
        <v>0.47327592763739623</v>
      </c>
      <c r="AF45" s="1186"/>
      <c r="AG45" s="1524"/>
    </row>
    <row r="46" spans="1:33" ht="3.75" customHeight="1">
      <c r="A46" s="3658"/>
      <c r="B46" s="788"/>
      <c r="C46" s="1179"/>
      <c r="D46" s="1127"/>
      <c r="E46" s="1127"/>
      <c r="F46" s="1128"/>
      <c r="G46" s="1127"/>
      <c r="H46" s="1129"/>
      <c r="I46" s="1127"/>
      <c r="J46" s="1130"/>
      <c r="K46" s="1127"/>
      <c r="L46" s="1127"/>
      <c r="M46" s="1127"/>
      <c r="N46" s="1129"/>
      <c r="O46" s="1127"/>
      <c r="P46" s="1129"/>
      <c r="Q46" s="1180"/>
      <c r="R46" s="1228"/>
      <c r="S46" s="1154"/>
      <c r="T46" s="1154"/>
      <c r="U46" s="1155"/>
      <c r="V46" s="1154"/>
      <c r="W46" s="1156"/>
      <c r="X46" s="1154"/>
      <c r="Y46" s="1157"/>
      <c r="Z46" s="1154"/>
      <c r="AA46" s="1154"/>
      <c r="AB46" s="1154"/>
      <c r="AC46" s="1156"/>
      <c r="AD46" s="1154"/>
      <c r="AE46" s="1156"/>
      <c r="AF46" s="1186"/>
      <c r="AG46" s="1524"/>
    </row>
    <row r="47" spans="1:33" ht="15">
      <c r="A47" s="3658" t="s">
        <v>8</v>
      </c>
      <c r="B47" s="790"/>
      <c r="C47" s="1182"/>
      <c r="D47" s="1127">
        <f>'Step 9a--Daily DMI Rations'!AB54</f>
        <v>0</v>
      </c>
      <c r="E47" s="1127"/>
      <c r="F47" s="1128">
        <f>IF('Step 7a--Feedstuff Required'!E50=0,0,D47/'Step 7a--Feedstuff Required'!E50)</f>
        <v>0</v>
      </c>
      <c r="G47" s="1127"/>
      <c r="H47" s="1129">
        <f>F47*'Step 7a--Feedstuff Required'!Q50</f>
        <v>0</v>
      </c>
      <c r="I47" s="1127"/>
      <c r="J47" s="1130">
        <f>IF('Step 7a--Feedstuff Required'!N50=0,0,H47/'Step 7a--Feedstuff Required'!N50)</f>
        <v>0</v>
      </c>
      <c r="K47" s="1127"/>
      <c r="L47" s="1576">
        <f>J47*'Step 7a--Feedstuff Required'!T50</f>
        <v>0</v>
      </c>
      <c r="M47" s="1127"/>
      <c r="N47" s="1129">
        <f>J47*F1_Length_of_Lactation</f>
        <v>0</v>
      </c>
      <c r="O47" s="1127"/>
      <c r="P47" s="1129">
        <f>N47*Defaults!$D$6</f>
        <v>0</v>
      </c>
      <c r="Q47" s="1180"/>
      <c r="R47" s="1229"/>
      <c r="S47" s="1154">
        <f>'Step 9a--Daily DMI Rations'!BC54</f>
        <v>0</v>
      </c>
      <c r="T47" s="1154"/>
      <c r="U47" s="1155">
        <f>IF('Step 7a--Feedstuff Required'!Z50=0,0,S47/'Step 7a--Feedstuff Required'!Z50)</f>
        <v>0</v>
      </c>
      <c r="V47" s="1154"/>
      <c r="W47" s="1156">
        <f>U47*'Step 7a--Feedstuff Required'!AL50</f>
        <v>0</v>
      </c>
      <c r="X47" s="1154"/>
      <c r="Y47" s="1157">
        <f>IF('Step 7a--Feedstuff Required'!AI50=0,0,W47/'Step 7a--Feedstuff Required'!AI50)</f>
        <v>0</v>
      </c>
      <c r="Z47" s="1154"/>
      <c r="AA47" s="1577">
        <f>Y47*'Step 7a--Feedstuff Required'!T50</f>
        <v>0</v>
      </c>
      <c r="AB47" s="1154"/>
      <c r="AC47" s="1156">
        <f>Y47*F2_Length_of_Lactation</f>
        <v>0</v>
      </c>
      <c r="AD47" s="1154"/>
      <c r="AE47" s="1156">
        <f>AC47*Defaults!$D$6</f>
        <v>0</v>
      </c>
      <c r="AF47" s="1186"/>
      <c r="AG47" s="1524"/>
    </row>
    <row r="48" spans="1:33" ht="3.75" customHeight="1">
      <c r="A48" s="3658"/>
      <c r="B48" s="788"/>
      <c r="C48" s="1179"/>
      <c r="D48" s="1127"/>
      <c r="E48" s="1127"/>
      <c r="F48" s="1128"/>
      <c r="G48" s="1127"/>
      <c r="H48" s="1129"/>
      <c r="I48" s="1127"/>
      <c r="J48" s="1130"/>
      <c r="K48" s="1127"/>
      <c r="L48" s="1127"/>
      <c r="M48" s="1127"/>
      <c r="N48" s="1129"/>
      <c r="O48" s="1127"/>
      <c r="P48" s="1129"/>
      <c r="Q48" s="1180"/>
      <c r="R48" s="1228"/>
      <c r="S48" s="1154"/>
      <c r="T48" s="1154"/>
      <c r="U48" s="1155"/>
      <c r="V48" s="1154"/>
      <c r="W48" s="1156"/>
      <c r="X48" s="1154"/>
      <c r="Y48" s="1157"/>
      <c r="Z48" s="1154"/>
      <c r="AA48" s="1154"/>
      <c r="AB48" s="1154"/>
      <c r="AC48" s="1156"/>
      <c r="AD48" s="1154"/>
      <c r="AE48" s="1156"/>
      <c r="AF48" s="1186"/>
      <c r="AG48" s="1524"/>
    </row>
    <row r="49" spans="1:33" ht="14.25">
      <c r="A49" s="3659" t="str">
        <f>IF('Step 7a--Feedstuff Required'!B52="[add protein source here]"," ",'Step 7a--Feedstuff Required'!B52)</f>
        <v xml:space="preserve"> </v>
      </c>
      <c r="B49" s="788"/>
      <c r="C49" s="1179"/>
      <c r="D49" s="1127">
        <f>'Step 9a--Daily DMI Rations'!AB56</f>
        <v>0</v>
      </c>
      <c r="E49" s="1127"/>
      <c r="F49" s="1128">
        <f>IF('Step 7a--Feedstuff Required'!E52=0,0,D49/'Step 7a--Feedstuff Required'!E52)</f>
        <v>0</v>
      </c>
      <c r="G49" s="1127"/>
      <c r="H49" s="1129">
        <f>F49*'Step 7a--Feedstuff Required'!Q52</f>
        <v>0</v>
      </c>
      <c r="I49" s="1127"/>
      <c r="J49" s="1130">
        <f>IF('Step 7a--Feedstuff Required'!N52=0,0,H49/'Step 7a--Feedstuff Required'!N52)</f>
        <v>0</v>
      </c>
      <c r="K49" s="1127"/>
      <c r="L49" s="1576">
        <f>J49*'Step 7a--Feedstuff Required'!T52</f>
        <v>0</v>
      </c>
      <c r="M49" s="1127"/>
      <c r="N49" s="1129">
        <f>J49*F1_Length_of_Lactation</f>
        <v>0</v>
      </c>
      <c r="O49" s="1127"/>
      <c r="P49" s="1129">
        <f>N49*Defaults!$D$6</f>
        <v>0</v>
      </c>
      <c r="Q49" s="1180"/>
      <c r="R49" s="1228"/>
      <c r="S49" s="1154">
        <f>'Step 9a--Daily DMI Rations'!BC56</f>
        <v>0</v>
      </c>
      <c r="T49" s="1154"/>
      <c r="U49" s="1155">
        <f>IF('Step 7a--Feedstuff Required'!Z52=0,0,S49/'Step 7a--Feedstuff Required'!Z52)</f>
        <v>0</v>
      </c>
      <c r="V49" s="1154"/>
      <c r="W49" s="1156">
        <f>U49*'Step 7a--Feedstuff Required'!AL52</f>
        <v>0</v>
      </c>
      <c r="X49" s="1154"/>
      <c r="Y49" s="1157">
        <f>IF('Step 7a--Feedstuff Required'!AI52=0,0,W49/'Step 7a--Feedstuff Required'!AI52)</f>
        <v>0</v>
      </c>
      <c r="Z49" s="1154"/>
      <c r="AA49" s="1577">
        <f>Y49*'Step 7a--Feedstuff Required'!T52</f>
        <v>0</v>
      </c>
      <c r="AB49" s="1154"/>
      <c r="AC49" s="1156">
        <f>Y49*F2_Length_of_Lactation</f>
        <v>0</v>
      </c>
      <c r="AD49" s="1154"/>
      <c r="AE49" s="1156">
        <f>AC49*Defaults!$D$6</f>
        <v>0</v>
      </c>
      <c r="AF49" s="1186"/>
      <c r="AG49" s="1524"/>
    </row>
    <row r="50" spans="1:33" ht="3.75" customHeight="1">
      <c r="A50" s="3658"/>
      <c r="B50" s="788"/>
      <c r="C50" s="1179"/>
      <c r="D50" s="1127"/>
      <c r="E50" s="1127"/>
      <c r="F50" s="1128"/>
      <c r="G50" s="1127"/>
      <c r="H50" s="1129"/>
      <c r="I50" s="1127"/>
      <c r="J50" s="1130"/>
      <c r="K50" s="1127"/>
      <c r="L50" s="1127"/>
      <c r="M50" s="1127"/>
      <c r="N50" s="1129"/>
      <c r="O50" s="1127"/>
      <c r="P50" s="1129"/>
      <c r="Q50" s="1180"/>
      <c r="R50" s="1228"/>
      <c r="S50" s="1154"/>
      <c r="T50" s="1154"/>
      <c r="U50" s="1155"/>
      <c r="V50" s="1154"/>
      <c r="W50" s="1156"/>
      <c r="X50" s="1154"/>
      <c r="Y50" s="1157"/>
      <c r="Z50" s="1154"/>
      <c r="AA50" s="1154"/>
      <c r="AB50" s="1154"/>
      <c r="AC50" s="1156"/>
      <c r="AD50" s="1154"/>
      <c r="AE50" s="1156"/>
      <c r="AF50" s="1186"/>
      <c r="AG50" s="1524"/>
    </row>
    <row r="51" spans="1:33" ht="14.25">
      <c r="A51" s="3659" t="str">
        <f>IF('Step 7a--Feedstuff Required'!B54="[add protein source here]"," ",'Step 7a--Feedstuff Required'!B54)</f>
        <v xml:space="preserve"> </v>
      </c>
      <c r="B51" s="788"/>
      <c r="C51" s="1179"/>
      <c r="D51" s="1127">
        <f>'Step 9a--Daily DMI Rations'!AB58</f>
        <v>0</v>
      </c>
      <c r="E51" s="1127"/>
      <c r="F51" s="1128">
        <f>IF('Step 7a--Feedstuff Required'!E54=0,0,D51/'Step 7a--Feedstuff Required'!E54)</f>
        <v>0</v>
      </c>
      <c r="G51" s="1127"/>
      <c r="H51" s="1129">
        <f>F51*'Step 7a--Feedstuff Required'!Q54</f>
        <v>0</v>
      </c>
      <c r="I51" s="1127"/>
      <c r="J51" s="1130">
        <f>IF('Step 7a--Feedstuff Required'!N54=0,0,H51/'Step 7a--Feedstuff Required'!N54)</f>
        <v>0</v>
      </c>
      <c r="K51" s="1127"/>
      <c r="L51" s="1576">
        <f>J51*'Step 7a--Feedstuff Required'!T54</f>
        <v>0</v>
      </c>
      <c r="M51" s="1127"/>
      <c r="N51" s="1129">
        <f>J51*F1_Length_of_Lactation</f>
        <v>0</v>
      </c>
      <c r="O51" s="1127"/>
      <c r="P51" s="1129">
        <f>N51*Defaults!$D$6</f>
        <v>0</v>
      </c>
      <c r="Q51" s="1180"/>
      <c r="R51" s="1228"/>
      <c r="S51" s="1154">
        <f>'Step 9a--Daily DMI Rations'!BC58</f>
        <v>0</v>
      </c>
      <c r="T51" s="1154"/>
      <c r="U51" s="1155">
        <f>IF('Step 7a--Feedstuff Required'!Z54=0,0,S51/'Step 7a--Feedstuff Required'!Z54)</f>
        <v>0</v>
      </c>
      <c r="V51" s="1154"/>
      <c r="W51" s="1156">
        <f>U51*'Step 7a--Feedstuff Required'!AL54</f>
        <v>0</v>
      </c>
      <c r="X51" s="1154"/>
      <c r="Y51" s="1157">
        <f>IF('Step 7a--Feedstuff Required'!AI54=0,0,W51/'Step 7a--Feedstuff Required'!AI54)</f>
        <v>0</v>
      </c>
      <c r="Z51" s="1154"/>
      <c r="AA51" s="1577">
        <f>Y51*'Step 7a--Feedstuff Required'!T54</f>
        <v>0</v>
      </c>
      <c r="AB51" s="1154"/>
      <c r="AC51" s="1156">
        <f>Y51*F2_Length_of_Lactation</f>
        <v>0</v>
      </c>
      <c r="AD51" s="1154"/>
      <c r="AE51" s="1156">
        <f>AC51*Defaults!$D$6</f>
        <v>0</v>
      </c>
      <c r="AF51" s="1186"/>
      <c r="AG51" s="1524"/>
    </row>
    <row r="52" spans="1:33" ht="3.75" customHeight="1">
      <c r="A52" s="3658"/>
      <c r="B52" s="788"/>
      <c r="C52" s="1179"/>
      <c r="D52" s="1127"/>
      <c r="E52" s="1127"/>
      <c r="F52" s="1128"/>
      <c r="G52" s="1127"/>
      <c r="H52" s="1129"/>
      <c r="I52" s="1127"/>
      <c r="J52" s="1130"/>
      <c r="K52" s="1127"/>
      <c r="L52" s="1127"/>
      <c r="M52" s="1127"/>
      <c r="N52" s="1129"/>
      <c r="O52" s="1127"/>
      <c r="P52" s="1129"/>
      <c r="Q52" s="1180"/>
      <c r="R52" s="1228"/>
      <c r="S52" s="1154"/>
      <c r="T52" s="1154"/>
      <c r="U52" s="1155"/>
      <c r="V52" s="1154"/>
      <c r="W52" s="1156"/>
      <c r="X52" s="1154"/>
      <c r="Y52" s="1157"/>
      <c r="Z52" s="1154"/>
      <c r="AA52" s="1154"/>
      <c r="AB52" s="1154"/>
      <c r="AC52" s="1156"/>
      <c r="AD52" s="1154"/>
      <c r="AE52" s="1156"/>
      <c r="AF52" s="1186"/>
      <c r="AG52" s="1524"/>
    </row>
    <row r="53" spans="1:33" ht="14.25">
      <c r="A53" s="3659" t="str">
        <f>IF('Step 7a--Feedstuff Required'!B56="[add protein source here]"," ",'Step 7a--Feedstuff Required'!B56)</f>
        <v xml:space="preserve"> </v>
      </c>
      <c r="B53" s="788"/>
      <c r="C53" s="1179"/>
      <c r="D53" s="1127">
        <f>'Step 9a--Daily DMI Rations'!AB60</f>
        <v>0</v>
      </c>
      <c r="E53" s="1127"/>
      <c r="F53" s="1128">
        <f>IF('Step 7a--Feedstuff Required'!E56=0,0,D53/'Step 7a--Feedstuff Required'!E56)</f>
        <v>0</v>
      </c>
      <c r="G53" s="1127"/>
      <c r="H53" s="1129">
        <f>F53*'Step 7a--Feedstuff Required'!Q56</f>
        <v>0</v>
      </c>
      <c r="I53" s="1127"/>
      <c r="J53" s="1130">
        <f>IF('Step 7a--Feedstuff Required'!N56=0,0,H53/'Step 7a--Feedstuff Required'!N56)</f>
        <v>0</v>
      </c>
      <c r="K53" s="1127"/>
      <c r="L53" s="1576">
        <f>J53*'Step 7a--Feedstuff Required'!T56</f>
        <v>0</v>
      </c>
      <c r="M53" s="1127"/>
      <c r="N53" s="1129">
        <f>J53*F1_Length_of_Lactation</f>
        <v>0</v>
      </c>
      <c r="O53" s="1127"/>
      <c r="P53" s="1129">
        <f>N53*Defaults!$D$6</f>
        <v>0</v>
      </c>
      <c r="Q53" s="1180"/>
      <c r="R53" s="1228"/>
      <c r="S53" s="1154">
        <f>'Step 9a--Daily DMI Rations'!BC60</f>
        <v>0</v>
      </c>
      <c r="T53" s="1154"/>
      <c r="U53" s="1155">
        <f>IF('Step 7a--Feedstuff Required'!Z56=0,0,S53/'Step 7a--Feedstuff Required'!Z56)</f>
        <v>0</v>
      </c>
      <c r="V53" s="1154"/>
      <c r="W53" s="1156">
        <f>U53*'Step 7a--Feedstuff Required'!AL56</f>
        <v>0</v>
      </c>
      <c r="X53" s="1154"/>
      <c r="Y53" s="1157">
        <f>IF('Step 7a--Feedstuff Required'!AI56=0,0,W53/'Step 7a--Feedstuff Required'!AI56)</f>
        <v>0</v>
      </c>
      <c r="Z53" s="1154"/>
      <c r="AA53" s="1577">
        <f>Y53*'Step 7a--Feedstuff Required'!T56</f>
        <v>0</v>
      </c>
      <c r="AB53" s="1154"/>
      <c r="AC53" s="1156">
        <f>Y53*F2_Length_of_Lactation</f>
        <v>0</v>
      </c>
      <c r="AD53" s="1154"/>
      <c r="AE53" s="1156">
        <f>AC53*Defaults!$D$6</f>
        <v>0</v>
      </c>
      <c r="AF53" s="1186"/>
      <c r="AG53" s="1524"/>
    </row>
    <row r="54" spans="1:33" ht="3.75" customHeight="1">
      <c r="A54" s="787"/>
      <c r="B54" s="788"/>
      <c r="C54" s="1179"/>
      <c r="D54" s="1127"/>
      <c r="E54" s="1127"/>
      <c r="F54" s="1128"/>
      <c r="G54" s="1127"/>
      <c r="H54" s="1133"/>
      <c r="I54" s="1127"/>
      <c r="J54" s="1130"/>
      <c r="K54" s="1127"/>
      <c r="L54" s="1127"/>
      <c r="M54" s="1127"/>
      <c r="N54" s="1129"/>
      <c r="O54" s="1127"/>
      <c r="P54" s="1129"/>
      <c r="Q54" s="1180"/>
      <c r="R54" s="1228"/>
      <c r="S54" s="1154"/>
      <c r="T54" s="1154"/>
      <c r="U54" s="1155"/>
      <c r="V54" s="1154"/>
      <c r="W54" s="1156"/>
      <c r="X54" s="1154"/>
      <c r="Y54" s="1157"/>
      <c r="Z54" s="1154"/>
      <c r="AA54" s="1154"/>
      <c r="AB54" s="1154"/>
      <c r="AC54" s="1156"/>
      <c r="AD54" s="1154"/>
      <c r="AE54" s="1156"/>
      <c r="AF54" s="1186"/>
      <c r="AG54" s="1524"/>
    </row>
    <row r="55" spans="1:33" s="20" customFormat="1" ht="15">
      <c r="A55" s="791" t="s">
        <v>9</v>
      </c>
      <c r="B55" s="786"/>
      <c r="C55" s="1177"/>
      <c r="D55" s="1222">
        <f>SUM(D45:D49)</f>
        <v>7.0378000000000007</v>
      </c>
      <c r="E55" s="1136"/>
      <c r="F55" s="1222">
        <f>SUM(F45:F49)</f>
        <v>7.8197777777777784</v>
      </c>
      <c r="G55" s="1136"/>
      <c r="H55" s="1222">
        <f>SUM(H45:H49)</f>
        <v>8.601755555555556</v>
      </c>
      <c r="I55" s="1136"/>
      <c r="J55" s="1223">
        <f>SUM(J45:J49)</f>
        <v>3.6202674897119346E-3</v>
      </c>
      <c r="K55" s="1136"/>
      <c r="L55" s="1223">
        <f>SUM(L45:L49)</f>
        <v>3.6202674897119346E-3</v>
      </c>
      <c r="M55" s="1136"/>
      <c r="N55" s="1222">
        <f>SUM(N45:N49)</f>
        <v>1.4843647618089106</v>
      </c>
      <c r="O55" s="1136"/>
      <c r="P55" s="1222">
        <f>N55*Defaults!$D$6</f>
        <v>0.60070110659481613</v>
      </c>
      <c r="Q55" s="1181"/>
      <c r="R55" s="1230"/>
      <c r="S55" s="1246">
        <f>SUM(S45:S53)</f>
        <v>5.8079999999999998</v>
      </c>
      <c r="T55" s="1163"/>
      <c r="U55" s="1246">
        <f>SUM(U45:U53)</f>
        <v>6.4533333333333331</v>
      </c>
      <c r="V55" s="1163"/>
      <c r="W55" s="1246">
        <f>SUM(W45:W53)</f>
        <v>7.0986666666666673</v>
      </c>
      <c r="X55" s="1163"/>
      <c r="Y55" s="1247">
        <f>SUM(Y45:Y53)</f>
        <v>2.9876543209876546E-3</v>
      </c>
      <c r="Z55" s="1163"/>
      <c r="AA55" s="1247">
        <f>SUM(AA45:AA49)</f>
        <v>2.9876543209876546E-3</v>
      </c>
      <c r="AB55" s="1163"/>
      <c r="AC55" s="1246">
        <f>SUM(AC45:AC53)</f>
        <v>1.169490287074223</v>
      </c>
      <c r="AD55" s="1163"/>
      <c r="AE55" s="1246">
        <f>SUM(AE45:AE53)</f>
        <v>0.47327592763739623</v>
      </c>
      <c r="AF55" s="1187"/>
      <c r="AG55" s="1525"/>
    </row>
    <row r="56" spans="1:33" ht="14.25">
      <c r="A56" s="792"/>
      <c r="B56" s="788"/>
      <c r="C56" s="1179"/>
      <c r="D56" s="1122"/>
      <c r="E56" s="1122"/>
      <c r="F56" s="1141"/>
      <c r="G56" s="1122"/>
      <c r="H56" s="1129"/>
      <c r="I56" s="1122"/>
      <c r="J56" s="1124"/>
      <c r="K56" s="1122"/>
      <c r="L56" s="1122"/>
      <c r="M56" s="1122"/>
      <c r="N56" s="1129"/>
      <c r="O56" s="1122"/>
      <c r="P56" s="1132"/>
      <c r="Q56" s="1180"/>
      <c r="R56" s="1228"/>
      <c r="S56" s="1149"/>
      <c r="T56" s="1149"/>
      <c r="U56" s="1168"/>
      <c r="V56" s="1149"/>
      <c r="W56" s="1156"/>
      <c r="X56" s="1149"/>
      <c r="Y56" s="1151"/>
      <c r="Z56" s="1149"/>
      <c r="AA56" s="1149"/>
      <c r="AB56" s="1149"/>
      <c r="AC56" s="1156"/>
      <c r="AD56" s="1149"/>
      <c r="AE56" s="1159"/>
      <c r="AF56" s="1186"/>
      <c r="AG56" s="1524"/>
    </row>
    <row r="57" spans="1:33" ht="5.25" customHeight="1">
      <c r="A57" s="1236"/>
      <c r="B57" s="1237"/>
      <c r="C57" s="1238"/>
      <c r="D57" s="1239"/>
      <c r="E57" s="1239"/>
      <c r="F57" s="1240"/>
      <c r="G57" s="1239"/>
      <c r="H57" s="1241"/>
      <c r="I57" s="1239"/>
      <c r="J57" s="1241"/>
      <c r="K57" s="1239"/>
      <c r="L57" s="1239"/>
      <c r="M57" s="1239"/>
      <c r="N57" s="1241"/>
      <c r="O57" s="1239"/>
      <c r="P57" s="1125"/>
      <c r="Q57" s="1178"/>
      <c r="R57" s="1245"/>
      <c r="S57" s="1242"/>
      <c r="T57" s="1242"/>
      <c r="U57" s="1243"/>
      <c r="V57" s="1242"/>
      <c r="W57" s="1244"/>
      <c r="X57" s="1242"/>
      <c r="Y57" s="1244"/>
      <c r="Z57" s="1242"/>
      <c r="AA57" s="1242"/>
      <c r="AB57" s="1242"/>
      <c r="AC57" s="1244"/>
      <c r="AD57" s="1242"/>
      <c r="AE57" s="1152"/>
      <c r="AF57" s="1185"/>
      <c r="AG57" s="1524"/>
    </row>
    <row r="58" spans="1:33" s="20" customFormat="1" ht="15">
      <c r="A58" s="789" t="s">
        <v>295</v>
      </c>
      <c r="B58" s="793"/>
      <c r="C58" s="1227"/>
      <c r="D58" s="1137">
        <f>D60*Defaults!$D$9</f>
        <v>31.834054087718027</v>
      </c>
      <c r="E58" s="1143" t="s">
        <v>165</v>
      </c>
      <c r="F58" s="1144"/>
      <c r="G58" s="1145"/>
      <c r="H58" s="1137">
        <f>H60*Defaults!$D$9</f>
        <v>64.711969975982171</v>
      </c>
      <c r="I58" s="1143" t="s">
        <v>165</v>
      </c>
      <c r="J58" s="1142"/>
      <c r="K58" s="1145"/>
      <c r="L58" s="1145"/>
      <c r="M58" s="1145"/>
      <c r="N58" s="1142"/>
      <c r="O58" s="1145"/>
      <c r="P58" s="1139"/>
      <c r="Q58" s="1181"/>
      <c r="R58" s="1231"/>
      <c r="S58" s="1232">
        <f>S60*Defaults!$D$9</f>
        <v>29.846759362976126</v>
      </c>
      <c r="T58" s="1170" t="s">
        <v>165</v>
      </c>
      <c r="U58" s="1171"/>
      <c r="V58" s="1172"/>
      <c r="W58" s="1164">
        <f>W60*Defaults!$D$9</f>
        <v>60.991848916225962</v>
      </c>
      <c r="X58" s="1170" t="s">
        <v>165</v>
      </c>
      <c r="Y58" s="1169"/>
      <c r="Z58" s="1172"/>
      <c r="AA58" s="1172"/>
      <c r="AB58" s="1172"/>
      <c r="AC58" s="1169"/>
      <c r="AD58" s="1172"/>
      <c r="AE58" s="1166"/>
      <c r="AF58" s="1187"/>
      <c r="AG58" s="1525"/>
    </row>
    <row r="59" spans="1:33" s="20" customFormat="1" ht="3" customHeight="1">
      <c r="A59" s="789"/>
      <c r="B59" s="793"/>
      <c r="C59" s="1227"/>
      <c r="D59" s="1137"/>
      <c r="E59" s="1143"/>
      <c r="F59" s="1144"/>
      <c r="G59" s="1145"/>
      <c r="H59" s="1137"/>
      <c r="I59" s="1143"/>
      <c r="J59" s="1142"/>
      <c r="K59" s="1145"/>
      <c r="L59" s="1145"/>
      <c r="M59" s="1145"/>
      <c r="N59" s="1142"/>
      <c r="O59" s="1145"/>
      <c r="P59" s="1139"/>
      <c r="Q59" s="1181"/>
      <c r="R59" s="1231"/>
      <c r="S59" s="1232"/>
      <c r="T59" s="1170"/>
      <c r="U59" s="1171"/>
      <c r="V59" s="1172"/>
      <c r="W59" s="1164"/>
      <c r="X59" s="1170"/>
      <c r="Y59" s="1169"/>
      <c r="Z59" s="1172"/>
      <c r="AA59" s="1172"/>
      <c r="AB59" s="1172"/>
      <c r="AC59" s="1169"/>
      <c r="AD59" s="1172"/>
      <c r="AE59" s="1166"/>
      <c r="AF59" s="1187"/>
      <c r="AG59" s="1525"/>
    </row>
    <row r="60" spans="1:33" s="20" customFormat="1" ht="15">
      <c r="A60" s="789" t="s">
        <v>296</v>
      </c>
      <c r="B60" s="793"/>
      <c r="C60" s="1227"/>
      <c r="D60" s="1137">
        <f>D25+D42+D55</f>
        <v>70.182087825027182</v>
      </c>
      <c r="E60" s="1146" t="s">
        <v>215</v>
      </c>
      <c r="F60" s="1144"/>
      <c r="G60" s="1145"/>
      <c r="H60" s="1137">
        <f>H25+H42+H55</f>
        <v>142.66549738435975</v>
      </c>
      <c r="I60" s="1146" t="s">
        <v>215</v>
      </c>
      <c r="J60" s="1142"/>
      <c r="K60" s="1145"/>
      <c r="L60" s="1145"/>
      <c r="M60" s="1145"/>
      <c r="N60" s="1142"/>
      <c r="O60" s="1145"/>
      <c r="P60" s="1139"/>
      <c r="Q60" s="1181"/>
      <c r="R60" s="1231"/>
      <c r="S60" s="1235">
        <f>S25+S42+S55</f>
        <v>65.800852167082525</v>
      </c>
      <c r="T60" s="1173" t="s">
        <v>215</v>
      </c>
      <c r="U60" s="1171"/>
      <c r="V60" s="1172"/>
      <c r="W60" s="1164">
        <f>W25+W42+W55</f>
        <v>134.46403293323684</v>
      </c>
      <c r="X60" s="1173" t="s">
        <v>215</v>
      </c>
      <c r="Y60" s="1169"/>
      <c r="Z60" s="1172"/>
      <c r="AA60" s="1172"/>
      <c r="AB60" s="1172"/>
      <c r="AC60" s="1169"/>
      <c r="AD60" s="1172"/>
      <c r="AE60" s="1166"/>
      <c r="AF60" s="1187"/>
      <c r="AG60" s="1525"/>
    </row>
    <row r="61" spans="1:33" s="20" customFormat="1" ht="3" customHeight="1">
      <c r="A61" s="996"/>
      <c r="B61" s="793"/>
      <c r="C61" s="1227"/>
      <c r="D61" s="1233"/>
      <c r="E61" s="1143"/>
      <c r="F61" s="1144"/>
      <c r="G61" s="1145"/>
      <c r="H61" s="1137"/>
      <c r="I61" s="1145"/>
      <c r="J61" s="1142"/>
      <c r="K61" s="1145"/>
      <c r="L61" s="1145"/>
      <c r="M61" s="1145"/>
      <c r="N61" s="1142"/>
      <c r="O61" s="1145"/>
      <c r="P61" s="1139"/>
      <c r="Q61" s="1181"/>
      <c r="R61" s="1231"/>
      <c r="S61" s="1232"/>
      <c r="T61" s="1170"/>
      <c r="U61" s="1171"/>
      <c r="V61" s="1172"/>
      <c r="W61" s="1164"/>
      <c r="X61" s="1170"/>
      <c r="Y61" s="1169"/>
      <c r="Z61" s="1172"/>
      <c r="AA61" s="1172"/>
      <c r="AB61" s="1172"/>
      <c r="AC61" s="1169"/>
      <c r="AD61" s="1172"/>
      <c r="AE61" s="1166"/>
      <c r="AF61" s="1187"/>
      <c r="AG61" s="1525"/>
    </row>
    <row r="62" spans="1:33" s="20" customFormat="1" ht="30">
      <c r="A62" s="791" t="s">
        <v>297</v>
      </c>
      <c r="B62" s="793"/>
      <c r="C62" s="1227"/>
      <c r="D62" s="1234"/>
      <c r="E62" s="1146"/>
      <c r="F62" s="1147"/>
      <c r="G62" s="1147"/>
      <c r="H62" s="1424"/>
      <c r="I62" s="1146"/>
      <c r="J62" s="1138">
        <f>J25+J42+J55</f>
        <v>1.3308323826984547E-2</v>
      </c>
      <c r="K62" s="1592"/>
      <c r="L62" s="1138">
        <f>L25+L42+L55</f>
        <v>9.2975540066543745E-3</v>
      </c>
      <c r="M62" s="1147"/>
      <c r="N62" s="1137">
        <f>N25+N42+N55</f>
        <v>5.4566152870349445</v>
      </c>
      <c r="O62" s="1143" t="s">
        <v>109</v>
      </c>
      <c r="P62" s="1137">
        <f>P25+P42+P55</f>
        <v>2.2082138605807509</v>
      </c>
      <c r="Q62" s="1221" t="s">
        <v>285</v>
      </c>
      <c r="R62" s="1231"/>
      <c r="S62" s="1425"/>
      <c r="T62" s="1425"/>
      <c r="U62" s="1174"/>
      <c r="V62" s="1174"/>
      <c r="W62" s="1425"/>
      <c r="X62" s="1425"/>
      <c r="Y62" s="1165">
        <f>Y25+Y42+Y55</f>
        <v>1.2441226227503665E-2</v>
      </c>
      <c r="Z62" s="1593"/>
      <c r="AA62" s="1165">
        <f>AA25+AA42+AA55</f>
        <v>8.1834415322657242E-3</v>
      </c>
      <c r="AB62" s="1174"/>
      <c r="AC62" s="1164">
        <f>AC25+AC42+AC55</f>
        <v>4.8700055860373865</v>
      </c>
      <c r="AD62" s="1150" t="s">
        <v>109</v>
      </c>
      <c r="AE62" s="1164">
        <f>AE25+AE42+AE55</f>
        <v>1.9708213371291259</v>
      </c>
      <c r="AF62" s="1226" t="s">
        <v>285</v>
      </c>
      <c r="AG62" s="1527"/>
    </row>
    <row r="63" spans="1:33" ht="3.75" customHeight="1">
      <c r="A63" s="787"/>
      <c r="B63" s="788"/>
      <c r="C63" s="1179"/>
      <c r="D63" s="1127"/>
      <c r="E63" s="1127"/>
      <c r="F63" s="1128"/>
      <c r="G63" s="1127"/>
      <c r="H63" s="1133"/>
      <c r="I63" s="1127"/>
      <c r="J63" s="1134"/>
      <c r="K63" s="1127"/>
      <c r="L63" s="1127"/>
      <c r="M63" s="1127"/>
      <c r="N63" s="1129"/>
      <c r="O63" s="1127"/>
      <c r="P63" s="1132"/>
      <c r="Q63" s="1180"/>
      <c r="R63" s="1251"/>
      <c r="S63" s="1252"/>
      <c r="T63" s="1252"/>
      <c r="U63" s="1253"/>
      <c r="V63" s="1252"/>
      <c r="W63" s="98"/>
      <c r="X63" s="1252"/>
      <c r="Y63" s="99"/>
      <c r="Z63" s="1252"/>
      <c r="AA63" s="1154"/>
      <c r="AB63" s="1154"/>
      <c r="AC63" s="97"/>
      <c r="AD63" s="1252"/>
      <c r="AE63" s="96"/>
      <c r="AF63" s="383"/>
      <c r="AG63" s="103"/>
    </row>
    <row r="64" spans="1:33" ht="30" customHeight="1">
      <c r="A64" s="4852" t="s">
        <v>20</v>
      </c>
      <c r="B64" s="4853"/>
      <c r="C64" s="4853"/>
      <c r="D64" s="4853"/>
      <c r="E64" s="4853"/>
      <c r="F64" s="4853"/>
      <c r="G64" s="4853"/>
      <c r="H64" s="4853"/>
      <c r="I64" s="4853"/>
      <c r="J64" s="4853"/>
      <c r="K64" s="4853"/>
      <c r="L64" s="4853"/>
      <c r="M64" s="4853"/>
      <c r="N64" s="4853"/>
      <c r="O64" s="4853"/>
      <c r="P64" s="4853"/>
      <c r="Q64" s="4853"/>
      <c r="R64" s="4853"/>
      <c r="S64" s="4853"/>
      <c r="T64" s="4853"/>
      <c r="U64" s="4853"/>
      <c r="V64" s="4853"/>
      <c r="W64" s="4853"/>
      <c r="X64" s="4853"/>
      <c r="Y64" s="4853"/>
      <c r="Z64" s="4853"/>
      <c r="AA64" s="4853"/>
      <c r="AB64" s="4853"/>
      <c r="AC64" s="4853"/>
      <c r="AD64" s="4853"/>
      <c r="AE64" s="4853"/>
      <c r="AF64" s="4854"/>
      <c r="AG64" s="1528"/>
    </row>
    <row r="65" spans="1:33">
      <c r="A65" s="4847" t="s">
        <v>610</v>
      </c>
      <c r="B65" s="4848"/>
      <c r="C65" s="4848"/>
      <c r="D65" s="4848"/>
      <c r="E65" s="4848"/>
      <c r="F65" s="4848"/>
      <c r="G65" s="4848"/>
      <c r="H65" s="4848"/>
      <c r="I65" s="4848"/>
      <c r="J65" s="4848"/>
      <c r="K65" s="4848"/>
      <c r="L65" s="4848"/>
      <c r="M65" s="4848"/>
      <c r="N65" s="4848"/>
      <c r="O65" s="4848"/>
      <c r="P65" s="4848"/>
      <c r="Q65" s="4848"/>
      <c r="R65" s="4848"/>
      <c r="S65" s="4848"/>
      <c r="T65" s="4848"/>
      <c r="U65" s="4848"/>
      <c r="V65" s="4848"/>
      <c r="W65" s="4848"/>
      <c r="X65" s="4848"/>
      <c r="Y65" s="4848"/>
      <c r="Z65" s="4848"/>
      <c r="AA65" s="4848"/>
      <c r="AB65" s="4848"/>
      <c r="AC65" s="4848"/>
      <c r="AD65" s="4848"/>
      <c r="AE65" s="4848"/>
      <c r="AF65" s="4849"/>
      <c r="AG65" s="1529"/>
    </row>
    <row r="66" spans="1:33">
      <c r="A66" s="4847" t="s">
        <v>611</v>
      </c>
      <c r="B66" s="4848"/>
      <c r="C66" s="4848"/>
      <c r="D66" s="4848"/>
      <c r="E66" s="4848"/>
      <c r="F66" s="4848"/>
      <c r="G66" s="4848"/>
      <c r="H66" s="4848"/>
      <c r="I66" s="4848"/>
      <c r="J66" s="4848"/>
      <c r="K66" s="4848"/>
      <c r="L66" s="4848"/>
      <c r="M66" s="4848"/>
      <c r="N66" s="4848"/>
      <c r="O66" s="4848"/>
      <c r="P66" s="4848"/>
      <c r="Q66" s="4848"/>
      <c r="R66" s="4848"/>
      <c r="S66" s="4848"/>
      <c r="T66" s="4848"/>
      <c r="U66" s="4848"/>
      <c r="V66" s="4848"/>
      <c r="W66" s="4848"/>
      <c r="X66" s="4848"/>
      <c r="Y66" s="4848"/>
      <c r="Z66" s="4848"/>
      <c r="AA66" s="4848"/>
      <c r="AB66" s="4848"/>
      <c r="AC66" s="4848"/>
      <c r="AD66" s="4848"/>
      <c r="AE66" s="4848"/>
      <c r="AF66" s="4849"/>
      <c r="AG66" s="1529"/>
    </row>
    <row r="67" spans="1:33" ht="15" customHeight="1">
      <c r="A67" s="4847" t="s">
        <v>612</v>
      </c>
      <c r="B67" s="4848"/>
      <c r="C67" s="4848"/>
      <c r="D67" s="4848"/>
      <c r="E67" s="4848"/>
      <c r="F67" s="4848"/>
      <c r="G67" s="4848"/>
      <c r="H67" s="4848"/>
      <c r="I67" s="4848"/>
      <c r="J67" s="4848"/>
      <c r="K67" s="4848"/>
      <c r="L67" s="4848"/>
      <c r="M67" s="4848"/>
      <c r="N67" s="4848"/>
      <c r="O67" s="4848"/>
      <c r="P67" s="4848"/>
      <c r="Q67" s="4848"/>
      <c r="R67" s="4848"/>
      <c r="S67" s="4848"/>
      <c r="T67" s="4848"/>
      <c r="U67" s="4848"/>
      <c r="V67" s="4848"/>
      <c r="W67" s="4848"/>
      <c r="X67" s="4848"/>
      <c r="Y67" s="4848"/>
      <c r="Z67" s="4848"/>
      <c r="AA67" s="4848"/>
      <c r="AB67" s="4848"/>
      <c r="AC67" s="4848"/>
      <c r="AD67" s="4848"/>
      <c r="AE67" s="4848"/>
      <c r="AF67" s="4849"/>
      <c r="AG67" s="1529"/>
    </row>
    <row r="68" spans="1:33" ht="15" customHeight="1">
      <c r="A68" s="4847" t="s">
        <v>613</v>
      </c>
      <c r="B68" s="4848"/>
      <c r="C68" s="4848"/>
      <c r="D68" s="4848"/>
      <c r="E68" s="4848"/>
      <c r="F68" s="4848"/>
      <c r="G68" s="4848"/>
      <c r="H68" s="4848"/>
      <c r="I68" s="4848"/>
      <c r="J68" s="4848"/>
      <c r="K68" s="4848"/>
      <c r="L68" s="4848"/>
      <c r="M68" s="4848"/>
      <c r="N68" s="4848"/>
      <c r="O68" s="4848"/>
      <c r="P68" s="4848"/>
      <c r="Q68" s="4848"/>
      <c r="R68" s="4848"/>
      <c r="S68" s="4848"/>
      <c r="T68" s="4848"/>
      <c r="U68" s="4848"/>
      <c r="V68" s="4848"/>
      <c r="W68" s="4848"/>
      <c r="X68" s="4848"/>
      <c r="Y68" s="4848"/>
      <c r="Z68" s="4848"/>
      <c r="AA68" s="4848"/>
      <c r="AB68" s="4848"/>
      <c r="AC68" s="4848"/>
      <c r="AD68" s="4848"/>
      <c r="AE68" s="4848"/>
      <c r="AF68" s="4849"/>
      <c r="AG68" s="1529"/>
    </row>
    <row r="69" spans="1:33" ht="15.75" customHeight="1" thickBot="1">
      <c r="A69" s="4844" t="s">
        <v>614</v>
      </c>
      <c r="B69" s="4845"/>
      <c r="C69" s="4845"/>
      <c r="D69" s="4845"/>
      <c r="E69" s="4845"/>
      <c r="F69" s="4845"/>
      <c r="G69" s="4845"/>
      <c r="H69" s="4845"/>
      <c r="I69" s="4845"/>
      <c r="J69" s="4845"/>
      <c r="K69" s="4845"/>
      <c r="L69" s="4845"/>
      <c r="M69" s="4845"/>
      <c r="N69" s="4845"/>
      <c r="O69" s="4845"/>
      <c r="P69" s="4845"/>
      <c r="Q69" s="4845"/>
      <c r="R69" s="4845"/>
      <c r="S69" s="4845"/>
      <c r="T69" s="4845"/>
      <c r="U69" s="4845"/>
      <c r="V69" s="4845"/>
      <c r="W69" s="4845"/>
      <c r="X69" s="4845"/>
      <c r="Y69" s="4845"/>
      <c r="Z69" s="4845"/>
      <c r="AA69" s="4845"/>
      <c r="AB69" s="4845"/>
      <c r="AC69" s="4845"/>
      <c r="AD69" s="4845"/>
      <c r="AE69" s="4845"/>
      <c r="AF69" s="4846"/>
      <c r="AG69" s="1529"/>
    </row>
    <row r="70" spans="1:33">
      <c r="B70" s="102"/>
      <c r="C70" s="102"/>
      <c r="R70" s="102"/>
    </row>
    <row r="71" spans="1:33">
      <c r="B71" s="102"/>
      <c r="C71" s="102"/>
      <c r="R71" s="102"/>
    </row>
    <row r="72" spans="1:33">
      <c r="B72" s="102"/>
      <c r="C72" s="102"/>
      <c r="R72" s="102"/>
    </row>
    <row r="73" spans="1:33">
      <c r="B73" s="102"/>
      <c r="C73" s="102"/>
      <c r="R73" s="102"/>
    </row>
  </sheetData>
  <sheetProtection password="E0BE" sheet="1" objects="1" scenarios="1"/>
  <mergeCells count="30">
    <mergeCell ref="A1:AF1"/>
    <mergeCell ref="F5:G5"/>
    <mergeCell ref="H5:I5"/>
    <mergeCell ref="C5:E5"/>
    <mergeCell ref="A69:AF69"/>
    <mergeCell ref="A65:AF65"/>
    <mergeCell ref="A66:AF66"/>
    <mergeCell ref="A67:AF67"/>
    <mergeCell ref="A68:AF68"/>
    <mergeCell ref="L5:M5"/>
    <mergeCell ref="AA5:AB5"/>
    <mergeCell ref="R3:AF3"/>
    <mergeCell ref="R4:AF4"/>
    <mergeCell ref="R5:T5"/>
    <mergeCell ref="A64:AF64"/>
    <mergeCell ref="A2:AF2"/>
    <mergeCell ref="C3:Q3"/>
    <mergeCell ref="A5:B5"/>
    <mergeCell ref="J5:K5"/>
    <mergeCell ref="N5:O5"/>
    <mergeCell ref="P5:Q5"/>
    <mergeCell ref="A6:AF6"/>
    <mergeCell ref="A27:AF27"/>
    <mergeCell ref="A44:AF44"/>
    <mergeCell ref="AE5:AF5"/>
    <mergeCell ref="C4:Q4"/>
    <mergeCell ref="U5:V5"/>
    <mergeCell ref="W5:X5"/>
    <mergeCell ref="Y5:Z5"/>
    <mergeCell ref="AC5:AD5"/>
  </mergeCells>
  <pageMargins left="0.7" right="0.7" top="0.75" bottom="0.75" header="0.3" footer="0.3"/>
  <pageSetup scale="52" orientation="landscape" r:id="rId1"/>
  <headerFooter>
    <oddFooter>&amp;L&amp;A&amp;C&amp;F&amp;R&amp;D</oddFooter>
  </headerFooter>
</worksheet>
</file>

<file path=xl/worksheets/sheet24.xml><?xml version="1.0" encoding="utf-8"?>
<worksheet xmlns="http://schemas.openxmlformats.org/spreadsheetml/2006/main" xmlns:r="http://schemas.openxmlformats.org/officeDocument/2006/relationships">
  <sheetPr codeName="Sheet35">
    <pageSetUpPr fitToPage="1"/>
  </sheetPr>
  <dimension ref="A1:BE73"/>
  <sheetViews>
    <sheetView zoomScale="75" zoomScaleNormal="75" workbookViewId="0">
      <selection activeCell="Y45" sqref="Y45"/>
    </sheetView>
  </sheetViews>
  <sheetFormatPr defaultRowHeight="12.75"/>
  <cols>
    <col min="1" max="1" width="29.5703125" customWidth="1"/>
    <col min="2" max="3" width="1.28515625" customWidth="1"/>
    <col min="4" max="4" width="10.7109375" style="795" customWidth="1"/>
    <col min="5" max="5" width="3.28515625" style="795" customWidth="1"/>
    <col min="6" max="6" width="10.5703125" style="796" customWidth="1"/>
    <col min="7" max="7" width="3.28515625" style="795" customWidth="1"/>
    <col min="8" max="8" width="10.5703125" customWidth="1"/>
    <col min="9" max="9" width="3.28515625" style="795" customWidth="1"/>
    <col min="10" max="10" width="11.7109375" customWidth="1"/>
    <col min="11" max="11" width="3.28515625" style="795" customWidth="1"/>
    <col min="12" max="12" width="12.7109375" style="795" customWidth="1"/>
    <col min="13" max="13" width="3" style="795" customWidth="1"/>
    <col min="14" max="14" width="9.7109375" customWidth="1"/>
    <col min="15" max="15" width="6" style="795" customWidth="1"/>
    <col min="16" max="16" width="10.28515625" customWidth="1"/>
    <col min="17" max="17" width="4.28515625" customWidth="1"/>
    <col min="18" max="18" width="1.28515625" customWidth="1"/>
    <col min="19" max="19" width="10.7109375" style="795" customWidth="1"/>
    <col min="20" max="20" width="3.28515625" style="795" customWidth="1"/>
    <col min="21" max="21" width="10.5703125" style="796" customWidth="1"/>
    <col min="22" max="22" width="3.28515625" style="795" customWidth="1"/>
    <col min="23" max="23" width="10.5703125" customWidth="1"/>
    <col min="24" max="24" width="3.28515625" style="795" customWidth="1"/>
    <col min="25" max="25" width="11.7109375" customWidth="1"/>
    <col min="26" max="26" width="3.28515625" style="795" customWidth="1"/>
    <col min="27" max="27" width="12.7109375" style="795" customWidth="1"/>
    <col min="28" max="28" width="3" style="795" customWidth="1"/>
    <col min="29" max="29" width="9.7109375" customWidth="1"/>
    <col min="30" max="30" width="6.140625" style="795" customWidth="1"/>
    <col min="31" max="31" width="10.28515625" customWidth="1"/>
    <col min="32" max="32" width="4.28515625" customWidth="1"/>
  </cols>
  <sheetData>
    <row r="1" spans="1:5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3"/>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29.25" customHeight="1">
      <c r="A2" s="4769" t="s">
        <v>983</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1"/>
    </row>
    <row r="3" spans="1:57" ht="21" customHeight="1">
      <c r="A3" s="1183"/>
      <c r="B3" s="1175"/>
      <c r="C3" s="4815" t="str">
        <f>'Chosen Parameters-Part I'!D4</f>
        <v>Scenario 3</v>
      </c>
      <c r="D3" s="4816"/>
      <c r="E3" s="4816"/>
      <c r="F3" s="4816"/>
      <c r="G3" s="4816"/>
      <c r="H3" s="4816"/>
      <c r="I3" s="4816"/>
      <c r="J3" s="4816"/>
      <c r="K3" s="4816"/>
      <c r="L3" s="4816"/>
      <c r="M3" s="4816"/>
      <c r="N3" s="4816"/>
      <c r="O3" s="4816"/>
      <c r="P3" s="4816"/>
      <c r="Q3" s="4817"/>
      <c r="R3" s="4818" t="str">
        <f>'Chosen Parameters-Part I'!E4</f>
        <v>Scenario 4</v>
      </c>
      <c r="S3" s="4819"/>
      <c r="T3" s="4819"/>
      <c r="U3" s="4819"/>
      <c r="V3" s="4819"/>
      <c r="W3" s="4819"/>
      <c r="X3" s="4819"/>
      <c r="Y3" s="4819"/>
      <c r="Z3" s="4819"/>
      <c r="AA3" s="4819"/>
      <c r="AB3" s="4819"/>
      <c r="AC3" s="4819"/>
      <c r="AD3" s="4819"/>
      <c r="AE3" s="4819"/>
      <c r="AF3" s="4820"/>
    </row>
    <row r="4" spans="1:57" ht="23.25" customHeight="1">
      <c r="A4" s="1184"/>
      <c r="B4" s="1176"/>
      <c r="C4" s="3989" t="str">
        <f>'Application Setup'!B6</f>
        <v>Intensive Organic Management, Holsteins</v>
      </c>
      <c r="D4" s="3990"/>
      <c r="E4" s="3990"/>
      <c r="F4" s="3990"/>
      <c r="G4" s="3990"/>
      <c r="H4" s="3990"/>
      <c r="I4" s="3990"/>
      <c r="J4" s="3990"/>
      <c r="K4" s="3990"/>
      <c r="L4" s="3990"/>
      <c r="M4" s="3990"/>
      <c r="N4" s="3990"/>
      <c r="O4" s="3990"/>
      <c r="P4" s="3990"/>
      <c r="Q4" s="3991"/>
      <c r="R4" s="4115" t="str">
        <f>'Application Setup'!B7</f>
        <v>Pasture-Based Organic, Jersey Cows</v>
      </c>
      <c r="S4" s="4116"/>
      <c r="T4" s="4116"/>
      <c r="U4" s="4116"/>
      <c r="V4" s="4116"/>
      <c r="W4" s="4116"/>
      <c r="X4" s="4116"/>
      <c r="Y4" s="4116"/>
      <c r="Z4" s="4116"/>
      <c r="AA4" s="4116"/>
      <c r="AB4" s="4116"/>
      <c r="AC4" s="4116"/>
      <c r="AD4" s="4116"/>
      <c r="AE4" s="4116"/>
      <c r="AF4" s="4117"/>
    </row>
    <row r="5" spans="1:57" ht="90" customHeight="1">
      <c r="A5" s="4838"/>
      <c r="B5" s="4839"/>
      <c r="C5" s="4861" t="s">
        <v>280</v>
      </c>
      <c r="D5" s="4862"/>
      <c r="E5" s="4863"/>
      <c r="F5" s="4864" t="s">
        <v>17</v>
      </c>
      <c r="G5" s="4863"/>
      <c r="H5" s="4649" t="s">
        <v>169</v>
      </c>
      <c r="I5" s="4648"/>
      <c r="J5" s="4649" t="s">
        <v>18</v>
      </c>
      <c r="K5" s="4648"/>
      <c r="L5" s="4649" t="s">
        <v>372</v>
      </c>
      <c r="M5" s="4648"/>
      <c r="N5" s="4649" t="str">
        <f xml:space="preserve"> CONCATENATE("Acres Required per Lactation (",ROUND(F3_Length_of_Lactation,0)," days)")</f>
        <v>Acres Required per Lactation (337 days)</v>
      </c>
      <c r="O5" s="4648"/>
      <c r="P5" s="4649" t="str">
        <f xml:space="preserve"> CONCATENATE("Hectacres Required per Lactation (",ROUND(F3_Length_of_Lactation,0)," days)")</f>
        <v>Hectacres Required per Lactation (337 days)</v>
      </c>
      <c r="Q5" s="4653"/>
      <c r="R5" s="4857" t="s">
        <v>280</v>
      </c>
      <c r="S5" s="4858"/>
      <c r="T5" s="4859"/>
      <c r="U5" s="4860" t="s">
        <v>17</v>
      </c>
      <c r="V5" s="4859"/>
      <c r="W5" s="4657" t="s">
        <v>169</v>
      </c>
      <c r="X5" s="4656"/>
      <c r="Y5" s="4657" t="s">
        <v>18</v>
      </c>
      <c r="Z5" s="4656"/>
      <c r="AA5" s="4657" t="s">
        <v>372</v>
      </c>
      <c r="AB5" s="4656"/>
      <c r="AC5" s="4657" t="str">
        <f xml:space="preserve"> CONCATENATE("Acres Required per Lactation (",ROUND(F4_Length_of_Lactation,0)," days)")</f>
        <v>Acres Required per Lactation (313 days)</v>
      </c>
      <c r="AD5" s="4656"/>
      <c r="AE5" s="4657" t="str">
        <f xml:space="preserve"> CONCATENATE("Hectacres Required per Lactation (",ROUND(F4_Length_of_Lactation,0)," days)")</f>
        <v>Hectacres Required per Lactation (313 days)</v>
      </c>
      <c r="AF5" s="4661"/>
    </row>
    <row r="6" spans="1:57" ht="20.25" customHeight="1">
      <c r="A6" s="4028" t="s">
        <v>889</v>
      </c>
      <c r="B6" s="4855"/>
      <c r="C6" s="4855"/>
      <c r="D6" s="4855"/>
      <c r="E6" s="4855"/>
      <c r="F6" s="4855"/>
      <c r="G6" s="4855"/>
      <c r="H6" s="4855"/>
      <c r="I6" s="4855"/>
      <c r="J6" s="4855"/>
      <c r="K6" s="4855"/>
      <c r="L6" s="4855"/>
      <c r="M6" s="4855"/>
      <c r="N6" s="4855"/>
      <c r="O6" s="4855"/>
      <c r="P6" s="4855"/>
      <c r="Q6" s="4855"/>
      <c r="R6" s="4855"/>
      <c r="S6" s="4855"/>
      <c r="T6" s="4855"/>
      <c r="U6" s="4855"/>
      <c r="V6" s="4855"/>
      <c r="W6" s="4855"/>
      <c r="X6" s="4855"/>
      <c r="Y6" s="4855"/>
      <c r="Z6" s="4855"/>
      <c r="AA6" s="4855"/>
      <c r="AB6" s="4855"/>
      <c r="AC6" s="4855"/>
      <c r="AD6" s="4855"/>
      <c r="AE6" s="4855"/>
      <c r="AF6" s="4856"/>
    </row>
    <row r="7" spans="1:57" ht="14.25">
      <c r="A7" s="3658" t="s">
        <v>34</v>
      </c>
      <c r="B7" s="788"/>
      <c r="C7" s="1254"/>
      <c r="D7" s="1257">
        <f>'Step 9b--Daily DMI Rations'!AB12</f>
        <v>20.139262528675868</v>
      </c>
      <c r="E7" s="1257"/>
      <c r="F7" s="1274">
        <f>IF('Step 7b--Feedstuff Required'!E8=0,0,D7/'Step 7b--Feedstuff Required'!E8)</f>
        <v>22.37695836519541</v>
      </c>
      <c r="G7" s="1257"/>
      <c r="H7" s="1271">
        <f>F7*'Step 7b--Feedstuff Required'!Q8</f>
        <v>24.614654201714952</v>
      </c>
      <c r="I7" s="1257"/>
      <c r="J7" s="1259">
        <f>IF('Step 7b--Feedstuff Required'!N8=0,0,H7/'Step 7b--Feedstuff Required'!N8)</f>
        <v>2.7349615779683279E-3</v>
      </c>
      <c r="K7" s="1257"/>
      <c r="L7" s="1579">
        <f>J7*'Step 7b--Feedstuff Required'!T8</f>
        <v>1.3674807889841639E-3</v>
      </c>
      <c r="M7" s="1257"/>
      <c r="N7" s="1305">
        <f>J7*F3_Length_of_Lactation</f>
        <v>0.92124266450542336</v>
      </c>
      <c r="O7" s="1257"/>
      <c r="P7" s="1271">
        <f>N7*Defaults!$D$6</f>
        <v>0.37281367912316787</v>
      </c>
      <c r="Q7" s="1306"/>
      <c r="R7" s="1278"/>
      <c r="S7" s="1282">
        <f>'Step 9b--Daily DMI Rations'!BC12</f>
        <v>10.857776146031524</v>
      </c>
      <c r="T7" s="1282"/>
      <c r="U7" s="1300">
        <f>IF('Step 7b--Feedstuff Required'!Z8=0,0,S7/'Step 7b--Feedstuff Required'!Z8)</f>
        <v>12.064195717812805</v>
      </c>
      <c r="V7" s="1282"/>
      <c r="W7" s="1297">
        <f>U7*'Step 7b--Feedstuff Required'!AL8</f>
        <v>13.270615289594087</v>
      </c>
      <c r="X7" s="1282"/>
      <c r="Y7" s="1284">
        <f>IF('Step 7b--Feedstuff Required'!AI8=0,0,W7/'Step 7b--Feedstuff Required'!AI8)</f>
        <v>1.4745128099548986E-3</v>
      </c>
      <c r="Z7" s="1282"/>
      <c r="AA7" s="1578">
        <f>Y7*'Step 7b--Feedstuff Required'!AO8</f>
        <v>7.372564049774493E-4</v>
      </c>
      <c r="AB7" s="1282"/>
      <c r="AC7" s="1330">
        <f>Y7*F4_Length_of_Lactation</f>
        <v>0.46081474336710487</v>
      </c>
      <c r="AD7" s="1282"/>
      <c r="AE7" s="1297">
        <f>AC7*Defaults!$D$6</f>
        <v>0.18648511026258208</v>
      </c>
      <c r="AF7" s="1331"/>
    </row>
    <row r="8" spans="1:57" ht="3.75" customHeight="1">
      <c r="A8" s="1224"/>
      <c r="B8" s="788"/>
      <c r="C8" s="1254"/>
      <c r="D8" s="1257"/>
      <c r="E8" s="1257"/>
      <c r="F8" s="1274"/>
      <c r="G8" s="1257"/>
      <c r="H8" s="1271"/>
      <c r="I8" s="1257"/>
      <c r="J8" s="1259"/>
      <c r="K8" s="1257"/>
      <c r="L8" s="1257"/>
      <c r="M8" s="1257"/>
      <c r="N8" s="1305"/>
      <c r="O8" s="1257"/>
      <c r="P8" s="1271"/>
      <c r="Q8" s="1306"/>
      <c r="R8" s="1278"/>
      <c r="S8" s="1282"/>
      <c r="T8" s="1282"/>
      <c r="U8" s="1300"/>
      <c r="V8" s="1282"/>
      <c r="W8" s="1297"/>
      <c r="X8" s="1282"/>
      <c r="Y8" s="1284"/>
      <c r="Z8" s="1282"/>
      <c r="AA8" s="1282"/>
      <c r="AB8" s="1282"/>
      <c r="AC8" s="1330"/>
      <c r="AD8" s="1282"/>
      <c r="AE8" s="1297"/>
      <c r="AF8" s="1331"/>
    </row>
    <row r="9" spans="1:57" ht="14.25">
      <c r="A9" s="3658" t="s">
        <v>29</v>
      </c>
      <c r="B9" s="788"/>
      <c r="C9" s="1254"/>
      <c r="D9" s="1257">
        <f>'Step 9b--Daily DMI Rations'!AB14</f>
        <v>4.2569999999999997</v>
      </c>
      <c r="E9" s="1257"/>
      <c r="F9" s="1274">
        <f>IF('Step 7b--Feedstuff Required'!E10=0,0,D9/'Step 7b--Feedstuff Required'!E10)</f>
        <v>14.19</v>
      </c>
      <c r="G9" s="1257"/>
      <c r="H9" s="1271">
        <f>F9*'Step 7b--Feedstuff Required'!Q10</f>
        <v>16.318499999999997</v>
      </c>
      <c r="I9" s="1257"/>
      <c r="J9" s="1259">
        <f>IF('Step 7b--Feedstuff Required'!N10=0,0,H9/'Step 7b--Feedstuff Required'!N10)</f>
        <v>1.0199062499999998E-3</v>
      </c>
      <c r="K9" s="1257"/>
      <c r="L9" s="1579">
        <f>J9*'Step 7b--Feedstuff Required'!T10</f>
        <v>2.0398124999999997E-4</v>
      </c>
      <c r="M9" s="1257"/>
      <c r="N9" s="1305">
        <f>J9*F3_Length_of_Lactation</f>
        <v>0.34354455245901633</v>
      </c>
      <c r="O9" s="1257"/>
      <c r="P9" s="1271">
        <f>N9*Defaults!$D$6</f>
        <v>0.13902754776747969</v>
      </c>
      <c r="Q9" s="1306"/>
      <c r="R9" s="1278"/>
      <c r="S9" s="1282">
        <f>'Step 9b--Daily DMI Rations'!BC14</f>
        <v>5.9746499999999996</v>
      </c>
      <c r="T9" s="1282"/>
      <c r="U9" s="1300">
        <f>IF('Step 7b--Feedstuff Required'!Z10=0,0,S9/'Step 7b--Feedstuff Required'!Z10)</f>
        <v>19.915499999999998</v>
      </c>
      <c r="V9" s="1282"/>
      <c r="W9" s="1297">
        <f>U9*'Step 7b--Feedstuff Required'!AL10</f>
        <v>22.902824999999996</v>
      </c>
      <c r="X9" s="1282"/>
      <c r="Y9" s="1284">
        <f>IF('Step 7b--Feedstuff Required'!AI10=0,0,W9/'Step 7b--Feedstuff Required'!AI10)</f>
        <v>1.4314265624999997E-3</v>
      </c>
      <c r="Z9" s="1282"/>
      <c r="AA9" s="1578">
        <f>Y9*'Step 7b--Feedstuff Required'!AO10</f>
        <v>2.8628531249999994E-4</v>
      </c>
      <c r="AB9" s="1282"/>
      <c r="AC9" s="1330">
        <f>Y9*F4_Length_of_Lactation</f>
        <v>0.44734942931249988</v>
      </c>
      <c r="AD9" s="1282"/>
      <c r="AE9" s="1297">
        <f>AC9*Defaults!$D$6</f>
        <v>0.18103589099966264</v>
      </c>
      <c r="AF9" s="1331"/>
    </row>
    <row r="10" spans="1:57" ht="3.75" customHeight="1">
      <c r="A10" s="3658"/>
      <c r="B10" s="788"/>
      <c r="C10" s="1254"/>
      <c r="D10" s="1257"/>
      <c r="E10" s="1257"/>
      <c r="F10" s="1274"/>
      <c r="G10" s="1257"/>
      <c r="H10" s="1271"/>
      <c r="I10" s="1257"/>
      <c r="J10" s="1259"/>
      <c r="K10" s="1257"/>
      <c r="L10" s="1257"/>
      <c r="M10" s="1257"/>
      <c r="N10" s="1305"/>
      <c r="O10" s="1257"/>
      <c r="P10" s="1271"/>
      <c r="Q10" s="1306"/>
      <c r="R10" s="1278"/>
      <c r="S10" s="1282"/>
      <c r="T10" s="1282"/>
      <c r="U10" s="1300"/>
      <c r="V10" s="1282"/>
      <c r="W10" s="1297"/>
      <c r="X10" s="1282"/>
      <c r="Y10" s="1284"/>
      <c r="Z10" s="1282"/>
      <c r="AA10" s="1282"/>
      <c r="AB10" s="1282"/>
      <c r="AC10" s="1330"/>
      <c r="AD10" s="1282"/>
      <c r="AE10" s="1297"/>
      <c r="AF10" s="1331"/>
    </row>
    <row r="11" spans="1:57" ht="14.25">
      <c r="A11" s="3658" t="s">
        <v>3</v>
      </c>
      <c r="B11" s="788"/>
      <c r="C11" s="1254"/>
      <c r="D11" s="1257">
        <f>'Step 9b--Daily DMI Rations'!AB16</f>
        <v>3.7839999999999998</v>
      </c>
      <c r="E11" s="1257"/>
      <c r="F11" s="1274">
        <f>IF('Step 7b--Feedstuff Required'!E12=0,0,D11/'Step 7b--Feedstuff Required'!E12)</f>
        <v>11.466666666666665</v>
      </c>
      <c r="G11" s="1257"/>
      <c r="H11" s="1271">
        <f>F11*'Step 7b--Feedstuff Required'!Q12</f>
        <v>13.415999999999997</v>
      </c>
      <c r="I11" s="1257"/>
      <c r="J11" s="1259">
        <f>IF('Step 7b--Feedstuff Required'!N12=0,0,H11/'Step 7b--Feedstuff Required'!N12)</f>
        <v>3.5871657754010686E-4</v>
      </c>
      <c r="K11" s="1257"/>
      <c r="L11" s="1579">
        <f>J11*'Step 7b--Feedstuff Required'!T12</f>
        <v>3.5871657754010686E-4</v>
      </c>
      <c r="M11" s="1257"/>
      <c r="N11" s="1305">
        <f>J11*F3_Length_of_Lactation</f>
        <v>0.12082985675462432</v>
      </c>
      <c r="O11" s="1257"/>
      <c r="P11" s="1271">
        <f>N11*Defaults!$D$6</f>
        <v>4.8898108153513184E-2</v>
      </c>
      <c r="Q11" s="1306"/>
      <c r="R11" s="1278"/>
      <c r="S11" s="1282">
        <f>'Step 9b--Daily DMI Rations'!BC16</f>
        <v>1.9524999999999999</v>
      </c>
      <c r="T11" s="1282"/>
      <c r="U11" s="1300">
        <f>IF('Step 7b--Feedstuff Required'!Z12=0,0,S11/'Step 7b--Feedstuff Required'!Z12)</f>
        <v>5.9166666666666661</v>
      </c>
      <c r="V11" s="1282"/>
      <c r="W11" s="1297">
        <f>U11*'Step 7b--Feedstuff Required'!AL12</f>
        <v>6.9224999999999985</v>
      </c>
      <c r="X11" s="1282"/>
      <c r="Y11" s="1284">
        <f>IF('Step 7b--Feedstuff Required'!AI12=0,0,W11/'Step 7b--Feedstuff Required'!AI12)</f>
        <v>1.8509358288770051E-4</v>
      </c>
      <c r="Z11" s="1282"/>
      <c r="AA11" s="1578">
        <f>Y11*'Step 7b--Feedstuff Required'!AO12</f>
        <v>1.8509358288770051E-4</v>
      </c>
      <c r="AB11" s="1282"/>
      <c r="AC11" s="1330">
        <f>Y11*F4_Length_of_Lactation</f>
        <v>5.7845446524064162E-2</v>
      </c>
      <c r="AD11" s="1282"/>
      <c r="AE11" s="1297">
        <f>AC11*Defaults!$D$6</f>
        <v>2.3409221663367574E-2</v>
      </c>
      <c r="AF11" s="1331"/>
    </row>
    <row r="12" spans="1:57" ht="3.75" customHeight="1">
      <c r="A12" s="3658"/>
      <c r="B12" s="788"/>
      <c r="C12" s="1254"/>
      <c r="D12" s="1257"/>
      <c r="E12" s="1257"/>
      <c r="F12" s="1274"/>
      <c r="G12" s="1257"/>
      <c r="H12" s="1271"/>
      <c r="I12" s="1257"/>
      <c r="J12" s="1259"/>
      <c r="K12" s="1257"/>
      <c r="L12" s="1257"/>
      <c r="M12" s="1257"/>
      <c r="N12" s="1305"/>
      <c r="O12" s="1257"/>
      <c r="P12" s="1271"/>
      <c r="Q12" s="1306"/>
      <c r="R12" s="1278"/>
      <c r="S12" s="1282"/>
      <c r="T12" s="1282"/>
      <c r="U12" s="1300"/>
      <c r="V12" s="1282"/>
      <c r="W12" s="1297"/>
      <c r="X12" s="1282"/>
      <c r="Y12" s="1284"/>
      <c r="Z12" s="1282"/>
      <c r="AA12" s="1282"/>
      <c r="AB12" s="1282"/>
      <c r="AC12" s="1330"/>
      <c r="AD12" s="1282"/>
      <c r="AE12" s="1297"/>
      <c r="AF12" s="1331"/>
    </row>
    <row r="13" spans="1:57" ht="14.25">
      <c r="A13" s="3658" t="s">
        <v>35</v>
      </c>
      <c r="B13" s="788"/>
      <c r="C13" s="1254"/>
      <c r="D13" s="1257">
        <f>'Step 9b--Daily DMI Rations'!AB18</f>
        <v>5.9944787586027601</v>
      </c>
      <c r="E13" s="1257"/>
      <c r="F13" s="1274">
        <f>IF('Step 7b--Feedstuff Required'!E14=0,0,D13/'Step 7b--Feedstuff Required'!E14)</f>
        <v>6.6605319540030665</v>
      </c>
      <c r="G13" s="1257"/>
      <c r="H13" s="1271">
        <f>F13*'Step 7b--Feedstuff Required'!Q14</f>
        <v>7.3265851494033738</v>
      </c>
      <c r="I13" s="1257"/>
      <c r="J13" s="1259">
        <f>IF('Step 7b--Feedstuff Required'!N14=0,0,H13/'Step 7b--Feedstuff Required'!N14)</f>
        <v>1.2210975249005622E-3</v>
      </c>
      <c r="K13" s="1257"/>
      <c r="L13" s="1579">
        <f>J13*'Step 7b--Feedstuff Required'!T14</f>
        <v>2.4421950498011247E-4</v>
      </c>
      <c r="M13" s="1257"/>
      <c r="N13" s="1305">
        <f>J13*F3_Length_of_Lactation</f>
        <v>0.41131368956781689</v>
      </c>
      <c r="O13" s="1257"/>
      <c r="P13" s="1271">
        <f>N13*Defaults!$D$6</f>
        <v>0.16645274452614067</v>
      </c>
      <c r="Q13" s="1306"/>
      <c r="R13" s="1278"/>
      <c r="S13" s="1282">
        <f>'Step 9b--Daily DMI Rations'!BC18</f>
        <v>4.3897828438094573</v>
      </c>
      <c r="T13" s="1282"/>
      <c r="U13" s="1300">
        <f>IF('Step 7b--Feedstuff Required'!Z14=0,0,S13/'Step 7b--Feedstuff Required'!Z14)</f>
        <v>4.8775364931216192</v>
      </c>
      <c r="V13" s="1282"/>
      <c r="W13" s="1297">
        <f>U13*'Step 7b--Feedstuff Required'!AL14</f>
        <v>5.3652901424337811</v>
      </c>
      <c r="X13" s="1282"/>
      <c r="Y13" s="1284">
        <f>IF('Step 7b--Feedstuff Required'!AI14=0,0,W13/'Step 7b--Feedstuff Required'!AI14)</f>
        <v>8.9421502373896356E-4</v>
      </c>
      <c r="Z13" s="1282"/>
      <c r="AA13" s="1578">
        <f>Y13*'Step 7b--Feedstuff Required'!AO14</f>
        <v>1.7884300474779272E-4</v>
      </c>
      <c r="AB13" s="1282"/>
      <c r="AC13" s="1330">
        <f>Y13*F4_Length_of_Lactation</f>
        <v>0.27946007921890087</v>
      </c>
      <c r="AD13" s="1282"/>
      <c r="AE13" s="1297">
        <f>AC13*Defaults!$D$6</f>
        <v>0.11309348157207176</v>
      </c>
      <c r="AF13" s="1331"/>
    </row>
    <row r="14" spans="1:57" ht="3.75" customHeight="1">
      <c r="A14" s="3658"/>
      <c r="B14" s="788"/>
      <c r="C14" s="1254"/>
      <c r="D14" s="1257"/>
      <c r="E14" s="1257"/>
      <c r="F14" s="1274"/>
      <c r="G14" s="1257"/>
      <c r="H14" s="1271"/>
      <c r="I14" s="1257"/>
      <c r="J14" s="1259"/>
      <c r="K14" s="1257"/>
      <c r="L14" s="1257"/>
      <c r="M14" s="1257"/>
      <c r="N14" s="1305"/>
      <c r="O14" s="1257"/>
      <c r="P14" s="1271"/>
      <c r="Q14" s="1306"/>
      <c r="R14" s="1278"/>
      <c r="S14" s="1282"/>
      <c r="T14" s="1282"/>
      <c r="U14" s="1300"/>
      <c r="V14" s="1282"/>
      <c r="W14" s="1297"/>
      <c r="X14" s="1282"/>
      <c r="Y14" s="1284"/>
      <c r="Z14" s="1282"/>
      <c r="AA14" s="1282"/>
      <c r="AB14" s="1282"/>
      <c r="AC14" s="1330"/>
      <c r="AD14" s="1282"/>
      <c r="AE14" s="1297"/>
      <c r="AF14" s="1331"/>
    </row>
    <row r="15" spans="1:57" ht="14.25">
      <c r="A15" s="3658" t="s">
        <v>19</v>
      </c>
      <c r="B15" s="788"/>
      <c r="C15" s="1254"/>
      <c r="D15" s="1257">
        <f>'Step 9b--Daily DMI Rations'!AB20</f>
        <v>15.509131264337933</v>
      </c>
      <c r="E15" s="1257"/>
      <c r="F15" s="1274">
        <f>IF('Step 7b--Feedstuff Required'!E16=0,0,D15/'Step 7b--Feedstuff Required'!E16)</f>
        <v>51.697104214459777</v>
      </c>
      <c r="G15" s="1257"/>
      <c r="H15" s="1271">
        <f>F15*'Step 7b--Feedstuff Required'!Q16</f>
        <v>51.697104214459777</v>
      </c>
      <c r="I15" s="1257"/>
      <c r="J15" s="1259">
        <f>IF('Step 7b--Feedstuff Required'!N16=0,0,H15/'Step 7b--Feedstuff Required'!N16)</f>
        <v>3.6926503010328415E-3</v>
      </c>
      <c r="K15" s="1257"/>
      <c r="L15" s="1579">
        <f>J15*'Step 7b--Feedstuff Required'!T16</f>
        <v>3.6926503010328415E-4</v>
      </c>
      <c r="M15" s="1257"/>
      <c r="N15" s="1305">
        <f>J15*F3_Length_of_Lactation</f>
        <v>1.2438299059898688</v>
      </c>
      <c r="O15" s="1257"/>
      <c r="P15" s="1271">
        <f>N15*Defaults!$D$6</f>
        <v>0.50336010404430975</v>
      </c>
      <c r="Q15" s="1306"/>
      <c r="R15" s="1278"/>
      <c r="S15" s="1282">
        <f>'Step 9b--Daily DMI Rations'!BC20</f>
        <v>15.777138073015761</v>
      </c>
      <c r="T15" s="1282"/>
      <c r="U15" s="1300">
        <f>IF('Step 7b--Feedstuff Required'!Z16=0,0,S15/'Step 7b--Feedstuff Required'!Z16)</f>
        <v>52.59046024338587</v>
      </c>
      <c r="V15" s="1282"/>
      <c r="W15" s="1297">
        <f>U15*'Step 7b--Feedstuff Required'!AL16</f>
        <v>52.59046024338587</v>
      </c>
      <c r="X15" s="1282"/>
      <c r="Y15" s="1284">
        <f>IF('Step 7b--Feedstuff Required'!AI16=0,0,W15/'Step 7b--Feedstuff Required'!AI16)</f>
        <v>3.7564614459561336E-3</v>
      </c>
      <c r="Z15" s="1282"/>
      <c r="AA15" s="1578">
        <f>Y15*'Step 7b--Feedstuff Required'!AO16</f>
        <v>3.7564614459561336E-4</v>
      </c>
      <c r="AB15" s="1282"/>
      <c r="AC15" s="1330">
        <f>Y15*F4_Length_of_Lactation</f>
        <v>1.1739693310902108</v>
      </c>
      <c r="AD15" s="1282"/>
      <c r="AE15" s="1297">
        <f>AC15*Defaults!$D$6</f>
        <v>0.47508853244055255</v>
      </c>
      <c r="AF15" s="1331"/>
    </row>
    <row r="16" spans="1:57" ht="3.75" customHeight="1">
      <c r="A16" s="3658"/>
      <c r="B16" s="788"/>
      <c r="C16" s="1254"/>
      <c r="D16" s="1257"/>
      <c r="E16" s="1257"/>
      <c r="F16" s="1274"/>
      <c r="G16" s="1257"/>
      <c r="H16" s="1271"/>
      <c r="I16" s="1257"/>
      <c r="J16" s="1259"/>
      <c r="K16" s="1257"/>
      <c r="L16" s="1257"/>
      <c r="M16" s="1257"/>
      <c r="N16" s="1305"/>
      <c r="O16" s="1257"/>
      <c r="P16" s="1271"/>
      <c r="Q16" s="1306"/>
      <c r="R16" s="1278"/>
      <c r="S16" s="1282"/>
      <c r="T16" s="1282"/>
      <c r="U16" s="1300"/>
      <c r="V16" s="1282"/>
      <c r="W16" s="1297"/>
      <c r="X16" s="1282"/>
      <c r="Y16" s="1284"/>
      <c r="Z16" s="1282"/>
      <c r="AA16" s="1282"/>
      <c r="AB16" s="1282"/>
      <c r="AC16" s="1330"/>
      <c r="AD16" s="1282"/>
      <c r="AE16" s="1297"/>
      <c r="AF16" s="1331"/>
    </row>
    <row r="17" spans="1:32" ht="14.25">
      <c r="A17" s="3658" t="s">
        <v>31</v>
      </c>
      <c r="B17" s="788"/>
      <c r="C17" s="1254"/>
      <c r="D17" s="1257">
        <f>'Step 9b--Daily DMI Rations'!AB22</f>
        <v>3.3656525057351736</v>
      </c>
      <c r="E17" s="1257"/>
      <c r="F17" s="1274">
        <f>IF('Step 7b--Feedstuff Required'!E18=0,0,D17/'Step 7b--Feedstuff Required'!E18)</f>
        <v>11.218841685783913</v>
      </c>
      <c r="G17" s="1257"/>
      <c r="H17" s="1271">
        <f>F17*'Step 7b--Feedstuff Required'!Q18</f>
        <v>12.340725854362304</v>
      </c>
      <c r="I17" s="1257"/>
      <c r="J17" s="1259">
        <f>IF('Step 7b--Feedstuff Required'!N18=0,0,H17/'Step 7b--Feedstuff Required'!N18)</f>
        <v>1.2340725854362304E-3</v>
      </c>
      <c r="K17" s="1257"/>
      <c r="L17" s="1579">
        <f>J17*'Step 7b--Feedstuff Required'!T18</f>
        <v>6.1703629271811521E-4</v>
      </c>
      <c r="M17" s="1257"/>
      <c r="N17" s="1305">
        <f>J17*F3_Length_of_Lactation</f>
        <v>0.41568420045041499</v>
      </c>
      <c r="O17" s="1257"/>
      <c r="P17" s="1271">
        <f>N17*Defaults!$D$6</f>
        <v>0.16822142752853289</v>
      </c>
      <c r="Q17" s="1306"/>
      <c r="R17" s="1278"/>
      <c r="S17" s="1282">
        <f>'Step 9b--Daily DMI Rations'!BC22</f>
        <v>2.0153552292063046</v>
      </c>
      <c r="T17" s="1282"/>
      <c r="U17" s="1300">
        <f>IF('Step 7b--Feedstuff Required'!Z18=0,0,S17/'Step 7b--Feedstuff Required'!Z18)</f>
        <v>6.7178507640210157</v>
      </c>
      <c r="V17" s="1282"/>
      <c r="W17" s="1297">
        <f>U17*'Step 7b--Feedstuff Required'!AL18</f>
        <v>7.3896358404231179</v>
      </c>
      <c r="X17" s="1282"/>
      <c r="Y17" s="1284">
        <f>IF('Step 7b--Feedstuff Required'!AI18=0,0,W17/'Step 7b--Feedstuff Required'!AI18)</f>
        <v>7.3896358404231183E-4</v>
      </c>
      <c r="Z17" s="1282"/>
      <c r="AA17" s="1578">
        <f>Y17*'Step 7b--Feedstuff Required'!AO18</f>
        <v>3.6948179202115592E-4</v>
      </c>
      <c r="AB17" s="1282"/>
      <c r="AC17" s="1330">
        <f>Y17*F4_Length_of_Lactation</f>
        <v>0.23094089928490327</v>
      </c>
      <c r="AD17" s="1282"/>
      <c r="AE17" s="1297">
        <f>AC17*Defaults!$D$6</f>
        <v>9.3458466091168424E-2</v>
      </c>
      <c r="AF17" s="1331"/>
    </row>
    <row r="18" spans="1:32" ht="3.75" customHeight="1">
      <c r="A18" s="3658"/>
      <c r="B18" s="788"/>
      <c r="C18" s="1254"/>
      <c r="D18" s="1257"/>
      <c r="E18" s="1257"/>
      <c r="F18" s="1274"/>
      <c r="G18" s="1257"/>
      <c r="H18" s="1271"/>
      <c r="I18" s="1257"/>
      <c r="J18" s="1259"/>
      <c r="K18" s="1257"/>
      <c r="L18" s="1257"/>
      <c r="M18" s="1257"/>
      <c r="N18" s="1305"/>
      <c r="O18" s="1257"/>
      <c r="P18" s="1271"/>
      <c r="Q18" s="1306"/>
      <c r="R18" s="1278"/>
      <c r="S18" s="1282"/>
      <c r="T18" s="1282"/>
      <c r="U18" s="1300"/>
      <c r="V18" s="1282"/>
      <c r="W18" s="1297"/>
      <c r="X18" s="1282"/>
      <c r="Y18" s="1284"/>
      <c r="Z18" s="1282"/>
      <c r="AA18" s="1282"/>
      <c r="AB18" s="1282"/>
      <c r="AC18" s="1330"/>
      <c r="AD18" s="1282"/>
      <c r="AE18" s="1297"/>
      <c r="AF18" s="1331"/>
    </row>
    <row r="19" spans="1:32" ht="14.25">
      <c r="A19" s="3659" t="str">
        <f>IF('Step 7a--Feedstuff Required'!B20="[add forage crop here]"," ",'Step 7a--Feedstuff Required'!B20)</f>
        <v xml:space="preserve"> </v>
      </c>
      <c r="B19" s="788"/>
      <c r="C19" s="1254"/>
      <c r="D19" s="1257">
        <f>'Step 9b--Daily DMI Rations'!AB24</f>
        <v>0</v>
      </c>
      <c r="E19" s="1257"/>
      <c r="F19" s="1274">
        <f>IF('Step 7b--Feedstuff Required'!E20=0,0,D19/'Step 7b--Feedstuff Required'!E20)</f>
        <v>0</v>
      </c>
      <c r="G19" s="1257"/>
      <c r="H19" s="1271">
        <f>F19*'Step 7b--Feedstuff Required'!Q20</f>
        <v>0</v>
      </c>
      <c r="I19" s="1257"/>
      <c r="J19" s="1259">
        <f>IF('Step 7b--Feedstuff Required'!N20=0,0,H19/'Step 7b--Feedstuff Required'!N20)</f>
        <v>0</v>
      </c>
      <c r="K19" s="1257"/>
      <c r="L19" s="1579">
        <f>J19*'Step 7b--Feedstuff Required'!T20</f>
        <v>0</v>
      </c>
      <c r="M19" s="1257"/>
      <c r="N19" s="1305">
        <f>J19*F3_Length_of_Lactation</f>
        <v>0</v>
      </c>
      <c r="O19" s="1257"/>
      <c r="P19" s="1271">
        <f>N19*Defaults!$D$6</f>
        <v>0</v>
      </c>
      <c r="Q19" s="1306"/>
      <c r="R19" s="1278"/>
      <c r="S19" s="1282">
        <f>'Step 9b--Daily DMI Rations'!BC24</f>
        <v>0</v>
      </c>
      <c r="T19" s="1282"/>
      <c r="U19" s="1300">
        <f>IF('Step 7b--Feedstuff Required'!Z20=0,0,S19/'Step 7b--Feedstuff Required'!Z20)</f>
        <v>0</v>
      </c>
      <c r="V19" s="1282"/>
      <c r="W19" s="1297">
        <f>U19*'Step 7b--Feedstuff Required'!AL20</f>
        <v>0</v>
      </c>
      <c r="X19" s="1282"/>
      <c r="Y19" s="1284">
        <f>IF('Step 7b--Feedstuff Required'!AI20=0,0,W19/'Step 7b--Feedstuff Required'!AI20)</f>
        <v>0</v>
      </c>
      <c r="Z19" s="1282"/>
      <c r="AA19" s="1578">
        <f>Y19*'Step 7b--Feedstuff Required'!AO20</f>
        <v>0</v>
      </c>
      <c r="AB19" s="1282"/>
      <c r="AC19" s="1330">
        <f>Y19*F4_Length_of_Lactation</f>
        <v>0</v>
      </c>
      <c r="AD19" s="1282"/>
      <c r="AE19" s="1297">
        <f>AC19*Defaults!$D$6</f>
        <v>0</v>
      </c>
      <c r="AF19" s="1331"/>
    </row>
    <row r="20" spans="1:32" ht="3.75" customHeight="1">
      <c r="A20" s="3658"/>
      <c r="B20" s="788"/>
      <c r="C20" s="1254"/>
      <c r="D20" s="1257"/>
      <c r="E20" s="1257"/>
      <c r="F20" s="1274"/>
      <c r="G20" s="1257"/>
      <c r="H20" s="1271"/>
      <c r="I20" s="1257"/>
      <c r="J20" s="1259"/>
      <c r="K20" s="1257"/>
      <c r="L20" s="1257"/>
      <c r="M20" s="1257"/>
      <c r="N20" s="1305"/>
      <c r="O20" s="1257"/>
      <c r="P20" s="1271"/>
      <c r="Q20" s="1306"/>
      <c r="R20" s="1278"/>
      <c r="S20" s="1282"/>
      <c r="T20" s="1282"/>
      <c r="U20" s="1300"/>
      <c r="V20" s="1282"/>
      <c r="W20" s="1297"/>
      <c r="X20" s="1282"/>
      <c r="Y20" s="1284"/>
      <c r="Z20" s="1282"/>
      <c r="AA20" s="1282"/>
      <c r="AB20" s="1282"/>
      <c r="AC20" s="1330"/>
      <c r="AD20" s="1282"/>
      <c r="AE20" s="1297"/>
      <c r="AF20" s="1331"/>
    </row>
    <row r="21" spans="1:32" ht="14.25">
      <c r="A21" s="3659" t="str">
        <f>IF('Step 7a--Feedstuff Required'!B22="[add forage crop here]"," ",'Step 7a--Feedstuff Required'!B22)</f>
        <v xml:space="preserve"> </v>
      </c>
      <c r="B21" s="788"/>
      <c r="C21" s="1254"/>
      <c r="D21" s="1257">
        <f>'Step 9b--Daily DMI Rations'!AB26</f>
        <v>0</v>
      </c>
      <c r="E21" s="1257"/>
      <c r="F21" s="1274">
        <f>IF('Step 7b--Feedstuff Required'!E22=0,0,D21/'Step 7b--Feedstuff Required'!E22)</f>
        <v>0</v>
      </c>
      <c r="G21" s="1257"/>
      <c r="H21" s="1271">
        <f>F21*'Step 7b--Feedstuff Required'!Q22</f>
        <v>0</v>
      </c>
      <c r="I21" s="1257"/>
      <c r="J21" s="1259">
        <f>IF('Step 7b--Feedstuff Required'!N22=0,0,H21/'Step 7b--Feedstuff Required'!N22)</f>
        <v>0</v>
      </c>
      <c r="K21" s="1257"/>
      <c r="L21" s="1579">
        <f>J21*'Step 7b--Feedstuff Required'!T22</f>
        <v>0</v>
      </c>
      <c r="M21" s="1257"/>
      <c r="N21" s="1305">
        <f>J21*F3_Length_of_Lactation</f>
        <v>0</v>
      </c>
      <c r="O21" s="1257"/>
      <c r="P21" s="1271">
        <f>N21*Defaults!$D$6</f>
        <v>0</v>
      </c>
      <c r="Q21" s="1306"/>
      <c r="R21" s="1278"/>
      <c r="S21" s="1282">
        <f>'Step 9b--Daily DMI Rations'!BC26</f>
        <v>0</v>
      </c>
      <c r="T21" s="1282"/>
      <c r="U21" s="1300">
        <f>IF('Step 7b--Feedstuff Required'!Z22=0,0,S21/'Step 7b--Feedstuff Required'!Z22)</f>
        <v>0</v>
      </c>
      <c r="V21" s="1282"/>
      <c r="W21" s="1297">
        <f>U21*'Step 7b--Feedstuff Required'!AL22</f>
        <v>0</v>
      </c>
      <c r="X21" s="1282"/>
      <c r="Y21" s="1284">
        <f>IF('Step 7b--Feedstuff Required'!AI22=0,0,W21/'Step 7b--Feedstuff Required'!AI22)</f>
        <v>0</v>
      </c>
      <c r="Z21" s="1282"/>
      <c r="AA21" s="1578">
        <f>Y21*'Step 7b--Feedstuff Required'!AO22</f>
        <v>0</v>
      </c>
      <c r="AB21" s="1282"/>
      <c r="AC21" s="1330">
        <f>Y21*F4_Length_of_Lactation</f>
        <v>0</v>
      </c>
      <c r="AD21" s="1282"/>
      <c r="AE21" s="1297">
        <f>AC21*Defaults!$D$6</f>
        <v>0</v>
      </c>
      <c r="AF21" s="1331"/>
    </row>
    <row r="22" spans="1:32" ht="3.75" customHeight="1">
      <c r="A22" s="3658"/>
      <c r="B22" s="788"/>
      <c r="C22" s="1254"/>
      <c r="D22" s="1257"/>
      <c r="E22" s="1257"/>
      <c r="F22" s="1274"/>
      <c r="G22" s="1257"/>
      <c r="H22" s="1271"/>
      <c r="I22" s="1257"/>
      <c r="J22" s="1259"/>
      <c r="K22" s="1257"/>
      <c r="L22" s="1257"/>
      <c r="M22" s="1257"/>
      <c r="N22" s="1305"/>
      <c r="O22" s="1257"/>
      <c r="P22" s="1271"/>
      <c r="Q22" s="1306"/>
      <c r="R22" s="1278"/>
      <c r="S22" s="1282"/>
      <c r="T22" s="1282"/>
      <c r="U22" s="1300"/>
      <c r="V22" s="1282"/>
      <c r="W22" s="1297"/>
      <c r="X22" s="1282"/>
      <c r="Y22" s="1284"/>
      <c r="Z22" s="1282"/>
      <c r="AA22" s="1282"/>
      <c r="AB22" s="1282"/>
      <c r="AC22" s="1330"/>
      <c r="AD22" s="1282"/>
      <c r="AE22" s="1297"/>
      <c r="AF22" s="1331"/>
    </row>
    <row r="23" spans="1:32" ht="14.25">
      <c r="A23" s="3659" t="str">
        <f>IF('Step 7a--Feedstuff Required'!B24="[add forage crop here]"," ",'Step 7a--Feedstuff Required'!B24)</f>
        <v xml:space="preserve"> </v>
      </c>
      <c r="B23" s="788"/>
      <c r="C23" s="1254"/>
      <c r="D23" s="1257">
        <f>'Step 9b--Daily DMI Rations'!AB28</f>
        <v>0</v>
      </c>
      <c r="E23" s="1257"/>
      <c r="F23" s="1274">
        <f>IF('Step 7b--Feedstuff Required'!E24=0,0,D23/'Step 7b--Feedstuff Required'!E24)</f>
        <v>0</v>
      </c>
      <c r="G23" s="1257"/>
      <c r="H23" s="1271">
        <f>F23*'Step 7b--Feedstuff Required'!Q24</f>
        <v>0</v>
      </c>
      <c r="I23" s="1257"/>
      <c r="J23" s="1259">
        <f>IF('Step 7b--Feedstuff Required'!N24=0,0,H23/'Step 7b--Feedstuff Required'!N24)</f>
        <v>0</v>
      </c>
      <c r="K23" s="1257"/>
      <c r="L23" s="1579">
        <f>J23*'Step 7b--Feedstuff Required'!T24</f>
        <v>0</v>
      </c>
      <c r="M23" s="1257"/>
      <c r="N23" s="1305">
        <f>J23*F3_Length_of_Lactation</f>
        <v>0</v>
      </c>
      <c r="O23" s="1257"/>
      <c r="P23" s="1271">
        <f>N23*Defaults!$D$6</f>
        <v>0</v>
      </c>
      <c r="Q23" s="1306"/>
      <c r="R23" s="1278"/>
      <c r="S23" s="1282">
        <f>'Step 9b--Daily DMI Rations'!BC28</f>
        <v>0</v>
      </c>
      <c r="T23" s="1282"/>
      <c r="U23" s="1300">
        <f>IF('Step 7b--Feedstuff Required'!Z24=0,0,S23/'Step 7b--Feedstuff Required'!Z24)</f>
        <v>0</v>
      </c>
      <c r="V23" s="1282"/>
      <c r="W23" s="1297">
        <f>U23*'Step 7b--Feedstuff Required'!AL24</f>
        <v>0</v>
      </c>
      <c r="X23" s="1282"/>
      <c r="Y23" s="1284">
        <f>IF('Step 7b--Feedstuff Required'!AI24=0,0,W23/'Step 7b--Feedstuff Required'!AI24)</f>
        <v>0</v>
      </c>
      <c r="Z23" s="1282"/>
      <c r="AA23" s="1578">
        <f>Y23*'Step 7b--Feedstuff Required'!AO24</f>
        <v>0</v>
      </c>
      <c r="AB23" s="1282"/>
      <c r="AC23" s="1330">
        <f>Y23*F4_Length_of_Lactation</f>
        <v>0</v>
      </c>
      <c r="AD23" s="1282"/>
      <c r="AE23" s="1297">
        <f>AC23*Defaults!$D$6</f>
        <v>0</v>
      </c>
      <c r="AF23" s="1331"/>
    </row>
    <row r="24" spans="1:32" ht="3.75" customHeight="1">
      <c r="A24" s="787"/>
      <c r="B24" s="788"/>
      <c r="C24" s="1254"/>
      <c r="D24" s="1257"/>
      <c r="E24" s="1257"/>
      <c r="F24" s="1274"/>
      <c r="G24" s="1257"/>
      <c r="H24" s="1275"/>
      <c r="I24" s="1257"/>
      <c r="J24" s="1276"/>
      <c r="K24" s="1257"/>
      <c r="L24" s="1257"/>
      <c r="M24" s="1257"/>
      <c r="N24" s="1271"/>
      <c r="O24" s="1257"/>
      <c r="P24" s="1271"/>
      <c r="Q24" s="1306"/>
      <c r="R24" s="1278"/>
      <c r="S24" s="1282"/>
      <c r="T24" s="1282"/>
      <c r="U24" s="1300"/>
      <c r="V24" s="1282"/>
      <c r="W24" s="1301"/>
      <c r="X24" s="1282"/>
      <c r="Y24" s="1302"/>
      <c r="Z24" s="1282"/>
      <c r="AA24" s="1282"/>
      <c r="AB24" s="1282"/>
      <c r="AC24" s="1297"/>
      <c r="AD24" s="1282"/>
      <c r="AE24" s="1297"/>
      <c r="AF24" s="1331"/>
    </row>
    <row r="25" spans="1:32" s="20" customFormat="1" ht="15">
      <c r="A25" s="789" t="s">
        <v>4</v>
      </c>
      <c r="B25" s="788"/>
      <c r="C25" s="1254"/>
      <c r="D25" s="1307">
        <f>SUM(D7:D23)</f>
        <v>53.04952505735173</v>
      </c>
      <c r="E25" s="1308"/>
      <c r="F25" s="1307">
        <f>SUM(F7:F23)</f>
        <v>117.61010288610883</v>
      </c>
      <c r="G25" s="1308"/>
      <c r="H25" s="1307">
        <f>SUM(H7:H23)</f>
        <v>125.7135694199404</v>
      </c>
      <c r="I25" s="1308"/>
      <c r="J25" s="1309">
        <f>SUM(J7:J23)</f>
        <v>1.0261404816878069E-2</v>
      </c>
      <c r="K25" s="1308"/>
      <c r="L25" s="1309">
        <f>SUM(L7:L23)</f>
        <v>3.1606994443257831E-3</v>
      </c>
      <c r="M25" s="1308"/>
      <c r="N25" s="1307">
        <f>SUM(N7:N23)</f>
        <v>3.4564448697271648</v>
      </c>
      <c r="O25" s="1308"/>
      <c r="P25" s="1307">
        <f>SUM(P7:P23)</f>
        <v>1.3987736111431441</v>
      </c>
      <c r="Q25" s="1310"/>
      <c r="R25" s="1278"/>
      <c r="S25" s="1332">
        <f>SUM(S7:S23)</f>
        <v>40.96720229206305</v>
      </c>
      <c r="T25" s="1333"/>
      <c r="U25" s="1332">
        <f>SUM(U7:U23)</f>
        <v>102.08220988500798</v>
      </c>
      <c r="V25" s="1333"/>
      <c r="W25" s="1332">
        <f>SUM(W7:W23)</f>
        <v>108.44132651583686</v>
      </c>
      <c r="X25" s="1333"/>
      <c r="Y25" s="1334">
        <f>SUM(Y7:Y23)</f>
        <v>8.4806730090800069E-3</v>
      </c>
      <c r="Z25" s="1333"/>
      <c r="AA25" s="1334">
        <f>SUM(AA7:AA23)</f>
        <v>2.1326062417297118E-3</v>
      </c>
      <c r="AB25" s="1333"/>
      <c r="AC25" s="1332">
        <f>SUM(AC7:AC23)</f>
        <v>2.6503799287976841</v>
      </c>
      <c r="AD25" s="1333"/>
      <c r="AE25" s="1332">
        <f>SUM(AE7:AE23)</f>
        <v>1.0725707030294049</v>
      </c>
      <c r="AF25" s="1335"/>
    </row>
    <row r="26" spans="1:32" ht="14.25">
      <c r="A26" s="787"/>
      <c r="B26" s="788"/>
      <c r="C26" s="1254"/>
      <c r="D26" s="1257"/>
      <c r="E26" s="1257"/>
      <c r="F26" s="1274"/>
      <c r="G26" s="1257"/>
      <c r="H26" s="1271"/>
      <c r="I26" s="1257"/>
      <c r="J26" s="1267"/>
      <c r="K26" s="1257"/>
      <c r="L26" s="1257"/>
      <c r="M26" s="1257"/>
      <c r="N26" s="1271"/>
      <c r="O26" s="1257"/>
      <c r="P26" s="1271"/>
      <c r="Q26" s="1306"/>
      <c r="R26" s="1278"/>
      <c r="S26" s="1282"/>
      <c r="T26" s="1282"/>
      <c r="U26" s="1300"/>
      <c r="V26" s="1282"/>
      <c r="W26" s="1297"/>
      <c r="X26" s="1282"/>
      <c r="Y26" s="1292"/>
      <c r="Z26" s="1282"/>
      <c r="AA26" s="1282"/>
      <c r="AB26" s="1282"/>
      <c r="AC26" s="1297"/>
      <c r="AD26" s="1282"/>
      <c r="AE26" s="1297"/>
      <c r="AF26" s="1331"/>
    </row>
    <row r="27" spans="1:32" ht="20.25" customHeight="1">
      <c r="A27" s="4028" t="s">
        <v>890</v>
      </c>
      <c r="B27" s="4855"/>
      <c r="C27" s="4855"/>
      <c r="D27" s="4855"/>
      <c r="E27" s="4855"/>
      <c r="F27" s="4855"/>
      <c r="G27" s="4855"/>
      <c r="H27" s="4855"/>
      <c r="I27" s="4855"/>
      <c r="J27" s="4855"/>
      <c r="K27" s="4855"/>
      <c r="L27" s="4855"/>
      <c r="M27" s="4855"/>
      <c r="N27" s="4855"/>
      <c r="O27" s="4855"/>
      <c r="P27" s="4855"/>
      <c r="Q27" s="4855"/>
      <c r="R27" s="4855"/>
      <c r="S27" s="4855"/>
      <c r="T27" s="4855"/>
      <c r="U27" s="4855"/>
      <c r="V27" s="4855"/>
      <c r="W27" s="4855"/>
      <c r="X27" s="4855"/>
      <c r="Y27" s="4855"/>
      <c r="Z27" s="4855"/>
      <c r="AA27" s="4855"/>
      <c r="AB27" s="4855"/>
      <c r="AC27" s="4855"/>
      <c r="AD27" s="4855"/>
      <c r="AE27" s="4855"/>
      <c r="AF27" s="4856"/>
    </row>
    <row r="28" spans="1:32" ht="15">
      <c r="A28" s="3658" t="s">
        <v>33</v>
      </c>
      <c r="B28" s="790"/>
      <c r="C28" s="1277"/>
      <c r="D28" s="1257">
        <f>'Step 9b--Daily DMI Rations'!AB34</f>
        <v>4.7299999999999995</v>
      </c>
      <c r="E28" s="1257"/>
      <c r="F28" s="1274">
        <f>IF('Step 7b--Feedstuff Required'!E30=0,0,D28/'Step 7b--Feedstuff Required'!E30)</f>
        <v>5.3749999999999991</v>
      </c>
      <c r="G28" s="1257"/>
      <c r="H28" s="1271">
        <f>F28*'Step 7b--Feedstuff Required'!Q30</f>
        <v>5.8049999999999997</v>
      </c>
      <c r="I28" s="1257"/>
      <c r="J28" s="1259">
        <f>IF('Step 7b--Feedstuff Required'!N30=0,0,H28/'Step 7b--Feedstuff Required'!N30)</f>
        <v>6.7355889724310782E-4</v>
      </c>
      <c r="K28" s="1257"/>
      <c r="L28" s="1579">
        <f>J28*'Step 7b--Feedstuff Required'!T30</f>
        <v>6.7355889724310782E-4</v>
      </c>
      <c r="M28" s="1257"/>
      <c r="N28" s="1305">
        <f>J28*F3_Length_of_Lactation</f>
        <v>0.22688113726940304</v>
      </c>
      <c r="O28" s="1257"/>
      <c r="P28" s="1271">
        <f>N28*Defaults!$D$6</f>
        <v>9.1815538693558504E-2</v>
      </c>
      <c r="Q28" s="1306"/>
      <c r="R28" s="1303"/>
      <c r="S28" s="1282">
        <f>'Step 9b--Daily DMI Rations'!BC34</f>
        <v>3.9049999999999998</v>
      </c>
      <c r="T28" s="1282"/>
      <c r="U28" s="1300">
        <f>IF('Step 7b--Feedstuff Required'!Z30=0,0,S28/'Step 7b--Feedstuff Required'!Z30)</f>
        <v>4.4375</v>
      </c>
      <c r="V28" s="1282"/>
      <c r="W28" s="1297">
        <f>U28*'Step 7b--Feedstuff Required'!AL30</f>
        <v>4.7925000000000004</v>
      </c>
      <c r="X28" s="1282"/>
      <c r="Y28" s="1284">
        <f>IF('Step 7b--Feedstuff Required'!AI30=0,0,W28/'Step 7b--Feedstuff Required'!AI30)</f>
        <v>5.5607769423558903E-4</v>
      </c>
      <c r="Z28" s="1282"/>
      <c r="AA28" s="1578">
        <f>Y28*'Step 7b--Feedstuff Required'!AO30</f>
        <v>5.5607769423558903E-4</v>
      </c>
      <c r="AB28" s="1282"/>
      <c r="AC28" s="1330">
        <f>Y28*F4_Length_of_Lactation</f>
        <v>0.17378540100250628</v>
      </c>
      <c r="AD28" s="1282"/>
      <c r="AE28" s="1297">
        <f>AC28*Defaults!$D$6</f>
        <v>7.0328456574926701E-2</v>
      </c>
      <c r="AF28" s="1331"/>
    </row>
    <row r="29" spans="1:32" ht="3.75" customHeight="1">
      <c r="A29" s="1224"/>
      <c r="B29" s="788"/>
      <c r="C29" s="1254"/>
      <c r="D29" s="1257"/>
      <c r="E29" s="1257"/>
      <c r="F29" s="1274"/>
      <c r="G29" s="1257"/>
      <c r="H29" s="1271"/>
      <c r="I29" s="1257"/>
      <c r="J29" s="1259"/>
      <c r="K29" s="1257"/>
      <c r="L29" s="1257"/>
      <c r="M29" s="1257"/>
      <c r="N29" s="1271"/>
      <c r="O29" s="1257"/>
      <c r="P29" s="1271"/>
      <c r="Q29" s="1306"/>
      <c r="R29" s="1278"/>
      <c r="S29" s="1282"/>
      <c r="T29" s="1282"/>
      <c r="U29" s="1300"/>
      <c r="V29" s="1282"/>
      <c r="W29" s="1297"/>
      <c r="X29" s="1282"/>
      <c r="Y29" s="1284"/>
      <c r="Z29" s="1282"/>
      <c r="AA29" s="1282"/>
      <c r="AB29" s="1282"/>
      <c r="AC29" s="1297"/>
      <c r="AD29" s="1282"/>
      <c r="AE29" s="1297"/>
      <c r="AF29" s="1331"/>
    </row>
    <row r="30" spans="1:32" ht="14.25">
      <c r="A30" s="3658" t="s">
        <v>22</v>
      </c>
      <c r="B30" s="788"/>
      <c r="C30" s="1254"/>
      <c r="D30" s="1257">
        <f>'Step 9b--Daily DMI Rations'!AB36</f>
        <v>0.94599999999999995</v>
      </c>
      <c r="E30" s="1257"/>
      <c r="F30" s="1274">
        <f>IF('Step 7b--Feedstuff Required'!E32=0,0,D30/'Step 7b--Feedstuff Required'!E32)</f>
        <v>1.075</v>
      </c>
      <c r="G30" s="1257"/>
      <c r="H30" s="1271">
        <f>F30*'Step 7b--Feedstuff Required'!Q32</f>
        <v>1.161</v>
      </c>
      <c r="I30" s="1257"/>
      <c r="J30" s="1259">
        <f>IF('Step 7b--Feedstuff Required'!N32=0,0,H30/'Step 7b--Feedstuff Required'!N32)</f>
        <v>3.8030660377358491E-4</v>
      </c>
      <c r="K30" s="1257"/>
      <c r="L30" s="1579">
        <f>J30*'Step 7b--Feedstuff Required'!T32</f>
        <v>2.5366450471698117E-4</v>
      </c>
      <c r="M30" s="1257"/>
      <c r="N30" s="1305">
        <f>J30*F3_Length_of_Lactation</f>
        <v>0.12810222703371482</v>
      </c>
      <c r="O30" s="1257"/>
      <c r="P30" s="1271">
        <f>N30*Defaults!$D$6</f>
        <v>5.1841131988768642E-2</v>
      </c>
      <c r="Q30" s="1306"/>
      <c r="R30" s="1278"/>
      <c r="S30" s="1282">
        <f>'Step 9b--Daily DMI Rations'!BC36</f>
        <v>0.89814999999999989</v>
      </c>
      <c r="T30" s="1282"/>
      <c r="U30" s="1300">
        <f>IF('Step 7b--Feedstuff Required'!Z32=0,0,S30/'Step 7b--Feedstuff Required'!Z32)</f>
        <v>1.0206249999999999</v>
      </c>
      <c r="V30" s="1282"/>
      <c r="W30" s="1297">
        <f>U30*'Step 7b--Feedstuff Required'!AL32</f>
        <v>1.1022749999999999</v>
      </c>
      <c r="X30" s="1282"/>
      <c r="Y30" s="1284">
        <f>IF('Step 7b--Feedstuff Required'!AI32=0,0,W30/'Step 7b--Feedstuff Required'!AI32)</f>
        <v>3.6107016509433958E-4</v>
      </c>
      <c r="Z30" s="1282"/>
      <c r="AA30" s="1578">
        <f>Y30*'Step 7b--Feedstuff Required'!AO32</f>
        <v>2.408338001179245E-4</v>
      </c>
      <c r="AB30" s="1282"/>
      <c r="AC30" s="1330">
        <f>Y30*F4_Length_of_Lactation</f>
        <v>0.112841647995283</v>
      </c>
      <c r="AD30" s="1282"/>
      <c r="AE30" s="1297">
        <f>AC30*Defaults!$D$6</f>
        <v>4.5665394763309115E-2</v>
      </c>
      <c r="AF30" s="1331"/>
    </row>
    <row r="31" spans="1:32" ht="3.75" customHeight="1">
      <c r="A31" s="1224"/>
      <c r="B31" s="788"/>
      <c r="C31" s="1254"/>
      <c r="D31" s="1257"/>
      <c r="E31" s="1257"/>
      <c r="F31" s="1274"/>
      <c r="G31" s="1257"/>
      <c r="H31" s="1271"/>
      <c r="I31" s="1257"/>
      <c r="J31" s="1259"/>
      <c r="K31" s="1257"/>
      <c r="L31" s="1257"/>
      <c r="M31" s="1257"/>
      <c r="N31" s="1271"/>
      <c r="O31" s="1257"/>
      <c r="P31" s="1271"/>
      <c r="Q31" s="1306"/>
      <c r="R31" s="1278"/>
      <c r="S31" s="1282"/>
      <c r="T31" s="1282"/>
      <c r="U31" s="1300"/>
      <c r="V31" s="1282"/>
      <c r="W31" s="1297"/>
      <c r="X31" s="1282"/>
      <c r="Y31" s="1284"/>
      <c r="Z31" s="1282"/>
      <c r="AA31" s="1282"/>
      <c r="AB31" s="1282"/>
      <c r="AC31" s="1297"/>
      <c r="AD31" s="1282"/>
      <c r="AE31" s="1297"/>
      <c r="AF31" s="1331"/>
    </row>
    <row r="32" spans="1:32" ht="15">
      <c r="A32" s="3658" t="s">
        <v>25</v>
      </c>
      <c r="B32" s="786"/>
      <c r="C32" s="1261"/>
      <c r="D32" s="1257">
        <f>'Step 9b--Daily DMI Rations'!AB38</f>
        <v>0.94599999999999995</v>
      </c>
      <c r="E32" s="1257"/>
      <c r="F32" s="1274">
        <f>IF('Step 7b--Feedstuff Required'!E34=0,0,D32/'Step 7b--Feedstuff Required'!E34)</f>
        <v>1.0629213483146067</v>
      </c>
      <c r="G32" s="1257"/>
      <c r="H32" s="1271">
        <f>F32*'Step 7b--Feedstuff Required'!Q34</f>
        <v>1.1479550561797753</v>
      </c>
      <c r="I32" s="1257"/>
      <c r="J32" s="1259">
        <f>IF('Step 7b--Feedstuff Required'!N34=0,0,H32/'Step 7b--Feedstuff Required'!N34)</f>
        <v>5.6493851189949574E-4</v>
      </c>
      <c r="K32" s="1257"/>
      <c r="L32" s="1579">
        <f>J32*'Step 7b--Feedstuff Required'!T34</f>
        <v>3.7681398743696367E-4</v>
      </c>
      <c r="M32" s="1257"/>
      <c r="N32" s="1305">
        <f>J32*F3_Length_of_Lactation</f>
        <v>0.19029351789674293</v>
      </c>
      <c r="O32" s="1257"/>
      <c r="P32" s="1271">
        <f>N32*Defaults!$D$6</f>
        <v>7.7009054458481899E-2</v>
      </c>
      <c r="Q32" s="1306"/>
      <c r="R32" s="1286"/>
      <c r="S32" s="1282">
        <f>'Step 9b--Daily DMI Rations'!BC38</f>
        <v>0.93719999999999992</v>
      </c>
      <c r="T32" s="1282"/>
      <c r="U32" s="1300">
        <f>IF('Step 7b--Feedstuff Required'!Z34=0,0,S32/'Step 7b--Feedstuff Required'!Z34)</f>
        <v>1.0530337078651684</v>
      </c>
      <c r="V32" s="1282"/>
      <c r="W32" s="1297">
        <f>U32*'Step 7b--Feedstuff Required'!AL34</f>
        <v>1.1372764044943819</v>
      </c>
      <c r="X32" s="1282"/>
      <c r="Y32" s="1284">
        <f>IF('Step 7b--Feedstuff Required'!AI34=0,0,W32/'Step 7b--Feedstuff Required'!AI34)</f>
        <v>5.5968326992833755E-4</v>
      </c>
      <c r="Z32" s="1282"/>
      <c r="AA32" s="1578">
        <f>Y32*'Step 7b--Feedstuff Required'!AO34</f>
        <v>3.7330874104220116E-4</v>
      </c>
      <c r="AB32" s="1282"/>
      <c r="AC32" s="1330">
        <f>Y32*F4_Length_of_Lactation</f>
        <v>0.17491221551800404</v>
      </c>
      <c r="AD32" s="1282"/>
      <c r="AE32" s="1297">
        <f>AC32*Defaults!$D$6</f>
        <v>7.0784462230545825E-2</v>
      </c>
      <c r="AF32" s="1331"/>
    </row>
    <row r="33" spans="1:32" ht="3.75" customHeight="1">
      <c r="A33" s="3658"/>
      <c r="B33" s="788"/>
      <c r="C33" s="1254"/>
      <c r="D33" s="1257"/>
      <c r="E33" s="1257"/>
      <c r="F33" s="1274"/>
      <c r="G33" s="1257"/>
      <c r="H33" s="1271"/>
      <c r="I33" s="1257"/>
      <c r="J33" s="1259"/>
      <c r="K33" s="1257"/>
      <c r="L33" s="1257"/>
      <c r="M33" s="1257"/>
      <c r="N33" s="1271"/>
      <c r="O33" s="1257"/>
      <c r="P33" s="1271"/>
      <c r="Q33" s="1306"/>
      <c r="R33" s="1278"/>
      <c r="S33" s="1282"/>
      <c r="T33" s="1282"/>
      <c r="U33" s="1300"/>
      <c r="V33" s="1282"/>
      <c r="W33" s="1297"/>
      <c r="X33" s="1282"/>
      <c r="Y33" s="1284"/>
      <c r="Z33" s="1282"/>
      <c r="AA33" s="1282"/>
      <c r="AB33" s="1282"/>
      <c r="AC33" s="1297"/>
      <c r="AD33" s="1282"/>
      <c r="AE33" s="1297"/>
      <c r="AF33" s="1331"/>
    </row>
    <row r="34" spans="1:32" ht="14.25">
      <c r="A34" s="3658" t="s">
        <v>27</v>
      </c>
      <c r="B34" s="788"/>
      <c r="C34" s="1254"/>
      <c r="D34" s="1257">
        <f>'Step 9b--Daily DMI Rations'!AB40</f>
        <v>0</v>
      </c>
      <c r="E34" s="1257"/>
      <c r="F34" s="1274">
        <f>IF('Step 7b--Feedstuff Required'!E36=0,0,D34/'Step 7b--Feedstuff Required'!E36)</f>
        <v>0</v>
      </c>
      <c r="G34" s="1257"/>
      <c r="H34" s="1271">
        <f>F34*'Step 7b--Feedstuff Required'!Q36</f>
        <v>0</v>
      </c>
      <c r="I34" s="1257"/>
      <c r="J34" s="1259">
        <f>IF('Step 7b--Feedstuff Required'!N36=0,0,H34/'Step 7b--Feedstuff Required'!N36)</f>
        <v>0</v>
      </c>
      <c r="K34" s="1257"/>
      <c r="L34" s="1579">
        <f>J34*'Step 7b--Feedstuff Required'!T36</f>
        <v>0</v>
      </c>
      <c r="M34" s="1257"/>
      <c r="N34" s="1305">
        <f>J34*F3_Length_of_Lactation</f>
        <v>0</v>
      </c>
      <c r="O34" s="1257"/>
      <c r="P34" s="1271">
        <f>N34*Defaults!$D$6</f>
        <v>0</v>
      </c>
      <c r="Q34" s="1306"/>
      <c r="R34" s="1278"/>
      <c r="S34" s="1282">
        <f>'Step 9b--Daily DMI Rations'!BC40</f>
        <v>0</v>
      </c>
      <c r="T34" s="1282"/>
      <c r="U34" s="1300">
        <f>IF('Step 7b--Feedstuff Required'!Z36=0,0,S34/'Step 7b--Feedstuff Required'!Z36)</f>
        <v>0</v>
      </c>
      <c r="V34" s="1282"/>
      <c r="W34" s="1297">
        <f>U34*'Step 7b--Feedstuff Required'!AL36</f>
        <v>0</v>
      </c>
      <c r="X34" s="1282"/>
      <c r="Y34" s="1284">
        <f>IF('Step 7b--Feedstuff Required'!AI36=0,0,W34/'Step 7b--Feedstuff Required'!AI36)</f>
        <v>0</v>
      </c>
      <c r="Z34" s="1282"/>
      <c r="AA34" s="1578">
        <f>Y34*'Step 7b--Feedstuff Required'!AO36</f>
        <v>0</v>
      </c>
      <c r="AB34" s="1282"/>
      <c r="AC34" s="1330">
        <f>Y34*F4_Length_of_Lactation</f>
        <v>0</v>
      </c>
      <c r="AD34" s="1282"/>
      <c r="AE34" s="1297">
        <f>AC34*Defaults!$D$6</f>
        <v>0</v>
      </c>
      <c r="AF34" s="1331"/>
    </row>
    <row r="35" spans="1:32" ht="3.75" customHeight="1">
      <c r="A35" s="1224"/>
      <c r="B35" s="788"/>
      <c r="C35" s="1254"/>
      <c r="D35" s="1257"/>
      <c r="E35" s="1257"/>
      <c r="F35" s="1274"/>
      <c r="G35" s="1257"/>
      <c r="H35" s="1271"/>
      <c r="I35" s="1257"/>
      <c r="J35" s="1259"/>
      <c r="K35" s="1257"/>
      <c r="L35" s="1257"/>
      <c r="M35" s="1257"/>
      <c r="N35" s="1271"/>
      <c r="O35" s="1257"/>
      <c r="P35" s="1271"/>
      <c r="Q35" s="1306"/>
      <c r="R35" s="1278"/>
      <c r="S35" s="1282"/>
      <c r="T35" s="1282"/>
      <c r="U35" s="1300"/>
      <c r="V35" s="1282"/>
      <c r="W35" s="1297"/>
      <c r="X35" s="1282"/>
      <c r="Y35" s="1284"/>
      <c r="Z35" s="1282"/>
      <c r="AA35" s="1282"/>
      <c r="AB35" s="1282"/>
      <c r="AC35" s="1297"/>
      <c r="AD35" s="1282"/>
      <c r="AE35" s="1297"/>
      <c r="AF35" s="1331"/>
    </row>
    <row r="36" spans="1:32" ht="14.25">
      <c r="A36" s="3659" t="str">
        <f>IF('Step 7a--Feedstuff Required'!B38="[add grain crop here]"," ",'Step 7a--Feedstuff Required'!B38)</f>
        <v xml:space="preserve"> </v>
      </c>
      <c r="B36" s="788"/>
      <c r="C36" s="1254"/>
      <c r="D36" s="1257">
        <f>'Step 9b--Daily DMI Rations'!AB42</f>
        <v>0</v>
      </c>
      <c r="E36" s="1257"/>
      <c r="F36" s="1274">
        <f>IF('Step 7b--Feedstuff Required'!E38=0,0,D36/'Step 7b--Feedstuff Required'!E38)</f>
        <v>0</v>
      </c>
      <c r="G36" s="1257"/>
      <c r="H36" s="1271">
        <f>F36*'Step 7b--Feedstuff Required'!Q38</f>
        <v>0</v>
      </c>
      <c r="I36" s="1257"/>
      <c r="J36" s="1259">
        <f>IF('Step 7b--Feedstuff Required'!N38=0,0,H36/'Step 7b--Feedstuff Required'!N38)</f>
        <v>0</v>
      </c>
      <c r="K36" s="1257"/>
      <c r="L36" s="1579">
        <f>J36*'Step 7b--Feedstuff Required'!T38</f>
        <v>0</v>
      </c>
      <c r="M36" s="1257"/>
      <c r="N36" s="1305">
        <f>J36*F3_Length_of_Lactation</f>
        <v>0</v>
      </c>
      <c r="O36" s="1257"/>
      <c r="P36" s="1271">
        <f>N36*Defaults!$D$6</f>
        <v>0</v>
      </c>
      <c r="Q36" s="1306"/>
      <c r="R36" s="1278"/>
      <c r="S36" s="1282">
        <f>'Step 9b--Daily DMI Rations'!BC42</f>
        <v>0</v>
      </c>
      <c r="T36" s="1282"/>
      <c r="U36" s="1300">
        <f>IF('Step 7b--Feedstuff Required'!Z38=0,0,S36/'Step 7b--Feedstuff Required'!Z38)</f>
        <v>0</v>
      </c>
      <c r="V36" s="1282"/>
      <c r="W36" s="1297">
        <f>U36*'Step 7b--Feedstuff Required'!AL38</f>
        <v>0</v>
      </c>
      <c r="X36" s="1282"/>
      <c r="Y36" s="1284">
        <f>IF('Step 7b--Feedstuff Required'!AI38=0,0,W36/'Step 7b--Feedstuff Required'!AI38)</f>
        <v>0</v>
      </c>
      <c r="Z36" s="1282"/>
      <c r="AA36" s="1578">
        <f>Y36*'Step 7b--Feedstuff Required'!AO38</f>
        <v>0</v>
      </c>
      <c r="AB36" s="1282"/>
      <c r="AC36" s="1330">
        <f>Y36*F4_Length_of_Lactation</f>
        <v>0</v>
      </c>
      <c r="AD36" s="1282"/>
      <c r="AE36" s="1297">
        <f>AC36*Defaults!$D$6</f>
        <v>0</v>
      </c>
      <c r="AF36" s="1331"/>
    </row>
    <row r="37" spans="1:32" ht="3.75" customHeight="1">
      <c r="A37" s="3659"/>
      <c r="B37" s="788"/>
      <c r="C37" s="1254"/>
      <c r="D37" s="1257"/>
      <c r="E37" s="1257"/>
      <c r="F37" s="1274"/>
      <c r="G37" s="1257"/>
      <c r="H37" s="1271"/>
      <c r="I37" s="1257"/>
      <c r="J37" s="1259"/>
      <c r="K37" s="1257"/>
      <c r="L37" s="1257"/>
      <c r="M37" s="1257"/>
      <c r="N37" s="1271"/>
      <c r="O37" s="1257"/>
      <c r="P37" s="1271"/>
      <c r="Q37" s="1306"/>
      <c r="R37" s="1278"/>
      <c r="S37" s="1282"/>
      <c r="T37" s="1282"/>
      <c r="U37" s="1300"/>
      <c r="V37" s="1282"/>
      <c r="W37" s="1297"/>
      <c r="X37" s="1282"/>
      <c r="Y37" s="1284"/>
      <c r="Z37" s="1282"/>
      <c r="AA37" s="1282"/>
      <c r="AB37" s="1282"/>
      <c r="AC37" s="1297"/>
      <c r="AD37" s="1282"/>
      <c r="AE37" s="1297"/>
      <c r="AF37" s="1331"/>
    </row>
    <row r="38" spans="1:32" ht="14.25">
      <c r="A38" s="3659" t="str">
        <f>IF('Step 7a--Feedstuff Required'!B40="[add grain crop here]"," ",'Step 7a--Feedstuff Required'!B40)</f>
        <v xml:space="preserve"> </v>
      </c>
      <c r="B38" s="788"/>
      <c r="C38" s="1254"/>
      <c r="D38" s="1257">
        <f>'Step 9b--Daily DMI Rations'!AB44</f>
        <v>0</v>
      </c>
      <c r="E38" s="1257"/>
      <c r="F38" s="1274">
        <f>IF('Step 7b--Feedstuff Required'!E40=0,0,D38/'Step 7b--Feedstuff Required'!E40)</f>
        <v>0</v>
      </c>
      <c r="G38" s="1257"/>
      <c r="H38" s="1271">
        <f>F38*'Step 7b--Feedstuff Required'!Q40</f>
        <v>0</v>
      </c>
      <c r="I38" s="1257"/>
      <c r="J38" s="1259">
        <f>IF('Step 7b--Feedstuff Required'!N40=0,0,H38/'Step 7b--Feedstuff Required'!N40)</f>
        <v>0</v>
      </c>
      <c r="K38" s="1257"/>
      <c r="L38" s="1579">
        <f>J38*'Step 7b--Feedstuff Required'!T40</f>
        <v>0</v>
      </c>
      <c r="M38" s="1257"/>
      <c r="N38" s="1305">
        <f>J38*F3_Length_of_Lactation</f>
        <v>0</v>
      </c>
      <c r="O38" s="1257"/>
      <c r="P38" s="1271">
        <f>N38*Defaults!$D$6</f>
        <v>0</v>
      </c>
      <c r="Q38" s="1306"/>
      <c r="R38" s="1278"/>
      <c r="S38" s="1282">
        <f>'Step 9b--Daily DMI Rations'!BC44</f>
        <v>0</v>
      </c>
      <c r="T38" s="1282"/>
      <c r="U38" s="1300">
        <f>IF('Step 7b--Feedstuff Required'!Z40=0,0,S38/'Step 7b--Feedstuff Required'!Z40)</f>
        <v>0</v>
      </c>
      <c r="V38" s="1282"/>
      <c r="W38" s="1297">
        <f>U38*'Step 7b--Feedstuff Required'!AL40</f>
        <v>0</v>
      </c>
      <c r="X38" s="1282"/>
      <c r="Y38" s="1284">
        <f>IF('Step 7b--Feedstuff Required'!AI40=0,0,W38/'Step 7b--Feedstuff Required'!AI40)</f>
        <v>0</v>
      </c>
      <c r="Z38" s="1282"/>
      <c r="AA38" s="1578">
        <f>Y38*'Step 7b--Feedstuff Required'!AO40</f>
        <v>0</v>
      </c>
      <c r="AB38" s="1282"/>
      <c r="AC38" s="1330">
        <f>Y38*F4_Length_of_Lactation</f>
        <v>0</v>
      </c>
      <c r="AD38" s="1282"/>
      <c r="AE38" s="1297">
        <f>AC38*Defaults!$D$6</f>
        <v>0</v>
      </c>
      <c r="AF38" s="1331"/>
    </row>
    <row r="39" spans="1:32" ht="3.75" customHeight="1">
      <c r="A39" s="3659"/>
      <c r="B39" s="788"/>
      <c r="C39" s="1254"/>
      <c r="D39" s="1257"/>
      <c r="E39" s="1257"/>
      <c r="F39" s="1274"/>
      <c r="G39" s="1257"/>
      <c r="H39" s="1271"/>
      <c r="I39" s="1257"/>
      <c r="J39" s="1259">
        <f>IF('Step 7a--Feedstuff Required'!N41=0,0,H39/'Step 7a--Feedstuff Required'!N41)</f>
        <v>0</v>
      </c>
      <c r="K39" s="1257"/>
      <c r="L39" s="1257"/>
      <c r="M39" s="1257"/>
      <c r="N39" s="1271"/>
      <c r="O39" s="1257"/>
      <c r="P39" s="1271"/>
      <c r="Q39" s="1306"/>
      <c r="R39" s="1278"/>
      <c r="S39" s="1282"/>
      <c r="T39" s="1282"/>
      <c r="U39" s="1300"/>
      <c r="V39" s="1282"/>
      <c r="W39" s="1297"/>
      <c r="X39" s="1282"/>
      <c r="Y39" s="1284"/>
      <c r="Z39" s="1282"/>
      <c r="AA39" s="1282"/>
      <c r="AB39" s="1282"/>
      <c r="AC39" s="1297"/>
      <c r="AD39" s="1282"/>
      <c r="AE39" s="1297"/>
      <c r="AF39" s="1331"/>
    </row>
    <row r="40" spans="1:32" ht="14.25">
      <c r="A40" s="3659" t="str">
        <f>IF('Step 7a--Feedstuff Required'!B42="[add grain crop here]"," ",'Step 7a--Feedstuff Required'!B42)</f>
        <v xml:space="preserve"> </v>
      </c>
      <c r="B40" s="788"/>
      <c r="C40" s="1254"/>
      <c r="D40" s="1257">
        <f>'Step 9b--Daily DMI Rations'!AB46</f>
        <v>0</v>
      </c>
      <c r="E40" s="1257"/>
      <c r="F40" s="1274">
        <f>IF('Step 7b--Feedstuff Required'!E42=0,0,D40/'Step 7b--Feedstuff Required'!E42)</f>
        <v>0</v>
      </c>
      <c r="G40" s="1257"/>
      <c r="H40" s="1271">
        <f>F40*'Step 7b--Feedstuff Required'!Q42</f>
        <v>0</v>
      </c>
      <c r="I40" s="1257"/>
      <c r="J40" s="1259">
        <f>IF('Step 7b--Feedstuff Required'!N42=0,0,H40/'Step 7b--Feedstuff Required'!N42)</f>
        <v>0</v>
      </c>
      <c r="K40" s="1257"/>
      <c r="L40" s="1579">
        <f>J40*'Step 7b--Feedstuff Required'!T42</f>
        <v>0</v>
      </c>
      <c r="M40" s="1257"/>
      <c r="N40" s="1305">
        <f>J40*F3_Length_of_Lactation</f>
        <v>0</v>
      </c>
      <c r="O40" s="1257"/>
      <c r="P40" s="1271">
        <f>N40*Defaults!$D$6</f>
        <v>0</v>
      </c>
      <c r="Q40" s="1306"/>
      <c r="R40" s="1278"/>
      <c r="S40" s="1282">
        <f>'Step 9b--Daily DMI Rations'!BC46</f>
        <v>0</v>
      </c>
      <c r="T40" s="1282"/>
      <c r="U40" s="1300">
        <f>IF('Step 7b--Feedstuff Required'!Z42=0,0,S40/'Step 7b--Feedstuff Required'!Z42)</f>
        <v>0</v>
      </c>
      <c r="V40" s="1282"/>
      <c r="W40" s="1297">
        <f>U40*'Step 7b--Feedstuff Required'!AL42</f>
        <v>0</v>
      </c>
      <c r="X40" s="1282"/>
      <c r="Y40" s="1284">
        <f>IF('Step 7b--Feedstuff Required'!AI42=0,0,W40/'Step 7b--Feedstuff Required'!AI42)</f>
        <v>0</v>
      </c>
      <c r="Z40" s="1282"/>
      <c r="AA40" s="1578">
        <f>Y40*'Step 7b--Feedstuff Required'!AO42</f>
        <v>0</v>
      </c>
      <c r="AB40" s="1282"/>
      <c r="AC40" s="1330">
        <f>Y40*F4_Length_of_Lactation</f>
        <v>0</v>
      </c>
      <c r="AD40" s="1282"/>
      <c r="AE40" s="1297">
        <f>AC40*Defaults!$D$6</f>
        <v>0</v>
      </c>
      <c r="AF40" s="1331"/>
    </row>
    <row r="41" spans="1:32" ht="3.75" customHeight="1">
      <c r="A41" s="3661"/>
      <c r="B41" s="788"/>
      <c r="C41" s="1254"/>
      <c r="D41" s="1257"/>
      <c r="E41" s="1257"/>
      <c r="F41" s="1274"/>
      <c r="G41" s="1257"/>
      <c r="H41" s="1275"/>
      <c r="I41" s="1257"/>
      <c r="J41" s="1276"/>
      <c r="K41" s="1257"/>
      <c r="L41" s="1257"/>
      <c r="M41" s="1257"/>
      <c r="N41" s="1271"/>
      <c r="O41" s="1257"/>
      <c r="P41" s="1271"/>
      <c r="Q41" s="1306"/>
      <c r="R41" s="1278"/>
      <c r="S41" s="1282"/>
      <c r="T41" s="1282"/>
      <c r="U41" s="1300"/>
      <c r="V41" s="1282"/>
      <c r="W41" s="1297"/>
      <c r="X41" s="1282"/>
      <c r="Y41" s="1284"/>
      <c r="Z41" s="1282"/>
      <c r="AA41" s="1282"/>
      <c r="AB41" s="1282"/>
      <c r="AC41" s="1297"/>
      <c r="AD41" s="1282"/>
      <c r="AE41" s="1297"/>
      <c r="AF41" s="1331"/>
    </row>
    <row r="42" spans="1:32" s="20" customFormat="1" ht="15">
      <c r="A42" s="789" t="s">
        <v>5</v>
      </c>
      <c r="B42" s="788"/>
      <c r="C42" s="1254"/>
      <c r="D42" s="1307">
        <f>SUM(D28:D40)</f>
        <v>6.621999999999999</v>
      </c>
      <c r="E42" s="1308"/>
      <c r="F42" s="1307">
        <f>SUM(F28:F40)</f>
        <v>7.512921348314606</v>
      </c>
      <c r="G42" s="1308"/>
      <c r="H42" s="1307">
        <f>SUM(H28:H40)</f>
        <v>8.1139550561797744</v>
      </c>
      <c r="I42" s="1308"/>
      <c r="J42" s="1309">
        <f>SUM(J28:J40)</f>
        <v>1.6188040129161885E-3</v>
      </c>
      <c r="K42" s="1308"/>
      <c r="L42" s="1309">
        <f>SUM(L28:L40)</f>
        <v>1.3040373893970527E-3</v>
      </c>
      <c r="M42" s="1308"/>
      <c r="N42" s="1307">
        <f>SUM(N28:N40)</f>
        <v>0.54527688219986081</v>
      </c>
      <c r="O42" s="1308"/>
      <c r="P42" s="1307">
        <f>SUM(P28:P40)</f>
        <v>0.22066572514080907</v>
      </c>
      <c r="Q42" s="1310"/>
      <c r="R42" s="1278"/>
      <c r="S42" s="1332">
        <f>SUM(S28:S40)</f>
        <v>5.7403499999999994</v>
      </c>
      <c r="T42" s="1333"/>
      <c r="U42" s="1332">
        <f>SUM(U28:U40)</f>
        <v>6.5111587078651683</v>
      </c>
      <c r="V42" s="1333"/>
      <c r="W42" s="1332">
        <f>SUM(W28:W40)</f>
        <v>7.032051404494382</v>
      </c>
      <c r="X42" s="1333"/>
      <c r="Y42" s="1334">
        <f>SUM(Y28:Y40)</f>
        <v>1.476831129258266E-3</v>
      </c>
      <c r="Z42" s="1333"/>
      <c r="AA42" s="1334">
        <f>SUM(AA28:AA40)</f>
        <v>1.1702202353957147E-3</v>
      </c>
      <c r="AB42" s="1333"/>
      <c r="AC42" s="1332">
        <f>SUM(AC28:AC40)</f>
        <v>0.4615392645157933</v>
      </c>
      <c r="AD42" s="1333"/>
      <c r="AE42" s="1332">
        <f>SUM(AE28:AE40)</f>
        <v>0.18677831356878163</v>
      </c>
      <c r="AF42" s="1335"/>
    </row>
    <row r="43" spans="1:32" ht="14.25">
      <c r="A43" s="787"/>
      <c r="B43" s="788"/>
      <c r="C43" s="1254"/>
      <c r="D43" s="1257"/>
      <c r="E43" s="1257"/>
      <c r="F43" s="1274"/>
      <c r="G43" s="1257"/>
      <c r="H43" s="1271"/>
      <c r="I43" s="1257"/>
      <c r="J43" s="1267"/>
      <c r="K43" s="1257"/>
      <c r="L43" s="1257"/>
      <c r="M43" s="1257"/>
      <c r="N43" s="1271"/>
      <c r="O43" s="1257"/>
      <c r="P43" s="1271"/>
      <c r="Q43" s="1306"/>
      <c r="R43" s="1278"/>
      <c r="S43" s="1282"/>
      <c r="T43" s="1282"/>
      <c r="U43" s="1300"/>
      <c r="V43" s="1282"/>
      <c r="W43" s="1297"/>
      <c r="X43" s="1282"/>
      <c r="Y43" s="1292"/>
      <c r="Z43" s="1282"/>
      <c r="AA43" s="1282"/>
      <c r="AB43" s="1282"/>
      <c r="AC43" s="1297"/>
      <c r="AD43" s="1282"/>
      <c r="AE43" s="1297"/>
      <c r="AF43" s="1331"/>
    </row>
    <row r="44" spans="1:32" ht="20.25" customHeight="1">
      <c r="A44" s="4028" t="s">
        <v>891</v>
      </c>
      <c r="B44" s="4855"/>
      <c r="C44" s="4855"/>
      <c r="D44" s="4855"/>
      <c r="E44" s="4855"/>
      <c r="F44" s="4855"/>
      <c r="G44" s="4855"/>
      <c r="H44" s="4855"/>
      <c r="I44" s="4855"/>
      <c r="J44" s="4855"/>
      <c r="K44" s="4855"/>
      <c r="L44" s="4855"/>
      <c r="M44" s="4855"/>
      <c r="N44" s="4855"/>
      <c r="O44" s="4855"/>
      <c r="P44" s="4855"/>
      <c r="Q44" s="4855"/>
      <c r="R44" s="4855"/>
      <c r="S44" s="4855"/>
      <c r="T44" s="4855"/>
      <c r="U44" s="4855"/>
      <c r="V44" s="4855"/>
      <c r="W44" s="4855"/>
      <c r="X44" s="4855"/>
      <c r="Y44" s="4855"/>
      <c r="Z44" s="4855"/>
      <c r="AA44" s="4855"/>
      <c r="AB44" s="4855"/>
      <c r="AC44" s="4855"/>
      <c r="AD44" s="4855"/>
      <c r="AE44" s="4855"/>
      <c r="AF44" s="4856"/>
    </row>
    <row r="45" spans="1:32" ht="14.25">
      <c r="A45" s="3658" t="s">
        <v>7</v>
      </c>
      <c r="B45" s="788"/>
      <c r="C45" s="1254"/>
      <c r="D45" s="1257">
        <f>'Step 9b--Daily DMI Rations'!AB52</f>
        <v>2.3649999999999998</v>
      </c>
      <c r="E45" s="1257"/>
      <c r="F45" s="1274">
        <f>IF('Step 7b--Feedstuff Required'!E48=0,0,D45/'Step 7b--Feedstuff Required'!E48)</f>
        <v>2.6277777777777773</v>
      </c>
      <c r="G45" s="1257"/>
      <c r="H45" s="1271">
        <f>F45*'Step 7b--Feedstuff Required'!Q48</f>
        <v>2.8905555555555553</v>
      </c>
      <c r="I45" s="1257"/>
      <c r="J45" s="1259">
        <f>IF('Step 7a--Feedstuff Required'!N48=0,0,H45/'Step 7a--Feedstuff Required'!N48)</f>
        <v>1.2165637860082304E-3</v>
      </c>
      <c r="K45" s="1257"/>
      <c r="L45" s="1579">
        <f>J45*'Step 7b--Feedstuff Required'!T48</f>
        <v>1.2165637860082304E-3</v>
      </c>
      <c r="M45" s="1257"/>
      <c r="N45" s="1305">
        <f>J45*F3_Length_of_Lactation</f>
        <v>0.40978654793226743</v>
      </c>
      <c r="O45" s="1257"/>
      <c r="P45" s="1271">
        <f>N45*Defaults!$D$6</f>
        <v>0.16583473223293344</v>
      </c>
      <c r="Q45" s="1306"/>
      <c r="R45" s="1278"/>
      <c r="S45" s="1282">
        <f>'Step 9b--Daily DMI Rations'!BC52</f>
        <v>0.78099999999999992</v>
      </c>
      <c r="T45" s="1282"/>
      <c r="U45" s="1300">
        <f>IF('Step 7b--Feedstuff Required'!Z48=0,0,S45/'Step 7b--Feedstuff Required'!Z48)</f>
        <v>0.86777777777777765</v>
      </c>
      <c r="V45" s="1282"/>
      <c r="W45" s="1297">
        <f>U45*'Step 7b--Feedstuff Required'!AL48</f>
        <v>0.95455555555555549</v>
      </c>
      <c r="X45" s="1282"/>
      <c r="Y45" s="1284">
        <f>IF('Step 7b--Feedstuff Required'!AI48=0,0,W45/'Step 7b--Feedstuff Required'!AI48)</f>
        <v>4.0174897119341562E-4</v>
      </c>
      <c r="Z45" s="1282"/>
      <c r="AA45" s="1578">
        <f>Y45*'Step 7b--Feedstuff Required'!AO48</f>
        <v>4.0174897119341562E-4</v>
      </c>
      <c r="AB45" s="1282"/>
      <c r="AC45" s="1330">
        <f>Y45*F4_Length_of_Lactation</f>
        <v>0.12555458847736625</v>
      </c>
      <c r="AD45" s="1282"/>
      <c r="AE45" s="1297">
        <f>AC45*Defaults!$D$6</f>
        <v>5.0810139244008769E-2</v>
      </c>
      <c r="AF45" s="1331"/>
    </row>
    <row r="46" spans="1:32" ht="3.75" customHeight="1">
      <c r="A46" s="3658"/>
      <c r="B46" s="788"/>
      <c r="C46" s="1254"/>
      <c r="D46" s="1257"/>
      <c r="E46" s="1257"/>
      <c r="F46" s="1274"/>
      <c r="G46" s="1257"/>
      <c r="H46" s="1271"/>
      <c r="I46" s="1257"/>
      <c r="J46" s="1259"/>
      <c r="K46" s="1257"/>
      <c r="L46" s="1257"/>
      <c r="M46" s="1257"/>
      <c r="N46" s="1271"/>
      <c r="O46" s="1257"/>
      <c r="P46" s="1271"/>
      <c r="Q46" s="1306"/>
      <c r="R46" s="1278"/>
      <c r="S46" s="1282"/>
      <c r="T46" s="1282"/>
      <c r="U46" s="1300"/>
      <c r="V46" s="1282"/>
      <c r="W46" s="1297"/>
      <c r="X46" s="1282"/>
      <c r="Y46" s="1284"/>
      <c r="Z46" s="1282"/>
      <c r="AA46" s="1282"/>
      <c r="AB46" s="1282"/>
      <c r="AC46" s="1297"/>
      <c r="AD46" s="1282"/>
      <c r="AE46" s="1297"/>
      <c r="AF46" s="1331"/>
    </row>
    <row r="47" spans="1:32" ht="15">
      <c r="A47" s="3658" t="s">
        <v>8</v>
      </c>
      <c r="B47" s="790"/>
      <c r="C47" s="1277"/>
      <c r="D47" s="1257">
        <f>'Step 9b--Daily DMI Rations'!AB54</f>
        <v>0</v>
      </c>
      <c r="E47" s="1257"/>
      <c r="F47" s="1274">
        <f>IF('Step 7b--Feedstuff Required'!E50=0,0,D47/'Step 7b--Feedstuff Required'!E50)</f>
        <v>0</v>
      </c>
      <c r="G47" s="1257"/>
      <c r="H47" s="1271">
        <f>F47*'Step 7b--Feedstuff Required'!Q50</f>
        <v>0</v>
      </c>
      <c r="I47" s="1257"/>
      <c r="J47" s="1259">
        <f>IF('Step 7a--Feedstuff Required'!N50=0,0,H47/'Step 7a--Feedstuff Required'!N50)</f>
        <v>0</v>
      </c>
      <c r="K47" s="1257"/>
      <c r="L47" s="1579">
        <f>J47*'Step 7b--Feedstuff Required'!T50</f>
        <v>0</v>
      </c>
      <c r="M47" s="1257"/>
      <c r="N47" s="1305">
        <f>J47*F3_Length_of_Lactation</f>
        <v>0</v>
      </c>
      <c r="O47" s="1257"/>
      <c r="P47" s="1271">
        <f>N47*Defaults!$D$6</f>
        <v>0</v>
      </c>
      <c r="Q47" s="1306"/>
      <c r="R47" s="1303"/>
      <c r="S47" s="1282">
        <f>'Step 9b--Daily DMI Rations'!BC54</f>
        <v>0</v>
      </c>
      <c r="T47" s="1282"/>
      <c r="U47" s="1300">
        <f>IF('Step 7b--Feedstuff Required'!Z50=0,0,S47/'Step 7b--Feedstuff Required'!Z50)</f>
        <v>0</v>
      </c>
      <c r="V47" s="1282"/>
      <c r="W47" s="1297">
        <f>U47*'Step 7b--Feedstuff Required'!AL50</f>
        <v>0</v>
      </c>
      <c r="X47" s="1282"/>
      <c r="Y47" s="1284">
        <f>IF('Step 7b--Feedstuff Required'!AI50=0,0,W47/'Step 7b--Feedstuff Required'!AI50)</f>
        <v>0</v>
      </c>
      <c r="Z47" s="1282"/>
      <c r="AA47" s="1578">
        <f>Y47*'Step 7b--Feedstuff Required'!AO50</f>
        <v>0</v>
      </c>
      <c r="AB47" s="1282"/>
      <c r="AC47" s="1330">
        <f>Y47*F4_Length_of_Lactation</f>
        <v>0</v>
      </c>
      <c r="AD47" s="1282"/>
      <c r="AE47" s="1297">
        <f>AC47*Defaults!$D$6</f>
        <v>0</v>
      </c>
      <c r="AF47" s="1331"/>
    </row>
    <row r="48" spans="1:32" ht="3.75" customHeight="1">
      <c r="A48" s="3658"/>
      <c r="B48" s="788"/>
      <c r="C48" s="1254"/>
      <c r="D48" s="1257"/>
      <c r="E48" s="1257"/>
      <c r="F48" s="1274"/>
      <c r="G48" s="1257"/>
      <c r="H48" s="1271"/>
      <c r="I48" s="1257"/>
      <c r="J48" s="1259"/>
      <c r="K48" s="1257"/>
      <c r="L48" s="1257"/>
      <c r="M48" s="1257"/>
      <c r="N48" s="1271"/>
      <c r="O48" s="1257"/>
      <c r="P48" s="1271"/>
      <c r="Q48" s="1306"/>
      <c r="R48" s="1278"/>
      <c r="S48" s="1282"/>
      <c r="T48" s="1282"/>
      <c r="U48" s="1300"/>
      <c r="V48" s="1282"/>
      <c r="W48" s="1297"/>
      <c r="X48" s="1282"/>
      <c r="Y48" s="1284"/>
      <c r="Z48" s="1282"/>
      <c r="AA48" s="1282"/>
      <c r="AB48" s="1282"/>
      <c r="AC48" s="1297"/>
      <c r="AD48" s="1282"/>
      <c r="AE48" s="1297"/>
      <c r="AF48" s="1331"/>
    </row>
    <row r="49" spans="1:32" ht="14.25">
      <c r="A49" s="3659" t="str">
        <f>IF('Step 7a--Feedstuff Required'!B52="[add protein source here]"," ",'Step 7a--Feedstuff Required'!B52)</f>
        <v xml:space="preserve"> </v>
      </c>
      <c r="B49" s="788"/>
      <c r="C49" s="1254"/>
      <c r="D49" s="1257">
        <f>'Step 9b--Daily DMI Rations'!AB56</f>
        <v>0</v>
      </c>
      <c r="E49" s="1257"/>
      <c r="F49" s="1274">
        <f>IF('Step 7b--Feedstuff Required'!E52=0,0,D49/'Step 7b--Feedstuff Required'!E52)</f>
        <v>0</v>
      </c>
      <c r="G49" s="1257"/>
      <c r="H49" s="1271">
        <f>F49*'Step 7b--Feedstuff Required'!Q52</f>
        <v>0</v>
      </c>
      <c r="I49" s="1257"/>
      <c r="J49" s="1259">
        <f>IF('Step 7a--Feedstuff Required'!N52=0,0,H49/'Step 7a--Feedstuff Required'!N52)</f>
        <v>0</v>
      </c>
      <c r="K49" s="1257"/>
      <c r="L49" s="1579">
        <f>J49*'Step 7b--Feedstuff Required'!T52</f>
        <v>0</v>
      </c>
      <c r="M49" s="1257"/>
      <c r="N49" s="1305">
        <f>J49*F3_Length_of_Lactation</f>
        <v>0</v>
      </c>
      <c r="O49" s="1257"/>
      <c r="P49" s="1271">
        <f>N49*Defaults!$D$6</f>
        <v>0</v>
      </c>
      <c r="Q49" s="1306"/>
      <c r="R49" s="1278"/>
      <c r="S49" s="1282">
        <f>'Step 9b--Daily DMI Rations'!BC56</f>
        <v>0</v>
      </c>
      <c r="T49" s="1282"/>
      <c r="U49" s="1300">
        <f>IF('Step 7b--Feedstuff Required'!Z52=0,0,S49/'Step 7b--Feedstuff Required'!Z52)</f>
        <v>0</v>
      </c>
      <c r="V49" s="1282"/>
      <c r="W49" s="1297">
        <f>U49*'Step 7b--Feedstuff Required'!AL52</f>
        <v>0</v>
      </c>
      <c r="X49" s="1282"/>
      <c r="Y49" s="1284">
        <f>IF('Step 7b--Feedstuff Required'!AI52=0,0,W49/'Step 7b--Feedstuff Required'!AI52)</f>
        <v>0</v>
      </c>
      <c r="Z49" s="1282"/>
      <c r="AA49" s="1578">
        <f>Y49*'Step 7b--Feedstuff Required'!AO52</f>
        <v>0</v>
      </c>
      <c r="AB49" s="1282"/>
      <c r="AC49" s="1330">
        <f>Y49*F4_Length_of_Lactation</f>
        <v>0</v>
      </c>
      <c r="AD49" s="1282"/>
      <c r="AE49" s="1297">
        <f>AC49*Defaults!$D$6</f>
        <v>0</v>
      </c>
      <c r="AF49" s="1331"/>
    </row>
    <row r="50" spans="1:32" ht="3.75" customHeight="1">
      <c r="A50" s="3658"/>
      <c r="B50" s="788"/>
      <c r="C50" s="1254"/>
      <c r="D50" s="1257"/>
      <c r="E50" s="1257"/>
      <c r="F50" s="1274"/>
      <c r="G50" s="1257"/>
      <c r="H50" s="1271"/>
      <c r="I50" s="1257"/>
      <c r="J50" s="1259"/>
      <c r="K50" s="1257"/>
      <c r="L50" s="1257"/>
      <c r="M50" s="1257"/>
      <c r="N50" s="1271"/>
      <c r="O50" s="1257"/>
      <c r="P50" s="1271"/>
      <c r="Q50" s="1306"/>
      <c r="R50" s="1278"/>
      <c r="S50" s="1282"/>
      <c r="T50" s="1282"/>
      <c r="U50" s="1300"/>
      <c r="V50" s="1282"/>
      <c r="W50" s="1297"/>
      <c r="X50" s="1282"/>
      <c r="Y50" s="1284"/>
      <c r="Z50" s="1282"/>
      <c r="AA50" s="1282"/>
      <c r="AB50" s="1282"/>
      <c r="AC50" s="1297"/>
      <c r="AD50" s="1282"/>
      <c r="AE50" s="1297"/>
      <c r="AF50" s="1331"/>
    </row>
    <row r="51" spans="1:32" ht="14.25">
      <c r="A51" s="3659" t="str">
        <f>IF('Step 7a--Feedstuff Required'!B54="[add protein source here]"," ",'Step 7a--Feedstuff Required'!B54)</f>
        <v xml:space="preserve"> </v>
      </c>
      <c r="B51" s="788"/>
      <c r="C51" s="1254"/>
      <c r="D51" s="1257">
        <f>'Step 9b--Daily DMI Rations'!AB58</f>
        <v>0</v>
      </c>
      <c r="E51" s="1257"/>
      <c r="F51" s="1274">
        <f>IF('Step 7b--Feedstuff Required'!E54=0,0,D51/'Step 7b--Feedstuff Required'!E54)</f>
        <v>0</v>
      </c>
      <c r="G51" s="1257"/>
      <c r="H51" s="1271">
        <f>F51*'Step 7b--Feedstuff Required'!Q54</f>
        <v>0</v>
      </c>
      <c r="I51" s="1257"/>
      <c r="J51" s="1259">
        <f>IF('Step 7a--Feedstuff Required'!N54=0,0,H51/'Step 7a--Feedstuff Required'!N54)</f>
        <v>0</v>
      </c>
      <c r="K51" s="1257"/>
      <c r="L51" s="1579">
        <f>J51*'Step 7b--Feedstuff Required'!T54</f>
        <v>0</v>
      </c>
      <c r="M51" s="1257"/>
      <c r="N51" s="1305">
        <f>J51*F3_Length_of_Lactation</f>
        <v>0</v>
      </c>
      <c r="O51" s="1257"/>
      <c r="P51" s="1271">
        <f>N51*Defaults!$D$6</f>
        <v>0</v>
      </c>
      <c r="Q51" s="1306"/>
      <c r="R51" s="1278"/>
      <c r="S51" s="1282">
        <f>'Step 9b--Daily DMI Rations'!BC58</f>
        <v>0</v>
      </c>
      <c r="T51" s="1282"/>
      <c r="U51" s="1300">
        <f>IF('Step 7b--Feedstuff Required'!Z54=0,0,S51/'Step 7b--Feedstuff Required'!Z54)</f>
        <v>0</v>
      </c>
      <c r="V51" s="1282"/>
      <c r="W51" s="1297">
        <f>U51*'Step 7b--Feedstuff Required'!AL54</f>
        <v>0</v>
      </c>
      <c r="X51" s="1282"/>
      <c r="Y51" s="1284">
        <f>IF('Step 7b--Feedstuff Required'!AI54=0,0,W51/'Step 7b--Feedstuff Required'!AI54)</f>
        <v>0</v>
      </c>
      <c r="Z51" s="1282"/>
      <c r="AA51" s="1578">
        <f>Y51*'Step 7b--Feedstuff Required'!AO54</f>
        <v>0</v>
      </c>
      <c r="AB51" s="1282"/>
      <c r="AC51" s="1330">
        <f>Y51*F4_Length_of_Lactation</f>
        <v>0</v>
      </c>
      <c r="AD51" s="1282"/>
      <c r="AE51" s="1297">
        <f>AC51*Defaults!$D$6</f>
        <v>0</v>
      </c>
      <c r="AF51" s="1331"/>
    </row>
    <row r="52" spans="1:32" ht="3.75" customHeight="1">
      <c r="A52" s="3658"/>
      <c r="B52" s="788"/>
      <c r="C52" s="1254"/>
      <c r="D52" s="1257"/>
      <c r="E52" s="1257"/>
      <c r="F52" s="1274"/>
      <c r="G52" s="1257"/>
      <c r="H52" s="1271"/>
      <c r="I52" s="1257"/>
      <c r="J52" s="1259"/>
      <c r="K52" s="1257"/>
      <c r="L52" s="1257"/>
      <c r="M52" s="1257"/>
      <c r="N52" s="1271"/>
      <c r="O52" s="1257"/>
      <c r="P52" s="1271"/>
      <c r="Q52" s="1306"/>
      <c r="R52" s="1278"/>
      <c r="S52" s="1282"/>
      <c r="T52" s="1282"/>
      <c r="U52" s="1300"/>
      <c r="V52" s="1282"/>
      <c r="W52" s="1297"/>
      <c r="X52" s="1282"/>
      <c r="Y52" s="1284"/>
      <c r="Z52" s="1282"/>
      <c r="AA52" s="1282"/>
      <c r="AB52" s="1282"/>
      <c r="AC52" s="1297"/>
      <c r="AD52" s="1282"/>
      <c r="AE52" s="1297"/>
      <c r="AF52" s="1331"/>
    </row>
    <row r="53" spans="1:32" ht="14.25">
      <c r="A53" s="3659" t="str">
        <f>IF('Step 7a--Feedstuff Required'!B56="[add protein source here]"," ",'Step 7a--Feedstuff Required'!B56)</f>
        <v xml:space="preserve"> </v>
      </c>
      <c r="B53" s="788"/>
      <c r="C53" s="1254"/>
      <c r="D53" s="1257">
        <f>'Step 9b--Daily DMI Rations'!AB60</f>
        <v>0</v>
      </c>
      <c r="E53" s="1257"/>
      <c r="F53" s="1274">
        <f>IF('Step 7b--Feedstuff Required'!E56=0,0,D53/'Step 7b--Feedstuff Required'!E56)</f>
        <v>0</v>
      </c>
      <c r="G53" s="1257"/>
      <c r="H53" s="1271">
        <f>F53*'Step 7b--Feedstuff Required'!Q56</f>
        <v>0</v>
      </c>
      <c r="I53" s="1257"/>
      <c r="J53" s="1259">
        <f>IF('Step 7a--Feedstuff Required'!N56=0,0,H53/'Step 7a--Feedstuff Required'!N56)</f>
        <v>0</v>
      </c>
      <c r="K53" s="1257"/>
      <c r="L53" s="1579">
        <f>J53*'Step 7b--Feedstuff Required'!T56</f>
        <v>0</v>
      </c>
      <c r="M53" s="1257"/>
      <c r="N53" s="1305">
        <f>J53*F3_Length_of_Lactation</f>
        <v>0</v>
      </c>
      <c r="O53" s="1257"/>
      <c r="P53" s="1271">
        <f>N53*Defaults!$D$6</f>
        <v>0</v>
      </c>
      <c r="Q53" s="1306"/>
      <c r="R53" s="1278"/>
      <c r="S53" s="1282">
        <f>'Step 9b--Daily DMI Rations'!BC60</f>
        <v>0</v>
      </c>
      <c r="T53" s="1282"/>
      <c r="U53" s="1300">
        <f>IF('Step 7b--Feedstuff Required'!Z56=0,0,S53/'Step 7b--Feedstuff Required'!Z56)</f>
        <v>0</v>
      </c>
      <c r="V53" s="1282"/>
      <c r="W53" s="1297">
        <f>U53*'Step 7b--Feedstuff Required'!AL56</f>
        <v>0</v>
      </c>
      <c r="X53" s="1282"/>
      <c r="Y53" s="1284">
        <f>IF('Step 7b--Feedstuff Required'!AI56=0,0,W53/'Step 7b--Feedstuff Required'!AI56)</f>
        <v>0</v>
      </c>
      <c r="Z53" s="1282"/>
      <c r="AA53" s="1578">
        <f>Y53*'Step 7b--Feedstuff Required'!AO56</f>
        <v>0</v>
      </c>
      <c r="AB53" s="1282"/>
      <c r="AC53" s="1330">
        <f>Y53*F4_Length_of_Lactation</f>
        <v>0</v>
      </c>
      <c r="AD53" s="1282"/>
      <c r="AE53" s="1297">
        <f>AC53*Defaults!$D$6</f>
        <v>0</v>
      </c>
      <c r="AF53" s="1331"/>
    </row>
    <row r="54" spans="1:32" ht="3.75" customHeight="1">
      <c r="A54" s="787"/>
      <c r="B54" s="788"/>
      <c r="C54" s="1254"/>
      <c r="D54" s="1257"/>
      <c r="E54" s="1257"/>
      <c r="F54" s="1274"/>
      <c r="G54" s="1257"/>
      <c r="H54" s="1275"/>
      <c r="I54" s="1257"/>
      <c r="J54" s="1259"/>
      <c r="K54" s="1257"/>
      <c r="L54" s="1257"/>
      <c r="M54" s="1257"/>
      <c r="N54" s="1271"/>
      <c r="O54" s="1257"/>
      <c r="P54" s="1271"/>
      <c r="Q54" s="1306"/>
      <c r="R54" s="1278"/>
      <c r="S54" s="1282"/>
      <c r="T54" s="1282"/>
      <c r="U54" s="1300"/>
      <c r="V54" s="1282"/>
      <c r="W54" s="1297"/>
      <c r="X54" s="1282"/>
      <c r="Y54" s="1284"/>
      <c r="Z54" s="1282"/>
      <c r="AA54" s="1282"/>
      <c r="AB54" s="1282"/>
      <c r="AC54" s="1297"/>
      <c r="AD54" s="1282"/>
      <c r="AE54" s="1297"/>
      <c r="AF54" s="1331"/>
    </row>
    <row r="55" spans="1:32" s="20" customFormat="1" ht="15">
      <c r="A55" s="791" t="s">
        <v>9</v>
      </c>
      <c r="B55" s="786"/>
      <c r="C55" s="1261"/>
      <c r="D55" s="1307">
        <f>SUM(D45:D53)</f>
        <v>2.3649999999999998</v>
      </c>
      <c r="E55" s="1311"/>
      <c r="F55" s="1307">
        <f>SUM(F45:F53)</f>
        <v>2.6277777777777773</v>
      </c>
      <c r="G55" s="1311"/>
      <c r="H55" s="1307">
        <f>SUM(H45:H53)</f>
        <v>2.8905555555555553</v>
      </c>
      <c r="I55" s="1311"/>
      <c r="J55" s="1309">
        <f>SUM(J45:J53)</f>
        <v>1.2165637860082304E-3</v>
      </c>
      <c r="K55" s="1311"/>
      <c r="L55" s="1309">
        <f>SUM(L45:L53)</f>
        <v>1.2165637860082304E-3</v>
      </c>
      <c r="M55" s="1311"/>
      <c r="N55" s="1307">
        <f>SUM(N45:N53)</f>
        <v>0.40978654793226743</v>
      </c>
      <c r="O55" s="1311"/>
      <c r="P55" s="1307">
        <f>SUM(P45:P53)</f>
        <v>0.16583473223293344</v>
      </c>
      <c r="Q55" s="1310"/>
      <c r="R55" s="1286"/>
      <c r="S55" s="1332">
        <f>SUM(S45:S53)</f>
        <v>0.78099999999999992</v>
      </c>
      <c r="T55" s="1336"/>
      <c r="U55" s="1332">
        <f>SUM(U45:U53)</f>
        <v>0.86777777777777765</v>
      </c>
      <c r="V55" s="1336"/>
      <c r="W55" s="1332">
        <f>SUM(W45:W53)</f>
        <v>0.95455555555555549</v>
      </c>
      <c r="X55" s="1336"/>
      <c r="Y55" s="1334">
        <f>SUM(Y45:Y53)</f>
        <v>4.0174897119341562E-4</v>
      </c>
      <c r="Z55" s="1336"/>
      <c r="AA55" s="1334">
        <f>SUM(AA45:AA53)</f>
        <v>4.0174897119341562E-4</v>
      </c>
      <c r="AB55" s="1336"/>
      <c r="AC55" s="1332">
        <f>SUM(AC45:AC53)</f>
        <v>0.12555458847736625</v>
      </c>
      <c r="AD55" s="1336"/>
      <c r="AE55" s="1332">
        <f>SUM(AE45:AE53)</f>
        <v>5.0810139244008769E-2</v>
      </c>
      <c r="AF55" s="1335"/>
    </row>
    <row r="56" spans="1:32" ht="14.25">
      <c r="A56" s="792"/>
      <c r="B56" s="788"/>
      <c r="C56" s="1254"/>
      <c r="D56" s="1264"/>
      <c r="E56" s="1264"/>
      <c r="F56" s="1270"/>
      <c r="G56" s="1264"/>
      <c r="H56" s="1271"/>
      <c r="I56" s="1264"/>
      <c r="J56" s="1267"/>
      <c r="K56" s="1264"/>
      <c r="L56" s="1264"/>
      <c r="M56" s="1264"/>
      <c r="N56" s="1271"/>
      <c r="O56" s="1264"/>
      <c r="P56" s="1070"/>
      <c r="Q56" s="1306"/>
      <c r="R56" s="1278"/>
      <c r="S56" s="1289"/>
      <c r="T56" s="1289"/>
      <c r="U56" s="1296"/>
      <c r="V56" s="1289"/>
      <c r="W56" s="1297"/>
      <c r="X56" s="1289"/>
      <c r="Y56" s="1292"/>
      <c r="Z56" s="1289"/>
      <c r="AA56" s="1289"/>
      <c r="AB56" s="1289"/>
      <c r="AC56" s="1297"/>
      <c r="AD56" s="1289"/>
      <c r="AE56" s="1072"/>
      <c r="AF56" s="1331"/>
    </row>
    <row r="57" spans="1:32" ht="5.25" customHeight="1">
      <c r="A57" s="1236"/>
      <c r="B57" s="1237"/>
      <c r="C57" s="1312"/>
      <c r="D57" s="1313"/>
      <c r="E57" s="1313"/>
      <c r="F57" s="1314"/>
      <c r="G57" s="1313"/>
      <c r="H57" s="1315"/>
      <c r="I57" s="1313"/>
      <c r="J57" s="1315"/>
      <c r="K57" s="1313"/>
      <c r="L57" s="1313"/>
      <c r="M57" s="1313"/>
      <c r="N57" s="1315"/>
      <c r="O57" s="1313"/>
      <c r="P57" s="1071"/>
      <c r="Q57" s="1316"/>
      <c r="R57" s="1337"/>
      <c r="S57" s="1338"/>
      <c r="T57" s="1338"/>
      <c r="U57" s="1339"/>
      <c r="V57" s="1338"/>
      <c r="W57" s="1340"/>
      <c r="X57" s="1338"/>
      <c r="Y57" s="1340"/>
      <c r="Z57" s="1338"/>
      <c r="AA57" s="1338"/>
      <c r="AB57" s="1338"/>
      <c r="AC57" s="1340"/>
      <c r="AD57" s="1338"/>
      <c r="AE57" s="1073"/>
      <c r="AF57" s="1341"/>
    </row>
    <row r="58" spans="1:32" s="20" customFormat="1" ht="15">
      <c r="A58" s="789" t="s">
        <v>295</v>
      </c>
      <c r="B58" s="793"/>
      <c r="C58" s="1317"/>
      <c r="D58" s="1318">
        <f>D60*Defaults!$D$9</f>
        <v>28.139289600694415</v>
      </c>
      <c r="E58" s="1319" t="s">
        <v>165</v>
      </c>
      <c r="F58" s="1320"/>
      <c r="G58" s="1321"/>
      <c r="H58" s="1318">
        <f>H60*Defaults!$D$9</f>
        <v>62.014267306326623</v>
      </c>
      <c r="I58" s="1319" t="s">
        <v>165</v>
      </c>
      <c r="J58" s="1322"/>
      <c r="K58" s="1321"/>
      <c r="L58" s="1321"/>
      <c r="M58" s="1321"/>
      <c r="N58" s="1322"/>
      <c r="O58" s="1321"/>
      <c r="P58" s="1323"/>
      <c r="Q58" s="1310"/>
      <c r="R58" s="1342"/>
      <c r="S58" s="1343">
        <f>S60*Defaults!$D$9</f>
        <v>21.54044128726909</v>
      </c>
      <c r="T58" s="1344" t="s">
        <v>165</v>
      </c>
      <c r="U58" s="1345"/>
      <c r="V58" s="1346"/>
      <c r="W58" s="1347">
        <f>W60*Defaults!$D$9</f>
        <v>52.81081322107535</v>
      </c>
      <c r="X58" s="1344" t="s">
        <v>165</v>
      </c>
      <c r="Y58" s="1348"/>
      <c r="Z58" s="1346"/>
      <c r="AA58" s="1346"/>
      <c r="AB58" s="1346"/>
      <c r="AC58" s="1348"/>
      <c r="AD58" s="1346"/>
      <c r="AE58" s="1349"/>
      <c r="AF58" s="1335"/>
    </row>
    <row r="59" spans="1:32" s="20" customFormat="1" ht="3" customHeight="1">
      <c r="A59" s="789"/>
      <c r="B59" s="793"/>
      <c r="C59" s="1317"/>
      <c r="D59" s="1318"/>
      <c r="E59" s="1319"/>
      <c r="F59" s="1320"/>
      <c r="G59" s="1321"/>
      <c r="H59" s="1318"/>
      <c r="I59" s="1319"/>
      <c r="J59" s="1322"/>
      <c r="K59" s="1321"/>
      <c r="L59" s="1321"/>
      <c r="M59" s="1321"/>
      <c r="N59" s="1322"/>
      <c r="O59" s="1321"/>
      <c r="P59" s="1323"/>
      <c r="Q59" s="1310"/>
      <c r="R59" s="1342"/>
      <c r="S59" s="1343"/>
      <c r="T59" s="1344"/>
      <c r="U59" s="1345"/>
      <c r="V59" s="1346"/>
      <c r="W59" s="1347"/>
      <c r="X59" s="1344"/>
      <c r="Y59" s="1348"/>
      <c r="Z59" s="1346"/>
      <c r="AA59" s="1346"/>
      <c r="AB59" s="1346"/>
      <c r="AC59" s="1348"/>
      <c r="AD59" s="1346"/>
      <c r="AE59" s="1349"/>
      <c r="AF59" s="1335"/>
    </row>
    <row r="60" spans="1:32" s="20" customFormat="1" ht="15">
      <c r="A60" s="789" t="s">
        <v>296</v>
      </c>
      <c r="B60" s="793"/>
      <c r="C60" s="1317"/>
      <c r="D60" s="1325">
        <f>D25+D42+D55</f>
        <v>62.036525057351732</v>
      </c>
      <c r="E60" s="1326" t="s">
        <v>215</v>
      </c>
      <c r="F60" s="1327"/>
      <c r="G60" s="1321"/>
      <c r="H60" s="1318">
        <f>H25+H42+H55</f>
        <v>136.71808003167573</v>
      </c>
      <c r="I60" s="1326" t="s">
        <v>215</v>
      </c>
      <c r="J60" s="1328"/>
      <c r="K60" s="1321"/>
      <c r="L60" s="1321"/>
      <c r="M60" s="1321"/>
      <c r="N60" s="1322"/>
      <c r="O60" s="1321"/>
      <c r="P60" s="1323"/>
      <c r="Q60" s="1310"/>
      <c r="R60" s="1342"/>
      <c r="S60" s="1350">
        <f>S25+S42+S55</f>
        <v>47.488552292063048</v>
      </c>
      <c r="T60" s="1351" t="s">
        <v>215</v>
      </c>
      <c r="U60" s="1352"/>
      <c r="V60" s="1352"/>
      <c r="W60" s="1347">
        <f>W25+W42+W55</f>
        <v>116.4279334758868</v>
      </c>
      <c r="X60" s="1351" t="s">
        <v>215</v>
      </c>
      <c r="Y60" s="1353"/>
      <c r="Z60" s="1346"/>
      <c r="AA60" s="1346"/>
      <c r="AB60" s="1346"/>
      <c r="AC60" s="1348"/>
      <c r="AD60" s="1346"/>
      <c r="AE60" s="1349"/>
      <c r="AF60" s="1335"/>
    </row>
    <row r="61" spans="1:32" s="20" customFormat="1" ht="3" customHeight="1">
      <c r="A61" s="996"/>
      <c r="B61" s="793"/>
      <c r="C61" s="1317"/>
      <c r="D61" s="1324"/>
      <c r="E61" s="1319"/>
      <c r="F61" s="1320"/>
      <c r="G61" s="1321"/>
      <c r="H61" s="1318"/>
      <c r="I61" s="1321"/>
      <c r="J61" s="1322"/>
      <c r="K61" s="1321"/>
      <c r="L61" s="1321"/>
      <c r="M61" s="1321"/>
      <c r="N61" s="1322"/>
      <c r="O61" s="1321"/>
      <c r="P61" s="1323"/>
      <c r="Q61" s="1310"/>
      <c r="R61" s="1342"/>
      <c r="S61" s="1343"/>
      <c r="T61" s="1344"/>
      <c r="U61" s="1345"/>
      <c r="V61" s="1346"/>
      <c r="W61" s="1347"/>
      <c r="X61" s="1344"/>
      <c r="Y61" s="1348"/>
      <c r="Z61" s="1346"/>
      <c r="AA61" s="1346"/>
      <c r="AB61" s="1346"/>
      <c r="AC61" s="1348"/>
      <c r="AD61" s="1346"/>
      <c r="AE61" s="1349"/>
      <c r="AF61" s="1335"/>
    </row>
    <row r="62" spans="1:32" s="20" customFormat="1" ht="30">
      <c r="A62" s="791" t="s">
        <v>297</v>
      </c>
      <c r="B62" s="793"/>
      <c r="C62" s="1317"/>
      <c r="D62" s="1059"/>
      <c r="E62" s="1059"/>
      <c r="F62" s="1059"/>
      <c r="G62" s="1327"/>
      <c r="H62" s="1059"/>
      <c r="I62" s="1059"/>
      <c r="J62" s="1328">
        <f>J25+J42+J55</f>
        <v>1.3096772615802488E-2</v>
      </c>
      <c r="K62" s="1591"/>
      <c r="L62" s="1328">
        <f>L25+L42+L55</f>
        <v>5.6813006197310662E-3</v>
      </c>
      <c r="M62" s="1327"/>
      <c r="N62" s="1318">
        <f>N25+N42+N55</f>
        <v>4.4115082998592925</v>
      </c>
      <c r="O62" s="1319" t="s">
        <v>109</v>
      </c>
      <c r="P62" s="1318">
        <f>P25+P42+P55</f>
        <v>1.7852740685168866</v>
      </c>
      <c r="Q62" s="1329" t="s">
        <v>285</v>
      </c>
      <c r="R62" s="1342"/>
      <c r="S62" s="1426"/>
      <c r="T62" s="1426"/>
      <c r="U62" s="1426"/>
      <c r="V62" s="1426"/>
      <c r="W62" s="1426"/>
      <c r="X62" s="1426"/>
      <c r="Y62" s="1353">
        <f>Y25+Y42+Y55</f>
        <v>1.035925310953169E-2</v>
      </c>
      <c r="Z62" s="1590"/>
      <c r="AA62" s="1353">
        <f>AA25+AA42+AA55</f>
        <v>3.704575448318842E-3</v>
      </c>
      <c r="AB62" s="1352"/>
      <c r="AC62" s="1347">
        <f>AC25+AC42+AC55</f>
        <v>3.2374737817908437</v>
      </c>
      <c r="AD62" s="1291" t="s">
        <v>109</v>
      </c>
      <c r="AE62" s="1347">
        <f>AE25+AE42+AE55</f>
        <v>1.3101591558421954</v>
      </c>
      <c r="AF62" s="1354" t="s">
        <v>285</v>
      </c>
    </row>
    <row r="63" spans="1:32" ht="3.75" customHeight="1">
      <c r="A63" s="787"/>
      <c r="B63" s="788"/>
      <c r="C63" s="1254"/>
      <c r="D63" s="1257"/>
      <c r="E63" s="1257"/>
      <c r="F63" s="1274"/>
      <c r="G63" s="1257"/>
      <c r="H63" s="1275"/>
      <c r="I63" s="1257"/>
      <c r="J63" s="1276"/>
      <c r="K63" s="1257"/>
      <c r="L63" s="1257"/>
      <c r="M63" s="1257"/>
      <c r="N63" s="1271"/>
      <c r="O63" s="1257"/>
      <c r="P63" s="1070"/>
      <c r="Q63" s="1306"/>
      <c r="R63" s="782"/>
      <c r="S63" s="1355"/>
      <c r="T63" s="1355"/>
      <c r="U63" s="1356"/>
      <c r="V63" s="1355"/>
      <c r="W63" s="1357"/>
      <c r="X63" s="1355"/>
      <c r="Y63" s="1358"/>
      <c r="Z63" s="1355"/>
      <c r="AA63" s="1282"/>
      <c r="AB63" s="1282"/>
      <c r="AC63" s="1359"/>
      <c r="AD63" s="1355"/>
      <c r="AE63" s="496"/>
      <c r="AF63" s="497"/>
    </row>
    <row r="64" spans="1:32" ht="30" customHeight="1">
      <c r="A64" s="4852" t="s">
        <v>20</v>
      </c>
      <c r="B64" s="4853"/>
      <c r="C64" s="4853"/>
      <c r="D64" s="4853"/>
      <c r="E64" s="4853"/>
      <c r="F64" s="4853"/>
      <c r="G64" s="4853"/>
      <c r="H64" s="4853"/>
      <c r="I64" s="4853"/>
      <c r="J64" s="4853"/>
      <c r="K64" s="4853"/>
      <c r="L64" s="4853"/>
      <c r="M64" s="4853"/>
      <c r="N64" s="4853"/>
      <c r="O64" s="4853"/>
      <c r="P64" s="4853"/>
      <c r="Q64" s="4853"/>
      <c r="R64" s="4853"/>
      <c r="S64" s="4853"/>
      <c r="T64" s="4853"/>
      <c r="U64" s="4853"/>
      <c r="V64" s="4853"/>
      <c r="W64" s="4853"/>
      <c r="X64" s="4853"/>
      <c r="Y64" s="4853"/>
      <c r="Z64" s="4853"/>
      <c r="AA64" s="4853"/>
      <c r="AB64" s="4853"/>
      <c r="AC64" s="4853"/>
      <c r="AD64" s="4853"/>
      <c r="AE64" s="4853"/>
      <c r="AF64" s="4854"/>
    </row>
    <row r="65" spans="1:33">
      <c r="A65" s="4847" t="s">
        <v>610</v>
      </c>
      <c r="B65" s="4848"/>
      <c r="C65" s="4848"/>
      <c r="D65" s="4848"/>
      <c r="E65" s="4848"/>
      <c r="F65" s="4848"/>
      <c r="G65" s="4848"/>
      <c r="H65" s="4848"/>
      <c r="I65" s="4848"/>
      <c r="J65" s="4848"/>
      <c r="K65" s="4848"/>
      <c r="L65" s="4848"/>
      <c r="M65" s="4848"/>
      <c r="N65" s="4848"/>
      <c r="O65" s="4848"/>
      <c r="P65" s="4848"/>
      <c r="Q65" s="4848"/>
      <c r="R65" s="4848"/>
      <c r="S65" s="4848"/>
      <c r="T65" s="4848"/>
      <c r="U65" s="4848"/>
      <c r="V65" s="4848"/>
      <c r="W65" s="4848"/>
      <c r="X65" s="4848"/>
      <c r="Y65" s="4848"/>
      <c r="Z65" s="4848"/>
      <c r="AA65" s="4848"/>
      <c r="AB65" s="4848"/>
      <c r="AC65" s="4848"/>
      <c r="AD65" s="4848"/>
      <c r="AE65" s="4848"/>
      <c r="AF65" s="4849"/>
      <c r="AG65" s="1529"/>
    </row>
    <row r="66" spans="1:33">
      <c r="A66" s="4847" t="s">
        <v>611</v>
      </c>
      <c r="B66" s="4848"/>
      <c r="C66" s="4848"/>
      <c r="D66" s="4848"/>
      <c r="E66" s="4848"/>
      <c r="F66" s="4848"/>
      <c r="G66" s="4848"/>
      <c r="H66" s="4848"/>
      <c r="I66" s="4848"/>
      <c r="J66" s="4848"/>
      <c r="K66" s="4848"/>
      <c r="L66" s="4848"/>
      <c r="M66" s="4848"/>
      <c r="N66" s="4848"/>
      <c r="O66" s="4848"/>
      <c r="P66" s="4848"/>
      <c r="Q66" s="4848"/>
      <c r="R66" s="4848"/>
      <c r="S66" s="4848"/>
      <c r="T66" s="4848"/>
      <c r="U66" s="4848"/>
      <c r="V66" s="4848"/>
      <c r="W66" s="4848"/>
      <c r="X66" s="4848"/>
      <c r="Y66" s="4848"/>
      <c r="Z66" s="4848"/>
      <c r="AA66" s="4848"/>
      <c r="AB66" s="4848"/>
      <c r="AC66" s="4848"/>
      <c r="AD66" s="4848"/>
      <c r="AE66" s="4848"/>
      <c r="AF66" s="4849"/>
      <c r="AG66" s="1529"/>
    </row>
    <row r="67" spans="1:33" ht="15" customHeight="1">
      <c r="A67" s="4847" t="s">
        <v>612</v>
      </c>
      <c r="B67" s="4848"/>
      <c r="C67" s="4848"/>
      <c r="D67" s="4848"/>
      <c r="E67" s="4848"/>
      <c r="F67" s="4848"/>
      <c r="G67" s="4848"/>
      <c r="H67" s="4848"/>
      <c r="I67" s="4848"/>
      <c r="J67" s="4848"/>
      <c r="K67" s="4848"/>
      <c r="L67" s="4848"/>
      <c r="M67" s="4848"/>
      <c r="N67" s="4848"/>
      <c r="O67" s="4848"/>
      <c r="P67" s="4848"/>
      <c r="Q67" s="4848"/>
      <c r="R67" s="4848"/>
      <c r="S67" s="4848"/>
      <c r="T67" s="4848"/>
      <c r="U67" s="4848"/>
      <c r="V67" s="4848"/>
      <c r="W67" s="4848"/>
      <c r="X67" s="4848"/>
      <c r="Y67" s="4848"/>
      <c r="Z67" s="4848"/>
      <c r="AA67" s="4848"/>
      <c r="AB67" s="4848"/>
      <c r="AC67" s="4848"/>
      <c r="AD67" s="4848"/>
      <c r="AE67" s="4848"/>
      <c r="AF67" s="4849"/>
      <c r="AG67" s="1529"/>
    </row>
    <row r="68" spans="1:33" ht="15" customHeight="1">
      <c r="A68" s="4847" t="s">
        <v>613</v>
      </c>
      <c r="B68" s="4848"/>
      <c r="C68" s="4848"/>
      <c r="D68" s="4848"/>
      <c r="E68" s="4848"/>
      <c r="F68" s="4848"/>
      <c r="G68" s="4848"/>
      <c r="H68" s="4848"/>
      <c r="I68" s="4848"/>
      <c r="J68" s="4848"/>
      <c r="K68" s="4848"/>
      <c r="L68" s="4848"/>
      <c r="M68" s="4848"/>
      <c r="N68" s="4848"/>
      <c r="O68" s="4848"/>
      <c r="P68" s="4848"/>
      <c r="Q68" s="4848"/>
      <c r="R68" s="4848"/>
      <c r="S68" s="4848"/>
      <c r="T68" s="4848"/>
      <c r="U68" s="4848"/>
      <c r="V68" s="4848"/>
      <c r="W68" s="4848"/>
      <c r="X68" s="4848"/>
      <c r="Y68" s="4848"/>
      <c r="Z68" s="4848"/>
      <c r="AA68" s="4848"/>
      <c r="AB68" s="4848"/>
      <c r="AC68" s="4848"/>
      <c r="AD68" s="4848"/>
      <c r="AE68" s="4848"/>
      <c r="AF68" s="4849"/>
      <c r="AG68" s="1529"/>
    </row>
    <row r="69" spans="1:33" ht="15.75" customHeight="1" thickBot="1">
      <c r="A69" s="4844" t="s">
        <v>614</v>
      </c>
      <c r="B69" s="4845"/>
      <c r="C69" s="4845"/>
      <c r="D69" s="4845"/>
      <c r="E69" s="4845"/>
      <c r="F69" s="4845"/>
      <c r="G69" s="4845"/>
      <c r="H69" s="4845"/>
      <c r="I69" s="4845"/>
      <c r="J69" s="4845"/>
      <c r="K69" s="4845"/>
      <c r="L69" s="4845"/>
      <c r="M69" s="4845"/>
      <c r="N69" s="4845"/>
      <c r="O69" s="4845"/>
      <c r="P69" s="4845"/>
      <c r="Q69" s="4845"/>
      <c r="R69" s="4845"/>
      <c r="S69" s="4845"/>
      <c r="T69" s="4845"/>
      <c r="U69" s="4845"/>
      <c r="V69" s="4845"/>
      <c r="W69" s="4845"/>
      <c r="X69" s="4845"/>
      <c r="Y69" s="4845"/>
      <c r="Z69" s="4845"/>
      <c r="AA69" s="4845"/>
      <c r="AB69" s="4845"/>
      <c r="AC69" s="4845"/>
      <c r="AD69" s="4845"/>
      <c r="AE69" s="4845"/>
      <c r="AF69" s="4846"/>
      <c r="AG69" s="1529"/>
    </row>
    <row r="70" spans="1:33">
      <c r="B70" s="102"/>
      <c r="C70" s="102"/>
      <c r="R70" s="102"/>
    </row>
    <row r="71" spans="1:33">
      <c r="B71" s="102"/>
      <c r="C71" s="102"/>
      <c r="R71" s="102"/>
    </row>
    <row r="72" spans="1:33">
      <c r="B72" s="102"/>
      <c r="C72" s="102"/>
      <c r="R72" s="102"/>
    </row>
    <row r="73" spans="1:33">
      <c r="B73" s="102"/>
      <c r="C73" s="102"/>
      <c r="R73" s="102"/>
    </row>
  </sheetData>
  <sheetProtection password="E0BE" sheet="1" objects="1" scenarios="1"/>
  <mergeCells count="30">
    <mergeCell ref="A5:B5"/>
    <mergeCell ref="A6:AF6"/>
    <mergeCell ref="A1:AF1"/>
    <mergeCell ref="C5:E5"/>
    <mergeCell ref="F5:G5"/>
    <mergeCell ref="H5:I5"/>
    <mergeCell ref="J5:K5"/>
    <mergeCell ref="A2:AF2"/>
    <mergeCell ref="C3:Q3"/>
    <mergeCell ref="R3:AF3"/>
    <mergeCell ref="C4:Q4"/>
    <mergeCell ref="R4:AF4"/>
    <mergeCell ref="L5:M5"/>
    <mergeCell ref="AA5:AB5"/>
    <mergeCell ref="A27:AF27"/>
    <mergeCell ref="A44:AF44"/>
    <mergeCell ref="A68:AF68"/>
    <mergeCell ref="A69:AF69"/>
    <mergeCell ref="AC5:AD5"/>
    <mergeCell ref="AE5:AF5"/>
    <mergeCell ref="A64:AF64"/>
    <mergeCell ref="A65:AF65"/>
    <mergeCell ref="A66:AF66"/>
    <mergeCell ref="A67:AF67"/>
    <mergeCell ref="N5:O5"/>
    <mergeCell ref="P5:Q5"/>
    <mergeCell ref="R5:T5"/>
    <mergeCell ref="U5:V5"/>
    <mergeCell ref="W5:X5"/>
    <mergeCell ref="Y5:Z5"/>
  </mergeCells>
  <pageMargins left="0.7" right="0.7" top="0.75" bottom="0.75" header="0.3" footer="0.3"/>
  <pageSetup scale="52" orientation="landscape" r:id="rId1"/>
  <headerFooter>
    <oddFooter>&amp;L&amp;A&amp;C&amp;F&amp;R&amp;D</oddFooter>
  </headerFooter>
</worksheet>
</file>

<file path=xl/worksheets/sheet25.xml><?xml version="1.0" encoding="utf-8"?>
<worksheet xmlns="http://schemas.openxmlformats.org/spreadsheetml/2006/main" xmlns:r="http://schemas.openxmlformats.org/officeDocument/2006/relationships">
  <sheetPr codeName="Sheet49">
    <pageSetUpPr fitToPage="1"/>
  </sheetPr>
  <dimension ref="A1:BE73"/>
  <sheetViews>
    <sheetView zoomScale="75" zoomScaleNormal="75" workbookViewId="0">
      <selection activeCell="C20" sqref="C20"/>
    </sheetView>
  </sheetViews>
  <sheetFormatPr defaultRowHeight="12.75"/>
  <cols>
    <col min="1" max="1" width="24.85546875" customWidth="1"/>
    <col min="2" max="2" width="1.42578125" customWidth="1"/>
    <col min="3" max="3" width="11.7109375" customWidth="1"/>
    <col min="4" max="5" width="1.42578125" customWidth="1"/>
    <col min="6" max="6" width="11.85546875" customWidth="1"/>
    <col min="7" max="8" width="1.42578125" customWidth="1"/>
    <col min="9" max="9" width="11.7109375" customWidth="1"/>
    <col min="10" max="11" width="1.42578125" customWidth="1"/>
    <col min="12" max="12" width="13.140625" customWidth="1"/>
    <col min="13" max="13" width="1.42578125" customWidth="1"/>
    <col min="14" max="14" width="1.28515625" customWidth="1"/>
    <col min="15" max="15" width="11.28515625" customWidth="1"/>
    <col min="16" max="16" width="3.7109375" customWidth="1"/>
    <col min="17" max="17" width="1.28515625" customWidth="1"/>
    <col min="18" max="18" width="10.7109375" customWidth="1"/>
    <col min="19" max="19" width="3.7109375" customWidth="1"/>
    <col min="20" max="20" width="1.28515625" customWidth="1"/>
    <col min="21" max="21" width="11" customWidth="1"/>
    <col min="22" max="22" width="3.85546875" customWidth="1"/>
    <col min="23" max="23" width="1.28515625" customWidth="1"/>
    <col min="24" max="24" width="9.5703125" customWidth="1"/>
    <col min="25" max="25" width="5.85546875" style="6" customWidth="1"/>
    <col min="26" max="26" width="1.28515625" customWidth="1"/>
    <col min="27" max="27" width="11.28515625" customWidth="1"/>
    <col min="28" max="28" width="3.7109375" customWidth="1"/>
    <col min="29" max="29" width="1.28515625" customWidth="1"/>
    <col min="30" max="30" width="10.7109375" customWidth="1"/>
    <col min="31" max="31" width="3.7109375" customWidth="1"/>
    <col min="32" max="32" width="1.28515625" customWidth="1"/>
    <col min="33" max="33" width="10.7109375" customWidth="1"/>
    <col min="34" max="34" width="3.85546875" customWidth="1"/>
    <col min="35" max="35" width="1.28515625" customWidth="1"/>
    <col min="36" max="36" width="9.5703125" customWidth="1"/>
    <col min="37" max="37" width="5.85546875" style="6" customWidth="1"/>
    <col min="39" max="40" width="18.42578125" customWidth="1"/>
    <col min="41" max="41" width="16.7109375" bestFit="1" customWidth="1"/>
    <col min="42" max="43" width="15.42578125" bestFit="1" customWidth="1"/>
  </cols>
  <sheetData>
    <row r="1" spans="1:5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3"/>
      <c r="AL1" s="1707"/>
      <c r="AM1" s="1706"/>
      <c r="AN1" s="1706"/>
      <c r="AO1" s="1706"/>
      <c r="AP1" s="1706"/>
      <c r="AQ1" s="1706"/>
      <c r="AR1" s="1706"/>
      <c r="AS1" s="1706"/>
      <c r="AT1" s="1706"/>
      <c r="AU1" s="1706"/>
      <c r="AV1" s="1706"/>
      <c r="AW1" s="1706"/>
      <c r="AX1" s="1706"/>
      <c r="AY1" s="1706"/>
      <c r="AZ1" s="1706"/>
      <c r="BA1" s="1706"/>
      <c r="BB1" s="1706"/>
      <c r="BC1" s="1706"/>
      <c r="BD1" s="1706"/>
      <c r="BE1" s="103"/>
    </row>
    <row r="2" spans="1:57" ht="28.5" customHeight="1">
      <c r="A2" s="4769" t="s">
        <v>984</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0"/>
      <c r="AG2" s="4770"/>
      <c r="AH2" s="4770"/>
      <c r="AI2" s="4770"/>
      <c r="AJ2" s="4770"/>
      <c r="AK2" s="4771"/>
    </row>
    <row r="3" spans="1:57" ht="36" customHeight="1">
      <c r="A3" s="1417"/>
      <c r="B3" s="4885" t="s">
        <v>1498</v>
      </c>
      <c r="C3" s="4886"/>
      <c r="D3" s="4886"/>
      <c r="E3" s="4886"/>
      <c r="F3" s="4886"/>
      <c r="G3" s="4886"/>
      <c r="H3" s="4886"/>
      <c r="I3" s="4886"/>
      <c r="J3" s="4886"/>
      <c r="K3" s="4886"/>
      <c r="L3" s="4886"/>
      <c r="M3" s="4887"/>
      <c r="N3" s="4784" t="str">
        <f>'Chosen Parameters-Part I'!B4</f>
        <v>Scenario 1</v>
      </c>
      <c r="O3" s="4785"/>
      <c r="P3" s="4785"/>
      <c r="Q3" s="4785"/>
      <c r="R3" s="4785"/>
      <c r="S3" s="4785"/>
      <c r="T3" s="4785"/>
      <c r="U3" s="4785"/>
      <c r="V3" s="4785"/>
      <c r="W3" s="4785"/>
      <c r="X3" s="4785"/>
      <c r="Y3" s="4786"/>
      <c r="Z3" s="4788" t="str">
        <f>'Chosen Parameters-Part I'!C4</f>
        <v>Scenario 2</v>
      </c>
      <c r="AA3" s="4788"/>
      <c r="AB3" s="4788"/>
      <c r="AC3" s="4788"/>
      <c r="AD3" s="4788"/>
      <c r="AE3" s="4788"/>
      <c r="AF3" s="4788"/>
      <c r="AG3" s="4788"/>
      <c r="AH3" s="4788"/>
      <c r="AI3" s="4788"/>
      <c r="AJ3" s="4788"/>
      <c r="AK3" s="4789"/>
    </row>
    <row r="4" spans="1:57" ht="36" customHeight="1">
      <c r="A4" s="1418"/>
      <c r="B4" s="4888"/>
      <c r="C4" s="4889"/>
      <c r="D4" s="4889"/>
      <c r="E4" s="4889"/>
      <c r="F4" s="4889"/>
      <c r="G4" s="4889"/>
      <c r="H4" s="4889"/>
      <c r="I4" s="4889"/>
      <c r="J4" s="4889"/>
      <c r="K4" s="4889"/>
      <c r="L4" s="4889"/>
      <c r="M4" s="4890"/>
      <c r="N4" s="4894" t="str">
        <f>'Step 1 -- Herd Profile'!B4</f>
        <v>Intensive Conventional Management with Holsteins and rbST</v>
      </c>
      <c r="O4" s="4895"/>
      <c r="P4" s="4895"/>
      <c r="Q4" s="4895"/>
      <c r="R4" s="4895"/>
      <c r="S4" s="4895"/>
      <c r="T4" s="4895"/>
      <c r="U4" s="4895"/>
      <c r="V4" s="4895"/>
      <c r="W4" s="4895"/>
      <c r="X4" s="4895"/>
      <c r="Y4" s="4896"/>
      <c r="Z4" s="4891" t="str">
        <f>'Step 1 -- Herd Profile'!M4</f>
        <v>Conventional Management, Holsteins</v>
      </c>
      <c r="AA4" s="4892"/>
      <c r="AB4" s="4892"/>
      <c r="AC4" s="4892"/>
      <c r="AD4" s="4892"/>
      <c r="AE4" s="4892"/>
      <c r="AF4" s="4892"/>
      <c r="AG4" s="4892"/>
      <c r="AH4" s="4892"/>
      <c r="AI4" s="4892"/>
      <c r="AJ4" s="4892"/>
      <c r="AK4" s="4893"/>
    </row>
    <row r="5" spans="1:57" s="10" customFormat="1" ht="78.75" customHeight="1">
      <c r="A5" s="3126"/>
      <c r="B5" s="4881" t="s">
        <v>497</v>
      </c>
      <c r="C5" s="4882"/>
      <c r="D5" s="4884"/>
      <c r="E5" s="4881" t="s">
        <v>1400</v>
      </c>
      <c r="F5" s="4882"/>
      <c r="G5" s="4884"/>
      <c r="H5" s="4881" t="s">
        <v>1401</v>
      </c>
      <c r="I5" s="4882"/>
      <c r="J5" s="4884"/>
      <c r="K5" s="4881" t="s">
        <v>291</v>
      </c>
      <c r="L5" s="4882"/>
      <c r="M5" s="4883"/>
      <c r="N5" s="4590" t="s">
        <v>294</v>
      </c>
      <c r="O5" s="4591"/>
      <c r="P5" s="4592"/>
      <c r="Q5" s="4593" t="s">
        <v>511</v>
      </c>
      <c r="R5" s="4591"/>
      <c r="S5" s="4592"/>
      <c r="T5" s="4593" t="s">
        <v>512</v>
      </c>
      <c r="U5" s="4591"/>
      <c r="V5" s="4592"/>
      <c r="W5" s="4593" t="s">
        <v>513</v>
      </c>
      <c r="X5" s="4591"/>
      <c r="Y5" s="4617"/>
      <c r="Z5" s="4897" t="s">
        <v>294</v>
      </c>
      <c r="AA5" s="4898"/>
      <c r="AB5" s="4899"/>
      <c r="AC5" s="4900" t="s">
        <v>511</v>
      </c>
      <c r="AD5" s="4898"/>
      <c r="AE5" s="4899"/>
      <c r="AF5" s="4900" t="s">
        <v>512</v>
      </c>
      <c r="AG5" s="4898"/>
      <c r="AH5" s="4899"/>
      <c r="AI5" s="4900" t="s">
        <v>513</v>
      </c>
      <c r="AJ5" s="4898"/>
      <c r="AK5" s="4901"/>
    </row>
    <row r="6" spans="1:57" ht="20.25" customHeight="1">
      <c r="A6" s="4028" t="s">
        <v>968</v>
      </c>
      <c r="B6" s="4855"/>
      <c r="C6" s="4855"/>
      <c r="D6" s="4855"/>
      <c r="E6" s="4855"/>
      <c r="F6" s="4855"/>
      <c r="G6" s="4855"/>
      <c r="H6" s="4855"/>
      <c r="I6" s="4855"/>
      <c r="J6" s="4855"/>
      <c r="K6" s="4855"/>
      <c r="L6" s="4855"/>
      <c r="M6" s="4855"/>
      <c r="N6" s="4855"/>
      <c r="O6" s="4855"/>
      <c r="P6" s="4855"/>
      <c r="Q6" s="4855"/>
      <c r="R6" s="4855"/>
      <c r="S6" s="4855"/>
      <c r="T6" s="4855"/>
      <c r="U6" s="4855"/>
      <c r="V6" s="4855"/>
      <c r="W6" s="4855"/>
      <c r="X6" s="4855"/>
      <c r="Y6" s="4855"/>
      <c r="Z6" s="4855"/>
      <c r="AA6" s="4855"/>
      <c r="AB6" s="4855"/>
      <c r="AC6" s="4855"/>
      <c r="AD6" s="4855"/>
      <c r="AE6" s="4855"/>
      <c r="AF6" s="4855"/>
      <c r="AG6" s="4855"/>
      <c r="AH6" s="4855"/>
      <c r="AI6" s="4855"/>
      <c r="AJ6" s="4855"/>
      <c r="AK6" s="4856"/>
    </row>
    <row r="7" spans="1:57" ht="3" customHeight="1">
      <c r="A7" s="1224"/>
      <c r="B7" s="1381"/>
      <c r="C7" s="1396"/>
      <c r="D7" s="1392"/>
      <c r="E7" s="1392"/>
      <c r="F7" s="1392"/>
      <c r="G7" s="1392"/>
      <c r="H7" s="1392"/>
      <c r="I7" s="1392"/>
      <c r="J7" s="1378"/>
      <c r="K7" s="1378"/>
      <c r="L7" s="1378"/>
      <c r="M7" s="1378"/>
      <c r="N7" s="1368"/>
      <c r="O7" s="1361"/>
      <c r="P7" s="1361"/>
      <c r="Q7" s="1361"/>
      <c r="R7" s="1362"/>
      <c r="S7" s="1361"/>
      <c r="T7" s="1361"/>
      <c r="U7" s="1366"/>
      <c r="V7" s="1361"/>
      <c r="W7" s="1361"/>
      <c r="X7" s="1366"/>
      <c r="Y7" s="1369"/>
      <c r="Z7" s="1407"/>
      <c r="AA7" s="1408"/>
      <c r="AB7" s="1408"/>
      <c r="AC7" s="1408"/>
      <c r="AD7" s="1409"/>
      <c r="AE7" s="1408"/>
      <c r="AF7" s="1408"/>
      <c r="AG7" s="1410"/>
      <c r="AH7" s="1408"/>
      <c r="AI7" s="1408"/>
      <c r="AJ7" s="1410"/>
      <c r="AK7" s="1454"/>
    </row>
    <row r="8" spans="1:57" ht="14.25">
      <c r="A8" s="3658" t="s">
        <v>28</v>
      </c>
      <c r="B8" s="1381"/>
      <c r="C8" s="3542">
        <v>1E-8</v>
      </c>
      <c r="D8" s="1392"/>
      <c r="E8" s="1392"/>
      <c r="F8" s="3548">
        <v>0.3</v>
      </c>
      <c r="G8" s="1392"/>
      <c r="H8" s="1392"/>
      <c r="I8" s="3548">
        <v>0.2</v>
      </c>
      <c r="J8" s="1378"/>
      <c r="K8" s="1378"/>
      <c r="L8" s="3543" t="s">
        <v>1228</v>
      </c>
      <c r="M8" s="1378"/>
      <c r="N8" s="1368"/>
      <c r="O8" s="1361">
        <f>'Step 10a--Required Acres'!N7</f>
        <v>1.1141808339850232</v>
      </c>
      <c r="P8" s="1361"/>
      <c r="Q8" s="1361"/>
      <c r="R8" s="1362">
        <f>IF(Options!$AE$24=TRUE,0,O8*$C8)</f>
        <v>1.1141808339850232E-8</v>
      </c>
      <c r="S8" s="1361"/>
      <c r="T8" s="1361"/>
      <c r="U8" s="1366">
        <f>IF(Options!$AE$24=TRUE,0,O8*$F8)</f>
        <v>0.33425425019550697</v>
      </c>
      <c r="V8" s="1361"/>
      <c r="W8" s="1361"/>
      <c r="X8" s="1366">
        <f>IF(Options!$AE$24=TRUE,0,O8*$I8)</f>
        <v>0.22283616679700466</v>
      </c>
      <c r="Y8" s="1369"/>
      <c r="Z8" s="1407"/>
      <c r="AA8" s="1408">
        <f>'Step 10a--Required Acres'!AC7</f>
        <v>1.1057225578048557</v>
      </c>
      <c r="AB8" s="1408"/>
      <c r="AC8" s="1408"/>
      <c r="AD8" s="1409">
        <f>IF(Options!$AF$24=TRUE,0,AA8*$C8)</f>
        <v>1.1057225578048557E-8</v>
      </c>
      <c r="AE8" s="1408"/>
      <c r="AF8" s="1408"/>
      <c r="AG8" s="1410">
        <f>IF(Options!$AF$24=TRUE,0,AA8*$F8)</f>
        <v>0.33171676734145672</v>
      </c>
      <c r="AH8" s="1408"/>
      <c r="AI8" s="1408"/>
      <c r="AJ8" s="1410">
        <f>IF(Options!$AF$24=TRUE,0,AA8*$I8)</f>
        <v>0.22114451156097115</v>
      </c>
      <c r="AK8" s="1454"/>
    </row>
    <row r="9" spans="1:57" ht="3" customHeight="1">
      <c r="A9" s="3658"/>
      <c r="B9" s="1381"/>
      <c r="C9" s="1396"/>
      <c r="D9" s="1392"/>
      <c r="E9" s="1392"/>
      <c r="F9" s="1392"/>
      <c r="G9" s="1392"/>
      <c r="H9" s="1392"/>
      <c r="I9" s="1392"/>
      <c r="J9" s="1378"/>
      <c r="K9" s="1378"/>
      <c r="L9" s="1378"/>
      <c r="M9" s="1378"/>
      <c r="N9" s="1368"/>
      <c r="O9" s="1361"/>
      <c r="P9" s="1361"/>
      <c r="Q9" s="1361"/>
      <c r="R9" s="1362"/>
      <c r="S9" s="1361"/>
      <c r="T9" s="1361"/>
      <c r="U9" s="1366"/>
      <c r="V9" s="1361"/>
      <c r="W9" s="1361"/>
      <c r="X9" s="1366"/>
      <c r="Y9" s="1369"/>
      <c r="Z9" s="1407"/>
      <c r="AA9" s="1408"/>
      <c r="AB9" s="1408"/>
      <c r="AC9" s="1408"/>
      <c r="AD9" s="1409"/>
      <c r="AE9" s="1408"/>
      <c r="AF9" s="1408"/>
      <c r="AG9" s="1410"/>
      <c r="AH9" s="1408"/>
      <c r="AI9" s="1408"/>
      <c r="AJ9" s="1410"/>
      <c r="AK9" s="1454"/>
    </row>
    <row r="10" spans="1:57" ht="14.25">
      <c r="A10" s="3658" t="s">
        <v>29</v>
      </c>
      <c r="B10" s="1381"/>
      <c r="C10" s="3542">
        <v>79.2</v>
      </c>
      <c r="D10" s="1392"/>
      <c r="E10" s="1392"/>
      <c r="F10" s="3548">
        <v>0.3</v>
      </c>
      <c r="G10" s="1392"/>
      <c r="H10" s="1392"/>
      <c r="I10" s="3548">
        <v>0.2</v>
      </c>
      <c r="J10" s="1378"/>
      <c r="K10" s="1378"/>
      <c r="L10" s="3543" t="s">
        <v>1228</v>
      </c>
      <c r="M10" s="1378"/>
      <c r="N10" s="1368"/>
      <c r="O10" s="1361">
        <f>'Step 10a--Required Acres'!N9</f>
        <v>0</v>
      </c>
      <c r="P10" s="1361"/>
      <c r="Q10" s="1361"/>
      <c r="R10" s="1362">
        <f>IF(Options!$AE$24=TRUE,0,O10*$C10)</f>
        <v>0</v>
      </c>
      <c r="S10" s="1361"/>
      <c r="T10" s="1361"/>
      <c r="U10" s="1366">
        <f>IF(Options!$AE$24=TRUE,0,O10*$F10)</f>
        <v>0</v>
      </c>
      <c r="V10" s="1361"/>
      <c r="W10" s="1361"/>
      <c r="X10" s="1366">
        <f>IF(Options!$AE$24=TRUE,0,O10*$I10)</f>
        <v>0</v>
      </c>
      <c r="Y10" s="1369"/>
      <c r="Z10" s="1407"/>
      <c r="AA10" s="1408">
        <f>'Step 10a--Required Acres'!AC9</f>
        <v>6.80862626506024E-2</v>
      </c>
      <c r="AB10" s="1408"/>
      <c r="AC10" s="1408"/>
      <c r="AD10" s="1409">
        <f>IF(Options!$AF$24=TRUE,0,AA10*$C10)</f>
        <v>5.3924320019277099</v>
      </c>
      <c r="AE10" s="1408"/>
      <c r="AF10" s="1408"/>
      <c r="AG10" s="1410">
        <f>IF(Options!$AF$24=TRUE,0,AA10*$F10)</f>
        <v>2.0425878795180718E-2</v>
      </c>
      <c r="AH10" s="1408"/>
      <c r="AI10" s="1408"/>
      <c r="AJ10" s="1410">
        <f>IF(Options!$AF$24=TRUE,0,AA10*$I10)</f>
        <v>1.361725253012048E-2</v>
      </c>
      <c r="AK10" s="1454"/>
    </row>
    <row r="11" spans="1:57" ht="3" customHeight="1">
      <c r="A11" s="3658"/>
      <c r="B11" s="1381"/>
      <c r="C11" s="3542"/>
      <c r="D11" s="1392"/>
      <c r="E11" s="1392"/>
      <c r="F11" s="1392"/>
      <c r="G11" s="1392"/>
      <c r="H11" s="1392"/>
      <c r="I11" s="1392"/>
      <c r="J11" s="1378"/>
      <c r="K11" s="1378"/>
      <c r="L11" s="1378"/>
      <c r="M11" s="1378"/>
      <c r="N11" s="1368"/>
      <c r="O11" s="1361"/>
      <c r="P11" s="1361"/>
      <c r="Q11" s="1361"/>
      <c r="R11" s="1362"/>
      <c r="S11" s="1361"/>
      <c r="T11" s="1361"/>
      <c r="U11" s="1366"/>
      <c r="V11" s="1361"/>
      <c r="W11" s="1361"/>
      <c r="X11" s="1366"/>
      <c r="Y11" s="1369"/>
      <c r="Z11" s="1407"/>
      <c r="AA11" s="1408"/>
      <c r="AB11" s="1408"/>
      <c r="AC11" s="1408"/>
      <c r="AD11" s="1409"/>
      <c r="AE11" s="1408"/>
      <c r="AF11" s="1408"/>
      <c r="AG11" s="1410"/>
      <c r="AH11" s="1408"/>
      <c r="AI11" s="1408"/>
      <c r="AJ11" s="1410"/>
      <c r="AK11" s="1454"/>
    </row>
    <row r="12" spans="1:57" ht="14.25">
      <c r="A12" s="3658" t="s">
        <v>3</v>
      </c>
      <c r="B12" s="1381"/>
      <c r="C12" s="3542">
        <v>132</v>
      </c>
      <c r="D12" s="1392"/>
      <c r="E12" s="1392"/>
      <c r="F12" s="3548">
        <v>2.1</v>
      </c>
      <c r="G12" s="1392"/>
      <c r="H12" s="1392"/>
      <c r="I12" s="3548">
        <v>0.2</v>
      </c>
      <c r="J12" s="1378"/>
      <c r="K12" s="1378"/>
      <c r="L12" s="3543" t="s">
        <v>24</v>
      </c>
      <c r="M12" s="1378"/>
      <c r="N12" s="1368"/>
      <c r="O12" s="1361">
        <f>'Step 10a--Required Acres'!N11</f>
        <v>0.64479716643222507</v>
      </c>
      <c r="P12" s="1361"/>
      <c r="Q12" s="1361"/>
      <c r="R12" s="1362">
        <f>IF(Options!$AE$24=TRUE,0,O12*$C12)</f>
        <v>85.113225969053715</v>
      </c>
      <c r="S12" s="1361"/>
      <c r="T12" s="1361"/>
      <c r="U12" s="1366">
        <f>IF(Options!$AE$24=TRUE,0,O12*$F12)</f>
        <v>1.3540740495076726</v>
      </c>
      <c r="V12" s="1361"/>
      <c r="W12" s="1361"/>
      <c r="X12" s="1366">
        <f>IF(Options!$AE$24=TRUE,0,O12*$I12)</f>
        <v>0.12895943328644502</v>
      </c>
      <c r="Y12" s="1369"/>
      <c r="Z12" s="1407"/>
      <c r="AA12" s="1408">
        <f>'Step 10a--Required Acres'!AC11</f>
        <v>0.53880697377746278</v>
      </c>
      <c r="AB12" s="1408"/>
      <c r="AC12" s="1408"/>
      <c r="AD12" s="1409">
        <f>IF(Options!$AF$24=TRUE,0,AA12*$C12)</f>
        <v>71.122520538625082</v>
      </c>
      <c r="AE12" s="1408"/>
      <c r="AF12" s="1408"/>
      <c r="AG12" s="1410">
        <f>IF(Options!$AF$24=TRUE,0,AA12*$F12)</f>
        <v>1.1314946449326719</v>
      </c>
      <c r="AH12" s="1408"/>
      <c r="AI12" s="1408"/>
      <c r="AJ12" s="1410">
        <f>IF(Options!$AF$24=TRUE,0,AA12*$I12)</f>
        <v>0.10776139475549257</v>
      </c>
      <c r="AK12" s="1454"/>
    </row>
    <row r="13" spans="1:57" ht="3" customHeight="1">
      <c r="A13" s="3658"/>
      <c r="B13" s="1381"/>
      <c r="C13" s="1396"/>
      <c r="D13" s="1392"/>
      <c r="E13" s="1392"/>
      <c r="F13" s="1392"/>
      <c r="G13" s="1392"/>
      <c r="H13" s="1392"/>
      <c r="I13" s="1392"/>
      <c r="J13" s="1378"/>
      <c r="K13" s="1378"/>
      <c r="L13" s="1378"/>
      <c r="M13" s="1378"/>
      <c r="N13" s="1368"/>
      <c r="O13" s="1361"/>
      <c r="P13" s="1361"/>
      <c r="Q13" s="1361"/>
      <c r="R13" s="1362"/>
      <c r="S13" s="1361"/>
      <c r="T13" s="1361"/>
      <c r="U13" s="1366"/>
      <c r="V13" s="1361"/>
      <c r="W13" s="1361"/>
      <c r="X13" s="1366"/>
      <c r="Y13" s="1369"/>
      <c r="Z13" s="1407"/>
      <c r="AA13" s="1408"/>
      <c r="AB13" s="1408"/>
      <c r="AC13" s="1408"/>
      <c r="AD13" s="1409"/>
      <c r="AE13" s="1408"/>
      <c r="AF13" s="1408"/>
      <c r="AG13" s="1410"/>
      <c r="AH13" s="1408"/>
      <c r="AI13" s="1408"/>
      <c r="AJ13" s="1410"/>
      <c r="AK13" s="1454"/>
    </row>
    <row r="14" spans="1:57" ht="14.25">
      <c r="A14" s="3658" t="s">
        <v>30</v>
      </c>
      <c r="B14" s="1381"/>
      <c r="C14" s="3542">
        <v>79.2</v>
      </c>
      <c r="D14" s="1392"/>
      <c r="E14" s="1392"/>
      <c r="F14" s="3548">
        <v>0.3</v>
      </c>
      <c r="G14" s="1392"/>
      <c r="H14" s="1392"/>
      <c r="I14" s="3548">
        <v>0.2</v>
      </c>
      <c r="J14" s="1378"/>
      <c r="K14" s="1378"/>
      <c r="L14" s="3543" t="s">
        <v>1228</v>
      </c>
      <c r="M14" s="1378"/>
      <c r="N14" s="1368"/>
      <c r="O14" s="1361">
        <f>'Step 10a--Required Acres'!N13</f>
        <v>0.37542242264833275</v>
      </c>
      <c r="P14" s="1361"/>
      <c r="Q14" s="1361"/>
      <c r="R14" s="1362">
        <f>IF(Options!$AE$24=TRUE,0,O14*$C14)</f>
        <v>29.733455873747957</v>
      </c>
      <c r="S14" s="1361"/>
      <c r="T14" s="1361"/>
      <c r="U14" s="1366">
        <f>IF(Options!$AE$24=TRUE,0,O14*$F14)</f>
        <v>0.11262672679449982</v>
      </c>
      <c r="V14" s="1361"/>
      <c r="W14" s="1361"/>
      <c r="X14" s="1366">
        <f>IF(Options!$AE$24=TRUE,0,O14*$I14)</f>
        <v>7.5084484529666554E-2</v>
      </c>
      <c r="Y14" s="1369"/>
      <c r="Z14" s="1407"/>
      <c r="AA14" s="1408">
        <f>'Step 10a--Required Acres'!AC13</f>
        <v>0.4010922023285618</v>
      </c>
      <c r="AB14" s="1408"/>
      <c r="AC14" s="1408"/>
      <c r="AD14" s="1409">
        <f>IF(Options!$AF$24=TRUE,0,AA14*$C14)</f>
        <v>31.766502424422097</v>
      </c>
      <c r="AE14" s="1408"/>
      <c r="AF14" s="1408"/>
      <c r="AG14" s="1410">
        <f>IF(Options!$AF$24=TRUE,0,AA14*$F14)</f>
        <v>0.12032766069856854</v>
      </c>
      <c r="AH14" s="1408"/>
      <c r="AI14" s="1408"/>
      <c r="AJ14" s="1410">
        <f>IF(Options!$AF$24=TRUE,0,AA14*$I14)</f>
        <v>8.021844046571236E-2</v>
      </c>
      <c r="AK14" s="1454"/>
    </row>
    <row r="15" spans="1:57" ht="3" customHeight="1">
      <c r="A15" s="3658"/>
      <c r="B15" s="1381"/>
      <c r="C15" s="1396"/>
      <c r="D15" s="1392"/>
      <c r="E15" s="1392"/>
      <c r="F15" s="1392"/>
      <c r="G15" s="1392"/>
      <c r="H15" s="1392"/>
      <c r="I15" s="1392"/>
      <c r="J15" s="1378"/>
      <c r="K15" s="1378"/>
      <c r="L15" s="1378"/>
      <c r="M15" s="1378"/>
      <c r="N15" s="1368"/>
      <c r="O15" s="1361"/>
      <c r="P15" s="1361"/>
      <c r="Q15" s="1361"/>
      <c r="R15" s="1362"/>
      <c r="S15" s="1361"/>
      <c r="T15" s="1361"/>
      <c r="U15" s="1366"/>
      <c r="V15" s="1361"/>
      <c r="W15" s="1361"/>
      <c r="X15" s="1366"/>
      <c r="Y15" s="1369"/>
      <c r="Z15" s="1407"/>
      <c r="AA15" s="1408"/>
      <c r="AB15" s="1408"/>
      <c r="AC15" s="1408"/>
      <c r="AD15" s="1409"/>
      <c r="AE15" s="1408"/>
      <c r="AF15" s="1408"/>
      <c r="AG15" s="1410"/>
      <c r="AH15" s="1408"/>
      <c r="AI15" s="1408"/>
      <c r="AJ15" s="1410"/>
      <c r="AK15" s="1454"/>
    </row>
    <row r="16" spans="1:57" ht="14.25">
      <c r="A16" s="3658" t="s">
        <v>19</v>
      </c>
      <c r="B16" s="1381"/>
      <c r="C16" s="3542">
        <v>39.6</v>
      </c>
      <c r="D16" s="1392"/>
      <c r="E16" s="1392"/>
      <c r="F16" s="3548">
        <v>0</v>
      </c>
      <c r="G16" s="1392"/>
      <c r="H16" s="1392"/>
      <c r="I16" s="3548">
        <v>0</v>
      </c>
      <c r="J16" s="1378"/>
      <c r="K16" s="1378"/>
      <c r="L16" s="3543" t="s">
        <v>1228</v>
      </c>
      <c r="M16" s="1378"/>
      <c r="N16" s="1368"/>
      <c r="O16" s="1361">
        <f>'Step 10a--Required Acres'!N15</f>
        <v>0.62421650120997885</v>
      </c>
      <c r="P16" s="1361"/>
      <c r="Q16" s="1361"/>
      <c r="R16" s="1362">
        <f>IF(Options!$AE$24=TRUE,0,O16*$C16)</f>
        <v>24.718973447915165</v>
      </c>
      <c r="S16" s="1361"/>
      <c r="T16" s="1361"/>
      <c r="U16" s="1366">
        <f>IF(Options!$AE$24=TRUE,0,O16*$F16)</f>
        <v>0</v>
      </c>
      <c r="V16" s="1361"/>
      <c r="W16" s="1361"/>
      <c r="X16" s="1366">
        <f>IF(Options!$AE$24=TRUE,0,O16*$I16)</f>
        <v>0</v>
      </c>
      <c r="Y16" s="1369"/>
      <c r="Z16" s="1407"/>
      <c r="AA16" s="1408">
        <f>'Step 10a--Required Acres'!AC15</f>
        <v>0.60458198675338426</v>
      </c>
      <c r="AB16" s="1408"/>
      <c r="AC16" s="1408"/>
      <c r="AD16" s="1409">
        <f>IF(Options!$AF$24=TRUE,0,AA16*$C16)</f>
        <v>23.941446675434019</v>
      </c>
      <c r="AE16" s="1408"/>
      <c r="AF16" s="1408"/>
      <c r="AG16" s="1410">
        <f>IF(Options!$AF$24=TRUE,0,AA16*$F16)</f>
        <v>0</v>
      </c>
      <c r="AH16" s="1408"/>
      <c r="AI16" s="1408"/>
      <c r="AJ16" s="1410">
        <f>IF(Options!$AF$24=TRUE,0,AA16*$I16)</f>
        <v>0</v>
      </c>
      <c r="AK16" s="1454"/>
    </row>
    <row r="17" spans="1:37" ht="3" customHeight="1">
      <c r="A17" s="3658"/>
      <c r="B17" s="1381"/>
      <c r="C17" s="1396"/>
      <c r="D17" s="1392"/>
      <c r="E17" s="1392"/>
      <c r="F17" s="1392"/>
      <c r="G17" s="1392"/>
      <c r="H17" s="1392"/>
      <c r="I17" s="1392"/>
      <c r="J17" s="1378"/>
      <c r="K17" s="1378"/>
      <c r="L17" s="1378"/>
      <c r="M17" s="1378"/>
      <c r="N17" s="1368"/>
      <c r="O17" s="1361"/>
      <c r="P17" s="1361"/>
      <c r="Q17" s="1361"/>
      <c r="R17" s="1362"/>
      <c r="S17" s="1361"/>
      <c r="T17" s="1361"/>
      <c r="U17" s="1366"/>
      <c r="V17" s="1361"/>
      <c r="W17" s="1361"/>
      <c r="X17" s="1366"/>
      <c r="Y17" s="1369"/>
      <c r="Z17" s="1407"/>
      <c r="AA17" s="1408"/>
      <c r="AB17" s="1408"/>
      <c r="AC17" s="1408"/>
      <c r="AD17" s="1409"/>
      <c r="AE17" s="1408"/>
      <c r="AF17" s="1408"/>
      <c r="AG17" s="1410"/>
      <c r="AH17" s="1408"/>
      <c r="AI17" s="1408"/>
      <c r="AJ17" s="1410"/>
      <c r="AK17" s="1454"/>
    </row>
    <row r="18" spans="1:37" ht="14.25">
      <c r="A18" s="3658" t="s">
        <v>31</v>
      </c>
      <c r="B18" s="1381"/>
      <c r="C18" s="3542">
        <v>39.6</v>
      </c>
      <c r="D18" s="1392"/>
      <c r="E18" s="1392"/>
      <c r="F18" s="3548">
        <v>0.3</v>
      </c>
      <c r="G18" s="1392"/>
      <c r="H18" s="1392"/>
      <c r="I18" s="3548">
        <v>0.2</v>
      </c>
      <c r="J18" s="1378"/>
      <c r="K18" s="1378"/>
      <c r="L18" s="3543" t="s">
        <v>1228</v>
      </c>
      <c r="M18" s="1378"/>
      <c r="N18" s="1368"/>
      <c r="O18" s="1361">
        <f>'Step 10a--Required Acres'!N17</f>
        <v>0.45050690717799935</v>
      </c>
      <c r="P18" s="1361"/>
      <c r="Q18" s="1361"/>
      <c r="R18" s="1362">
        <f>IF(Options!$AE$24=TRUE,0,O18*$C18)</f>
        <v>17.840073524248776</v>
      </c>
      <c r="S18" s="1361"/>
      <c r="T18" s="1361"/>
      <c r="U18" s="1366">
        <f>IF(Options!$AE$24=TRUE,0,O18*$F18)</f>
        <v>0.1351520721533998</v>
      </c>
      <c r="V18" s="1361"/>
      <c r="W18" s="1361"/>
      <c r="X18" s="1366">
        <f>IF(Options!$AE$24=TRUE,0,O18*$I18)</f>
        <v>9.010138143559987E-2</v>
      </c>
      <c r="Y18" s="1369"/>
      <c r="Z18" s="1407"/>
      <c r="AA18" s="1408">
        <f>'Step 10a--Required Acres'!AC17</f>
        <v>0.38868701205799572</v>
      </c>
      <c r="AB18" s="1408"/>
      <c r="AC18" s="1408"/>
      <c r="AD18" s="1409">
        <f>IF(Options!$AF$24=TRUE,0,AA18*$C18)</f>
        <v>15.392005677496631</v>
      </c>
      <c r="AE18" s="1408"/>
      <c r="AF18" s="1408"/>
      <c r="AG18" s="1410">
        <f>IF(Options!$AF$24=TRUE,0,AA18*$F18)</f>
        <v>0.1166061036173987</v>
      </c>
      <c r="AH18" s="1408"/>
      <c r="AI18" s="1408"/>
      <c r="AJ18" s="1410">
        <f>IF(Options!$AF$24=TRUE,0,AA18*$I18)</f>
        <v>7.7737402411599155E-2</v>
      </c>
      <c r="AK18" s="1454"/>
    </row>
    <row r="19" spans="1:37" ht="3" customHeight="1">
      <c r="A19" s="3658"/>
      <c r="B19" s="1381"/>
      <c r="C19" s="1396"/>
      <c r="D19" s="1392"/>
      <c r="E19" s="1392"/>
      <c r="F19" s="1392"/>
      <c r="G19" s="1392"/>
      <c r="H19" s="1392"/>
      <c r="I19" s="1392"/>
      <c r="J19" s="1378"/>
      <c r="K19" s="1378"/>
      <c r="L19" s="1378"/>
      <c r="M19" s="1378"/>
      <c r="N19" s="1368"/>
      <c r="O19" s="1361"/>
      <c r="P19" s="1361"/>
      <c r="Q19" s="1361"/>
      <c r="R19" s="1362"/>
      <c r="S19" s="1361"/>
      <c r="T19" s="1361"/>
      <c r="U19" s="1366"/>
      <c r="V19" s="1361"/>
      <c r="W19" s="1361"/>
      <c r="X19" s="1366"/>
      <c r="Y19" s="1369"/>
      <c r="Z19" s="1407"/>
      <c r="AA19" s="1408"/>
      <c r="AB19" s="1408"/>
      <c r="AC19" s="1408"/>
      <c r="AD19" s="1409"/>
      <c r="AE19" s="1408"/>
      <c r="AF19" s="1408"/>
      <c r="AG19" s="1410"/>
      <c r="AH19" s="1408"/>
      <c r="AI19" s="1408"/>
      <c r="AJ19" s="1410"/>
      <c r="AK19" s="1454"/>
    </row>
    <row r="20" spans="1:37" ht="14.25">
      <c r="A20" s="3659" t="str">
        <f>IF('Step 7a--Feedstuff Required'!B20="[add forage crop here]"," ",'Step 7a--Feedstuff Required'!B20)</f>
        <v xml:space="preserve"> </v>
      </c>
      <c r="B20" s="1382"/>
      <c r="C20" s="1401"/>
      <c r="D20" s="1392"/>
      <c r="E20" s="1392"/>
      <c r="F20" s="3551"/>
      <c r="G20" s="1392"/>
      <c r="H20" s="1392"/>
      <c r="I20" s="3551"/>
      <c r="J20" s="1379"/>
      <c r="K20" s="1379"/>
      <c r="L20" s="3546"/>
      <c r="M20" s="1379"/>
      <c r="N20" s="1368"/>
      <c r="O20" s="1361">
        <f>'Step 10a--Required Acres'!N19</f>
        <v>0</v>
      </c>
      <c r="P20" s="1361"/>
      <c r="Q20" s="1361"/>
      <c r="R20" s="1362">
        <f>IF(Options!$AE$24=TRUE,0,O20*$C20)</f>
        <v>0</v>
      </c>
      <c r="S20" s="1361"/>
      <c r="T20" s="1361"/>
      <c r="U20" s="1366">
        <f>IF(Options!$AE$24=TRUE,0,O20*$F20)</f>
        <v>0</v>
      </c>
      <c r="V20" s="1361"/>
      <c r="W20" s="1361"/>
      <c r="X20" s="1366">
        <f>IF(Options!$AE$24=TRUE,0,O20*$I20)</f>
        <v>0</v>
      </c>
      <c r="Y20" s="1369"/>
      <c r="Z20" s="1407"/>
      <c r="AA20" s="1408">
        <f>'Step 10a--Required Acres'!AC19</f>
        <v>0</v>
      </c>
      <c r="AB20" s="1408"/>
      <c r="AC20" s="1408"/>
      <c r="AD20" s="1409">
        <f>IF(Options!$AF$24=TRUE,0,AA20*$C20)</f>
        <v>0</v>
      </c>
      <c r="AE20" s="1408"/>
      <c r="AF20" s="1408"/>
      <c r="AG20" s="1410">
        <f>IF(Options!$AF$24=TRUE,0,AA20*$F20)</f>
        <v>0</v>
      </c>
      <c r="AH20" s="1408"/>
      <c r="AI20" s="1408"/>
      <c r="AJ20" s="1410">
        <f>IF(Options!$AF$24=TRUE,0,AA20*$I20)</f>
        <v>0</v>
      </c>
      <c r="AK20" s="1454"/>
    </row>
    <row r="21" spans="1:37" ht="3" customHeight="1">
      <c r="A21" s="3658"/>
      <c r="B21" s="1381"/>
      <c r="C21" s="1396"/>
      <c r="D21" s="1392"/>
      <c r="E21" s="1392"/>
      <c r="F21" s="1392"/>
      <c r="G21" s="1392"/>
      <c r="H21" s="1392"/>
      <c r="I21" s="1392"/>
      <c r="J21" s="1378"/>
      <c r="K21" s="1378"/>
      <c r="L21" s="1391"/>
      <c r="M21" s="1378"/>
      <c r="N21" s="1368"/>
      <c r="O21" s="1361"/>
      <c r="P21" s="1361"/>
      <c r="Q21" s="1361"/>
      <c r="R21" s="1362"/>
      <c r="S21" s="1361"/>
      <c r="T21" s="1361"/>
      <c r="U21" s="1366"/>
      <c r="V21" s="1361"/>
      <c r="W21" s="1361"/>
      <c r="X21" s="1366"/>
      <c r="Y21" s="1369"/>
      <c r="Z21" s="1407"/>
      <c r="AA21" s="1408"/>
      <c r="AB21" s="1408"/>
      <c r="AC21" s="1408"/>
      <c r="AD21" s="1409"/>
      <c r="AE21" s="1408"/>
      <c r="AF21" s="1408"/>
      <c r="AG21" s="1410"/>
      <c r="AH21" s="1408"/>
      <c r="AI21" s="1408"/>
      <c r="AJ21" s="1410"/>
      <c r="AK21" s="1454"/>
    </row>
    <row r="22" spans="1:37" ht="14.25">
      <c r="A22" s="3659" t="str">
        <f>IF('Step 7a--Feedstuff Required'!B22="[add forage crop here]"," ",'Step 7a--Feedstuff Required'!B22)</f>
        <v xml:space="preserve"> </v>
      </c>
      <c r="B22" s="1382"/>
      <c r="C22" s="1401"/>
      <c r="D22" s="1392"/>
      <c r="E22" s="1392"/>
      <c r="F22" s="3551"/>
      <c r="G22" s="1392"/>
      <c r="H22" s="1392"/>
      <c r="I22" s="3551"/>
      <c r="J22" s="1379"/>
      <c r="K22" s="1379"/>
      <c r="L22" s="3546"/>
      <c r="M22" s="1379"/>
      <c r="N22" s="1368"/>
      <c r="O22" s="1361">
        <f>'Step 10a--Required Acres'!N21</f>
        <v>0</v>
      </c>
      <c r="P22" s="1361"/>
      <c r="Q22" s="1361"/>
      <c r="R22" s="1362">
        <f>IF(Options!$AE$24=TRUE,0,O22*$C22)</f>
        <v>0</v>
      </c>
      <c r="S22" s="1361"/>
      <c r="T22" s="1361"/>
      <c r="U22" s="1366">
        <f>IF(Options!$AE$24=TRUE,0,O22*$F22)</f>
        <v>0</v>
      </c>
      <c r="V22" s="1361"/>
      <c r="W22" s="1361"/>
      <c r="X22" s="1366">
        <f>IF(Options!$AE$24=TRUE,0,O22*$I22)</f>
        <v>0</v>
      </c>
      <c r="Y22" s="1369"/>
      <c r="Z22" s="1407"/>
      <c r="AA22" s="1408">
        <f>'Step 10a--Required Acres'!AC21</f>
        <v>0</v>
      </c>
      <c r="AB22" s="1408"/>
      <c r="AC22" s="1408"/>
      <c r="AD22" s="1409">
        <f>IF(Options!$AF$24=TRUE,0,AA22*$C22)</f>
        <v>0</v>
      </c>
      <c r="AE22" s="1408"/>
      <c r="AF22" s="1408"/>
      <c r="AG22" s="1410">
        <f>IF(Options!$AF$24=TRUE,0,AA22*$F22)</f>
        <v>0</v>
      </c>
      <c r="AH22" s="1408"/>
      <c r="AI22" s="1408"/>
      <c r="AJ22" s="1410">
        <f>IF(Options!$AF$24=TRUE,0,AA22*$I22)</f>
        <v>0</v>
      </c>
      <c r="AK22" s="1454"/>
    </row>
    <row r="23" spans="1:37" ht="3" customHeight="1">
      <c r="A23" s="3658"/>
      <c r="B23" s="1381"/>
      <c r="C23" s="1396"/>
      <c r="D23" s="1392"/>
      <c r="E23" s="1392"/>
      <c r="F23" s="1392"/>
      <c r="G23" s="1392"/>
      <c r="H23" s="1392"/>
      <c r="I23" s="1392"/>
      <c r="J23" s="1378"/>
      <c r="K23" s="1378"/>
      <c r="L23" s="1391"/>
      <c r="M23" s="1378"/>
      <c r="N23" s="1368"/>
      <c r="O23" s="1361"/>
      <c r="P23" s="1361"/>
      <c r="Q23" s="1361"/>
      <c r="R23" s="1362"/>
      <c r="S23" s="1361"/>
      <c r="T23" s="1361"/>
      <c r="U23" s="1366"/>
      <c r="V23" s="1361"/>
      <c r="W23" s="1361"/>
      <c r="X23" s="1366"/>
      <c r="Y23" s="1369"/>
      <c r="Z23" s="1407"/>
      <c r="AA23" s="1408"/>
      <c r="AB23" s="1408"/>
      <c r="AC23" s="1408"/>
      <c r="AD23" s="1409"/>
      <c r="AE23" s="1408"/>
      <c r="AF23" s="1408"/>
      <c r="AG23" s="1410"/>
      <c r="AH23" s="1408"/>
      <c r="AI23" s="1408"/>
      <c r="AJ23" s="1410"/>
      <c r="AK23" s="1454"/>
    </row>
    <row r="24" spans="1:37" ht="14.25">
      <c r="A24" s="3659" t="str">
        <f>IF('Step 7a--Feedstuff Required'!B24="[add forage crop here]"," ",'Step 7a--Feedstuff Required'!B24)</f>
        <v xml:space="preserve"> </v>
      </c>
      <c r="B24" s="1382"/>
      <c r="C24" s="1401"/>
      <c r="D24" s="1392"/>
      <c r="E24" s="1392"/>
      <c r="F24" s="3551"/>
      <c r="G24" s="1392"/>
      <c r="H24" s="1392"/>
      <c r="I24" s="3551"/>
      <c r="J24" s="1379"/>
      <c r="K24" s="1379"/>
      <c r="L24" s="3546"/>
      <c r="M24" s="1379"/>
      <c r="N24" s="1368"/>
      <c r="O24" s="1361">
        <f>'Step 10a--Required Acres'!N23</f>
        <v>0</v>
      </c>
      <c r="P24" s="1361"/>
      <c r="Q24" s="1361"/>
      <c r="R24" s="1362">
        <f>IF(Options!$AE$24=TRUE,0,O24*$C24)</f>
        <v>0</v>
      </c>
      <c r="S24" s="1361"/>
      <c r="T24" s="1361"/>
      <c r="U24" s="1366">
        <f>IF(Options!$AE$24=TRUE,0,O24*$F24)</f>
        <v>0</v>
      </c>
      <c r="V24" s="1361"/>
      <c r="W24" s="1361"/>
      <c r="X24" s="1366">
        <f>IF(Options!$AE$24=TRUE,0,O24*$I24)</f>
        <v>0</v>
      </c>
      <c r="Y24" s="1369"/>
      <c r="Z24" s="1407"/>
      <c r="AA24" s="1408">
        <f>'Step 10a--Required Acres'!AC23</f>
        <v>0</v>
      </c>
      <c r="AB24" s="1408"/>
      <c r="AC24" s="1408"/>
      <c r="AD24" s="1409">
        <f>IF(Options!$AF$24=TRUE,0,AA24*$C24)</f>
        <v>0</v>
      </c>
      <c r="AE24" s="1408"/>
      <c r="AF24" s="1408"/>
      <c r="AG24" s="1410">
        <f>IF(Options!$AF$24=TRUE,0,AA24*$F24)</f>
        <v>0</v>
      </c>
      <c r="AH24" s="1408"/>
      <c r="AI24" s="1408"/>
      <c r="AJ24" s="1410">
        <f>IF(Options!$AF$24=TRUE,0,AA24*$I24)</f>
        <v>0</v>
      </c>
      <c r="AK24" s="1454"/>
    </row>
    <row r="25" spans="1:37" ht="3" customHeight="1">
      <c r="A25" s="1224"/>
      <c r="B25" s="1381"/>
      <c r="C25" s="1396"/>
      <c r="D25" s="1392"/>
      <c r="E25" s="1392"/>
      <c r="F25" s="1392"/>
      <c r="G25" s="1392"/>
      <c r="H25" s="1392"/>
      <c r="I25" s="1392"/>
      <c r="J25" s="1378"/>
      <c r="K25" s="1378"/>
      <c r="L25" s="1378"/>
      <c r="M25" s="1378"/>
      <c r="N25" s="1368"/>
      <c r="O25" s="1361"/>
      <c r="P25" s="1361"/>
      <c r="Q25" s="1361"/>
      <c r="R25" s="1362"/>
      <c r="S25" s="1361"/>
      <c r="T25" s="1361"/>
      <c r="U25" s="1366"/>
      <c r="V25" s="1361"/>
      <c r="W25" s="1361"/>
      <c r="X25" s="1366"/>
      <c r="Y25" s="1369"/>
      <c r="Z25" s="1407"/>
      <c r="AA25" s="1408"/>
      <c r="AB25" s="1408"/>
      <c r="AC25" s="1408"/>
      <c r="AD25" s="1409"/>
      <c r="AE25" s="1408"/>
      <c r="AF25" s="1408"/>
      <c r="AG25" s="1410"/>
      <c r="AH25" s="1408"/>
      <c r="AI25" s="1408"/>
      <c r="AJ25" s="1410"/>
      <c r="AK25" s="1454"/>
    </row>
    <row r="26" spans="1:37" ht="15">
      <c r="A26" s="789" t="s">
        <v>4</v>
      </c>
      <c r="B26" s="1383"/>
      <c r="C26" s="1397"/>
      <c r="D26" s="1393"/>
      <c r="E26" s="1393"/>
      <c r="F26" s="1393"/>
      <c r="G26" s="1393"/>
      <c r="H26" s="1393"/>
      <c r="I26" s="1393"/>
      <c r="J26" s="790"/>
      <c r="K26" s="790"/>
      <c r="L26" s="790"/>
      <c r="M26" s="790"/>
      <c r="N26" s="1370"/>
      <c r="O26" s="1400">
        <f>SUM(O8:O24)</f>
        <v>3.2091238314535593</v>
      </c>
      <c r="P26" s="1362"/>
      <c r="Q26" s="1362"/>
      <c r="R26" s="1400">
        <f>SUM(R8:R24)</f>
        <v>157.40572882610741</v>
      </c>
      <c r="S26" s="1362"/>
      <c r="T26" s="1362"/>
      <c r="U26" s="1400">
        <f>SUM(U8:U24)</f>
        <v>1.9361070986510793</v>
      </c>
      <c r="V26" s="1362"/>
      <c r="W26" s="1362"/>
      <c r="X26" s="1400">
        <f>SUM(X8:X24)</f>
        <v>0.51698146604871609</v>
      </c>
      <c r="Y26" s="1371"/>
      <c r="Z26" s="1411"/>
      <c r="AA26" s="1412">
        <f>SUM(AA8:AA24)</f>
        <v>3.1069769953728628</v>
      </c>
      <c r="AB26" s="1409"/>
      <c r="AC26" s="1409"/>
      <c r="AD26" s="1412">
        <f>SUM(AD8:AD24)</f>
        <v>147.61490732896277</v>
      </c>
      <c r="AE26" s="1409"/>
      <c r="AF26" s="1409"/>
      <c r="AG26" s="1412">
        <f>SUM(AG8:AG24)</f>
        <v>1.7205710553852767</v>
      </c>
      <c r="AH26" s="1409"/>
      <c r="AI26" s="1409"/>
      <c r="AJ26" s="1412">
        <f>SUM(AJ8:AJ24)</f>
        <v>0.5004790017238957</v>
      </c>
      <c r="AK26" s="1455"/>
    </row>
    <row r="27" spans="1:37" ht="14.25">
      <c r="A27" s="787"/>
      <c r="B27" s="1384"/>
      <c r="C27" s="1398"/>
      <c r="D27" s="1394"/>
      <c r="E27" s="1394"/>
      <c r="F27" s="1394"/>
      <c r="G27" s="1394"/>
      <c r="H27" s="1394"/>
      <c r="I27" s="1394"/>
      <c r="J27" s="788"/>
      <c r="K27" s="788"/>
      <c r="L27" s="788"/>
      <c r="M27" s="788"/>
      <c r="N27" s="1372"/>
      <c r="O27" s="1363"/>
      <c r="P27" s="1363"/>
      <c r="Q27" s="1363"/>
      <c r="R27" s="1362"/>
      <c r="S27" s="1363"/>
      <c r="T27" s="1363"/>
      <c r="U27" s="1366"/>
      <c r="V27" s="1363"/>
      <c r="W27" s="1363"/>
      <c r="X27" s="1360"/>
      <c r="Y27" s="1373"/>
      <c r="Z27" s="1413"/>
      <c r="AA27" s="1414"/>
      <c r="AB27" s="1414"/>
      <c r="AC27" s="1414"/>
      <c r="AD27" s="1409"/>
      <c r="AE27" s="1414"/>
      <c r="AF27" s="1414"/>
      <c r="AG27" s="1410"/>
      <c r="AH27" s="1414"/>
      <c r="AI27" s="1414"/>
      <c r="AJ27" s="1406"/>
      <c r="AK27" s="1456"/>
    </row>
    <row r="28" spans="1:37" ht="20.25" customHeight="1">
      <c r="A28" s="4028" t="s">
        <v>969</v>
      </c>
      <c r="B28" s="4855"/>
      <c r="C28" s="4855"/>
      <c r="D28" s="4855"/>
      <c r="E28" s="4855"/>
      <c r="F28" s="4855"/>
      <c r="G28" s="4855"/>
      <c r="H28" s="4855"/>
      <c r="I28" s="4855"/>
      <c r="J28" s="4855"/>
      <c r="K28" s="4855"/>
      <c r="L28" s="4855"/>
      <c r="M28" s="4855"/>
      <c r="N28" s="4855"/>
      <c r="O28" s="4855"/>
      <c r="P28" s="4855"/>
      <c r="Q28" s="4855"/>
      <c r="R28" s="4855"/>
      <c r="S28" s="4855"/>
      <c r="T28" s="4855"/>
      <c r="U28" s="4855"/>
      <c r="V28" s="4855"/>
      <c r="W28" s="4855"/>
      <c r="X28" s="4855"/>
      <c r="Y28" s="4855"/>
      <c r="Z28" s="4855"/>
      <c r="AA28" s="4855"/>
      <c r="AB28" s="4855"/>
      <c r="AC28" s="4855"/>
      <c r="AD28" s="4855"/>
      <c r="AE28" s="4855"/>
      <c r="AF28" s="4855"/>
      <c r="AG28" s="4855"/>
      <c r="AH28" s="4855"/>
      <c r="AI28" s="4855"/>
      <c r="AJ28" s="4855"/>
      <c r="AK28" s="4856"/>
    </row>
    <row r="29" spans="1:37" ht="3" customHeight="1">
      <c r="A29" s="1224"/>
      <c r="B29" s="1381"/>
      <c r="C29" s="1396"/>
      <c r="D29" s="1392"/>
      <c r="E29" s="1392"/>
      <c r="F29" s="1392"/>
      <c r="G29" s="1392"/>
      <c r="H29" s="1392"/>
      <c r="I29" s="1392"/>
      <c r="J29" s="1378"/>
      <c r="K29" s="1378"/>
      <c r="L29" s="1378"/>
      <c r="M29" s="1378"/>
      <c r="N29" s="1368"/>
      <c r="O29" s="1361"/>
      <c r="P29" s="1361"/>
      <c r="Q29" s="1361"/>
      <c r="R29" s="1362"/>
      <c r="S29" s="1361"/>
      <c r="T29" s="1361"/>
      <c r="U29" s="1366"/>
      <c r="V29" s="1361"/>
      <c r="W29" s="1361"/>
      <c r="X29" s="1366"/>
      <c r="Y29" s="1369"/>
      <c r="Z29" s="1407"/>
      <c r="AA29" s="1408"/>
      <c r="AB29" s="1408"/>
      <c r="AC29" s="1408"/>
      <c r="AD29" s="1409"/>
      <c r="AE29" s="1408"/>
      <c r="AF29" s="1408"/>
      <c r="AG29" s="1410"/>
      <c r="AH29" s="1408"/>
      <c r="AI29" s="1408"/>
      <c r="AJ29" s="1410"/>
      <c r="AK29" s="1454"/>
    </row>
    <row r="30" spans="1:37" ht="14.25">
      <c r="A30" s="3658" t="s">
        <v>33</v>
      </c>
      <c r="B30" s="1381"/>
      <c r="C30" s="3542">
        <v>132</v>
      </c>
      <c r="D30" s="1392"/>
      <c r="E30" s="1392"/>
      <c r="F30" s="3548">
        <v>2.1</v>
      </c>
      <c r="G30" s="1392"/>
      <c r="H30" s="1392"/>
      <c r="I30" s="3548">
        <v>0.2</v>
      </c>
      <c r="J30" s="1378"/>
      <c r="K30" s="1378"/>
      <c r="L30" s="3543" t="s">
        <v>1228</v>
      </c>
      <c r="M30" s="1378"/>
      <c r="N30" s="1368"/>
      <c r="O30" s="1361">
        <f>'Step 10a--Required Acres'!N28</f>
        <v>0.76312669377247477</v>
      </c>
      <c r="P30" s="1361"/>
      <c r="Q30" s="1361"/>
      <c r="R30" s="1362">
        <f>IF(Options!$AE$24=TRUE,0,O30*$C30)</f>
        <v>100.73272357796667</v>
      </c>
      <c r="S30" s="1361"/>
      <c r="T30" s="1361"/>
      <c r="U30" s="1366">
        <f>IF(Options!$AE$24=TRUE,0,O30*$F30)</f>
        <v>1.6025660569221971</v>
      </c>
      <c r="V30" s="1361"/>
      <c r="W30" s="1361"/>
      <c r="X30" s="1366">
        <f>IF(Options!$AE$24=TRUE,0,O30*$I30)</f>
        <v>0.15262533875449497</v>
      </c>
      <c r="Y30" s="1369"/>
      <c r="Z30" s="1407"/>
      <c r="AA30" s="1408">
        <f>'Step 10a--Required Acres'!AC28</f>
        <v>0.59353830359030102</v>
      </c>
      <c r="AB30" s="1408"/>
      <c r="AC30" s="1408"/>
      <c r="AD30" s="1409">
        <f>IF(Options!$AF$24=TRUE,0,AA30*$C30)</f>
        <v>78.347056073919731</v>
      </c>
      <c r="AE30" s="1408"/>
      <c r="AF30" s="1408"/>
      <c r="AG30" s="1410">
        <f>IF(Options!$AF$24=TRUE,0,AA30*$F30)</f>
        <v>1.2464304375396322</v>
      </c>
      <c r="AH30" s="1408"/>
      <c r="AI30" s="1408"/>
      <c r="AJ30" s="1410">
        <f>IF(Options!$AF$24=TRUE,0,AA30*$I30)</f>
        <v>0.11870766071806022</v>
      </c>
      <c r="AK30" s="1454"/>
    </row>
    <row r="31" spans="1:37" ht="3" customHeight="1">
      <c r="A31" s="3658"/>
      <c r="B31" s="1381"/>
      <c r="C31" s="1396"/>
      <c r="D31" s="1392"/>
      <c r="E31" s="1392"/>
      <c r="F31" s="1392"/>
      <c r="G31" s="1392"/>
      <c r="H31" s="1392"/>
      <c r="I31" s="1392"/>
      <c r="J31" s="1378"/>
      <c r="K31" s="1378"/>
      <c r="L31" s="1378"/>
      <c r="M31" s="1378"/>
      <c r="N31" s="1368"/>
      <c r="O31" s="1361"/>
      <c r="P31" s="1361"/>
      <c r="Q31" s="1361"/>
      <c r="R31" s="1362"/>
      <c r="S31" s="1361"/>
      <c r="T31" s="1361"/>
      <c r="U31" s="1366"/>
      <c r="V31" s="1361"/>
      <c r="W31" s="1361"/>
      <c r="X31" s="1366"/>
      <c r="Y31" s="1369"/>
      <c r="Z31" s="1407"/>
      <c r="AA31" s="1408"/>
      <c r="AB31" s="1408"/>
      <c r="AC31" s="1408"/>
      <c r="AD31" s="1409"/>
      <c r="AE31" s="1408"/>
      <c r="AF31" s="1408"/>
      <c r="AG31" s="1410"/>
      <c r="AH31" s="1408"/>
      <c r="AI31" s="1408"/>
      <c r="AJ31" s="1410"/>
      <c r="AK31" s="1454"/>
    </row>
    <row r="32" spans="1:37" ht="14.25">
      <c r="A32" s="3658" t="s">
        <v>22</v>
      </c>
      <c r="B32" s="1381"/>
      <c r="C32" s="3542">
        <v>57</v>
      </c>
      <c r="D32" s="1392"/>
      <c r="E32" s="1392"/>
      <c r="F32" s="3548">
        <v>0.7</v>
      </c>
      <c r="G32" s="1392"/>
      <c r="H32" s="1392"/>
      <c r="I32" s="3548">
        <v>0.1</v>
      </c>
      <c r="J32" s="1378"/>
      <c r="K32" s="1378"/>
      <c r="L32" s="3543" t="s">
        <v>23</v>
      </c>
      <c r="M32" s="1378"/>
      <c r="N32" s="1368"/>
      <c r="O32" s="1361">
        <f>'Step 10a--Required Acres'!N30</f>
        <v>0</v>
      </c>
      <c r="P32" s="1361"/>
      <c r="Q32" s="1361"/>
      <c r="R32" s="1362">
        <f>IF(Options!$AE$24=TRUE,0,O32*$C32)</f>
        <v>0</v>
      </c>
      <c r="S32" s="1361"/>
      <c r="T32" s="1361"/>
      <c r="U32" s="1366">
        <f>IF(Options!$AE$24=TRUE,0,O32*$F32)</f>
        <v>0</v>
      </c>
      <c r="V32" s="1361"/>
      <c r="W32" s="1361"/>
      <c r="X32" s="1366">
        <f>IF(Options!$AE$24=TRUE,0,O32*$I32)</f>
        <v>0</v>
      </c>
      <c r="Y32" s="1369"/>
      <c r="Z32" s="1407"/>
      <c r="AA32" s="1408">
        <f>'Step 10a--Required Acres'!AC30</f>
        <v>0</v>
      </c>
      <c r="AB32" s="1408"/>
      <c r="AC32" s="1408"/>
      <c r="AD32" s="1409">
        <f>IF(Options!$AF$24=TRUE,0,AA32*$C32)</f>
        <v>0</v>
      </c>
      <c r="AE32" s="1408"/>
      <c r="AF32" s="1408"/>
      <c r="AG32" s="1410">
        <f>IF(Options!$AF$24=TRUE,0,AA32*$F32)</f>
        <v>0</v>
      </c>
      <c r="AH32" s="1408"/>
      <c r="AI32" s="1408"/>
      <c r="AJ32" s="1410">
        <f>IF(Options!$AF$24=TRUE,0,AA32*$I32)</f>
        <v>0</v>
      </c>
      <c r="AK32" s="1454"/>
    </row>
    <row r="33" spans="1:37" ht="3" customHeight="1">
      <c r="A33" s="3658"/>
      <c r="B33" s="1381"/>
      <c r="C33" s="1396"/>
      <c r="D33" s="1392"/>
      <c r="E33" s="1392"/>
      <c r="F33" s="1392"/>
      <c r="G33" s="1392"/>
      <c r="H33" s="1392"/>
      <c r="I33" s="1392"/>
      <c r="J33" s="1378"/>
      <c r="K33" s="1378"/>
      <c r="L33" s="1378"/>
      <c r="M33" s="1378"/>
      <c r="N33" s="1368"/>
      <c r="O33" s="1361"/>
      <c r="P33" s="1361"/>
      <c r="Q33" s="1361"/>
      <c r="R33" s="1362"/>
      <c r="S33" s="1361"/>
      <c r="T33" s="1361"/>
      <c r="U33" s="1366"/>
      <c r="V33" s="1361"/>
      <c r="W33" s="1361"/>
      <c r="X33" s="1366"/>
      <c r="Y33" s="1369"/>
      <c r="Z33" s="1407"/>
      <c r="AA33" s="1408"/>
      <c r="AB33" s="1408"/>
      <c r="AC33" s="1408"/>
      <c r="AD33" s="1409"/>
      <c r="AE33" s="1408"/>
      <c r="AF33" s="1408"/>
      <c r="AG33" s="1410"/>
      <c r="AH33" s="1408"/>
      <c r="AI33" s="1408"/>
      <c r="AJ33" s="1410"/>
      <c r="AK33" s="1454"/>
    </row>
    <row r="34" spans="1:37" ht="14.25">
      <c r="A34" s="3658" t="s">
        <v>25</v>
      </c>
      <c r="B34" s="1381"/>
      <c r="C34" s="3542">
        <v>25</v>
      </c>
      <c r="D34" s="1392"/>
      <c r="E34" s="1392"/>
      <c r="F34" s="3548">
        <v>1</v>
      </c>
      <c r="G34" s="1392"/>
      <c r="H34" s="1392"/>
      <c r="I34" s="3549">
        <v>0.03</v>
      </c>
      <c r="J34" s="1378"/>
      <c r="K34" s="1378"/>
      <c r="L34" s="3543" t="s">
        <v>24</v>
      </c>
      <c r="M34" s="1378"/>
      <c r="N34" s="1368"/>
      <c r="O34" s="1361">
        <f>'Step 10a--Required Acres'!N32</f>
        <v>0</v>
      </c>
      <c r="P34" s="1361"/>
      <c r="Q34" s="1361"/>
      <c r="R34" s="1362">
        <f>IF(Options!$AE$24=TRUE,0,O34*$C34)</f>
        <v>0</v>
      </c>
      <c r="S34" s="1361"/>
      <c r="T34" s="1361"/>
      <c r="U34" s="1366">
        <f>IF(Options!$AE$24=TRUE,0,O34*$F34)</f>
        <v>0</v>
      </c>
      <c r="V34" s="1361"/>
      <c r="W34" s="1361"/>
      <c r="X34" s="1366">
        <f>IF(Options!$AE$24=TRUE,0,O34*$I34)</f>
        <v>0</v>
      </c>
      <c r="Y34" s="1369"/>
      <c r="Z34" s="1407"/>
      <c r="AA34" s="1408">
        <f>'Step 10a--Required Acres'!AC32</f>
        <v>0</v>
      </c>
      <c r="AB34" s="1408"/>
      <c r="AC34" s="1408"/>
      <c r="AD34" s="1409">
        <f>IF(Options!$AF$24=TRUE,0,AA34*$C34)</f>
        <v>0</v>
      </c>
      <c r="AE34" s="1408"/>
      <c r="AF34" s="1408"/>
      <c r="AG34" s="1410">
        <f>IF(Options!$AF$24=TRUE,0,AA34*$F34)</f>
        <v>0</v>
      </c>
      <c r="AH34" s="1408"/>
      <c r="AI34" s="1408"/>
      <c r="AJ34" s="1410">
        <f>IF(Options!$AF$24=TRUE,0,AA34*$I34)</f>
        <v>0</v>
      </c>
      <c r="AK34" s="1454"/>
    </row>
    <row r="35" spans="1:37" ht="3" customHeight="1">
      <c r="A35" s="3658"/>
      <c r="B35" s="1381"/>
      <c r="C35" s="1396"/>
      <c r="D35" s="1392"/>
      <c r="E35" s="1392"/>
      <c r="F35" s="1392"/>
      <c r="G35" s="1392"/>
      <c r="H35" s="1392"/>
      <c r="I35" s="3550"/>
      <c r="J35" s="1378"/>
      <c r="K35" s="1378"/>
      <c r="L35" s="1378"/>
      <c r="M35" s="1378"/>
      <c r="N35" s="1368"/>
      <c r="O35" s="1361"/>
      <c r="P35" s="1361"/>
      <c r="Q35" s="1361"/>
      <c r="R35" s="1362"/>
      <c r="S35" s="1361"/>
      <c r="T35" s="1361"/>
      <c r="U35" s="1366"/>
      <c r="V35" s="1361"/>
      <c r="W35" s="1361"/>
      <c r="X35" s="1366"/>
      <c r="Y35" s="1369"/>
      <c r="Z35" s="1407"/>
      <c r="AA35" s="1408"/>
      <c r="AB35" s="1408"/>
      <c r="AC35" s="1408"/>
      <c r="AD35" s="1409"/>
      <c r="AE35" s="1408"/>
      <c r="AF35" s="1408"/>
      <c r="AG35" s="1410"/>
      <c r="AH35" s="1408"/>
      <c r="AI35" s="1408"/>
      <c r="AJ35" s="1410"/>
      <c r="AK35" s="1454"/>
    </row>
    <row r="36" spans="1:37" ht="14.25">
      <c r="A36" s="3658" t="s">
        <v>27</v>
      </c>
      <c r="B36" s="1381"/>
      <c r="C36" s="3542">
        <v>58</v>
      </c>
      <c r="D36" s="1392"/>
      <c r="E36" s="1392"/>
      <c r="F36" s="3548">
        <v>0.4</v>
      </c>
      <c r="G36" s="1392"/>
      <c r="H36" s="1392"/>
      <c r="I36" s="3549">
        <v>0.01</v>
      </c>
      <c r="J36" s="1378"/>
      <c r="K36" s="1378"/>
      <c r="L36" s="3543" t="s">
        <v>26</v>
      </c>
      <c r="M36" s="1378"/>
      <c r="N36" s="1368"/>
      <c r="O36" s="1361">
        <f>'Step 10a--Required Acres'!N34</f>
        <v>0</v>
      </c>
      <c r="P36" s="1361"/>
      <c r="Q36" s="1361"/>
      <c r="R36" s="1362">
        <f>IF(Options!$AE$24=TRUE,0,O36*$C36)</f>
        <v>0</v>
      </c>
      <c r="S36" s="1361"/>
      <c r="T36" s="1361"/>
      <c r="U36" s="1366">
        <f>IF(Options!$AE$24=TRUE,0,O36*$F36)</f>
        <v>0</v>
      </c>
      <c r="V36" s="1361"/>
      <c r="W36" s="1361"/>
      <c r="X36" s="1366">
        <f>IF(Options!$AE$24=TRUE,0,O36*$I36)</f>
        <v>0</v>
      </c>
      <c r="Y36" s="1369"/>
      <c r="Z36" s="1407"/>
      <c r="AA36" s="1408">
        <f>'Step 10a--Required Acres'!AC34</f>
        <v>0</v>
      </c>
      <c r="AB36" s="1408"/>
      <c r="AC36" s="1408"/>
      <c r="AD36" s="1409">
        <f>IF(Options!$AF$24=TRUE,0,AA36*$C36)</f>
        <v>0</v>
      </c>
      <c r="AE36" s="1408"/>
      <c r="AF36" s="1408"/>
      <c r="AG36" s="1410">
        <f>IF(Options!$AF$24=TRUE,0,AA36*$F36)</f>
        <v>0</v>
      </c>
      <c r="AH36" s="1408"/>
      <c r="AI36" s="1408"/>
      <c r="AJ36" s="1410">
        <f>IF(Options!$AF$24=TRUE,0,AA36*$I36)</f>
        <v>0</v>
      </c>
      <c r="AK36" s="1454"/>
    </row>
    <row r="37" spans="1:37" ht="3" customHeight="1">
      <c r="A37" s="3658"/>
      <c r="B37" s="1381"/>
      <c r="C37" s="1396"/>
      <c r="D37" s="1392"/>
      <c r="E37" s="1392"/>
      <c r="F37" s="1392"/>
      <c r="G37" s="1392"/>
      <c r="H37" s="1392"/>
      <c r="I37" s="3550"/>
      <c r="J37" s="1378"/>
      <c r="K37" s="1378"/>
      <c r="L37" s="1378"/>
      <c r="M37" s="1378"/>
      <c r="N37" s="1368"/>
      <c r="O37" s="1361"/>
      <c r="P37" s="1361"/>
      <c r="Q37" s="1361"/>
      <c r="R37" s="1362"/>
      <c r="S37" s="1361"/>
      <c r="T37" s="1361"/>
      <c r="U37" s="1366"/>
      <c r="V37" s="1361"/>
      <c r="W37" s="1361"/>
      <c r="X37" s="1366"/>
      <c r="Y37" s="1369"/>
      <c r="Z37" s="1407"/>
      <c r="AA37" s="1408"/>
      <c r="AB37" s="1408"/>
      <c r="AC37" s="1408"/>
      <c r="AD37" s="1409"/>
      <c r="AE37" s="1408"/>
      <c r="AF37" s="1408"/>
      <c r="AG37" s="1410"/>
      <c r="AH37" s="1408"/>
      <c r="AI37" s="1408"/>
      <c r="AJ37" s="1410"/>
      <c r="AK37" s="1454"/>
    </row>
    <row r="38" spans="1:37" ht="14.25">
      <c r="A38" s="3659" t="str">
        <f>IF('Step 7a--Feedstuff Required'!B38="[add grain crop here]"," ",'Step 7a--Feedstuff Required'!B38)</f>
        <v xml:space="preserve"> </v>
      </c>
      <c r="B38" s="1388"/>
      <c r="C38" s="1401"/>
      <c r="D38" s="1392"/>
      <c r="E38" s="1392"/>
      <c r="F38" s="3551"/>
      <c r="G38" s="1392"/>
      <c r="H38" s="1392"/>
      <c r="I38" s="3551"/>
      <c r="J38" s="1386"/>
      <c r="K38" s="1386"/>
      <c r="L38" s="3546"/>
      <c r="M38" s="1379"/>
      <c r="N38" s="1368"/>
      <c r="O38" s="1361">
        <f>'Step 10a--Required Acres'!N36</f>
        <v>0</v>
      </c>
      <c r="P38" s="1361"/>
      <c r="Q38" s="1361"/>
      <c r="R38" s="1362">
        <f>IF(Options!$AE$24=TRUE,0,O38*$C38)</f>
        <v>0</v>
      </c>
      <c r="S38" s="1361"/>
      <c r="T38" s="1361"/>
      <c r="U38" s="1366">
        <f>IF(Options!$AE$24=TRUE,0,O38*$F38)</f>
        <v>0</v>
      </c>
      <c r="V38" s="1361"/>
      <c r="W38" s="1361"/>
      <c r="X38" s="1366">
        <f>IF(Options!$AE$24=TRUE,0,O38*$I38)</f>
        <v>0</v>
      </c>
      <c r="Y38" s="1369"/>
      <c r="Z38" s="1407"/>
      <c r="AA38" s="1408">
        <f>'Step 10a--Required Acres'!AC36</f>
        <v>0</v>
      </c>
      <c r="AB38" s="1408"/>
      <c r="AC38" s="1408"/>
      <c r="AD38" s="1409">
        <f>IF(Options!$AF$24=TRUE,0,AA38*$C38)</f>
        <v>0</v>
      </c>
      <c r="AE38" s="1408"/>
      <c r="AF38" s="1408"/>
      <c r="AG38" s="1410">
        <f>IF(Options!$AF$24=TRUE,0,AA38*$F38)</f>
        <v>0</v>
      </c>
      <c r="AH38" s="1408"/>
      <c r="AI38" s="1408"/>
      <c r="AJ38" s="1410">
        <f>IF(Options!$AF$24=TRUE,0,AA38*$I38)</f>
        <v>0</v>
      </c>
      <c r="AK38" s="1454"/>
    </row>
    <row r="39" spans="1:37" ht="3" customHeight="1">
      <c r="A39" s="3659"/>
      <c r="B39" s="1388"/>
      <c r="C39" s="1396"/>
      <c r="D39" s="1392"/>
      <c r="E39" s="1392"/>
      <c r="F39" s="1392"/>
      <c r="G39" s="1392"/>
      <c r="H39" s="1392"/>
      <c r="I39" s="1392"/>
      <c r="J39" s="1386"/>
      <c r="K39" s="1386"/>
      <c r="L39" s="3547"/>
      <c r="M39" s="1378"/>
      <c r="N39" s="1368"/>
      <c r="O39" s="1361"/>
      <c r="P39" s="1361"/>
      <c r="Q39" s="1361"/>
      <c r="R39" s="1362"/>
      <c r="S39" s="1361"/>
      <c r="T39" s="1361"/>
      <c r="U39" s="1366"/>
      <c r="V39" s="1361"/>
      <c r="W39" s="1361"/>
      <c r="X39" s="1366"/>
      <c r="Y39" s="1369"/>
      <c r="Z39" s="1407"/>
      <c r="AA39" s="1408"/>
      <c r="AB39" s="1408"/>
      <c r="AC39" s="1408"/>
      <c r="AD39" s="1409"/>
      <c r="AE39" s="1408"/>
      <c r="AF39" s="1408"/>
      <c r="AG39" s="1410"/>
      <c r="AH39" s="1408"/>
      <c r="AI39" s="1408"/>
      <c r="AJ39" s="1410"/>
      <c r="AK39" s="1454"/>
    </row>
    <row r="40" spans="1:37" ht="14.25">
      <c r="A40" s="3659" t="str">
        <f>IF('Step 7a--Feedstuff Required'!B40="[add grain crop here]"," ",'Step 7a--Feedstuff Required'!B40)</f>
        <v xml:space="preserve"> </v>
      </c>
      <c r="B40" s="1388"/>
      <c r="C40" s="1401"/>
      <c r="D40" s="1392"/>
      <c r="E40" s="1392"/>
      <c r="F40" s="3551"/>
      <c r="G40" s="1392"/>
      <c r="H40" s="1392"/>
      <c r="I40" s="3551"/>
      <c r="J40" s="1386"/>
      <c r="K40" s="1386"/>
      <c r="L40" s="3546"/>
      <c r="M40" s="1379"/>
      <c r="N40" s="1368"/>
      <c r="O40" s="1361">
        <f>'Step 10a--Required Acres'!N38</f>
        <v>0</v>
      </c>
      <c r="P40" s="1361"/>
      <c r="Q40" s="1361"/>
      <c r="R40" s="1362">
        <f>IF(Options!$AE$24=TRUE,0,O40*$C40)</f>
        <v>0</v>
      </c>
      <c r="S40" s="1361"/>
      <c r="T40" s="1361"/>
      <c r="U40" s="1366">
        <f>IF(Options!$AE$24=TRUE,0,O40*$F40)</f>
        <v>0</v>
      </c>
      <c r="V40" s="1361"/>
      <c r="W40" s="1361"/>
      <c r="X40" s="1366">
        <f>IF(Options!$AE$24=TRUE,0,O40*$I40)</f>
        <v>0</v>
      </c>
      <c r="Y40" s="1369"/>
      <c r="Z40" s="1407"/>
      <c r="AA40" s="1408">
        <f>'Step 10a--Required Acres'!AC38</f>
        <v>0</v>
      </c>
      <c r="AB40" s="1408"/>
      <c r="AC40" s="1408"/>
      <c r="AD40" s="1409">
        <f>IF(Options!$AF$24=TRUE,0,AA40*$C40)</f>
        <v>0</v>
      </c>
      <c r="AE40" s="1408"/>
      <c r="AF40" s="1408"/>
      <c r="AG40" s="1410">
        <f>IF(Options!$AF$24=TRUE,0,AA40*$F40)</f>
        <v>0</v>
      </c>
      <c r="AH40" s="1408"/>
      <c r="AI40" s="1408"/>
      <c r="AJ40" s="1410">
        <f>IF(Options!$AF$24=TRUE,0,AA40*$I40)</f>
        <v>0</v>
      </c>
      <c r="AK40" s="1454"/>
    </row>
    <row r="41" spans="1:37" ht="3" customHeight="1">
      <c r="A41" s="3659"/>
      <c r="B41" s="1388"/>
      <c r="C41" s="1396"/>
      <c r="D41" s="1392"/>
      <c r="E41" s="1392"/>
      <c r="F41" s="1392"/>
      <c r="G41" s="1392"/>
      <c r="H41" s="1392"/>
      <c r="I41" s="1392"/>
      <c r="J41" s="1386"/>
      <c r="K41" s="1386"/>
      <c r="L41" s="3547"/>
      <c r="M41" s="1378"/>
      <c r="N41" s="1368"/>
      <c r="O41" s="1361"/>
      <c r="P41" s="1361"/>
      <c r="Q41" s="1361"/>
      <c r="R41" s="1362"/>
      <c r="S41" s="1361"/>
      <c r="T41" s="1361"/>
      <c r="U41" s="1366"/>
      <c r="V41" s="1361"/>
      <c r="W41" s="1361"/>
      <c r="X41" s="1366"/>
      <c r="Y41" s="1369"/>
      <c r="Z41" s="1407"/>
      <c r="AA41" s="1408"/>
      <c r="AB41" s="1408"/>
      <c r="AC41" s="1408"/>
      <c r="AD41" s="1409"/>
      <c r="AE41" s="1408"/>
      <c r="AF41" s="1408"/>
      <c r="AG41" s="1410"/>
      <c r="AH41" s="1408"/>
      <c r="AI41" s="1408"/>
      <c r="AJ41" s="1410"/>
      <c r="AK41" s="1454"/>
    </row>
    <row r="42" spans="1:37" ht="14.25">
      <c r="A42" s="3659" t="str">
        <f>IF('Step 7a--Feedstuff Required'!B42="[add grain crop here]"," ",'Step 7a--Feedstuff Required'!B42)</f>
        <v xml:space="preserve"> </v>
      </c>
      <c r="B42" s="1388"/>
      <c r="C42" s="1401"/>
      <c r="D42" s="1392"/>
      <c r="E42" s="1392"/>
      <c r="F42" s="3551"/>
      <c r="G42" s="1392"/>
      <c r="H42" s="1392"/>
      <c r="I42" s="3551"/>
      <c r="J42" s="1386"/>
      <c r="K42" s="1386"/>
      <c r="L42" s="3546"/>
      <c r="M42" s="1379"/>
      <c r="N42" s="1368"/>
      <c r="O42" s="1361">
        <f>'Step 10a--Required Acres'!N40</f>
        <v>0</v>
      </c>
      <c r="P42" s="1361"/>
      <c r="Q42" s="1361"/>
      <c r="R42" s="1362">
        <f>IF(Options!$AE$24=TRUE,0,O42*$C42)</f>
        <v>0</v>
      </c>
      <c r="S42" s="1361"/>
      <c r="T42" s="1361"/>
      <c r="U42" s="1366">
        <f>IF(Options!$AE$24=TRUE,0,O42*$F42)</f>
        <v>0</v>
      </c>
      <c r="V42" s="1361"/>
      <c r="W42" s="1361"/>
      <c r="X42" s="1366">
        <f>IF(Options!$AE$24=TRUE,0,O42*$I42)</f>
        <v>0</v>
      </c>
      <c r="Y42" s="1369"/>
      <c r="Z42" s="1407"/>
      <c r="AA42" s="1408">
        <f>'Step 10a--Required Acres'!AC40</f>
        <v>0</v>
      </c>
      <c r="AB42" s="1408"/>
      <c r="AC42" s="1408"/>
      <c r="AD42" s="1409">
        <f>IF(Options!$AF$24=TRUE,0,AA42*$C42)</f>
        <v>0</v>
      </c>
      <c r="AE42" s="1408"/>
      <c r="AF42" s="1408"/>
      <c r="AG42" s="1410">
        <f>IF(Options!$AF$24=TRUE,0,AA42*$F42)</f>
        <v>0</v>
      </c>
      <c r="AH42" s="1408"/>
      <c r="AI42" s="1408"/>
      <c r="AJ42" s="1410">
        <f>IF(Options!$AF$24=TRUE,0,AA42*$I42)</f>
        <v>0</v>
      </c>
      <c r="AK42" s="1454"/>
    </row>
    <row r="43" spans="1:37" ht="3" customHeight="1">
      <c r="A43" s="1224"/>
      <c r="B43" s="1388"/>
      <c r="C43" s="1396"/>
      <c r="D43" s="1392"/>
      <c r="E43" s="1392"/>
      <c r="F43" s="1392"/>
      <c r="G43" s="1392"/>
      <c r="H43" s="1392"/>
      <c r="I43" s="1392"/>
      <c r="J43" s="1386"/>
      <c r="K43" s="1386"/>
      <c r="L43" s="1386"/>
      <c r="M43" s="1378"/>
      <c r="N43" s="1368"/>
      <c r="O43" s="1361"/>
      <c r="P43" s="1361"/>
      <c r="Q43" s="1361"/>
      <c r="R43" s="1362"/>
      <c r="S43" s="1361"/>
      <c r="T43" s="1361"/>
      <c r="U43" s="1366"/>
      <c r="V43" s="1361"/>
      <c r="W43" s="1361"/>
      <c r="X43" s="1366"/>
      <c r="Y43" s="1369"/>
      <c r="Z43" s="1407"/>
      <c r="AA43" s="1408"/>
      <c r="AB43" s="1408"/>
      <c r="AC43" s="1408"/>
      <c r="AD43" s="1409"/>
      <c r="AE43" s="1408"/>
      <c r="AF43" s="1408"/>
      <c r="AG43" s="1410"/>
      <c r="AH43" s="1408"/>
      <c r="AI43" s="1408"/>
      <c r="AJ43" s="1410"/>
      <c r="AK43" s="1454"/>
    </row>
    <row r="44" spans="1:37" ht="15">
      <c r="A44" s="789" t="s">
        <v>5</v>
      </c>
      <c r="B44" s="1389"/>
      <c r="C44" s="1397"/>
      <c r="D44" s="1393"/>
      <c r="E44" s="1393"/>
      <c r="F44" s="1393"/>
      <c r="G44" s="1393"/>
      <c r="H44" s="1393"/>
      <c r="I44" s="1393"/>
      <c r="J44" s="1390"/>
      <c r="K44" s="1390"/>
      <c r="L44" s="1390"/>
      <c r="M44" s="790"/>
      <c r="N44" s="1368"/>
      <c r="O44" s="1365">
        <f>SUM(O30:O42)</f>
        <v>0.76312669377247477</v>
      </c>
      <c r="P44" s="1361"/>
      <c r="Q44" s="1361"/>
      <c r="R44" s="1365">
        <f>SUM(R30:R42)</f>
        <v>100.73272357796667</v>
      </c>
      <c r="S44" s="1361"/>
      <c r="T44" s="1361"/>
      <c r="U44" s="1365">
        <f>SUM(U30:U42)</f>
        <v>1.6025660569221971</v>
      </c>
      <c r="V44" s="1361"/>
      <c r="W44" s="1361"/>
      <c r="X44" s="1365">
        <f>SUM(X30:X42)</f>
        <v>0.15262533875449497</v>
      </c>
      <c r="Y44" s="1369"/>
      <c r="Z44" s="1407"/>
      <c r="AA44" s="1415">
        <f>SUM(AA30:AA42)</f>
        <v>0.59353830359030102</v>
      </c>
      <c r="AB44" s="1408"/>
      <c r="AC44" s="1408"/>
      <c r="AD44" s="1415">
        <f>SUM(AD30:AD42)</f>
        <v>78.347056073919731</v>
      </c>
      <c r="AE44" s="1408"/>
      <c r="AF44" s="1408"/>
      <c r="AG44" s="1415">
        <f>SUM(AG30:AG42)</f>
        <v>1.2464304375396322</v>
      </c>
      <c r="AH44" s="1408"/>
      <c r="AI44" s="1408"/>
      <c r="AJ44" s="1415">
        <f>SUM(AJ30:AJ42)</f>
        <v>0.11870766071806022</v>
      </c>
      <c r="AK44" s="1454"/>
    </row>
    <row r="45" spans="1:37" ht="14.25">
      <c r="A45" s="787"/>
      <c r="B45" s="1384"/>
      <c r="C45" s="1398"/>
      <c r="D45" s="1394"/>
      <c r="E45" s="1394"/>
      <c r="F45" s="1394"/>
      <c r="G45" s="1394"/>
      <c r="H45" s="1394"/>
      <c r="I45" s="1394"/>
      <c r="J45" s="788"/>
      <c r="K45" s="788"/>
      <c r="L45" s="788"/>
      <c r="M45" s="788"/>
      <c r="N45" s="1372"/>
      <c r="O45" s="1363"/>
      <c r="P45" s="1363"/>
      <c r="Q45" s="1363"/>
      <c r="R45" s="1362"/>
      <c r="S45" s="1363"/>
      <c r="T45" s="1363"/>
      <c r="U45" s="1366"/>
      <c r="V45" s="1363"/>
      <c r="W45" s="1363"/>
      <c r="X45" s="1360"/>
      <c r="Y45" s="1373"/>
      <c r="Z45" s="1413"/>
      <c r="AA45" s="1414"/>
      <c r="AB45" s="1414"/>
      <c r="AC45" s="1414"/>
      <c r="AD45" s="1409"/>
      <c r="AE45" s="1414"/>
      <c r="AF45" s="1414"/>
      <c r="AG45" s="1410"/>
      <c r="AH45" s="1414"/>
      <c r="AI45" s="1414"/>
      <c r="AJ45" s="1406"/>
      <c r="AK45" s="1456"/>
    </row>
    <row r="46" spans="1:37" ht="20.25" customHeight="1">
      <c r="A46" s="4028" t="s">
        <v>970</v>
      </c>
      <c r="B46" s="4855"/>
      <c r="C46" s="4855"/>
      <c r="D46" s="4855"/>
      <c r="E46" s="4855"/>
      <c r="F46" s="4855"/>
      <c r="G46" s="4855"/>
      <c r="H46" s="4855"/>
      <c r="I46" s="4855"/>
      <c r="J46" s="4855"/>
      <c r="K46" s="4855"/>
      <c r="L46" s="4855"/>
      <c r="M46" s="4855"/>
      <c r="N46" s="4855"/>
      <c r="O46" s="4855"/>
      <c r="P46" s="4855"/>
      <c r="Q46" s="4855"/>
      <c r="R46" s="4855"/>
      <c r="S46" s="4855"/>
      <c r="T46" s="4855"/>
      <c r="U46" s="4855"/>
      <c r="V46" s="4855"/>
      <c r="W46" s="4855"/>
      <c r="X46" s="4855"/>
      <c r="Y46" s="4855"/>
      <c r="Z46" s="4855"/>
      <c r="AA46" s="4855"/>
      <c r="AB46" s="4855"/>
      <c r="AC46" s="4855"/>
      <c r="AD46" s="4855"/>
      <c r="AE46" s="4855"/>
      <c r="AF46" s="4855"/>
      <c r="AG46" s="4855"/>
      <c r="AH46" s="4855"/>
      <c r="AI46" s="4855"/>
      <c r="AJ46" s="4855"/>
      <c r="AK46" s="4856"/>
    </row>
    <row r="47" spans="1:37" ht="3" customHeight="1">
      <c r="A47" s="1224"/>
      <c r="B47" s="1381"/>
      <c r="C47" s="1396"/>
      <c r="D47" s="1392"/>
      <c r="E47" s="1392"/>
      <c r="F47" s="1392"/>
      <c r="G47" s="1392"/>
      <c r="H47" s="1392"/>
      <c r="I47" s="1392"/>
      <c r="J47" s="1378"/>
      <c r="K47" s="1378"/>
      <c r="L47" s="1378"/>
      <c r="M47" s="1378"/>
      <c r="N47" s="1368"/>
      <c r="O47" s="1361"/>
      <c r="P47" s="1361"/>
      <c r="Q47" s="1361"/>
      <c r="R47" s="1362"/>
      <c r="S47" s="1361"/>
      <c r="T47" s="1361"/>
      <c r="U47" s="1366"/>
      <c r="V47" s="1361"/>
      <c r="W47" s="1361"/>
      <c r="X47" s="1366"/>
      <c r="Y47" s="1369"/>
      <c r="Z47" s="1407"/>
      <c r="AA47" s="1408"/>
      <c r="AB47" s="1408"/>
      <c r="AC47" s="1408"/>
      <c r="AD47" s="1409"/>
      <c r="AE47" s="1408"/>
      <c r="AF47" s="1408"/>
      <c r="AG47" s="1410"/>
      <c r="AH47" s="1408"/>
      <c r="AI47" s="1408"/>
      <c r="AJ47" s="1410"/>
      <c r="AK47" s="1454"/>
    </row>
    <row r="48" spans="1:37" ht="14.25">
      <c r="A48" s="3658" t="s">
        <v>7</v>
      </c>
      <c r="B48" s="1381"/>
      <c r="C48" s="3542">
        <v>3</v>
      </c>
      <c r="D48" s="1392"/>
      <c r="E48" s="1392"/>
      <c r="F48" s="3548">
        <v>1</v>
      </c>
      <c r="G48" s="1392"/>
      <c r="H48" s="1392"/>
      <c r="I48" s="3549">
        <v>0.03</v>
      </c>
      <c r="J48" s="1378"/>
      <c r="K48" s="1378"/>
      <c r="L48" s="3543" t="s">
        <v>26</v>
      </c>
      <c r="M48" s="1378"/>
      <c r="N48" s="1368"/>
      <c r="O48" s="1361">
        <f>'Step 10a--Required Acres'!N45</f>
        <v>1.4843647618089106</v>
      </c>
      <c r="P48" s="1361"/>
      <c r="Q48" s="1361"/>
      <c r="R48" s="1362">
        <f>IF(Options!$AE$24=TRUE,0,O48*$C48)</f>
        <v>4.4530942854267321</v>
      </c>
      <c r="S48" s="1361"/>
      <c r="T48" s="1361"/>
      <c r="U48" s="1366">
        <f>IF(Options!$AE$24=TRUE,0,O48*$F48)</f>
        <v>1.4843647618089106</v>
      </c>
      <c r="V48" s="1361"/>
      <c r="W48" s="1361"/>
      <c r="X48" s="1366">
        <f>IF(Options!$AE$24=TRUE,0,O48*$I48)</f>
        <v>4.4530942854267321E-2</v>
      </c>
      <c r="Y48" s="1369"/>
      <c r="Z48" s="1407"/>
      <c r="AA48" s="1408">
        <f>'Step 10a--Required Acres'!AC45</f>
        <v>1.169490287074223</v>
      </c>
      <c r="AB48" s="1408"/>
      <c r="AC48" s="1408"/>
      <c r="AD48" s="1409">
        <f>IF(Options!$AF$24=TRUE,0,AA48*$C48)</f>
        <v>3.5084708612226692</v>
      </c>
      <c r="AE48" s="1408"/>
      <c r="AF48" s="1408"/>
      <c r="AG48" s="1410">
        <f>IF(Options!$AF$24=TRUE,0,AA48*$F48)</f>
        <v>1.169490287074223</v>
      </c>
      <c r="AH48" s="1408"/>
      <c r="AI48" s="1408"/>
      <c r="AJ48" s="1410">
        <f>IF(Options!$AF$24=TRUE,0,AA48*$I48)</f>
        <v>3.5084708612226685E-2</v>
      </c>
      <c r="AK48" s="1454"/>
    </row>
    <row r="49" spans="1:37" ht="3" customHeight="1">
      <c r="A49" s="3660"/>
      <c r="B49" s="1385"/>
      <c r="C49" s="1399"/>
      <c r="D49" s="1395"/>
      <c r="E49" s="1395"/>
      <c r="F49" s="1395"/>
      <c r="G49" s="1395"/>
      <c r="H49" s="1395"/>
      <c r="I49" s="1395"/>
      <c r="J49" s="1380"/>
      <c r="K49" s="1380"/>
      <c r="L49" s="3544"/>
      <c r="M49" s="1380"/>
      <c r="N49" s="1368"/>
      <c r="O49" s="1361"/>
      <c r="P49" s="1361"/>
      <c r="Q49" s="1361"/>
      <c r="R49" s="1362"/>
      <c r="S49" s="1361"/>
      <c r="T49" s="1361"/>
      <c r="U49" s="1366"/>
      <c r="V49" s="1361"/>
      <c r="W49" s="1361"/>
      <c r="X49" s="1366"/>
      <c r="Y49" s="1369"/>
      <c r="Z49" s="1407"/>
      <c r="AA49" s="1408"/>
      <c r="AB49" s="1408"/>
      <c r="AC49" s="1408"/>
      <c r="AD49" s="1409"/>
      <c r="AE49" s="1408"/>
      <c r="AF49" s="1408"/>
      <c r="AG49" s="1410"/>
      <c r="AH49" s="1408"/>
      <c r="AI49" s="1408"/>
      <c r="AJ49" s="1410"/>
      <c r="AK49" s="1454"/>
    </row>
    <row r="50" spans="1:37" ht="14.25">
      <c r="A50" s="3658" t="s">
        <v>8</v>
      </c>
      <c r="B50" s="1381"/>
      <c r="C50" s="3542">
        <v>50</v>
      </c>
      <c r="D50" s="1392"/>
      <c r="E50" s="1392"/>
      <c r="F50" s="3548">
        <v>1.5</v>
      </c>
      <c r="G50" s="1392"/>
      <c r="H50" s="1392"/>
      <c r="I50" s="3549">
        <v>0.1</v>
      </c>
      <c r="J50" s="1378"/>
      <c r="K50" s="1378"/>
      <c r="L50" s="3543" t="s">
        <v>1228</v>
      </c>
      <c r="M50" s="1378"/>
      <c r="N50" s="1368"/>
      <c r="O50" s="1361">
        <f>'Step 10a--Required Acres'!N47</f>
        <v>0</v>
      </c>
      <c r="P50" s="1361"/>
      <c r="Q50" s="1361"/>
      <c r="R50" s="1362">
        <f>IF(Options!$AE$24=TRUE,0,O50*$C50)</f>
        <v>0</v>
      </c>
      <c r="S50" s="1361"/>
      <c r="T50" s="1361"/>
      <c r="U50" s="1366">
        <f>IF(Options!$AE$24=TRUE,0,O50*$F50)</f>
        <v>0</v>
      </c>
      <c r="V50" s="1361"/>
      <c r="W50" s="1361"/>
      <c r="X50" s="1366">
        <f>IF(Options!$AE$24=TRUE,0,O50*$I50)</f>
        <v>0</v>
      </c>
      <c r="Y50" s="1369"/>
      <c r="Z50" s="1407"/>
      <c r="AA50" s="1408">
        <f>'Step 10a--Required Acres'!AC47</f>
        <v>0</v>
      </c>
      <c r="AB50" s="1408"/>
      <c r="AC50" s="1408"/>
      <c r="AD50" s="1409">
        <f>IF(Options!$AF$24=TRUE,0,AA50*$C50)</f>
        <v>0</v>
      </c>
      <c r="AE50" s="1408"/>
      <c r="AF50" s="1408"/>
      <c r="AG50" s="1410">
        <f>IF(Options!$AF$24=TRUE,0,AA50*$F50)</f>
        <v>0</v>
      </c>
      <c r="AH50" s="1408"/>
      <c r="AI50" s="1408"/>
      <c r="AJ50" s="1410">
        <f>IF(Options!$AF$24=TRUE,0,AA50*$I50)</f>
        <v>0</v>
      </c>
      <c r="AK50" s="1454"/>
    </row>
    <row r="51" spans="1:37" ht="3" customHeight="1">
      <c r="A51" s="3660"/>
      <c r="B51" s="1385"/>
      <c r="C51" s="1399"/>
      <c r="D51" s="1395"/>
      <c r="E51" s="1395"/>
      <c r="F51" s="1395"/>
      <c r="G51" s="1395"/>
      <c r="H51" s="1395"/>
      <c r="I51" s="1395"/>
      <c r="J51" s="1380"/>
      <c r="K51" s="1380"/>
      <c r="L51" s="3544"/>
      <c r="M51" s="1380"/>
      <c r="N51" s="1368"/>
      <c r="O51" s="1361"/>
      <c r="P51" s="1361"/>
      <c r="Q51" s="1361"/>
      <c r="R51" s="1362"/>
      <c r="S51" s="1361"/>
      <c r="T51" s="1361"/>
      <c r="U51" s="1366"/>
      <c r="V51" s="1361"/>
      <c r="W51" s="1361"/>
      <c r="X51" s="1366"/>
      <c r="Y51" s="1369"/>
      <c r="Z51" s="1407"/>
      <c r="AA51" s="1408"/>
      <c r="AB51" s="1408"/>
      <c r="AC51" s="1408"/>
      <c r="AD51" s="1409"/>
      <c r="AE51" s="1408"/>
      <c r="AF51" s="1408"/>
      <c r="AG51" s="1410"/>
      <c r="AH51" s="1408"/>
      <c r="AI51" s="1408"/>
      <c r="AJ51" s="1410"/>
      <c r="AK51" s="1454"/>
    </row>
    <row r="52" spans="1:37" ht="14.25">
      <c r="A52" s="3659" t="str">
        <f>IF('Step 7a--Feedstuff Required'!B52="[add protein source here]"," ",'Step 7a--Feedstuff Required'!B52)</f>
        <v xml:space="preserve"> </v>
      </c>
      <c r="B52" s="1382"/>
      <c r="C52" s="1401"/>
      <c r="D52" s="1392"/>
      <c r="E52" s="1392"/>
      <c r="F52" s="3551"/>
      <c r="G52" s="1392"/>
      <c r="H52" s="1392"/>
      <c r="I52" s="3551"/>
      <c r="J52" s="1386"/>
      <c r="K52" s="1386"/>
      <c r="L52" s="3546"/>
      <c r="M52" s="1379"/>
      <c r="N52" s="1368"/>
      <c r="O52" s="1361">
        <f>'Step 10a--Required Acres'!N49</f>
        <v>0</v>
      </c>
      <c r="P52" s="1361"/>
      <c r="Q52" s="1361"/>
      <c r="R52" s="1362">
        <f>IF(Options!$AE$24=TRUE,0,O52*$C52)</f>
        <v>0</v>
      </c>
      <c r="S52" s="1361"/>
      <c r="T52" s="1361"/>
      <c r="U52" s="1366">
        <f>IF(Options!$AE$24=TRUE,0,O52*$F52)</f>
        <v>0</v>
      </c>
      <c r="V52" s="1361"/>
      <c r="W52" s="1361"/>
      <c r="X52" s="1366">
        <f>IF(Options!$AE$24=TRUE,0,O52*$I52)</f>
        <v>0</v>
      </c>
      <c r="Y52" s="1369"/>
      <c r="Z52" s="1407"/>
      <c r="AA52" s="1408">
        <f>'Step 10a--Required Acres'!AC49</f>
        <v>0</v>
      </c>
      <c r="AB52" s="1408"/>
      <c r="AC52" s="1408"/>
      <c r="AD52" s="1409">
        <f>IF(Options!$AF$24=TRUE,0,AA52*$C52)</f>
        <v>0</v>
      </c>
      <c r="AE52" s="1408"/>
      <c r="AF52" s="1408"/>
      <c r="AG52" s="1410">
        <f>IF(Options!$AF$24=TRUE,0,AA52*$F52)</f>
        <v>0</v>
      </c>
      <c r="AH52" s="1408"/>
      <c r="AI52" s="1408"/>
      <c r="AJ52" s="1410">
        <f>IF(Options!$AF$24=TRUE,0,AA52*$I52)</f>
        <v>0</v>
      </c>
      <c r="AK52" s="1454"/>
    </row>
    <row r="53" spans="1:37" ht="3" customHeight="1">
      <c r="A53" s="3658"/>
      <c r="B53" s="1385"/>
      <c r="C53" s="1399"/>
      <c r="D53" s="1395"/>
      <c r="E53" s="1395"/>
      <c r="F53" s="1395"/>
      <c r="G53" s="1395"/>
      <c r="H53" s="1395"/>
      <c r="I53" s="1395"/>
      <c r="J53" s="1387"/>
      <c r="K53" s="1387"/>
      <c r="L53" s="3547"/>
      <c r="M53" s="1380"/>
      <c r="N53" s="1368"/>
      <c r="O53" s="1361"/>
      <c r="P53" s="1361"/>
      <c r="Q53" s="1361"/>
      <c r="R53" s="1362"/>
      <c r="S53" s="1361"/>
      <c r="T53" s="1361"/>
      <c r="U53" s="1366"/>
      <c r="V53" s="1361"/>
      <c r="W53" s="1361"/>
      <c r="X53" s="1366"/>
      <c r="Y53" s="1369"/>
      <c r="Z53" s="1407"/>
      <c r="AA53" s="1408"/>
      <c r="AB53" s="1408"/>
      <c r="AC53" s="1408"/>
      <c r="AD53" s="1409"/>
      <c r="AE53" s="1408"/>
      <c r="AF53" s="1408"/>
      <c r="AG53" s="1410"/>
      <c r="AH53" s="1408"/>
      <c r="AI53" s="1408"/>
      <c r="AJ53" s="1410"/>
      <c r="AK53" s="1454"/>
    </row>
    <row r="54" spans="1:37" ht="14.25">
      <c r="A54" s="3659" t="str">
        <f>IF('Step 7a--Feedstuff Required'!B54="[add protein source here]"," ",'Step 7a--Feedstuff Required'!B54)</f>
        <v xml:space="preserve"> </v>
      </c>
      <c r="B54" s="1382"/>
      <c r="C54" s="1401"/>
      <c r="D54" s="1392"/>
      <c r="E54" s="1392"/>
      <c r="F54" s="3551"/>
      <c r="G54" s="1392"/>
      <c r="H54" s="1392"/>
      <c r="I54" s="3551"/>
      <c r="J54" s="1386"/>
      <c r="K54" s="1386"/>
      <c r="L54" s="3546"/>
      <c r="M54" s="1379"/>
      <c r="N54" s="1368"/>
      <c r="O54" s="1361">
        <f>'Step 10a--Required Acres'!N51</f>
        <v>0</v>
      </c>
      <c r="P54" s="1361"/>
      <c r="Q54" s="1361"/>
      <c r="R54" s="1362">
        <f>IF(Options!$AE$24=TRUE,0,O54*$C54)</f>
        <v>0</v>
      </c>
      <c r="S54" s="1361"/>
      <c r="T54" s="1361"/>
      <c r="U54" s="1366">
        <f>IF(Options!$AE$24=TRUE,0,O54*$F54)</f>
        <v>0</v>
      </c>
      <c r="V54" s="1361"/>
      <c r="W54" s="1361"/>
      <c r="X54" s="1366">
        <f>IF(Options!$AE$24=TRUE,0,O54*$I54)</f>
        <v>0</v>
      </c>
      <c r="Y54" s="1369"/>
      <c r="Z54" s="1407"/>
      <c r="AA54" s="1408">
        <f>'Step 10a--Required Acres'!AC51</f>
        <v>0</v>
      </c>
      <c r="AB54" s="1408"/>
      <c r="AC54" s="1408"/>
      <c r="AD54" s="1409">
        <f>IF(Options!$AF$24=TRUE,0,AA54*$C54)</f>
        <v>0</v>
      </c>
      <c r="AE54" s="1408"/>
      <c r="AF54" s="1408"/>
      <c r="AG54" s="1410">
        <f>IF(Options!$AF$24=TRUE,0,AA54*$F54)</f>
        <v>0</v>
      </c>
      <c r="AH54" s="1408"/>
      <c r="AI54" s="1408"/>
      <c r="AJ54" s="1410">
        <f>IF(Options!$AF$24=TRUE,0,AA54*$I54)</f>
        <v>0</v>
      </c>
      <c r="AK54" s="1454"/>
    </row>
    <row r="55" spans="1:37" ht="3" customHeight="1">
      <c r="A55" s="3658"/>
      <c r="B55" s="1385"/>
      <c r="C55" s="1399"/>
      <c r="D55" s="1395"/>
      <c r="E55" s="1395"/>
      <c r="F55" s="1395"/>
      <c r="G55" s="1395"/>
      <c r="H55" s="1395"/>
      <c r="I55" s="1395"/>
      <c r="J55" s="1387"/>
      <c r="K55" s="1387"/>
      <c r="L55" s="3547"/>
      <c r="M55" s="1380"/>
      <c r="N55" s="1368"/>
      <c r="O55" s="1361"/>
      <c r="P55" s="1361"/>
      <c r="Q55" s="1361"/>
      <c r="R55" s="1362"/>
      <c r="S55" s="1361"/>
      <c r="T55" s="1361"/>
      <c r="U55" s="1366"/>
      <c r="V55" s="1361"/>
      <c r="W55" s="1361"/>
      <c r="X55" s="1366"/>
      <c r="Y55" s="1369"/>
      <c r="Z55" s="1407"/>
      <c r="AA55" s="1408"/>
      <c r="AB55" s="1408"/>
      <c r="AC55" s="1408"/>
      <c r="AD55" s="1409"/>
      <c r="AE55" s="1408"/>
      <c r="AF55" s="1408"/>
      <c r="AG55" s="1410"/>
      <c r="AH55" s="1408"/>
      <c r="AI55" s="1408"/>
      <c r="AJ55" s="1410"/>
      <c r="AK55" s="1454"/>
    </row>
    <row r="56" spans="1:37" ht="14.25">
      <c r="A56" s="3659" t="str">
        <f>IF('Step 7a--Feedstuff Required'!B56="[add protein source here]"," ",'Step 7a--Feedstuff Required'!B56)</f>
        <v xml:space="preserve"> </v>
      </c>
      <c r="B56" s="1382"/>
      <c r="C56" s="1401"/>
      <c r="D56" s="1392"/>
      <c r="E56" s="1392"/>
      <c r="F56" s="3551"/>
      <c r="G56" s="1392"/>
      <c r="H56" s="1392"/>
      <c r="I56" s="3551"/>
      <c r="J56" s="1386"/>
      <c r="K56" s="1386"/>
      <c r="L56" s="3546"/>
      <c r="M56" s="1379"/>
      <c r="N56" s="1368"/>
      <c r="O56" s="1361">
        <f>'Step 10a--Required Acres'!N53</f>
        <v>0</v>
      </c>
      <c r="P56" s="1361"/>
      <c r="Q56" s="1361"/>
      <c r="R56" s="1362">
        <f>IF(Options!$AE$24=TRUE,0,O56*$C56)</f>
        <v>0</v>
      </c>
      <c r="S56" s="1361"/>
      <c r="T56" s="1361"/>
      <c r="U56" s="1366">
        <f>IF(Options!$AE$24=TRUE,0,O56*$F56)</f>
        <v>0</v>
      </c>
      <c r="V56" s="1361"/>
      <c r="W56" s="1361"/>
      <c r="X56" s="1366">
        <f>IF(Options!$AE$24=TRUE,0,O56*$I56)</f>
        <v>0</v>
      </c>
      <c r="Y56" s="1369"/>
      <c r="Z56" s="1407"/>
      <c r="AA56" s="1408">
        <f>'Step 10a--Required Acres'!AC53</f>
        <v>0</v>
      </c>
      <c r="AB56" s="1408"/>
      <c r="AC56" s="1408"/>
      <c r="AD56" s="1409">
        <f>IF(Options!$AF$24=TRUE,0,AA56*$C56)</f>
        <v>0</v>
      </c>
      <c r="AE56" s="1408"/>
      <c r="AF56" s="1408"/>
      <c r="AG56" s="1410">
        <f>IF(Options!$AF$24=TRUE,0,AA56*$F56)</f>
        <v>0</v>
      </c>
      <c r="AH56" s="1408"/>
      <c r="AI56" s="1408"/>
      <c r="AJ56" s="1410">
        <f>IF(Options!$AF$24=TRUE,0,AA56*$I56)</f>
        <v>0</v>
      </c>
      <c r="AK56" s="1454"/>
    </row>
    <row r="57" spans="1:37" ht="3" customHeight="1">
      <c r="A57" s="1224"/>
      <c r="B57" s="1381"/>
      <c r="C57" s="1396"/>
      <c r="D57" s="1392"/>
      <c r="E57" s="1392"/>
      <c r="F57" s="1392"/>
      <c r="G57" s="1392"/>
      <c r="H57" s="1392"/>
      <c r="I57" s="1392"/>
      <c r="J57" s="1386"/>
      <c r="K57" s="1386"/>
      <c r="L57" s="3545"/>
      <c r="M57" s="1378"/>
      <c r="N57" s="1368"/>
      <c r="O57" s="1361"/>
      <c r="P57" s="1361"/>
      <c r="Q57" s="1361"/>
      <c r="R57" s="1362"/>
      <c r="S57" s="1361"/>
      <c r="T57" s="1361"/>
      <c r="U57" s="1366"/>
      <c r="V57" s="1361"/>
      <c r="W57" s="1361"/>
      <c r="X57" s="1366"/>
      <c r="Y57" s="1369"/>
      <c r="Z57" s="1407"/>
      <c r="AA57" s="1408"/>
      <c r="AB57" s="1408"/>
      <c r="AC57" s="1408"/>
      <c r="AD57" s="1409"/>
      <c r="AE57" s="1408"/>
      <c r="AF57" s="1408"/>
      <c r="AG57" s="1410"/>
      <c r="AH57" s="1408"/>
      <c r="AI57" s="1408"/>
      <c r="AJ57" s="1410"/>
      <c r="AK57" s="1454"/>
    </row>
    <row r="58" spans="1:37" ht="15">
      <c r="A58" s="789" t="s">
        <v>286</v>
      </c>
      <c r="B58" s="1383"/>
      <c r="C58" s="1393"/>
      <c r="D58" s="1393"/>
      <c r="E58" s="1393"/>
      <c r="F58" s="1393"/>
      <c r="G58" s="1393"/>
      <c r="H58" s="1393"/>
      <c r="I58" s="1393"/>
      <c r="J58" s="1390"/>
      <c r="K58" s="1390"/>
      <c r="L58" s="1390"/>
      <c r="M58" s="790"/>
      <c r="N58" s="1368"/>
      <c r="O58" s="1365">
        <f>SUM(O48:O56)</f>
        <v>1.4843647618089106</v>
      </c>
      <c r="P58" s="1361"/>
      <c r="Q58" s="1361"/>
      <c r="R58" s="1365">
        <f>SUM(R48:R56)</f>
        <v>4.4530942854267321</v>
      </c>
      <c r="S58" s="1361"/>
      <c r="T58" s="1361"/>
      <c r="U58" s="1365">
        <f>SUM(U48:U56)</f>
        <v>1.4843647618089106</v>
      </c>
      <c r="V58" s="1361"/>
      <c r="W58" s="1361"/>
      <c r="X58" s="1365">
        <f>SUM(X48:X56)</f>
        <v>4.4530942854267321E-2</v>
      </c>
      <c r="Y58" s="1369"/>
      <c r="Z58" s="1407"/>
      <c r="AA58" s="1415">
        <f>SUM(AA48:AA56)</f>
        <v>1.169490287074223</v>
      </c>
      <c r="AB58" s="1408"/>
      <c r="AC58" s="1408"/>
      <c r="AD58" s="1415">
        <f>SUM(AD48:AD56)</f>
        <v>3.5084708612226692</v>
      </c>
      <c r="AE58" s="1408"/>
      <c r="AF58" s="1408"/>
      <c r="AG58" s="1415">
        <f>SUM(AG48:AG56)</f>
        <v>1.169490287074223</v>
      </c>
      <c r="AH58" s="1408"/>
      <c r="AI58" s="1408"/>
      <c r="AJ58" s="1415">
        <f>SUM(AJ48:AJ56)</f>
        <v>3.5084708612226685E-2</v>
      </c>
      <c r="AK58" s="1454"/>
    </row>
    <row r="59" spans="1:37" ht="15">
      <c r="A59" s="789"/>
      <c r="B59" s="1383"/>
      <c r="C59" s="1393"/>
      <c r="D59" s="1393"/>
      <c r="E59" s="1393"/>
      <c r="F59" s="1393"/>
      <c r="G59" s="1393"/>
      <c r="H59" s="1393"/>
      <c r="I59" s="1393"/>
      <c r="J59" s="790"/>
      <c r="K59" s="790"/>
      <c r="L59" s="790"/>
      <c r="M59" s="790"/>
      <c r="N59" s="1368"/>
      <c r="O59" s="1361"/>
      <c r="P59" s="1361"/>
      <c r="Q59" s="1361"/>
      <c r="R59" s="1361"/>
      <c r="S59" s="1361"/>
      <c r="T59" s="1361"/>
      <c r="U59" s="1364"/>
      <c r="V59" s="1361"/>
      <c r="W59" s="1361"/>
      <c r="X59" s="1361"/>
      <c r="Y59" s="1369"/>
      <c r="Z59" s="1407"/>
      <c r="AA59" s="1408"/>
      <c r="AB59" s="1408"/>
      <c r="AC59" s="1408"/>
      <c r="AD59" s="1408"/>
      <c r="AE59" s="1408"/>
      <c r="AF59" s="1408"/>
      <c r="AG59" s="1416"/>
      <c r="AH59" s="1408"/>
      <c r="AI59" s="1408"/>
      <c r="AJ59" s="1408"/>
      <c r="AK59" s="1454"/>
    </row>
    <row r="60" spans="1:37" ht="5.25" customHeight="1">
      <c r="A60" s="1427"/>
      <c r="B60" s="1431"/>
      <c r="C60" s="1428"/>
      <c r="D60" s="1429"/>
      <c r="E60" s="1429"/>
      <c r="F60" s="1429"/>
      <c r="G60" s="1429"/>
      <c r="H60" s="1429"/>
      <c r="I60" s="1429"/>
      <c r="J60" s="1430"/>
      <c r="K60" s="1430"/>
      <c r="L60" s="1430"/>
      <c r="M60" s="1431"/>
      <c r="N60" s="1419"/>
      <c r="O60" s="1420"/>
      <c r="P60" s="1420"/>
      <c r="Q60" s="1420"/>
      <c r="R60" s="1432"/>
      <c r="S60" s="1420"/>
      <c r="T60" s="1420"/>
      <c r="U60" s="1433"/>
      <c r="V60" s="1420"/>
      <c r="W60" s="1420"/>
      <c r="X60" s="1433"/>
      <c r="Y60" s="1421"/>
      <c r="Z60" s="1422"/>
      <c r="AA60" s="1423"/>
      <c r="AB60" s="1423"/>
      <c r="AC60" s="1423"/>
      <c r="AD60" s="1434"/>
      <c r="AE60" s="1423"/>
      <c r="AF60" s="1423"/>
      <c r="AG60" s="1435"/>
      <c r="AH60" s="1423"/>
      <c r="AI60" s="1423"/>
      <c r="AJ60" s="1435"/>
      <c r="AK60" s="1457"/>
    </row>
    <row r="61" spans="1:37" ht="15">
      <c r="A61" s="4876" t="s">
        <v>298</v>
      </c>
      <c r="B61" s="4877"/>
      <c r="C61" s="4877"/>
      <c r="D61" s="4877"/>
      <c r="E61" s="4877"/>
      <c r="F61" s="4877"/>
      <c r="G61" s="4877"/>
      <c r="H61" s="4877"/>
      <c r="I61" s="4877"/>
      <c r="J61" s="4877"/>
      <c r="K61" s="4877"/>
      <c r="L61" s="4877"/>
      <c r="M61" s="790"/>
      <c r="N61" s="1368"/>
      <c r="O61" s="1361"/>
      <c r="P61" s="1361"/>
      <c r="Q61" s="1361"/>
      <c r="R61" s="1365">
        <f>R63*Defaults!$D$9</f>
        <v>119.10950157441921</v>
      </c>
      <c r="S61" s="1361" t="s">
        <v>36</v>
      </c>
      <c r="T61" s="1361"/>
      <c r="U61" s="1365">
        <f>U63*Defaults!$D$9</f>
        <v>2.2784112827373142</v>
      </c>
      <c r="V61" s="1361" t="s">
        <v>36</v>
      </c>
      <c r="W61" s="1361"/>
      <c r="X61" s="1365">
        <f>X63*Defaults!$D$9</f>
        <v>0.32392737790428494</v>
      </c>
      <c r="Y61" s="1361" t="s">
        <v>36</v>
      </c>
      <c r="Z61" s="1407"/>
      <c r="AA61" s="1408"/>
      <c r="AB61" s="1408"/>
      <c r="AC61" s="1408"/>
      <c r="AD61" s="1415">
        <f>AD63*Defaults!$D$9</f>
        <v>104.08602026927286</v>
      </c>
      <c r="AE61" s="1408" t="s">
        <v>36</v>
      </c>
      <c r="AF61" s="1408"/>
      <c r="AG61" s="1415">
        <f>AG63*Defaults!$D$9</f>
        <v>1.8762807881434291</v>
      </c>
      <c r="AH61" s="1408" t="s">
        <v>36</v>
      </c>
      <c r="AI61" s="1408"/>
      <c r="AJ61" s="1415">
        <f>AJ63*Defaults!$D$9</f>
        <v>0.29677245091527332</v>
      </c>
      <c r="AK61" s="1454" t="s">
        <v>36</v>
      </c>
    </row>
    <row r="62" spans="1:37" ht="3" customHeight="1">
      <c r="A62" s="1224"/>
      <c r="B62" s="1378"/>
      <c r="C62" s="1396"/>
      <c r="D62" s="1392"/>
      <c r="E62" s="1392"/>
      <c r="F62" s="1392"/>
      <c r="G62" s="1392"/>
      <c r="H62" s="1392"/>
      <c r="I62" s="1392"/>
      <c r="J62" s="1386"/>
      <c r="K62" s="1386"/>
      <c r="L62" s="1386"/>
      <c r="M62" s="1378"/>
      <c r="N62" s="1368"/>
      <c r="O62" s="1361"/>
      <c r="P62" s="1361"/>
      <c r="Q62" s="1361"/>
      <c r="R62" s="1362"/>
      <c r="S62" s="1361"/>
      <c r="T62" s="1361"/>
      <c r="U62" s="1366"/>
      <c r="V62" s="1361"/>
      <c r="W62" s="1361"/>
      <c r="X62" s="1366"/>
      <c r="Y62" s="1369"/>
      <c r="Z62" s="1407"/>
      <c r="AA62" s="1408"/>
      <c r="AB62" s="1408"/>
      <c r="AC62" s="1408"/>
      <c r="AD62" s="1409"/>
      <c r="AE62" s="1408"/>
      <c r="AF62" s="1408"/>
      <c r="AG62" s="1410"/>
      <c r="AH62" s="1408"/>
      <c r="AI62" s="1408"/>
      <c r="AJ62" s="1410"/>
      <c r="AK62" s="1454"/>
    </row>
    <row r="63" spans="1:37" s="13" customFormat="1" ht="17.25" customHeight="1">
      <c r="A63" s="4874" t="s">
        <v>299</v>
      </c>
      <c r="B63" s="4875"/>
      <c r="C63" s="4875"/>
      <c r="D63" s="4875"/>
      <c r="E63" s="4875"/>
      <c r="F63" s="4875"/>
      <c r="G63" s="4875"/>
      <c r="H63" s="4875"/>
      <c r="I63" s="4875"/>
      <c r="J63" s="4875"/>
      <c r="K63" s="4875"/>
      <c r="L63" s="4875"/>
      <c r="M63" s="1438"/>
      <c r="N63" s="1374"/>
      <c r="O63" s="1365"/>
      <c r="P63" s="1365"/>
      <c r="Q63" s="1365"/>
      <c r="R63" s="1365">
        <f>R26+R44+R58</f>
        <v>262.59154668950083</v>
      </c>
      <c r="S63" s="1437" t="s">
        <v>257</v>
      </c>
      <c r="T63" s="1365"/>
      <c r="U63" s="1365">
        <f>U26+U44+U58</f>
        <v>5.0230379173821866</v>
      </c>
      <c r="V63" s="1437" t="s">
        <v>257</v>
      </c>
      <c r="W63" s="1365"/>
      <c r="X63" s="1365">
        <f>X26+X44+X58</f>
        <v>0.71413774765747839</v>
      </c>
      <c r="Y63" s="1437" t="s">
        <v>257</v>
      </c>
      <c r="Z63" s="1439"/>
      <c r="AA63" s="1415"/>
      <c r="AB63" s="1415"/>
      <c r="AC63" s="1415"/>
      <c r="AD63" s="1415">
        <f>AD26+AD44+AD58</f>
        <v>229.47043426410517</v>
      </c>
      <c r="AE63" s="1453" t="s">
        <v>257</v>
      </c>
      <c r="AF63" s="1415"/>
      <c r="AG63" s="1415">
        <f>AG26+AG44+AG58</f>
        <v>4.1364917799991314</v>
      </c>
      <c r="AH63" s="1453" t="s">
        <v>257</v>
      </c>
      <c r="AI63" s="1415"/>
      <c r="AJ63" s="1415">
        <f>AJ26+AJ44+AJ58</f>
        <v>0.65427137105418265</v>
      </c>
      <c r="AK63" s="1458" t="s">
        <v>257</v>
      </c>
    </row>
    <row r="64" spans="1:37" ht="5.25" customHeight="1">
      <c r="A64" s="1440"/>
      <c r="B64" s="1441"/>
      <c r="C64" s="1442"/>
      <c r="D64" s="1443"/>
      <c r="E64" s="1443"/>
      <c r="F64" s="1443"/>
      <c r="G64" s="1443"/>
      <c r="H64" s="1443"/>
      <c r="I64" s="1443"/>
      <c r="J64" s="1444"/>
      <c r="K64" s="1444"/>
      <c r="L64" s="1444"/>
      <c r="M64" s="1441"/>
      <c r="N64" s="1445"/>
      <c r="O64" s="1436"/>
      <c r="P64" s="1436"/>
      <c r="Q64" s="1436"/>
      <c r="R64" s="1446"/>
      <c r="S64" s="1436"/>
      <c r="T64" s="1436"/>
      <c r="U64" s="1447"/>
      <c r="V64" s="1436"/>
      <c r="W64" s="1436"/>
      <c r="X64" s="1447"/>
      <c r="Y64" s="1448"/>
      <c r="Z64" s="1449"/>
      <c r="AA64" s="1450"/>
      <c r="AB64" s="1450"/>
      <c r="AC64" s="1450"/>
      <c r="AD64" s="1451"/>
      <c r="AE64" s="1450"/>
      <c r="AF64" s="1450"/>
      <c r="AG64" s="1452"/>
      <c r="AH64" s="1450"/>
      <c r="AI64" s="1450"/>
      <c r="AJ64" s="1452"/>
      <c r="AK64" s="1459"/>
    </row>
    <row r="65" spans="1:37" s="13" customFormat="1" ht="30" customHeight="1">
      <c r="A65" s="4878" t="s">
        <v>292</v>
      </c>
      <c r="B65" s="4879"/>
      <c r="C65" s="4879"/>
      <c r="D65" s="4879"/>
      <c r="E65" s="4879"/>
      <c r="F65" s="4879"/>
      <c r="G65" s="4879"/>
      <c r="H65" s="4879"/>
      <c r="I65" s="4879"/>
      <c r="J65" s="4879"/>
      <c r="K65" s="4879"/>
      <c r="L65" s="4879"/>
      <c r="M65" s="4879"/>
      <c r="N65" s="4879"/>
      <c r="O65" s="4879"/>
      <c r="P65" s="4879"/>
      <c r="Q65" s="4879"/>
      <c r="R65" s="4879"/>
      <c r="S65" s="4879"/>
      <c r="T65" s="4879"/>
      <c r="U65" s="4879"/>
      <c r="V65" s="4879"/>
      <c r="W65" s="4879"/>
      <c r="X65" s="4879"/>
      <c r="Y65" s="4879"/>
      <c r="Z65" s="4879"/>
      <c r="AA65" s="4879"/>
      <c r="AB65" s="4879"/>
      <c r="AC65" s="4879"/>
      <c r="AD65" s="4879"/>
      <c r="AE65" s="4879"/>
      <c r="AF65" s="4879"/>
      <c r="AG65" s="4879"/>
      <c r="AH65" s="4879"/>
      <c r="AI65" s="4879"/>
      <c r="AJ65" s="4879"/>
      <c r="AK65" s="4880"/>
    </row>
    <row r="66" spans="1:37" s="13" customFormat="1" ht="27" customHeight="1">
      <c r="A66" s="4871" t="s">
        <v>1227</v>
      </c>
      <c r="B66" s="4872"/>
      <c r="C66" s="4872"/>
      <c r="D66" s="4872"/>
      <c r="E66" s="4872"/>
      <c r="F66" s="4872"/>
      <c r="G66" s="4872"/>
      <c r="H66" s="4872"/>
      <c r="I66" s="4872"/>
      <c r="J66" s="4872"/>
      <c r="K66" s="4872"/>
      <c r="L66" s="4872"/>
      <c r="M66" s="4872"/>
      <c r="N66" s="4872"/>
      <c r="O66" s="4872"/>
      <c r="P66" s="4872"/>
      <c r="Q66" s="4872"/>
      <c r="R66" s="4872"/>
      <c r="S66" s="4872"/>
      <c r="T66" s="4872"/>
      <c r="U66" s="4872"/>
      <c r="V66" s="4872"/>
      <c r="W66" s="4872"/>
      <c r="X66" s="4872"/>
      <c r="Y66" s="4872"/>
      <c r="Z66" s="4872"/>
      <c r="AA66" s="4872"/>
      <c r="AB66" s="4872"/>
      <c r="AC66" s="4872"/>
      <c r="AD66" s="4872"/>
      <c r="AE66" s="4872"/>
      <c r="AF66" s="4872"/>
      <c r="AG66" s="4872"/>
      <c r="AH66" s="4872"/>
      <c r="AI66" s="4872"/>
      <c r="AJ66" s="4872"/>
      <c r="AK66" s="4873"/>
    </row>
    <row r="67" spans="1:37" s="13" customFormat="1" ht="26.25" customHeight="1">
      <c r="A67" s="4871" t="s">
        <v>1229</v>
      </c>
      <c r="B67" s="4872"/>
      <c r="C67" s="4872"/>
      <c r="D67" s="4872"/>
      <c r="E67" s="4872"/>
      <c r="F67" s="4872"/>
      <c r="G67" s="4872"/>
      <c r="H67" s="4872"/>
      <c r="I67" s="4872"/>
      <c r="J67" s="4872"/>
      <c r="K67" s="4872"/>
      <c r="L67" s="4872"/>
      <c r="M67" s="4872"/>
      <c r="N67" s="4872"/>
      <c r="O67" s="4872"/>
      <c r="P67" s="4872"/>
      <c r="Q67" s="4872"/>
      <c r="R67" s="4872"/>
      <c r="S67" s="4872"/>
      <c r="T67" s="4872"/>
      <c r="U67" s="4872"/>
      <c r="V67" s="4872"/>
      <c r="W67" s="4872"/>
      <c r="X67" s="4872"/>
      <c r="Y67" s="4872"/>
      <c r="Z67" s="4872"/>
      <c r="AA67" s="4872"/>
      <c r="AB67" s="4872"/>
      <c r="AC67" s="4872"/>
      <c r="AD67" s="4872"/>
      <c r="AE67" s="4872"/>
      <c r="AF67" s="4872"/>
      <c r="AG67" s="4872"/>
      <c r="AH67" s="4872"/>
      <c r="AI67" s="4872"/>
      <c r="AJ67" s="4872"/>
      <c r="AK67" s="4873"/>
    </row>
    <row r="68" spans="1:37" s="13" customFormat="1" ht="38.25" customHeight="1">
      <c r="A68" s="4871" t="s">
        <v>1230</v>
      </c>
      <c r="B68" s="4872"/>
      <c r="C68" s="4872"/>
      <c r="D68" s="4872"/>
      <c r="E68" s="4872"/>
      <c r="F68" s="4872"/>
      <c r="G68" s="4872"/>
      <c r="H68" s="4872"/>
      <c r="I68" s="4872"/>
      <c r="J68" s="4872"/>
      <c r="K68" s="4872"/>
      <c r="L68" s="4872"/>
      <c r="M68" s="4872"/>
      <c r="N68" s="4872"/>
      <c r="O68" s="4872"/>
      <c r="P68" s="4872"/>
      <c r="Q68" s="4872"/>
      <c r="R68" s="4872"/>
      <c r="S68" s="4872"/>
      <c r="T68" s="4872"/>
      <c r="U68" s="4872"/>
      <c r="V68" s="4872"/>
      <c r="W68" s="4872"/>
      <c r="X68" s="4872"/>
      <c r="Y68" s="4872"/>
      <c r="Z68" s="4872"/>
      <c r="AA68" s="4872"/>
      <c r="AB68" s="4872"/>
      <c r="AC68" s="4872"/>
      <c r="AD68" s="4872"/>
      <c r="AE68" s="4872"/>
      <c r="AF68" s="4872"/>
      <c r="AG68" s="4872"/>
      <c r="AH68" s="4872"/>
      <c r="AI68" s="4872"/>
      <c r="AJ68" s="4872"/>
      <c r="AK68" s="4873"/>
    </row>
    <row r="69" spans="1:37" s="13" customFormat="1" ht="15">
      <c r="A69" s="4865" t="s">
        <v>99</v>
      </c>
      <c r="B69" s="4866"/>
      <c r="C69" s="4866"/>
      <c r="D69" s="4866"/>
      <c r="E69" s="4866"/>
      <c r="F69" s="4866"/>
      <c r="G69" s="4866"/>
      <c r="H69" s="4866"/>
      <c r="I69" s="4866"/>
      <c r="J69" s="4866"/>
      <c r="K69" s="4866"/>
      <c r="L69" s="4866"/>
      <c r="M69" s="4866"/>
      <c r="N69" s="4866"/>
      <c r="O69" s="4866"/>
      <c r="P69" s="4866"/>
      <c r="Q69" s="4866"/>
      <c r="R69" s="4866"/>
      <c r="S69" s="4866"/>
      <c r="T69" s="4866"/>
      <c r="U69" s="4866"/>
      <c r="V69" s="4866"/>
      <c r="W69" s="4866"/>
      <c r="X69" s="4866"/>
      <c r="Y69" s="4866"/>
      <c r="Z69" s="4866"/>
      <c r="AA69" s="4866"/>
      <c r="AB69" s="4866"/>
      <c r="AC69" s="4866"/>
      <c r="AD69" s="4866"/>
      <c r="AE69" s="4866"/>
      <c r="AF69" s="4866"/>
      <c r="AG69" s="4866"/>
      <c r="AH69" s="4866"/>
      <c r="AI69" s="4866"/>
      <c r="AJ69" s="4866"/>
      <c r="AK69" s="4867"/>
    </row>
    <row r="70" spans="1:37" s="13" customFormat="1" ht="15">
      <c r="A70" s="4865" t="s">
        <v>98</v>
      </c>
      <c r="B70" s="4866"/>
      <c r="C70" s="4866"/>
      <c r="D70" s="4866"/>
      <c r="E70" s="4866"/>
      <c r="F70" s="4866"/>
      <c r="G70" s="4866"/>
      <c r="H70" s="4866"/>
      <c r="I70" s="4866"/>
      <c r="J70" s="4866"/>
      <c r="K70" s="4866"/>
      <c r="L70" s="4866"/>
      <c r="M70" s="4866"/>
      <c r="N70" s="4866"/>
      <c r="O70" s="4866"/>
      <c r="P70" s="4866"/>
      <c r="Q70" s="4866"/>
      <c r="R70" s="4866"/>
      <c r="S70" s="4866"/>
      <c r="T70" s="4866"/>
      <c r="U70" s="4866"/>
      <c r="V70" s="4866"/>
      <c r="W70" s="4866"/>
      <c r="X70" s="4866"/>
      <c r="Y70" s="4866"/>
      <c r="Z70" s="4866"/>
      <c r="AA70" s="4866"/>
      <c r="AB70" s="4866"/>
      <c r="AC70" s="4866"/>
      <c r="AD70" s="4866"/>
      <c r="AE70" s="4866"/>
      <c r="AF70" s="4866"/>
      <c r="AG70" s="4866"/>
      <c r="AH70" s="4866"/>
      <c r="AI70" s="4866"/>
      <c r="AJ70" s="4866"/>
      <c r="AK70" s="4867"/>
    </row>
    <row r="71" spans="1:37" s="13" customFormat="1" ht="15">
      <c r="A71" s="4865" t="s">
        <v>188</v>
      </c>
      <c r="B71" s="4866"/>
      <c r="C71" s="4866"/>
      <c r="D71" s="4866"/>
      <c r="E71" s="4866"/>
      <c r="F71" s="4866"/>
      <c r="G71" s="4866"/>
      <c r="H71" s="4866"/>
      <c r="I71" s="4866"/>
      <c r="J71" s="4866"/>
      <c r="K71" s="4866"/>
      <c r="L71" s="4866"/>
      <c r="M71" s="4866"/>
      <c r="N71" s="4866"/>
      <c r="O71" s="4866"/>
      <c r="P71" s="4866"/>
      <c r="Q71" s="4866"/>
      <c r="R71" s="4866"/>
      <c r="S71" s="4866"/>
      <c r="T71" s="4866"/>
      <c r="U71" s="4866"/>
      <c r="V71" s="4866"/>
      <c r="W71" s="4866"/>
      <c r="X71" s="4866"/>
      <c r="Y71" s="4866"/>
      <c r="Z71" s="4866"/>
      <c r="AA71" s="4866"/>
      <c r="AB71" s="4866"/>
      <c r="AC71" s="4866"/>
      <c r="AD71" s="4866"/>
      <c r="AE71" s="4866"/>
      <c r="AF71" s="4866"/>
      <c r="AG71" s="4866"/>
      <c r="AH71" s="4866"/>
      <c r="AI71" s="4866"/>
      <c r="AJ71" s="4866"/>
      <c r="AK71" s="4867"/>
    </row>
    <row r="72" spans="1:37" s="13" customFormat="1" ht="15.75" thickBot="1">
      <c r="A72" s="4868" t="s">
        <v>120</v>
      </c>
      <c r="B72" s="4869"/>
      <c r="C72" s="4869"/>
      <c r="D72" s="4869"/>
      <c r="E72" s="4869"/>
      <c r="F72" s="4869"/>
      <c r="G72" s="4869"/>
      <c r="H72" s="4869"/>
      <c r="I72" s="4869"/>
      <c r="J72" s="4869"/>
      <c r="K72" s="4869"/>
      <c r="L72" s="4869"/>
      <c r="M72" s="4869"/>
      <c r="N72" s="4869"/>
      <c r="O72" s="4869"/>
      <c r="P72" s="4869"/>
      <c r="Q72" s="4869"/>
      <c r="R72" s="4869"/>
      <c r="S72" s="4869"/>
      <c r="T72" s="4869"/>
      <c r="U72" s="4869"/>
      <c r="V72" s="4869"/>
      <c r="W72" s="4869"/>
      <c r="X72" s="4869"/>
      <c r="Y72" s="4869"/>
      <c r="Z72" s="4869"/>
      <c r="AA72" s="4869"/>
      <c r="AB72" s="4869"/>
      <c r="AC72" s="4869"/>
      <c r="AD72" s="4869"/>
      <c r="AE72" s="4869"/>
      <c r="AF72" s="4869"/>
      <c r="AG72" s="4869"/>
      <c r="AH72" s="4869"/>
      <c r="AI72" s="4869"/>
      <c r="AJ72" s="4869"/>
      <c r="AK72" s="4870"/>
    </row>
    <row r="73" spans="1:37" s="13" customFormat="1" ht="15.75">
      <c r="A73" s="1402"/>
      <c r="B73" s="1403"/>
      <c r="C73" s="1404"/>
      <c r="D73" s="1404"/>
      <c r="E73" s="1404"/>
      <c r="F73" s="1404"/>
      <c r="G73" s="1404"/>
      <c r="H73" s="1404"/>
      <c r="I73" s="1404"/>
      <c r="J73" s="1403"/>
      <c r="K73" s="1403"/>
      <c r="L73" s="1403"/>
      <c r="M73" s="1403"/>
      <c r="N73" s="1405"/>
      <c r="O73" s="1405"/>
      <c r="P73" s="1405"/>
      <c r="Q73" s="1405"/>
      <c r="R73" s="1405"/>
      <c r="S73" s="1405"/>
      <c r="T73" s="1405"/>
      <c r="U73" s="1405"/>
      <c r="V73" s="1405"/>
      <c r="W73" s="1405"/>
      <c r="X73" s="1405"/>
      <c r="Y73" s="1405"/>
      <c r="Z73" s="1405"/>
      <c r="AA73" s="1405"/>
      <c r="AB73" s="1405"/>
      <c r="AC73" s="1405"/>
      <c r="AD73" s="1405"/>
      <c r="AE73" s="1405"/>
      <c r="AF73" s="1405"/>
      <c r="AG73" s="1405"/>
      <c r="AH73" s="1405"/>
      <c r="AI73" s="1405"/>
      <c r="AJ73" s="1405"/>
      <c r="AK73" s="1405"/>
    </row>
  </sheetData>
  <sheetProtection password="E0BE" sheet="1" objects="1" scenarios="1"/>
  <mergeCells count="32">
    <mergeCell ref="A1:AK1"/>
    <mergeCell ref="H5:J5"/>
    <mergeCell ref="E5:G5"/>
    <mergeCell ref="B5:D5"/>
    <mergeCell ref="B3:M4"/>
    <mergeCell ref="Z3:AK3"/>
    <mergeCell ref="Z4:AK4"/>
    <mergeCell ref="A2:AK2"/>
    <mergeCell ref="N3:Y3"/>
    <mergeCell ref="N4:Y4"/>
    <mergeCell ref="Z5:AB5"/>
    <mergeCell ref="AC5:AE5"/>
    <mergeCell ref="AF5:AH5"/>
    <mergeCell ref="AI5:AK5"/>
    <mergeCell ref="N5:P5"/>
    <mergeCell ref="Q5:S5"/>
    <mergeCell ref="T5:V5"/>
    <mergeCell ref="W5:Y5"/>
    <mergeCell ref="A6:AK6"/>
    <mergeCell ref="A28:AK28"/>
    <mergeCell ref="K5:M5"/>
    <mergeCell ref="A46:AK46"/>
    <mergeCell ref="A71:AK71"/>
    <mergeCell ref="A72:AK72"/>
    <mergeCell ref="A66:AK66"/>
    <mergeCell ref="A67:AK67"/>
    <mergeCell ref="A68:AK68"/>
    <mergeCell ref="A69:AK69"/>
    <mergeCell ref="A70:AK70"/>
    <mergeCell ref="A63:L63"/>
    <mergeCell ref="A61:L61"/>
    <mergeCell ref="A65:AK65"/>
  </mergeCells>
  <printOptions horizontalCentered="1" gridLines="1"/>
  <pageMargins left="0.7" right="0.7" top="0.75" bottom="0.75" header="0.3" footer="0.3"/>
  <pageSetup scale="55" orientation="landscape" r:id="rId1"/>
  <headerFooter>
    <oddFooter>&amp;L&amp;A&amp;C&amp;F&amp;R&amp;D</oddFooter>
  </headerFooter>
</worksheet>
</file>

<file path=xl/worksheets/sheet26.xml><?xml version="1.0" encoding="utf-8"?>
<worksheet xmlns="http://schemas.openxmlformats.org/spreadsheetml/2006/main" xmlns:r="http://schemas.openxmlformats.org/officeDocument/2006/relationships">
  <sheetPr>
    <pageSetUpPr fitToPage="1"/>
  </sheetPr>
  <dimension ref="A1:BE73"/>
  <sheetViews>
    <sheetView zoomScale="75" zoomScaleNormal="75" workbookViewId="0">
      <selection activeCell="C20" sqref="C20"/>
    </sheetView>
  </sheetViews>
  <sheetFormatPr defaultRowHeight="12.75"/>
  <cols>
    <col min="1" max="1" width="24.7109375" customWidth="1"/>
    <col min="2" max="2" width="1.42578125" customWidth="1"/>
    <col min="3" max="3" width="11.7109375" customWidth="1"/>
    <col min="4" max="5" width="1.42578125" customWidth="1"/>
    <col min="6" max="6" width="11.7109375" customWidth="1"/>
    <col min="7" max="8" width="1.42578125" customWidth="1"/>
    <col min="9" max="9" width="11.85546875" customWidth="1"/>
    <col min="10" max="11" width="1.42578125" customWidth="1"/>
    <col min="12" max="12" width="13.140625" customWidth="1"/>
    <col min="13" max="13" width="1.42578125" customWidth="1"/>
    <col min="14" max="14" width="1.28515625" customWidth="1"/>
    <col min="15" max="15" width="11.28515625" customWidth="1"/>
    <col min="16" max="16" width="3.7109375" customWidth="1"/>
    <col min="17" max="17" width="1.28515625" customWidth="1"/>
    <col min="18" max="18" width="10.7109375" customWidth="1"/>
    <col min="19" max="19" width="3.7109375" customWidth="1"/>
    <col min="20" max="20" width="1.28515625" customWidth="1"/>
    <col min="21" max="21" width="11" customWidth="1"/>
    <col min="22" max="22" width="3.85546875" customWidth="1"/>
    <col min="23" max="23" width="1.28515625" customWidth="1"/>
    <col min="24" max="24" width="9.5703125" customWidth="1"/>
    <col min="25" max="25" width="5.85546875" style="6" customWidth="1"/>
    <col min="26" max="26" width="1.28515625" customWidth="1"/>
    <col min="27" max="27" width="11.28515625" customWidth="1"/>
    <col min="28" max="28" width="3.7109375" customWidth="1"/>
    <col min="29" max="29" width="1.28515625" customWidth="1"/>
    <col min="30" max="30" width="10.7109375" customWidth="1"/>
    <col min="31" max="31" width="3.7109375" customWidth="1"/>
    <col min="32" max="32" width="1.28515625" customWidth="1"/>
    <col min="33" max="33" width="10.7109375" customWidth="1"/>
    <col min="34" max="34" width="3.85546875" customWidth="1"/>
    <col min="35" max="35" width="1.28515625" customWidth="1"/>
    <col min="36" max="36" width="9.5703125" customWidth="1"/>
    <col min="37" max="37" width="5.85546875" style="6" customWidth="1"/>
    <col min="39" max="40" width="18.42578125" customWidth="1"/>
    <col min="41" max="41" width="16.7109375" bestFit="1" customWidth="1"/>
    <col min="42" max="43" width="15.42578125" bestFit="1" customWidth="1"/>
  </cols>
  <sheetData>
    <row r="1" spans="1:5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3"/>
      <c r="AL1" s="1707"/>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769" t="s">
        <v>985</v>
      </c>
      <c r="B2" s="4770"/>
      <c r="C2" s="4770"/>
      <c r="D2" s="4770"/>
      <c r="E2" s="4770"/>
      <c r="F2" s="4770"/>
      <c r="G2" s="4770"/>
      <c r="H2" s="4770"/>
      <c r="I2" s="4770"/>
      <c r="J2" s="4770"/>
      <c r="K2" s="4770"/>
      <c r="L2" s="4770"/>
      <c r="M2" s="4770"/>
      <c r="N2" s="4770"/>
      <c r="O2" s="4770"/>
      <c r="P2" s="4770"/>
      <c r="Q2" s="4770"/>
      <c r="R2" s="4770"/>
      <c r="S2" s="4770"/>
      <c r="T2" s="4770"/>
      <c r="U2" s="4770"/>
      <c r="V2" s="4770"/>
      <c r="W2" s="4770"/>
      <c r="X2" s="4770"/>
      <c r="Y2" s="4770"/>
      <c r="Z2" s="4770"/>
      <c r="AA2" s="4770"/>
      <c r="AB2" s="4770"/>
      <c r="AC2" s="4770"/>
      <c r="AD2" s="4770"/>
      <c r="AE2" s="4770"/>
      <c r="AF2" s="4770"/>
      <c r="AG2" s="4770"/>
      <c r="AH2" s="4770"/>
      <c r="AI2" s="4770"/>
      <c r="AJ2" s="4770"/>
      <c r="AK2" s="4771"/>
    </row>
    <row r="3" spans="1:57" ht="36" customHeight="1">
      <c r="A3" s="1417"/>
      <c r="B3" s="4885" t="s">
        <v>1498</v>
      </c>
      <c r="C3" s="4886"/>
      <c r="D3" s="4886"/>
      <c r="E3" s="4886"/>
      <c r="F3" s="4886"/>
      <c r="G3" s="4886"/>
      <c r="H3" s="4886"/>
      <c r="I3" s="4886"/>
      <c r="J3" s="4886"/>
      <c r="K3" s="4886"/>
      <c r="L3" s="4886"/>
      <c r="M3" s="4887"/>
      <c r="N3" s="4815" t="str">
        <f>'Chosen Parameters-Part I'!D4</f>
        <v>Scenario 3</v>
      </c>
      <c r="O3" s="4816"/>
      <c r="P3" s="4816"/>
      <c r="Q3" s="4816"/>
      <c r="R3" s="4816"/>
      <c r="S3" s="4816"/>
      <c r="T3" s="4816"/>
      <c r="U3" s="4816"/>
      <c r="V3" s="4816"/>
      <c r="W3" s="4816"/>
      <c r="X3" s="4816"/>
      <c r="Y3" s="4817"/>
      <c r="Z3" s="4819" t="str">
        <f>'Chosen Parameters-Part I'!E4</f>
        <v>Scenario 4</v>
      </c>
      <c r="AA3" s="4819"/>
      <c r="AB3" s="4819"/>
      <c r="AC3" s="4819"/>
      <c r="AD3" s="4819"/>
      <c r="AE3" s="4819"/>
      <c r="AF3" s="4819"/>
      <c r="AG3" s="4819"/>
      <c r="AH3" s="4819"/>
      <c r="AI3" s="4819"/>
      <c r="AJ3" s="4819"/>
      <c r="AK3" s="4820"/>
    </row>
    <row r="4" spans="1:57" ht="36" customHeight="1">
      <c r="A4" s="1418"/>
      <c r="B4" s="4888"/>
      <c r="C4" s="4889"/>
      <c r="D4" s="4889"/>
      <c r="E4" s="4889"/>
      <c r="F4" s="4889"/>
      <c r="G4" s="4889"/>
      <c r="H4" s="4889"/>
      <c r="I4" s="4889"/>
      <c r="J4" s="4889"/>
      <c r="K4" s="4889"/>
      <c r="L4" s="4889"/>
      <c r="M4" s="4890"/>
      <c r="N4" s="4902" t="str">
        <f>'Application Setup'!B6</f>
        <v>Intensive Organic Management, Holsteins</v>
      </c>
      <c r="O4" s="4903"/>
      <c r="P4" s="4903"/>
      <c r="Q4" s="4903"/>
      <c r="R4" s="4903"/>
      <c r="S4" s="4903"/>
      <c r="T4" s="4903"/>
      <c r="U4" s="4903"/>
      <c r="V4" s="4903"/>
      <c r="W4" s="4903"/>
      <c r="X4" s="4903"/>
      <c r="Y4" s="4904"/>
      <c r="Z4" s="4905" t="str">
        <f>'Application Setup'!B7</f>
        <v>Pasture-Based Organic, Jersey Cows</v>
      </c>
      <c r="AA4" s="4906"/>
      <c r="AB4" s="4906"/>
      <c r="AC4" s="4906"/>
      <c r="AD4" s="4906"/>
      <c r="AE4" s="4906"/>
      <c r="AF4" s="4906"/>
      <c r="AG4" s="4906"/>
      <c r="AH4" s="4906"/>
      <c r="AI4" s="4906"/>
      <c r="AJ4" s="4906"/>
      <c r="AK4" s="4907"/>
    </row>
    <row r="5" spans="1:57" s="10" customFormat="1" ht="78.75" customHeight="1">
      <c r="A5" s="3126"/>
      <c r="B5" s="4881" t="s">
        <v>497</v>
      </c>
      <c r="C5" s="4882"/>
      <c r="D5" s="4884"/>
      <c r="E5" s="4881" t="s">
        <v>1400</v>
      </c>
      <c r="F5" s="4882"/>
      <c r="G5" s="4884"/>
      <c r="H5" s="4881" t="s">
        <v>1401</v>
      </c>
      <c r="I5" s="4882"/>
      <c r="J5" s="4884"/>
      <c r="K5" s="4881" t="s">
        <v>291</v>
      </c>
      <c r="L5" s="4882"/>
      <c r="M5" s="4883"/>
      <c r="N5" s="4646" t="s">
        <v>294</v>
      </c>
      <c r="O5" s="4647"/>
      <c r="P5" s="4648"/>
      <c r="Q5" s="4649" t="s">
        <v>511</v>
      </c>
      <c r="R5" s="4647"/>
      <c r="S5" s="4648"/>
      <c r="T5" s="4649" t="s">
        <v>512</v>
      </c>
      <c r="U5" s="4647"/>
      <c r="V5" s="4648"/>
      <c r="W5" s="4649" t="s">
        <v>513</v>
      </c>
      <c r="X5" s="4647"/>
      <c r="Y5" s="4653"/>
      <c r="Z5" s="4654" t="s">
        <v>294</v>
      </c>
      <c r="AA5" s="4655"/>
      <c r="AB5" s="4656"/>
      <c r="AC5" s="4657" t="s">
        <v>511</v>
      </c>
      <c r="AD5" s="4655"/>
      <c r="AE5" s="4656"/>
      <c r="AF5" s="4657" t="s">
        <v>512</v>
      </c>
      <c r="AG5" s="4655"/>
      <c r="AH5" s="4656"/>
      <c r="AI5" s="4657" t="s">
        <v>513</v>
      </c>
      <c r="AJ5" s="4655"/>
      <c r="AK5" s="4661"/>
    </row>
    <row r="6" spans="1:57" ht="20.25" customHeight="1">
      <c r="A6" s="4028" t="s">
        <v>892</v>
      </c>
      <c r="B6" s="4855"/>
      <c r="C6" s="4855"/>
      <c r="D6" s="4855"/>
      <c r="E6" s="4855"/>
      <c r="F6" s="4855"/>
      <c r="G6" s="4855"/>
      <c r="H6" s="4855"/>
      <c r="I6" s="4855"/>
      <c r="J6" s="4855"/>
      <c r="K6" s="4855"/>
      <c r="L6" s="4855"/>
      <c r="M6" s="4855"/>
      <c r="N6" s="4855"/>
      <c r="O6" s="4855"/>
      <c r="P6" s="4855"/>
      <c r="Q6" s="4855"/>
      <c r="R6" s="4855"/>
      <c r="S6" s="4855"/>
      <c r="T6" s="4855"/>
      <c r="U6" s="4855"/>
      <c r="V6" s="4855"/>
      <c r="W6" s="4855"/>
      <c r="X6" s="4855"/>
      <c r="Y6" s="4855"/>
      <c r="Z6" s="4855"/>
      <c r="AA6" s="4855"/>
      <c r="AB6" s="4855"/>
      <c r="AC6" s="4855"/>
      <c r="AD6" s="4855"/>
      <c r="AE6" s="4855"/>
      <c r="AF6" s="4855"/>
      <c r="AG6" s="4855"/>
      <c r="AH6" s="4855"/>
      <c r="AI6" s="4855"/>
      <c r="AJ6" s="4855"/>
      <c r="AK6" s="4856"/>
    </row>
    <row r="7" spans="1:57" ht="3" customHeight="1">
      <c r="A7" s="1224"/>
      <c r="B7" s="1381"/>
      <c r="C7" s="1396"/>
      <c r="D7" s="1392"/>
      <c r="E7" s="1392"/>
      <c r="F7" s="1392"/>
      <c r="G7" s="1392"/>
      <c r="H7" s="1392"/>
      <c r="I7" s="1392"/>
      <c r="J7" s="1378"/>
      <c r="K7" s="1378"/>
      <c r="L7" s="1378"/>
      <c r="M7" s="1378"/>
      <c r="N7" s="1368"/>
      <c r="O7" s="1361"/>
      <c r="P7" s="1361"/>
      <c r="Q7" s="1361"/>
      <c r="R7" s="1362"/>
      <c r="S7" s="1361"/>
      <c r="T7" s="1361"/>
      <c r="U7" s="1366"/>
      <c r="V7" s="1361"/>
      <c r="W7" s="1361"/>
      <c r="X7" s="1366"/>
      <c r="Y7" s="1369"/>
      <c r="Z7" s="1407"/>
      <c r="AA7" s="1408"/>
      <c r="AB7" s="1408"/>
      <c r="AC7" s="1408"/>
      <c r="AD7" s="1409"/>
      <c r="AE7" s="1408"/>
      <c r="AF7" s="1408"/>
      <c r="AG7" s="1410"/>
      <c r="AH7" s="1408"/>
      <c r="AI7" s="1408"/>
      <c r="AJ7" s="1410"/>
      <c r="AK7" s="1454"/>
    </row>
    <row r="8" spans="1:57" ht="14.25">
      <c r="A8" s="3658" t="s">
        <v>28</v>
      </c>
      <c r="B8" s="1381"/>
      <c r="C8" s="3542">
        <v>1E-8</v>
      </c>
      <c r="D8" s="1392"/>
      <c r="E8" s="1392"/>
      <c r="F8" s="3548">
        <v>0.3</v>
      </c>
      <c r="G8" s="1392"/>
      <c r="H8" s="1392"/>
      <c r="I8" s="3548">
        <v>0.2</v>
      </c>
      <c r="J8" s="1378"/>
      <c r="K8" s="1378"/>
      <c r="L8" s="3543" t="s">
        <v>1228</v>
      </c>
      <c r="M8" s="1378"/>
      <c r="N8" s="2879"/>
      <c r="O8" s="2880">
        <f>'Step 10b--Required Acres'!N7</f>
        <v>0.92124266450542336</v>
      </c>
      <c r="P8" s="2880"/>
      <c r="Q8" s="2880"/>
      <c r="R8" s="2881">
        <f>IF(Options!$AG$24=TRUE,0,O8*$C8)</f>
        <v>0</v>
      </c>
      <c r="S8" s="2880"/>
      <c r="T8" s="2880"/>
      <c r="U8" s="2882">
        <f>IF(Options!$AG$24=TRUE,0,O8*$F8)</f>
        <v>0</v>
      </c>
      <c r="V8" s="2880"/>
      <c r="W8" s="2880"/>
      <c r="X8" s="2882">
        <f>IF(Options!$AG$24=TRUE,0,O8*$I8)</f>
        <v>0</v>
      </c>
      <c r="Y8" s="2883"/>
      <c r="Z8" s="2904"/>
      <c r="AA8" s="2905">
        <f>'Step 10b--Required Acres'!AC7</f>
        <v>0.46081474336710487</v>
      </c>
      <c r="AB8" s="2905"/>
      <c r="AC8" s="2905"/>
      <c r="AD8" s="2906">
        <f>IF(Options!$AH$24=TRUE,0,AA8*$C8)</f>
        <v>0</v>
      </c>
      <c r="AE8" s="2905"/>
      <c r="AF8" s="2905"/>
      <c r="AG8" s="1359">
        <f>IF(Options!$AH$24=TRUE,0,AA8*$F8)</f>
        <v>0</v>
      </c>
      <c r="AH8" s="2905"/>
      <c r="AI8" s="2905"/>
      <c r="AJ8" s="1359">
        <f>IF(Options!$AH$24=TRUE,0,AA8*$I8)</f>
        <v>0</v>
      </c>
      <c r="AK8" s="2907"/>
    </row>
    <row r="9" spans="1:57" ht="3" customHeight="1">
      <c r="A9" s="3658"/>
      <c r="B9" s="1381"/>
      <c r="C9" s="1396"/>
      <c r="D9" s="1392"/>
      <c r="E9" s="1392"/>
      <c r="F9" s="1392"/>
      <c r="G9" s="1392"/>
      <c r="H9" s="1392"/>
      <c r="I9" s="1392"/>
      <c r="J9" s="1378"/>
      <c r="K9" s="1378"/>
      <c r="L9" s="1378"/>
      <c r="M9" s="1378"/>
      <c r="N9" s="2879"/>
      <c r="O9" s="2880"/>
      <c r="P9" s="2880"/>
      <c r="Q9" s="2880"/>
      <c r="R9" s="2881"/>
      <c r="S9" s="2880"/>
      <c r="T9" s="2880"/>
      <c r="U9" s="2882"/>
      <c r="V9" s="2880"/>
      <c r="W9" s="2880"/>
      <c r="X9" s="2882"/>
      <c r="Y9" s="2883"/>
      <c r="Z9" s="2904"/>
      <c r="AA9" s="2905"/>
      <c r="AB9" s="2905"/>
      <c r="AC9" s="2905"/>
      <c r="AD9" s="2906"/>
      <c r="AE9" s="2905"/>
      <c r="AF9" s="2905"/>
      <c r="AG9" s="1359"/>
      <c r="AH9" s="2905"/>
      <c r="AI9" s="2905"/>
      <c r="AJ9" s="1359"/>
      <c r="AK9" s="2907"/>
    </row>
    <row r="10" spans="1:57" ht="14.25">
      <c r="A10" s="3658" t="s">
        <v>29</v>
      </c>
      <c r="B10" s="1381"/>
      <c r="C10" s="3542">
        <v>79.2</v>
      </c>
      <c r="D10" s="1392"/>
      <c r="E10" s="1392"/>
      <c r="F10" s="3548">
        <v>0.3</v>
      </c>
      <c r="G10" s="1392"/>
      <c r="H10" s="1392"/>
      <c r="I10" s="3548">
        <v>0.2</v>
      </c>
      <c r="J10" s="1378"/>
      <c r="K10" s="1378"/>
      <c r="L10" s="3543" t="s">
        <v>1228</v>
      </c>
      <c r="M10" s="1378"/>
      <c r="N10" s="2879"/>
      <c r="O10" s="2880">
        <f>'Step 10b--Required Acres'!N9</f>
        <v>0.34354455245901633</v>
      </c>
      <c r="P10" s="2880"/>
      <c r="Q10" s="2880"/>
      <c r="R10" s="2881">
        <f>IF(Options!$AG$24=TRUE,0,O10*$C10)</f>
        <v>0</v>
      </c>
      <c r="S10" s="2880"/>
      <c r="T10" s="2880"/>
      <c r="U10" s="2882">
        <f>IF(Options!$AG$24=TRUE,0,O10*$F10)</f>
        <v>0</v>
      </c>
      <c r="V10" s="2880"/>
      <c r="W10" s="2880"/>
      <c r="X10" s="2882">
        <f>IF(Options!$AG$24=TRUE,0,O10*$I10)</f>
        <v>0</v>
      </c>
      <c r="Y10" s="2883"/>
      <c r="Z10" s="2904"/>
      <c r="AA10" s="2905">
        <f>'Step 10b--Required Acres'!AC9</f>
        <v>0.44734942931249988</v>
      </c>
      <c r="AB10" s="2905"/>
      <c r="AC10" s="2905"/>
      <c r="AD10" s="2906">
        <f>IF(Options!$AH$24=TRUE,0,AA10*$C10)</f>
        <v>0</v>
      </c>
      <c r="AE10" s="2905"/>
      <c r="AF10" s="2905"/>
      <c r="AG10" s="1359">
        <f>IF(Options!$AH$24=TRUE,0,AA10*$F10)</f>
        <v>0</v>
      </c>
      <c r="AH10" s="2905"/>
      <c r="AI10" s="2905"/>
      <c r="AJ10" s="1359">
        <f>IF(Options!$AH$24=TRUE,0,AA10*$I10)</f>
        <v>0</v>
      </c>
      <c r="AK10" s="2907"/>
    </row>
    <row r="11" spans="1:57" ht="3" customHeight="1">
      <c r="A11" s="3658"/>
      <c r="B11" s="1381"/>
      <c r="C11" s="3542"/>
      <c r="D11" s="1392"/>
      <c r="E11" s="1392"/>
      <c r="F11" s="1392"/>
      <c r="G11" s="1392"/>
      <c r="H11" s="1392"/>
      <c r="I11" s="1392"/>
      <c r="J11" s="1378"/>
      <c r="K11" s="1378"/>
      <c r="L11" s="1378"/>
      <c r="M11" s="1378"/>
      <c r="N11" s="2879"/>
      <c r="O11" s="2880"/>
      <c r="P11" s="2880"/>
      <c r="Q11" s="2880"/>
      <c r="R11" s="2881"/>
      <c r="S11" s="2880"/>
      <c r="T11" s="2880"/>
      <c r="U11" s="2882"/>
      <c r="V11" s="2880"/>
      <c r="W11" s="2880"/>
      <c r="X11" s="2882"/>
      <c r="Y11" s="2883"/>
      <c r="Z11" s="2904"/>
      <c r="AA11" s="2905"/>
      <c r="AB11" s="2905"/>
      <c r="AC11" s="2905"/>
      <c r="AD11" s="2906"/>
      <c r="AE11" s="2905"/>
      <c r="AF11" s="2905"/>
      <c r="AG11" s="1359"/>
      <c r="AH11" s="2905"/>
      <c r="AI11" s="2905"/>
      <c r="AJ11" s="1359"/>
      <c r="AK11" s="2907"/>
    </row>
    <row r="12" spans="1:57" ht="14.25">
      <c r="A12" s="3658" t="s">
        <v>3</v>
      </c>
      <c r="B12" s="1381"/>
      <c r="C12" s="3542">
        <v>132</v>
      </c>
      <c r="D12" s="1392"/>
      <c r="E12" s="1392"/>
      <c r="F12" s="3548">
        <v>2.1</v>
      </c>
      <c r="G12" s="1392"/>
      <c r="H12" s="1392"/>
      <c r="I12" s="3548">
        <v>0.2</v>
      </c>
      <c r="J12" s="1378"/>
      <c r="K12" s="1378"/>
      <c r="L12" s="3543" t="s">
        <v>24</v>
      </c>
      <c r="M12" s="1378"/>
      <c r="N12" s="2879"/>
      <c r="O12" s="2880">
        <f>'Step 10b--Required Acres'!N11</f>
        <v>0.12082985675462432</v>
      </c>
      <c r="P12" s="2880"/>
      <c r="Q12" s="2880"/>
      <c r="R12" s="2881">
        <f>IF(Options!$AG$24=TRUE,0,O12*$C12)</f>
        <v>0</v>
      </c>
      <c r="S12" s="2880"/>
      <c r="T12" s="2880"/>
      <c r="U12" s="2882">
        <f>IF(Options!$AG$24=TRUE,0,O12*$F12)</f>
        <v>0</v>
      </c>
      <c r="V12" s="2880"/>
      <c r="W12" s="2880"/>
      <c r="X12" s="2882">
        <f>IF(Options!$AG$24=TRUE,0,O12*$I12)</f>
        <v>0</v>
      </c>
      <c r="Y12" s="2883"/>
      <c r="Z12" s="2904"/>
      <c r="AA12" s="2905">
        <f>'Step 10b--Required Acres'!AC11</f>
        <v>5.7845446524064162E-2</v>
      </c>
      <c r="AB12" s="2905"/>
      <c r="AC12" s="2905"/>
      <c r="AD12" s="2906">
        <f>IF(Options!$AH$24=TRUE,0,AA12*$C12)</f>
        <v>0</v>
      </c>
      <c r="AE12" s="2905"/>
      <c r="AF12" s="2905"/>
      <c r="AG12" s="1359">
        <f>IF(Options!$AH$24=TRUE,0,AA12*$F12)</f>
        <v>0</v>
      </c>
      <c r="AH12" s="2905"/>
      <c r="AI12" s="2905"/>
      <c r="AJ12" s="1359">
        <f>IF(Options!$AH$24=TRUE,0,AA12*$I12)</f>
        <v>0</v>
      </c>
      <c r="AK12" s="2907"/>
    </row>
    <row r="13" spans="1:57" ht="3" customHeight="1">
      <c r="A13" s="3658"/>
      <c r="B13" s="1381"/>
      <c r="C13" s="1396"/>
      <c r="D13" s="1392"/>
      <c r="E13" s="1392"/>
      <c r="F13" s="1392"/>
      <c r="G13" s="1392"/>
      <c r="H13" s="1392"/>
      <c r="I13" s="1392"/>
      <c r="J13" s="1378"/>
      <c r="K13" s="1378"/>
      <c r="L13" s="1378"/>
      <c r="M13" s="1378"/>
      <c r="N13" s="2879"/>
      <c r="O13" s="2880"/>
      <c r="P13" s="2880"/>
      <c r="Q13" s="2880"/>
      <c r="R13" s="2881"/>
      <c r="S13" s="2880"/>
      <c r="T13" s="2880"/>
      <c r="U13" s="2882"/>
      <c r="V13" s="2880"/>
      <c r="W13" s="2880"/>
      <c r="X13" s="2882"/>
      <c r="Y13" s="2883"/>
      <c r="Z13" s="2904"/>
      <c r="AA13" s="2905"/>
      <c r="AB13" s="2905"/>
      <c r="AC13" s="2905"/>
      <c r="AD13" s="2906"/>
      <c r="AE13" s="2905"/>
      <c r="AF13" s="2905"/>
      <c r="AG13" s="1359"/>
      <c r="AH13" s="2905"/>
      <c r="AI13" s="2905"/>
      <c r="AJ13" s="1359"/>
      <c r="AK13" s="2907"/>
    </row>
    <row r="14" spans="1:57" ht="14.25">
      <c r="A14" s="3658" t="s">
        <v>30</v>
      </c>
      <c r="B14" s="1381"/>
      <c r="C14" s="3542">
        <v>79.2</v>
      </c>
      <c r="D14" s="1392"/>
      <c r="E14" s="1392"/>
      <c r="F14" s="3548">
        <v>0.3</v>
      </c>
      <c r="G14" s="1392"/>
      <c r="H14" s="1392"/>
      <c r="I14" s="3548">
        <v>0.2</v>
      </c>
      <c r="J14" s="1378"/>
      <c r="K14" s="1378"/>
      <c r="L14" s="3543" t="s">
        <v>1228</v>
      </c>
      <c r="M14" s="1378"/>
      <c r="N14" s="2879"/>
      <c r="O14" s="2880">
        <f>'Step 10b--Required Acres'!N13</f>
        <v>0.41131368956781689</v>
      </c>
      <c r="P14" s="2880"/>
      <c r="Q14" s="2880"/>
      <c r="R14" s="2881">
        <f>IF(Options!$AG$24=TRUE,0,O14*$C14)</f>
        <v>0</v>
      </c>
      <c r="S14" s="2880"/>
      <c r="T14" s="2880"/>
      <c r="U14" s="2882">
        <f>IF(Options!$AG$24=TRUE,0,O14*$F14)</f>
        <v>0</v>
      </c>
      <c r="V14" s="2880"/>
      <c r="W14" s="2880"/>
      <c r="X14" s="2882">
        <f>IF(Options!$AG$24=TRUE,0,O14*$I14)</f>
        <v>0</v>
      </c>
      <c r="Y14" s="2883"/>
      <c r="Z14" s="2904"/>
      <c r="AA14" s="2905">
        <f>'Step 10b--Required Acres'!AC13</f>
        <v>0.27946007921890087</v>
      </c>
      <c r="AB14" s="2905"/>
      <c r="AC14" s="2905"/>
      <c r="AD14" s="2906">
        <f>IF(Options!$AH$24=TRUE,0,AA14*$C14)</f>
        <v>0</v>
      </c>
      <c r="AE14" s="2905"/>
      <c r="AF14" s="2905"/>
      <c r="AG14" s="1359">
        <f>IF(Options!$AH$24=TRUE,0,AA14*$F14)</f>
        <v>0</v>
      </c>
      <c r="AH14" s="2905"/>
      <c r="AI14" s="2905"/>
      <c r="AJ14" s="1359">
        <f>IF(Options!$AH$24=TRUE,0,AA14*$I14)</f>
        <v>0</v>
      </c>
      <c r="AK14" s="2907"/>
    </row>
    <row r="15" spans="1:57" ht="3" customHeight="1">
      <c r="A15" s="3658"/>
      <c r="B15" s="1381"/>
      <c r="C15" s="1396"/>
      <c r="D15" s="1392"/>
      <c r="E15" s="1392"/>
      <c r="F15" s="1392"/>
      <c r="G15" s="1392"/>
      <c r="H15" s="1392"/>
      <c r="I15" s="1392"/>
      <c r="J15" s="1378"/>
      <c r="K15" s="1378"/>
      <c r="L15" s="1378"/>
      <c r="M15" s="1378"/>
      <c r="N15" s="2879"/>
      <c r="O15" s="2880"/>
      <c r="P15" s="2880"/>
      <c r="Q15" s="2880"/>
      <c r="R15" s="2881"/>
      <c r="S15" s="2880"/>
      <c r="T15" s="2880"/>
      <c r="U15" s="2882"/>
      <c r="V15" s="2880"/>
      <c r="W15" s="2880"/>
      <c r="X15" s="2882"/>
      <c r="Y15" s="2883"/>
      <c r="Z15" s="2904"/>
      <c r="AA15" s="2905"/>
      <c r="AB15" s="2905"/>
      <c r="AC15" s="2905"/>
      <c r="AD15" s="2906"/>
      <c r="AE15" s="2905"/>
      <c r="AF15" s="2905"/>
      <c r="AG15" s="1359"/>
      <c r="AH15" s="2905"/>
      <c r="AI15" s="2905"/>
      <c r="AJ15" s="1359"/>
      <c r="AK15" s="2907"/>
    </row>
    <row r="16" spans="1:57" ht="14.25">
      <c r="A16" s="3658" t="s">
        <v>19</v>
      </c>
      <c r="B16" s="1381"/>
      <c r="C16" s="3542">
        <v>39.6</v>
      </c>
      <c r="D16" s="1392"/>
      <c r="E16" s="1392"/>
      <c r="F16" s="3548">
        <v>0</v>
      </c>
      <c r="G16" s="1392"/>
      <c r="H16" s="1392"/>
      <c r="I16" s="3548">
        <v>0</v>
      </c>
      <c r="J16" s="1378"/>
      <c r="K16" s="1378"/>
      <c r="L16" s="3543" t="s">
        <v>1228</v>
      </c>
      <c r="M16" s="1378"/>
      <c r="N16" s="2879"/>
      <c r="O16" s="2880">
        <f>'Step 10b--Required Acres'!N15</f>
        <v>1.2438299059898688</v>
      </c>
      <c r="P16" s="2880"/>
      <c r="Q16" s="2880"/>
      <c r="R16" s="2881">
        <f>IF(Options!$AG$24=TRUE,0,O16*$C16)</f>
        <v>0</v>
      </c>
      <c r="S16" s="2880"/>
      <c r="T16" s="2880"/>
      <c r="U16" s="2882">
        <f>IF(Options!$AG$24=TRUE,0,O16*$F16)</f>
        <v>0</v>
      </c>
      <c r="V16" s="2880"/>
      <c r="W16" s="2880"/>
      <c r="X16" s="2882">
        <f>IF(Options!$AG$24=TRUE,0,O16*$I16)</f>
        <v>0</v>
      </c>
      <c r="Y16" s="2883"/>
      <c r="Z16" s="2904"/>
      <c r="AA16" s="2905">
        <f>'Step 10b--Required Acres'!AC15</f>
        <v>1.1739693310902108</v>
      </c>
      <c r="AB16" s="2905"/>
      <c r="AC16" s="2905"/>
      <c r="AD16" s="2906">
        <f>IF(Options!$AH$24=TRUE,0,AA16*$C16)</f>
        <v>0</v>
      </c>
      <c r="AE16" s="2905"/>
      <c r="AF16" s="2905"/>
      <c r="AG16" s="1359">
        <f>IF(Options!$AH$24=TRUE,0,AA16*$F16)</f>
        <v>0</v>
      </c>
      <c r="AH16" s="2905"/>
      <c r="AI16" s="2905"/>
      <c r="AJ16" s="1359">
        <f>IF(Options!$AH$24=TRUE,0,AA16*$I16)</f>
        <v>0</v>
      </c>
      <c r="AK16" s="2907"/>
    </row>
    <row r="17" spans="1:37" ht="3" customHeight="1">
      <c r="A17" s="3658"/>
      <c r="B17" s="1381"/>
      <c r="C17" s="1396"/>
      <c r="D17" s="1392"/>
      <c r="E17" s="1392"/>
      <c r="F17" s="1392"/>
      <c r="G17" s="1392"/>
      <c r="H17" s="1392"/>
      <c r="I17" s="1392"/>
      <c r="J17" s="1378"/>
      <c r="K17" s="1378"/>
      <c r="L17" s="1378"/>
      <c r="M17" s="1378"/>
      <c r="N17" s="2879"/>
      <c r="O17" s="2880"/>
      <c r="P17" s="2880"/>
      <c r="Q17" s="2880"/>
      <c r="R17" s="2881"/>
      <c r="S17" s="2880"/>
      <c r="T17" s="2880"/>
      <c r="U17" s="2882"/>
      <c r="V17" s="2880"/>
      <c r="W17" s="2880"/>
      <c r="X17" s="2882"/>
      <c r="Y17" s="2883"/>
      <c r="Z17" s="2904"/>
      <c r="AA17" s="2905"/>
      <c r="AB17" s="2905"/>
      <c r="AC17" s="2905"/>
      <c r="AD17" s="2906"/>
      <c r="AE17" s="2905"/>
      <c r="AF17" s="2905"/>
      <c r="AG17" s="1359"/>
      <c r="AH17" s="2905"/>
      <c r="AI17" s="2905"/>
      <c r="AJ17" s="1359"/>
      <c r="AK17" s="2907"/>
    </row>
    <row r="18" spans="1:37" ht="14.25">
      <c r="A18" s="3658" t="s">
        <v>31</v>
      </c>
      <c r="B18" s="1381"/>
      <c r="C18" s="3542">
        <v>39.6</v>
      </c>
      <c r="D18" s="1392"/>
      <c r="E18" s="1392"/>
      <c r="F18" s="3548">
        <v>0.3</v>
      </c>
      <c r="G18" s="1392"/>
      <c r="H18" s="1392"/>
      <c r="I18" s="3548">
        <v>0.2</v>
      </c>
      <c r="J18" s="1378"/>
      <c r="K18" s="1378"/>
      <c r="L18" s="3543" t="s">
        <v>1228</v>
      </c>
      <c r="M18" s="1378"/>
      <c r="N18" s="2879"/>
      <c r="O18" s="2880">
        <f>'Step 10b--Required Acres'!N17</f>
        <v>0.41568420045041499</v>
      </c>
      <c r="P18" s="2880"/>
      <c r="Q18" s="2880"/>
      <c r="R18" s="2881">
        <f>IF(Options!$AG$24=TRUE,0,O18*$C18)</f>
        <v>0</v>
      </c>
      <c r="S18" s="2880"/>
      <c r="T18" s="2880"/>
      <c r="U18" s="2882">
        <f>IF(Options!$AG$24=TRUE,0,O18*$F18)</f>
        <v>0</v>
      </c>
      <c r="V18" s="2880"/>
      <c r="W18" s="2880"/>
      <c r="X18" s="2882">
        <f>IF(Options!$AG$24=TRUE,0,O18*$I18)</f>
        <v>0</v>
      </c>
      <c r="Y18" s="2883"/>
      <c r="Z18" s="2904"/>
      <c r="AA18" s="2905">
        <f>'Step 10b--Required Acres'!AC17</f>
        <v>0.23094089928490327</v>
      </c>
      <c r="AB18" s="2905"/>
      <c r="AC18" s="2905"/>
      <c r="AD18" s="2906">
        <f>IF(Options!$AH$24=TRUE,0,AA18*$C18)</f>
        <v>0</v>
      </c>
      <c r="AE18" s="2905"/>
      <c r="AF18" s="2905"/>
      <c r="AG18" s="1359">
        <f>IF(Options!$AH$24=TRUE,0,AA18*$F18)</f>
        <v>0</v>
      </c>
      <c r="AH18" s="2905"/>
      <c r="AI18" s="2905"/>
      <c r="AJ18" s="1359">
        <f>IF(Options!$AH$24=TRUE,0,AA18*$I18)</f>
        <v>0</v>
      </c>
      <c r="AK18" s="2907"/>
    </row>
    <row r="19" spans="1:37" ht="3" customHeight="1">
      <c r="A19" s="3658"/>
      <c r="B19" s="1381"/>
      <c r="C19" s="1396"/>
      <c r="D19" s="1392"/>
      <c r="E19" s="1392"/>
      <c r="F19" s="1392"/>
      <c r="G19" s="1392"/>
      <c r="H19" s="1392"/>
      <c r="I19" s="1392"/>
      <c r="J19" s="1378"/>
      <c r="K19" s="1378"/>
      <c r="L19" s="1378"/>
      <c r="M19" s="1378"/>
      <c r="N19" s="2879"/>
      <c r="O19" s="2880"/>
      <c r="P19" s="2880"/>
      <c r="Q19" s="2880"/>
      <c r="R19" s="2881"/>
      <c r="S19" s="2880"/>
      <c r="T19" s="2880"/>
      <c r="U19" s="2882"/>
      <c r="V19" s="2880"/>
      <c r="W19" s="2880"/>
      <c r="X19" s="2882"/>
      <c r="Y19" s="2883"/>
      <c r="Z19" s="2904"/>
      <c r="AA19" s="2905"/>
      <c r="AB19" s="2905"/>
      <c r="AC19" s="2905"/>
      <c r="AD19" s="2906"/>
      <c r="AE19" s="2905"/>
      <c r="AF19" s="2905"/>
      <c r="AG19" s="1359"/>
      <c r="AH19" s="2905"/>
      <c r="AI19" s="2905"/>
      <c r="AJ19" s="1359"/>
      <c r="AK19" s="2907"/>
    </row>
    <row r="20" spans="1:37" ht="14.25">
      <c r="A20" s="3659" t="str">
        <f>IF('Step 7a--Feedstuff Required'!B20="[add forage crop here]"," ",'Step 7a--Feedstuff Required'!B20)</f>
        <v xml:space="preserve"> </v>
      </c>
      <c r="B20" s="1382"/>
      <c r="C20" s="1401"/>
      <c r="D20" s="1392"/>
      <c r="E20" s="1392"/>
      <c r="F20" s="3551"/>
      <c r="G20" s="1392"/>
      <c r="H20" s="1392"/>
      <c r="I20" s="3551"/>
      <c r="J20" s="1379"/>
      <c r="K20" s="1379"/>
      <c r="L20" s="3546"/>
      <c r="M20" s="1379"/>
      <c r="N20" s="2879"/>
      <c r="O20" s="2880">
        <f>'Step 10b--Required Acres'!N19</f>
        <v>0</v>
      </c>
      <c r="P20" s="2880"/>
      <c r="Q20" s="2880"/>
      <c r="R20" s="2881">
        <f>IF(Options!$AG$24=TRUE,0,O20*$C20)</f>
        <v>0</v>
      </c>
      <c r="S20" s="2880"/>
      <c r="T20" s="2880"/>
      <c r="U20" s="2882">
        <f>IF(Options!$AG$24=TRUE,0,O20*$F20)</f>
        <v>0</v>
      </c>
      <c r="V20" s="2880"/>
      <c r="W20" s="2880"/>
      <c r="X20" s="2882">
        <f>IF(Options!$AG$24=TRUE,0,O20*$I20)</f>
        <v>0</v>
      </c>
      <c r="Y20" s="2883"/>
      <c r="Z20" s="2904"/>
      <c r="AA20" s="2905">
        <f>'Step 10b--Required Acres'!AC19</f>
        <v>0</v>
      </c>
      <c r="AB20" s="2905"/>
      <c r="AC20" s="2905"/>
      <c r="AD20" s="2906">
        <f>IF(Options!$AH$24=TRUE,0,AA20*$C20)</f>
        <v>0</v>
      </c>
      <c r="AE20" s="2905"/>
      <c r="AF20" s="2905"/>
      <c r="AG20" s="1359">
        <f>IF(Options!$AH$24=TRUE,0,AA20*$F20)</f>
        <v>0</v>
      </c>
      <c r="AH20" s="2905"/>
      <c r="AI20" s="2905"/>
      <c r="AJ20" s="1359">
        <f>IF(Options!$AH$24=TRUE,0,AA20*$I20)</f>
        <v>0</v>
      </c>
      <c r="AK20" s="2907"/>
    </row>
    <row r="21" spans="1:37" ht="3" customHeight="1">
      <c r="A21" s="3658"/>
      <c r="B21" s="1381"/>
      <c r="C21" s="1396"/>
      <c r="D21" s="1392"/>
      <c r="E21" s="1392"/>
      <c r="F21" s="1392"/>
      <c r="G21" s="1392"/>
      <c r="H21" s="1392"/>
      <c r="I21" s="1392"/>
      <c r="J21" s="1378"/>
      <c r="K21" s="1378"/>
      <c r="L21" s="1391"/>
      <c r="M21" s="1378"/>
      <c r="N21" s="2879"/>
      <c r="O21" s="2880"/>
      <c r="P21" s="2880"/>
      <c r="Q21" s="2880"/>
      <c r="R21" s="2881"/>
      <c r="S21" s="2880"/>
      <c r="T21" s="2880"/>
      <c r="U21" s="2882"/>
      <c r="V21" s="2880"/>
      <c r="W21" s="2880"/>
      <c r="X21" s="2882"/>
      <c r="Y21" s="2883"/>
      <c r="Z21" s="2904"/>
      <c r="AA21" s="2905"/>
      <c r="AB21" s="2905"/>
      <c r="AC21" s="2905"/>
      <c r="AD21" s="2906"/>
      <c r="AE21" s="2905"/>
      <c r="AF21" s="2905"/>
      <c r="AG21" s="1359"/>
      <c r="AH21" s="2905"/>
      <c r="AI21" s="2905"/>
      <c r="AJ21" s="1359"/>
      <c r="AK21" s="2907"/>
    </row>
    <row r="22" spans="1:37" ht="14.25">
      <c r="A22" s="3659" t="str">
        <f>IF('Step 7a--Feedstuff Required'!B22="[add forage crop here]"," ",'Step 7a--Feedstuff Required'!B22)</f>
        <v xml:space="preserve"> </v>
      </c>
      <c r="B22" s="1382"/>
      <c r="C22" s="1401"/>
      <c r="D22" s="1392"/>
      <c r="E22" s="1392"/>
      <c r="F22" s="3551"/>
      <c r="G22" s="1392"/>
      <c r="H22" s="1392"/>
      <c r="I22" s="3551"/>
      <c r="J22" s="1379"/>
      <c r="K22" s="1379"/>
      <c r="L22" s="3546"/>
      <c r="M22" s="1379"/>
      <c r="N22" s="2879"/>
      <c r="O22" s="2880">
        <f>'Step 10b--Required Acres'!N21</f>
        <v>0</v>
      </c>
      <c r="P22" s="2880"/>
      <c r="Q22" s="2880"/>
      <c r="R22" s="2881">
        <f>IF(Options!$AG$24=TRUE,0,O22*$C22)</f>
        <v>0</v>
      </c>
      <c r="S22" s="2880"/>
      <c r="T22" s="2880"/>
      <c r="U22" s="2882">
        <f>IF(Options!$AG$24=TRUE,0,O22*$F22)</f>
        <v>0</v>
      </c>
      <c r="V22" s="2880"/>
      <c r="W22" s="2880"/>
      <c r="X22" s="2882">
        <f>IF(Options!$AG$24=TRUE,0,O22*$I22)</f>
        <v>0</v>
      </c>
      <c r="Y22" s="2883"/>
      <c r="Z22" s="2904"/>
      <c r="AA22" s="2905">
        <f>'Step 10b--Required Acres'!AC21</f>
        <v>0</v>
      </c>
      <c r="AB22" s="2905"/>
      <c r="AC22" s="2905"/>
      <c r="AD22" s="2906">
        <f>IF(Options!$AH$24=TRUE,0,AA22*$C22)</f>
        <v>0</v>
      </c>
      <c r="AE22" s="2905"/>
      <c r="AF22" s="2905"/>
      <c r="AG22" s="1359">
        <f>IF(Options!$AH$24=TRUE,0,AA22*$F22)</f>
        <v>0</v>
      </c>
      <c r="AH22" s="2905"/>
      <c r="AI22" s="2905"/>
      <c r="AJ22" s="1359">
        <f>IF(Options!$AH$24=TRUE,0,AA22*$I22)</f>
        <v>0</v>
      </c>
      <c r="AK22" s="2907"/>
    </row>
    <row r="23" spans="1:37" ht="3" customHeight="1">
      <c r="A23" s="3658"/>
      <c r="B23" s="1381"/>
      <c r="C23" s="1396"/>
      <c r="D23" s="1392"/>
      <c r="E23" s="1392"/>
      <c r="F23" s="1392"/>
      <c r="G23" s="1392"/>
      <c r="H23" s="1392"/>
      <c r="I23" s="1392"/>
      <c r="J23" s="1378"/>
      <c r="K23" s="1378"/>
      <c r="L23" s="1391"/>
      <c r="M23" s="1378"/>
      <c r="N23" s="2879"/>
      <c r="O23" s="2880"/>
      <c r="P23" s="2880"/>
      <c r="Q23" s="2880"/>
      <c r="R23" s="2881"/>
      <c r="S23" s="2880"/>
      <c r="T23" s="2880"/>
      <c r="U23" s="2882"/>
      <c r="V23" s="2880"/>
      <c r="W23" s="2880"/>
      <c r="X23" s="2882"/>
      <c r="Y23" s="2883"/>
      <c r="Z23" s="2904"/>
      <c r="AA23" s="2905"/>
      <c r="AB23" s="2905"/>
      <c r="AC23" s="2905"/>
      <c r="AD23" s="2906"/>
      <c r="AE23" s="2905"/>
      <c r="AF23" s="2905"/>
      <c r="AG23" s="1359"/>
      <c r="AH23" s="2905"/>
      <c r="AI23" s="2905"/>
      <c r="AJ23" s="1359"/>
      <c r="AK23" s="2907"/>
    </row>
    <row r="24" spans="1:37" ht="14.25">
      <c r="A24" s="3659" t="str">
        <f>IF('Step 7a--Feedstuff Required'!B24="[add forage crop here]"," ",'Step 7a--Feedstuff Required'!B24)</f>
        <v xml:space="preserve"> </v>
      </c>
      <c r="B24" s="1382"/>
      <c r="C24" s="1401"/>
      <c r="D24" s="1392"/>
      <c r="E24" s="1392"/>
      <c r="F24" s="3551"/>
      <c r="G24" s="1392"/>
      <c r="H24" s="1392"/>
      <c r="I24" s="3551"/>
      <c r="J24" s="1379"/>
      <c r="K24" s="1379"/>
      <c r="L24" s="3546"/>
      <c r="M24" s="1379"/>
      <c r="N24" s="2879"/>
      <c r="O24" s="2880">
        <f>'Step 10b--Required Acres'!N23</f>
        <v>0</v>
      </c>
      <c r="P24" s="2880"/>
      <c r="Q24" s="2880"/>
      <c r="R24" s="2881">
        <f>IF(Options!$AG$24=TRUE,0,O24*$C24)</f>
        <v>0</v>
      </c>
      <c r="S24" s="2880"/>
      <c r="T24" s="2880"/>
      <c r="U24" s="2882">
        <f>IF(Options!$AG$24=TRUE,0,O24*$F24)</f>
        <v>0</v>
      </c>
      <c r="V24" s="2880"/>
      <c r="W24" s="2880"/>
      <c r="X24" s="2882">
        <f>IF(Options!$AG$24=TRUE,0,O24*$I24)</f>
        <v>0</v>
      </c>
      <c r="Y24" s="2883"/>
      <c r="Z24" s="2904"/>
      <c r="AA24" s="2905">
        <f>'Step 10b--Required Acres'!AC23</f>
        <v>0</v>
      </c>
      <c r="AB24" s="2905"/>
      <c r="AC24" s="2905"/>
      <c r="AD24" s="2906">
        <f>IF(Options!$AH$24=TRUE,0,AA24*$C24)</f>
        <v>0</v>
      </c>
      <c r="AE24" s="2905"/>
      <c r="AF24" s="2905"/>
      <c r="AG24" s="1359">
        <f>IF(Options!$AH$24=TRUE,0,AA24*$F24)</f>
        <v>0</v>
      </c>
      <c r="AH24" s="2905"/>
      <c r="AI24" s="2905"/>
      <c r="AJ24" s="1359">
        <f>IF(Options!$AH$24=TRUE,0,AA24*$I24)</f>
        <v>0</v>
      </c>
      <c r="AK24" s="2907"/>
    </row>
    <row r="25" spans="1:37" ht="3" customHeight="1">
      <c r="A25" s="1224"/>
      <c r="B25" s="1381"/>
      <c r="C25" s="1396"/>
      <c r="D25" s="1392"/>
      <c r="E25" s="1392"/>
      <c r="F25" s="1392"/>
      <c r="G25" s="1392"/>
      <c r="H25" s="1392"/>
      <c r="I25" s="1392"/>
      <c r="J25" s="1378"/>
      <c r="K25" s="1378"/>
      <c r="L25" s="1378"/>
      <c r="M25" s="1378"/>
      <c r="N25" s="2879"/>
      <c r="O25" s="2880"/>
      <c r="P25" s="2880"/>
      <c r="Q25" s="2880"/>
      <c r="R25" s="2881"/>
      <c r="S25" s="2880"/>
      <c r="T25" s="2880"/>
      <c r="U25" s="2882"/>
      <c r="V25" s="2880"/>
      <c r="W25" s="2880"/>
      <c r="X25" s="2882"/>
      <c r="Y25" s="2883"/>
      <c r="Z25" s="2904"/>
      <c r="AA25" s="2905"/>
      <c r="AB25" s="2905"/>
      <c r="AC25" s="2905"/>
      <c r="AD25" s="2906"/>
      <c r="AE25" s="2905"/>
      <c r="AF25" s="2905"/>
      <c r="AG25" s="1359"/>
      <c r="AH25" s="2905"/>
      <c r="AI25" s="2905"/>
      <c r="AJ25" s="1359"/>
      <c r="AK25" s="2907"/>
    </row>
    <row r="26" spans="1:37" ht="15">
      <c r="A26" s="2799" t="s">
        <v>4</v>
      </c>
      <c r="B26" s="1383"/>
      <c r="C26" s="1397"/>
      <c r="D26" s="1393"/>
      <c r="E26" s="1393"/>
      <c r="F26" s="1393"/>
      <c r="G26" s="1393"/>
      <c r="H26" s="1393"/>
      <c r="I26" s="1393"/>
      <c r="J26" s="2800"/>
      <c r="K26" s="2800"/>
      <c r="L26" s="2800"/>
      <c r="M26" s="2800"/>
      <c r="N26" s="2884"/>
      <c r="O26" s="2885">
        <f>SUM(O8:O24)</f>
        <v>3.4564448697271648</v>
      </c>
      <c r="P26" s="2881"/>
      <c r="Q26" s="2881"/>
      <c r="R26" s="2885">
        <f>SUM(R8:R24)</f>
        <v>0</v>
      </c>
      <c r="S26" s="2881"/>
      <c r="T26" s="2881"/>
      <c r="U26" s="2885">
        <f>SUM(U8:U24)</f>
        <v>0</v>
      </c>
      <c r="V26" s="2881"/>
      <c r="W26" s="2881"/>
      <c r="X26" s="2885">
        <f>SUM(X8:X24)</f>
        <v>0</v>
      </c>
      <c r="Y26" s="2886"/>
      <c r="Z26" s="2908"/>
      <c r="AA26" s="2909">
        <f>SUM(AA8:AA24)</f>
        <v>2.6503799287976841</v>
      </c>
      <c r="AB26" s="2906"/>
      <c r="AC26" s="2906"/>
      <c r="AD26" s="2909">
        <f>SUM(AD8:AD24)</f>
        <v>0</v>
      </c>
      <c r="AE26" s="2906"/>
      <c r="AF26" s="2906"/>
      <c r="AG26" s="2909">
        <f>SUM(AG8:AG24)</f>
        <v>0</v>
      </c>
      <c r="AH26" s="2906"/>
      <c r="AI26" s="2906"/>
      <c r="AJ26" s="2909">
        <f>SUM(AJ8:AJ24)</f>
        <v>0</v>
      </c>
      <c r="AK26" s="2910"/>
    </row>
    <row r="27" spans="1:37" ht="14.25">
      <c r="A27" s="787"/>
      <c r="B27" s="1384"/>
      <c r="C27" s="1398"/>
      <c r="D27" s="1394"/>
      <c r="E27" s="1394"/>
      <c r="F27" s="1394"/>
      <c r="G27" s="1394"/>
      <c r="H27" s="1394"/>
      <c r="I27" s="1394"/>
      <c r="J27" s="788"/>
      <c r="K27" s="788"/>
      <c r="L27" s="788"/>
      <c r="M27" s="788"/>
      <c r="N27" s="2887"/>
      <c r="O27" s="2888"/>
      <c r="P27" s="2888"/>
      <c r="Q27" s="2888"/>
      <c r="R27" s="2881"/>
      <c r="S27" s="2888"/>
      <c r="T27" s="2888"/>
      <c r="U27" s="2882"/>
      <c r="V27" s="2888"/>
      <c r="W27" s="2888"/>
      <c r="X27" s="2878"/>
      <c r="Y27" s="2889"/>
      <c r="Z27" s="2911"/>
      <c r="AA27" s="2912"/>
      <c r="AB27" s="2912"/>
      <c r="AC27" s="2912"/>
      <c r="AD27" s="2906"/>
      <c r="AE27" s="2912"/>
      <c r="AF27" s="2912"/>
      <c r="AG27" s="1359"/>
      <c r="AH27" s="2912"/>
      <c r="AI27" s="2912"/>
      <c r="AJ27" s="782"/>
      <c r="AK27" s="2913"/>
    </row>
    <row r="28" spans="1:37" ht="20.25" customHeight="1">
      <c r="A28" s="4028" t="s">
        <v>893</v>
      </c>
      <c r="B28" s="4855"/>
      <c r="C28" s="4855"/>
      <c r="D28" s="4855"/>
      <c r="E28" s="4855"/>
      <c r="F28" s="4855"/>
      <c r="G28" s="4855"/>
      <c r="H28" s="4855"/>
      <c r="I28" s="4855"/>
      <c r="J28" s="4855"/>
      <c r="K28" s="4855"/>
      <c r="L28" s="4855"/>
      <c r="M28" s="4855"/>
      <c r="N28" s="4855"/>
      <c r="O28" s="4855"/>
      <c r="P28" s="4855"/>
      <c r="Q28" s="4855"/>
      <c r="R28" s="4855"/>
      <c r="S28" s="4855"/>
      <c r="T28" s="4855"/>
      <c r="U28" s="4855"/>
      <c r="V28" s="4855"/>
      <c r="W28" s="4855"/>
      <c r="X28" s="4855"/>
      <c r="Y28" s="4855"/>
      <c r="Z28" s="4855"/>
      <c r="AA28" s="4855"/>
      <c r="AB28" s="4855"/>
      <c r="AC28" s="4855"/>
      <c r="AD28" s="4855"/>
      <c r="AE28" s="4855"/>
      <c r="AF28" s="4855"/>
      <c r="AG28" s="4855"/>
      <c r="AH28" s="4855"/>
      <c r="AI28" s="4855"/>
      <c r="AJ28" s="4855"/>
      <c r="AK28" s="4856"/>
    </row>
    <row r="29" spans="1:37" ht="3" customHeight="1">
      <c r="A29" s="1224"/>
      <c r="B29" s="1381"/>
      <c r="C29" s="1396"/>
      <c r="D29" s="1392"/>
      <c r="E29" s="1392"/>
      <c r="F29" s="1392"/>
      <c r="G29" s="1392"/>
      <c r="H29" s="1392"/>
      <c r="I29" s="1392"/>
      <c r="J29" s="1378"/>
      <c r="K29" s="1378"/>
      <c r="L29" s="1378"/>
      <c r="M29" s="1378"/>
      <c r="N29" s="1368"/>
      <c r="O29" s="1361"/>
      <c r="P29" s="1361"/>
      <c r="Q29" s="1361"/>
      <c r="R29" s="1362"/>
      <c r="S29" s="1361"/>
      <c r="T29" s="1361"/>
      <c r="U29" s="1366"/>
      <c r="V29" s="1361"/>
      <c r="W29" s="1361"/>
      <c r="X29" s="1366"/>
      <c r="Y29" s="1369"/>
      <c r="Z29" s="1407"/>
      <c r="AA29" s="1408"/>
      <c r="AB29" s="1408"/>
      <c r="AC29" s="1408"/>
      <c r="AD29" s="1409"/>
      <c r="AE29" s="1408"/>
      <c r="AF29" s="1408"/>
      <c r="AG29" s="1410"/>
      <c r="AH29" s="1408"/>
      <c r="AI29" s="1408"/>
      <c r="AJ29" s="1410"/>
      <c r="AK29" s="1454"/>
    </row>
    <row r="30" spans="1:37" ht="14.25">
      <c r="A30" s="3658" t="s">
        <v>33</v>
      </c>
      <c r="B30" s="1381"/>
      <c r="C30" s="3542">
        <v>132</v>
      </c>
      <c r="D30" s="1392"/>
      <c r="E30" s="1392"/>
      <c r="F30" s="3548">
        <v>2.1</v>
      </c>
      <c r="G30" s="1392"/>
      <c r="H30" s="1392"/>
      <c r="I30" s="3548">
        <v>0.2</v>
      </c>
      <c r="J30" s="1378"/>
      <c r="K30" s="1378"/>
      <c r="L30" s="3543" t="s">
        <v>1228</v>
      </c>
      <c r="M30" s="1378"/>
      <c r="N30" s="2879"/>
      <c r="O30" s="2880">
        <f>'Step 10b--Required Acres'!N28</f>
        <v>0.22688113726940304</v>
      </c>
      <c r="P30" s="2880"/>
      <c r="Q30" s="2880"/>
      <c r="R30" s="2881">
        <f>IF(Options!$AG$24=TRUE,0,O30*$C30)</f>
        <v>0</v>
      </c>
      <c r="S30" s="2880"/>
      <c r="T30" s="2880"/>
      <c r="U30" s="2882">
        <f>IF(Options!$AG$24=TRUE,0,O30*$F30)</f>
        <v>0</v>
      </c>
      <c r="V30" s="2880"/>
      <c r="W30" s="2880"/>
      <c r="X30" s="2882">
        <f>IF(Options!$AG$24=TRUE,0,O30*$I30)</f>
        <v>0</v>
      </c>
      <c r="Y30" s="2883"/>
      <c r="Z30" s="2904"/>
      <c r="AA30" s="2905">
        <f>'Step 10b--Required Acres'!AC28</f>
        <v>0.17378540100250628</v>
      </c>
      <c r="AB30" s="2905"/>
      <c r="AC30" s="2905"/>
      <c r="AD30" s="2906">
        <f>IF(Options!$AH$24=TRUE,0,AA30*$C30)</f>
        <v>0</v>
      </c>
      <c r="AE30" s="2905"/>
      <c r="AF30" s="2905"/>
      <c r="AG30" s="1359">
        <f>IF(Options!$AH$24=TRUE,0,AA30*$F30)</f>
        <v>0</v>
      </c>
      <c r="AH30" s="2905"/>
      <c r="AI30" s="2905"/>
      <c r="AJ30" s="1359">
        <f>IF(Options!$AH$24=TRUE,0,AA30*$I30)</f>
        <v>0</v>
      </c>
      <c r="AK30" s="2907"/>
    </row>
    <row r="31" spans="1:37" ht="3" customHeight="1">
      <c r="A31" s="3658"/>
      <c r="B31" s="1381"/>
      <c r="C31" s="1396"/>
      <c r="D31" s="1392"/>
      <c r="E31" s="1392"/>
      <c r="F31" s="1392"/>
      <c r="G31" s="1392"/>
      <c r="H31" s="1392"/>
      <c r="I31" s="1392"/>
      <c r="J31" s="1378"/>
      <c r="K31" s="1378"/>
      <c r="L31" s="1378"/>
      <c r="M31" s="1378"/>
      <c r="N31" s="2879"/>
      <c r="O31" s="2880"/>
      <c r="P31" s="2880"/>
      <c r="Q31" s="2880"/>
      <c r="R31" s="2881"/>
      <c r="S31" s="2880"/>
      <c r="T31" s="2880"/>
      <c r="U31" s="2882"/>
      <c r="V31" s="2880"/>
      <c r="W31" s="2880"/>
      <c r="X31" s="2882"/>
      <c r="Y31" s="2883"/>
      <c r="Z31" s="2904"/>
      <c r="AA31" s="2905"/>
      <c r="AB31" s="2905"/>
      <c r="AC31" s="2905"/>
      <c r="AD31" s="2906"/>
      <c r="AE31" s="2905"/>
      <c r="AF31" s="2905"/>
      <c r="AG31" s="1359"/>
      <c r="AH31" s="2905"/>
      <c r="AI31" s="2905"/>
      <c r="AJ31" s="1359"/>
      <c r="AK31" s="2907"/>
    </row>
    <row r="32" spans="1:37" ht="14.25">
      <c r="A32" s="3658" t="s">
        <v>22</v>
      </c>
      <c r="B32" s="1381"/>
      <c r="C32" s="3542">
        <v>57</v>
      </c>
      <c r="D32" s="1392"/>
      <c r="E32" s="1392"/>
      <c r="F32" s="3548">
        <v>0.7</v>
      </c>
      <c r="G32" s="1392"/>
      <c r="H32" s="1392"/>
      <c r="I32" s="3548">
        <v>0.1</v>
      </c>
      <c r="J32" s="1378"/>
      <c r="K32" s="1378"/>
      <c r="L32" s="3543" t="s">
        <v>23</v>
      </c>
      <c r="M32" s="1378"/>
      <c r="N32" s="2879"/>
      <c r="O32" s="2880">
        <f>'Step 10b--Required Acres'!N30</f>
        <v>0.12810222703371482</v>
      </c>
      <c r="P32" s="2880"/>
      <c r="Q32" s="2880"/>
      <c r="R32" s="2881">
        <f>IF(Options!$AG$24=TRUE,0,O32*$C32)</f>
        <v>0</v>
      </c>
      <c r="S32" s="2880"/>
      <c r="T32" s="2880"/>
      <c r="U32" s="2882">
        <f>IF(Options!$AG$24=TRUE,0,O32*$F32)</f>
        <v>0</v>
      </c>
      <c r="V32" s="2880"/>
      <c r="W32" s="2880"/>
      <c r="X32" s="2882">
        <f>IF(Options!$AG$24=TRUE,0,O32*$I32)</f>
        <v>0</v>
      </c>
      <c r="Y32" s="2883"/>
      <c r="Z32" s="2904"/>
      <c r="AA32" s="2905">
        <f>'Step 10b--Required Acres'!AC30</f>
        <v>0.112841647995283</v>
      </c>
      <c r="AB32" s="2905"/>
      <c r="AC32" s="2905"/>
      <c r="AD32" s="2906">
        <f>IF(Options!$AH$24=TRUE,0,AA32*$C32)</f>
        <v>0</v>
      </c>
      <c r="AE32" s="2905"/>
      <c r="AF32" s="2905"/>
      <c r="AG32" s="1359">
        <f>IF(Options!$AH$24=TRUE,0,AA32*$F32)</f>
        <v>0</v>
      </c>
      <c r="AH32" s="2905"/>
      <c r="AI32" s="2905"/>
      <c r="AJ32" s="1359">
        <f>IF(Options!$AH$24=TRUE,0,AA32*$I32)</f>
        <v>0</v>
      </c>
      <c r="AK32" s="2907"/>
    </row>
    <row r="33" spans="1:37" ht="3" customHeight="1">
      <c r="A33" s="3658"/>
      <c r="B33" s="1381"/>
      <c r="C33" s="1396"/>
      <c r="D33" s="1392"/>
      <c r="E33" s="1392"/>
      <c r="F33" s="1392"/>
      <c r="G33" s="1392"/>
      <c r="H33" s="1392"/>
      <c r="I33" s="1392"/>
      <c r="J33" s="1378"/>
      <c r="K33" s="1378"/>
      <c r="L33" s="1378"/>
      <c r="M33" s="1378"/>
      <c r="N33" s="2879"/>
      <c r="O33" s="2880"/>
      <c r="P33" s="2880"/>
      <c r="Q33" s="2880"/>
      <c r="R33" s="2881"/>
      <c r="S33" s="2880"/>
      <c r="T33" s="2880"/>
      <c r="U33" s="2882"/>
      <c r="V33" s="2880"/>
      <c r="W33" s="2880"/>
      <c r="X33" s="2882"/>
      <c r="Y33" s="2883"/>
      <c r="Z33" s="2904"/>
      <c r="AA33" s="2905"/>
      <c r="AB33" s="2905"/>
      <c r="AC33" s="2905"/>
      <c r="AD33" s="2906"/>
      <c r="AE33" s="2905"/>
      <c r="AF33" s="2905"/>
      <c r="AG33" s="1359"/>
      <c r="AH33" s="2905"/>
      <c r="AI33" s="2905"/>
      <c r="AJ33" s="1359"/>
      <c r="AK33" s="2907"/>
    </row>
    <row r="34" spans="1:37" ht="14.25">
      <c r="A34" s="3658" t="s">
        <v>25</v>
      </c>
      <c r="B34" s="1381"/>
      <c r="C34" s="3542">
        <v>25</v>
      </c>
      <c r="D34" s="1392"/>
      <c r="E34" s="1392"/>
      <c r="F34" s="3548">
        <v>1</v>
      </c>
      <c r="G34" s="1392"/>
      <c r="H34" s="1392"/>
      <c r="I34" s="3549">
        <v>0.03</v>
      </c>
      <c r="J34" s="1378"/>
      <c r="K34" s="1378"/>
      <c r="L34" s="3543" t="s">
        <v>24</v>
      </c>
      <c r="M34" s="1378"/>
      <c r="N34" s="2879"/>
      <c r="O34" s="2880">
        <f>'Step 10b--Required Acres'!N32</f>
        <v>0.19029351789674293</v>
      </c>
      <c r="P34" s="2880"/>
      <c r="Q34" s="2880"/>
      <c r="R34" s="2881">
        <f>IF(Options!$AG$24=TRUE,0,O34*$C34)</f>
        <v>0</v>
      </c>
      <c r="S34" s="2880"/>
      <c r="T34" s="2880"/>
      <c r="U34" s="2882">
        <f>IF(Options!$AG$24=TRUE,0,O34*$F34)</f>
        <v>0</v>
      </c>
      <c r="V34" s="2880"/>
      <c r="W34" s="2880"/>
      <c r="X34" s="2882">
        <f>IF(Options!$AG$24=TRUE,0,O34*$I34)</f>
        <v>0</v>
      </c>
      <c r="Y34" s="2883"/>
      <c r="Z34" s="2904"/>
      <c r="AA34" s="2905">
        <f>'Step 10b--Required Acres'!AC32</f>
        <v>0.17491221551800404</v>
      </c>
      <c r="AB34" s="2905"/>
      <c r="AC34" s="2905"/>
      <c r="AD34" s="2906">
        <f>IF(Options!$AH$24=TRUE,0,AA34*$C34)</f>
        <v>0</v>
      </c>
      <c r="AE34" s="2905"/>
      <c r="AF34" s="2905"/>
      <c r="AG34" s="1359">
        <f>IF(Options!$AH$24=TRUE,0,AA34*$F34)</f>
        <v>0</v>
      </c>
      <c r="AH34" s="2905"/>
      <c r="AI34" s="2905"/>
      <c r="AJ34" s="1359">
        <f>IF(Options!$AH$24=TRUE,0,AA34*$I34)</f>
        <v>0</v>
      </c>
      <c r="AK34" s="2907"/>
    </row>
    <row r="35" spans="1:37" ht="3" customHeight="1">
      <c r="A35" s="3658"/>
      <c r="B35" s="1381"/>
      <c r="C35" s="1396"/>
      <c r="D35" s="1392"/>
      <c r="E35" s="1392"/>
      <c r="F35" s="1392"/>
      <c r="G35" s="1392"/>
      <c r="H35" s="1392"/>
      <c r="I35" s="3550"/>
      <c r="J35" s="1378"/>
      <c r="K35" s="1378"/>
      <c r="L35" s="1378"/>
      <c r="M35" s="1378"/>
      <c r="N35" s="2879"/>
      <c r="O35" s="2880"/>
      <c r="P35" s="2880"/>
      <c r="Q35" s="2880"/>
      <c r="R35" s="2881"/>
      <c r="S35" s="2880"/>
      <c r="T35" s="2880"/>
      <c r="U35" s="2882"/>
      <c r="V35" s="2880"/>
      <c r="W35" s="2880"/>
      <c r="X35" s="2882"/>
      <c r="Y35" s="2883"/>
      <c r="Z35" s="2904"/>
      <c r="AA35" s="2905"/>
      <c r="AB35" s="2905"/>
      <c r="AC35" s="2905"/>
      <c r="AD35" s="2906"/>
      <c r="AE35" s="2905"/>
      <c r="AF35" s="2905"/>
      <c r="AG35" s="1359"/>
      <c r="AH35" s="2905"/>
      <c r="AI35" s="2905"/>
      <c r="AJ35" s="1359"/>
      <c r="AK35" s="2907"/>
    </row>
    <row r="36" spans="1:37" ht="14.25">
      <c r="A36" s="3658" t="s">
        <v>27</v>
      </c>
      <c r="B36" s="1381"/>
      <c r="C36" s="3542">
        <v>58</v>
      </c>
      <c r="D36" s="1392"/>
      <c r="E36" s="1392"/>
      <c r="F36" s="3548">
        <v>0.4</v>
      </c>
      <c r="G36" s="1392"/>
      <c r="H36" s="1392"/>
      <c r="I36" s="3549">
        <v>0.01</v>
      </c>
      <c r="J36" s="1378"/>
      <c r="K36" s="1378"/>
      <c r="L36" s="3543" t="s">
        <v>26</v>
      </c>
      <c r="M36" s="1378"/>
      <c r="N36" s="2879"/>
      <c r="O36" s="2880">
        <f>'Step 10b--Required Acres'!N34</f>
        <v>0</v>
      </c>
      <c r="P36" s="2880"/>
      <c r="Q36" s="2880"/>
      <c r="R36" s="2881">
        <f>IF(Options!$AG$24=TRUE,0,O36*$C36)</f>
        <v>0</v>
      </c>
      <c r="S36" s="2880"/>
      <c r="T36" s="2880"/>
      <c r="U36" s="2882">
        <f>IF(Options!$AG$24=TRUE,0,O36*$F36)</f>
        <v>0</v>
      </c>
      <c r="V36" s="2880"/>
      <c r="W36" s="2880"/>
      <c r="X36" s="2882">
        <f>IF(Options!$AG$24=TRUE,0,O36*$I36)</f>
        <v>0</v>
      </c>
      <c r="Y36" s="2883"/>
      <c r="Z36" s="2904"/>
      <c r="AA36" s="2905">
        <f>'Step 10b--Required Acres'!AC34</f>
        <v>0</v>
      </c>
      <c r="AB36" s="2905"/>
      <c r="AC36" s="2905"/>
      <c r="AD36" s="2906">
        <f>IF(Options!$AH$24=TRUE,0,AA36*$C36)</f>
        <v>0</v>
      </c>
      <c r="AE36" s="2905"/>
      <c r="AF36" s="2905"/>
      <c r="AG36" s="1359">
        <f>IF(Options!$AH$24=TRUE,0,AA36*$F36)</f>
        <v>0</v>
      </c>
      <c r="AH36" s="2905"/>
      <c r="AI36" s="2905"/>
      <c r="AJ36" s="1359">
        <f>IF(Options!$AH$24=TRUE,0,AA36*$I36)</f>
        <v>0</v>
      </c>
      <c r="AK36" s="2907"/>
    </row>
    <row r="37" spans="1:37" ht="3" customHeight="1">
      <c r="A37" s="3658"/>
      <c r="B37" s="1381"/>
      <c r="C37" s="1396"/>
      <c r="D37" s="1392"/>
      <c r="E37" s="1392"/>
      <c r="F37" s="1392"/>
      <c r="G37" s="1392"/>
      <c r="H37" s="1392"/>
      <c r="I37" s="3550"/>
      <c r="J37" s="1378"/>
      <c r="K37" s="1378"/>
      <c r="L37" s="1378"/>
      <c r="M37" s="1378"/>
      <c r="N37" s="2879"/>
      <c r="O37" s="2880"/>
      <c r="P37" s="2880"/>
      <c r="Q37" s="2880"/>
      <c r="R37" s="2881"/>
      <c r="S37" s="2880"/>
      <c r="T37" s="2880"/>
      <c r="U37" s="2882"/>
      <c r="V37" s="2880"/>
      <c r="W37" s="2880"/>
      <c r="X37" s="2882"/>
      <c r="Y37" s="2883"/>
      <c r="Z37" s="2904"/>
      <c r="AA37" s="2905"/>
      <c r="AB37" s="2905"/>
      <c r="AC37" s="2905"/>
      <c r="AD37" s="2906"/>
      <c r="AE37" s="2905"/>
      <c r="AF37" s="2905"/>
      <c r="AG37" s="1359"/>
      <c r="AH37" s="2905"/>
      <c r="AI37" s="2905"/>
      <c r="AJ37" s="1359"/>
      <c r="AK37" s="2907"/>
    </row>
    <row r="38" spans="1:37" ht="14.25">
      <c r="A38" s="3659" t="str">
        <f>IF('Step 7a--Feedstuff Required'!B38="[add grain crop here]"," ",'Step 7a--Feedstuff Required'!B38)</f>
        <v xml:space="preserve"> </v>
      </c>
      <c r="B38" s="1388"/>
      <c r="C38" s="1401"/>
      <c r="D38" s="1392"/>
      <c r="E38" s="1392"/>
      <c r="F38" s="3551"/>
      <c r="G38" s="1392"/>
      <c r="H38" s="1392"/>
      <c r="I38" s="3551"/>
      <c r="J38" s="1386"/>
      <c r="K38" s="1386"/>
      <c r="L38" s="3546"/>
      <c r="M38" s="1379"/>
      <c r="N38" s="2879"/>
      <c r="O38" s="2880">
        <f>'Step 10b--Required Acres'!N36</f>
        <v>0</v>
      </c>
      <c r="P38" s="2880"/>
      <c r="Q38" s="2880"/>
      <c r="R38" s="2881">
        <f>IF(Options!$AG$24=TRUE,0,O38*$C38)</f>
        <v>0</v>
      </c>
      <c r="S38" s="2880"/>
      <c r="T38" s="2880"/>
      <c r="U38" s="2882">
        <f>IF(Options!$AG$24=TRUE,0,O38*$F38)</f>
        <v>0</v>
      </c>
      <c r="V38" s="2880"/>
      <c r="W38" s="2880"/>
      <c r="X38" s="2882">
        <f>IF(Options!$AG$24=TRUE,0,O38*$I38)</f>
        <v>0</v>
      </c>
      <c r="Y38" s="2883"/>
      <c r="Z38" s="2904"/>
      <c r="AA38" s="2905">
        <f>'Step 10b--Required Acres'!AC36</f>
        <v>0</v>
      </c>
      <c r="AB38" s="2905"/>
      <c r="AC38" s="2905"/>
      <c r="AD38" s="2906">
        <f>IF(Options!$AH$24=TRUE,0,AA38*$C38)</f>
        <v>0</v>
      </c>
      <c r="AE38" s="2905"/>
      <c r="AF38" s="2905"/>
      <c r="AG38" s="1359">
        <f>IF(Options!$AH$24=TRUE,0,AA38*$F38)</f>
        <v>0</v>
      </c>
      <c r="AH38" s="2905"/>
      <c r="AI38" s="2905"/>
      <c r="AJ38" s="1359">
        <f>IF(Options!$AH$24=TRUE,0,AA38*$I38)</f>
        <v>0</v>
      </c>
      <c r="AK38" s="2907"/>
    </row>
    <row r="39" spans="1:37" ht="3" customHeight="1">
      <c r="A39" s="3659"/>
      <c r="B39" s="1388"/>
      <c r="C39" s="1396"/>
      <c r="D39" s="1392"/>
      <c r="E39" s="1392"/>
      <c r="F39" s="1392"/>
      <c r="G39" s="1392"/>
      <c r="H39" s="1392"/>
      <c r="I39" s="1392"/>
      <c r="J39" s="1386"/>
      <c r="K39" s="1386"/>
      <c r="L39" s="3547"/>
      <c r="M39" s="1378"/>
      <c r="N39" s="2879"/>
      <c r="O39" s="2880"/>
      <c r="P39" s="2880"/>
      <c r="Q39" s="2880"/>
      <c r="R39" s="2881"/>
      <c r="S39" s="2880"/>
      <c r="T39" s="2880"/>
      <c r="U39" s="2882"/>
      <c r="V39" s="2880"/>
      <c r="W39" s="2880"/>
      <c r="X39" s="2882"/>
      <c r="Y39" s="2883"/>
      <c r="Z39" s="2904"/>
      <c r="AA39" s="2905"/>
      <c r="AB39" s="2905"/>
      <c r="AC39" s="2905"/>
      <c r="AD39" s="2906"/>
      <c r="AE39" s="2905"/>
      <c r="AF39" s="2905"/>
      <c r="AG39" s="1359"/>
      <c r="AH39" s="2905"/>
      <c r="AI39" s="2905"/>
      <c r="AJ39" s="1359"/>
      <c r="AK39" s="2907"/>
    </row>
    <row r="40" spans="1:37" ht="14.25">
      <c r="A40" s="3659" t="str">
        <f>IF('Step 7a--Feedstuff Required'!B40="[add grain crop here]"," ",'Step 7a--Feedstuff Required'!B40)</f>
        <v xml:space="preserve"> </v>
      </c>
      <c r="B40" s="1388"/>
      <c r="C40" s="1401"/>
      <c r="D40" s="1392"/>
      <c r="E40" s="1392"/>
      <c r="F40" s="3551"/>
      <c r="G40" s="1392"/>
      <c r="H40" s="1392"/>
      <c r="I40" s="3551"/>
      <c r="J40" s="1386"/>
      <c r="K40" s="1386"/>
      <c r="L40" s="3546"/>
      <c r="M40" s="1379"/>
      <c r="N40" s="2879"/>
      <c r="O40" s="2880">
        <f>'Step 10b--Required Acres'!N38</f>
        <v>0</v>
      </c>
      <c r="P40" s="2880"/>
      <c r="Q40" s="2880"/>
      <c r="R40" s="2881">
        <f>IF(Options!$AG$24=TRUE,0,O40*$C40)</f>
        <v>0</v>
      </c>
      <c r="S40" s="2880"/>
      <c r="T40" s="2880"/>
      <c r="U40" s="2882">
        <f>IF(Options!$AG$24=TRUE,0,O40*$F40)</f>
        <v>0</v>
      </c>
      <c r="V40" s="2880"/>
      <c r="W40" s="2880"/>
      <c r="X40" s="2882">
        <f>IF(Options!$AG$24=TRUE,0,O40*$I40)</f>
        <v>0</v>
      </c>
      <c r="Y40" s="2883"/>
      <c r="Z40" s="2904"/>
      <c r="AA40" s="2905">
        <f>'Step 10b--Required Acres'!AC38</f>
        <v>0</v>
      </c>
      <c r="AB40" s="2905"/>
      <c r="AC40" s="2905"/>
      <c r="AD40" s="2906">
        <f>IF(Options!$AH$24=TRUE,0,AA40*$C40)</f>
        <v>0</v>
      </c>
      <c r="AE40" s="2905"/>
      <c r="AF40" s="2905"/>
      <c r="AG40" s="1359">
        <f>IF(Options!$AH$24=TRUE,0,AA40*$F40)</f>
        <v>0</v>
      </c>
      <c r="AH40" s="2905"/>
      <c r="AI40" s="2905"/>
      <c r="AJ40" s="1359">
        <f>IF(Options!$AH$24=TRUE,0,AA40*$I40)</f>
        <v>0</v>
      </c>
      <c r="AK40" s="2907"/>
    </row>
    <row r="41" spans="1:37" ht="3" customHeight="1">
      <c r="A41" s="3659"/>
      <c r="B41" s="1388"/>
      <c r="C41" s="1396"/>
      <c r="D41" s="1392"/>
      <c r="E41" s="1392"/>
      <c r="F41" s="1392"/>
      <c r="G41" s="1392"/>
      <c r="H41" s="1392"/>
      <c r="I41" s="1392"/>
      <c r="J41" s="1386"/>
      <c r="K41" s="1386"/>
      <c r="L41" s="3547"/>
      <c r="M41" s="1378"/>
      <c r="N41" s="2879"/>
      <c r="O41" s="2880"/>
      <c r="P41" s="2880"/>
      <c r="Q41" s="2880"/>
      <c r="R41" s="2881"/>
      <c r="S41" s="2880"/>
      <c r="T41" s="2880"/>
      <c r="U41" s="2882"/>
      <c r="V41" s="2880"/>
      <c r="W41" s="2880"/>
      <c r="X41" s="2882"/>
      <c r="Y41" s="2883"/>
      <c r="Z41" s="2904"/>
      <c r="AA41" s="2905"/>
      <c r="AB41" s="2905"/>
      <c r="AC41" s="2905"/>
      <c r="AD41" s="2906"/>
      <c r="AE41" s="2905"/>
      <c r="AF41" s="2905"/>
      <c r="AG41" s="1359"/>
      <c r="AH41" s="2905"/>
      <c r="AI41" s="2905"/>
      <c r="AJ41" s="1359"/>
      <c r="AK41" s="2907"/>
    </row>
    <row r="42" spans="1:37" ht="14.25">
      <c r="A42" s="3659" t="str">
        <f>IF('Step 7a--Feedstuff Required'!B42="[add grain crop here]"," ",'Step 7a--Feedstuff Required'!B42)</f>
        <v xml:space="preserve"> </v>
      </c>
      <c r="B42" s="1388"/>
      <c r="C42" s="1401"/>
      <c r="D42" s="1392"/>
      <c r="E42" s="1392"/>
      <c r="F42" s="3551"/>
      <c r="G42" s="1392"/>
      <c r="H42" s="1392"/>
      <c r="I42" s="3551"/>
      <c r="J42" s="1386"/>
      <c r="K42" s="1386"/>
      <c r="L42" s="3546"/>
      <c r="M42" s="1379"/>
      <c r="N42" s="2879"/>
      <c r="O42" s="2880">
        <f>'Step 10b--Required Acres'!N40</f>
        <v>0</v>
      </c>
      <c r="P42" s="2880"/>
      <c r="Q42" s="2880"/>
      <c r="R42" s="2881">
        <f>IF(Options!$AG$24=TRUE,0,O42*$C42)</f>
        <v>0</v>
      </c>
      <c r="S42" s="2880"/>
      <c r="T42" s="2880"/>
      <c r="U42" s="2882">
        <f>IF(Options!$AG$24=TRUE,0,O42*$F42)</f>
        <v>0</v>
      </c>
      <c r="V42" s="2880"/>
      <c r="W42" s="2880"/>
      <c r="X42" s="2882">
        <f>IF(Options!$AG$24=TRUE,0,O42*$I42)</f>
        <v>0</v>
      </c>
      <c r="Y42" s="2883"/>
      <c r="Z42" s="2904"/>
      <c r="AA42" s="2905">
        <f>'Step 10b--Required Acres'!AC40</f>
        <v>0</v>
      </c>
      <c r="AB42" s="2905"/>
      <c r="AC42" s="2905"/>
      <c r="AD42" s="2906">
        <f>IF(Options!$AH$24=TRUE,0,AA42*$C42)</f>
        <v>0</v>
      </c>
      <c r="AE42" s="2905"/>
      <c r="AF42" s="2905"/>
      <c r="AG42" s="1359">
        <f>IF(Options!$AH$24=TRUE,0,AA42*$F42)</f>
        <v>0</v>
      </c>
      <c r="AH42" s="2905"/>
      <c r="AI42" s="2905"/>
      <c r="AJ42" s="1359">
        <f>IF(Options!$AH$24=TRUE,0,AA42*$I42)</f>
        <v>0</v>
      </c>
      <c r="AK42" s="2907"/>
    </row>
    <row r="43" spans="1:37" ht="3" customHeight="1">
      <c r="A43" s="1224"/>
      <c r="B43" s="1388"/>
      <c r="C43" s="1396"/>
      <c r="D43" s="1392"/>
      <c r="E43" s="1392"/>
      <c r="F43" s="1392"/>
      <c r="G43" s="1392"/>
      <c r="H43" s="1392"/>
      <c r="I43" s="1392"/>
      <c r="J43" s="1386"/>
      <c r="K43" s="1386"/>
      <c r="L43" s="1386"/>
      <c r="M43" s="1378"/>
      <c r="N43" s="2879"/>
      <c r="O43" s="2880"/>
      <c r="P43" s="2880"/>
      <c r="Q43" s="2880"/>
      <c r="R43" s="2881"/>
      <c r="S43" s="2880"/>
      <c r="T43" s="2880"/>
      <c r="U43" s="2882"/>
      <c r="V43" s="2880"/>
      <c r="W43" s="2880"/>
      <c r="X43" s="2882"/>
      <c r="Y43" s="2883"/>
      <c r="Z43" s="2904"/>
      <c r="AA43" s="2905"/>
      <c r="AB43" s="2905"/>
      <c r="AC43" s="2905"/>
      <c r="AD43" s="2906"/>
      <c r="AE43" s="2905"/>
      <c r="AF43" s="2905"/>
      <c r="AG43" s="1359"/>
      <c r="AH43" s="2905"/>
      <c r="AI43" s="2905"/>
      <c r="AJ43" s="1359"/>
      <c r="AK43" s="2907"/>
    </row>
    <row r="44" spans="1:37" ht="15">
      <c r="A44" s="2799" t="s">
        <v>5</v>
      </c>
      <c r="B44" s="1389"/>
      <c r="C44" s="1397"/>
      <c r="D44" s="1393"/>
      <c r="E44" s="1393"/>
      <c r="F44" s="1393"/>
      <c r="G44" s="1393"/>
      <c r="H44" s="1393"/>
      <c r="I44" s="1393"/>
      <c r="J44" s="1390"/>
      <c r="K44" s="1390"/>
      <c r="L44" s="1390"/>
      <c r="M44" s="2800"/>
      <c r="N44" s="2879"/>
      <c r="O44" s="2890">
        <f>SUM(O30:O42)</f>
        <v>0.54527688219986081</v>
      </c>
      <c r="P44" s="2880"/>
      <c r="Q44" s="2880"/>
      <c r="R44" s="2890">
        <f>SUM(R30:R42)</f>
        <v>0</v>
      </c>
      <c r="S44" s="2880"/>
      <c r="T44" s="2880"/>
      <c r="U44" s="2890">
        <f>SUM(U30:U42)</f>
        <v>0</v>
      </c>
      <c r="V44" s="2880"/>
      <c r="W44" s="2880"/>
      <c r="X44" s="2890">
        <f>SUM(X30:X42)</f>
        <v>0</v>
      </c>
      <c r="Y44" s="2883"/>
      <c r="Z44" s="2904"/>
      <c r="AA44" s="2914">
        <f>SUM(AA30:AA42)</f>
        <v>0.4615392645157933</v>
      </c>
      <c r="AB44" s="2905"/>
      <c r="AC44" s="2905"/>
      <c r="AD44" s="2914">
        <f>SUM(AD30:AD42)</f>
        <v>0</v>
      </c>
      <c r="AE44" s="2905"/>
      <c r="AF44" s="2905"/>
      <c r="AG44" s="2914">
        <f>SUM(AG30:AG42)</f>
        <v>0</v>
      </c>
      <c r="AH44" s="2905"/>
      <c r="AI44" s="2905"/>
      <c r="AJ44" s="2914">
        <f>SUM(AJ30:AJ42)</f>
        <v>0</v>
      </c>
      <c r="AK44" s="2907"/>
    </row>
    <row r="45" spans="1:37" ht="14.25">
      <c r="A45" s="787"/>
      <c r="B45" s="1384"/>
      <c r="C45" s="1398"/>
      <c r="D45" s="1394"/>
      <c r="E45" s="1394"/>
      <c r="F45" s="1394"/>
      <c r="G45" s="1394"/>
      <c r="H45" s="1394"/>
      <c r="I45" s="1394"/>
      <c r="J45" s="788"/>
      <c r="K45" s="788"/>
      <c r="L45" s="788"/>
      <c r="M45" s="788"/>
      <c r="N45" s="2887"/>
      <c r="O45" s="2888"/>
      <c r="P45" s="2888"/>
      <c r="Q45" s="2888"/>
      <c r="R45" s="2881"/>
      <c r="S45" s="2888"/>
      <c r="T45" s="2888"/>
      <c r="U45" s="2882"/>
      <c r="V45" s="2888"/>
      <c r="W45" s="2888"/>
      <c r="X45" s="2878"/>
      <c r="Y45" s="2889"/>
      <c r="Z45" s="2911"/>
      <c r="AA45" s="2912"/>
      <c r="AB45" s="2912"/>
      <c r="AC45" s="2912"/>
      <c r="AD45" s="2906"/>
      <c r="AE45" s="2912"/>
      <c r="AF45" s="2912"/>
      <c r="AG45" s="1359"/>
      <c r="AH45" s="2912"/>
      <c r="AI45" s="2912"/>
      <c r="AJ45" s="782"/>
      <c r="AK45" s="2913"/>
    </row>
    <row r="46" spans="1:37" ht="20.25" customHeight="1">
      <c r="A46" s="4028" t="s">
        <v>894</v>
      </c>
      <c r="B46" s="4855"/>
      <c r="C46" s="4855"/>
      <c r="D46" s="4855"/>
      <c r="E46" s="4855"/>
      <c r="F46" s="4855"/>
      <c r="G46" s="4855"/>
      <c r="H46" s="4855"/>
      <c r="I46" s="4855"/>
      <c r="J46" s="4855"/>
      <c r="K46" s="4855"/>
      <c r="L46" s="4855"/>
      <c r="M46" s="4855"/>
      <c r="N46" s="4855"/>
      <c r="O46" s="4855"/>
      <c r="P46" s="4855"/>
      <c r="Q46" s="4855"/>
      <c r="R46" s="4855"/>
      <c r="S46" s="4855"/>
      <c r="T46" s="4855"/>
      <c r="U46" s="4855"/>
      <c r="V46" s="4855"/>
      <c r="W46" s="4855"/>
      <c r="X46" s="4855"/>
      <c r="Y46" s="4855"/>
      <c r="Z46" s="4855"/>
      <c r="AA46" s="4855"/>
      <c r="AB46" s="4855"/>
      <c r="AC46" s="4855"/>
      <c r="AD46" s="4855"/>
      <c r="AE46" s="4855"/>
      <c r="AF46" s="4855"/>
      <c r="AG46" s="4855"/>
      <c r="AH46" s="4855"/>
      <c r="AI46" s="4855"/>
      <c r="AJ46" s="4855"/>
      <c r="AK46" s="4856"/>
    </row>
    <row r="47" spans="1:37" ht="3" customHeight="1">
      <c r="A47" s="1224"/>
      <c r="B47" s="1381"/>
      <c r="C47" s="1396"/>
      <c r="D47" s="1392"/>
      <c r="E47" s="1392"/>
      <c r="F47" s="1392"/>
      <c r="G47" s="1392"/>
      <c r="H47" s="1392"/>
      <c r="I47" s="1392"/>
      <c r="J47" s="1378"/>
      <c r="K47" s="1378"/>
      <c r="L47" s="1378"/>
      <c r="M47" s="1378"/>
      <c r="N47" s="1368"/>
      <c r="O47" s="1361"/>
      <c r="P47" s="1361"/>
      <c r="Q47" s="1361"/>
      <c r="R47" s="1362"/>
      <c r="S47" s="1361"/>
      <c r="T47" s="1361"/>
      <c r="U47" s="1366"/>
      <c r="V47" s="1361"/>
      <c r="W47" s="1361"/>
      <c r="X47" s="1366"/>
      <c r="Y47" s="1369"/>
      <c r="Z47" s="1407"/>
      <c r="AA47" s="1408"/>
      <c r="AB47" s="1408"/>
      <c r="AC47" s="1408"/>
      <c r="AD47" s="1409"/>
      <c r="AE47" s="1408"/>
      <c r="AF47" s="1408"/>
      <c r="AG47" s="1410"/>
      <c r="AH47" s="1408"/>
      <c r="AI47" s="1408"/>
      <c r="AJ47" s="1410"/>
      <c r="AK47" s="1454"/>
    </row>
    <row r="48" spans="1:37" ht="14.25">
      <c r="A48" s="3658" t="s">
        <v>7</v>
      </c>
      <c r="B48" s="1381"/>
      <c r="C48" s="3542">
        <v>3</v>
      </c>
      <c r="D48" s="1392"/>
      <c r="E48" s="1392"/>
      <c r="F48" s="3548">
        <v>1</v>
      </c>
      <c r="G48" s="1392"/>
      <c r="H48" s="1392"/>
      <c r="I48" s="3549">
        <v>0.03</v>
      </c>
      <c r="J48" s="1378"/>
      <c r="K48" s="1378"/>
      <c r="L48" s="3543" t="s">
        <v>26</v>
      </c>
      <c r="M48" s="1378"/>
      <c r="N48" s="2879"/>
      <c r="O48" s="2880">
        <f>'Step 10b--Required Acres'!N45</f>
        <v>0.40978654793226743</v>
      </c>
      <c r="P48" s="2880"/>
      <c r="Q48" s="2880"/>
      <c r="R48" s="2881">
        <f>IF(Options!$AG$24=TRUE,0,O48*$C48)</f>
        <v>0</v>
      </c>
      <c r="S48" s="2880"/>
      <c r="T48" s="2880"/>
      <c r="U48" s="2882">
        <f>IF(Options!$AG$24=TRUE,0,O48*$F48)</f>
        <v>0</v>
      </c>
      <c r="V48" s="2880"/>
      <c r="W48" s="2880"/>
      <c r="X48" s="2882">
        <f>IF(Options!$AG$24=TRUE,0,O48*$I48)</f>
        <v>0</v>
      </c>
      <c r="Y48" s="2883"/>
      <c r="Z48" s="2904"/>
      <c r="AA48" s="2905">
        <f>'Step 10b--Required Acres'!AC45</f>
        <v>0.12555458847736625</v>
      </c>
      <c r="AB48" s="2905"/>
      <c r="AC48" s="2905"/>
      <c r="AD48" s="2906">
        <f>IF(Options!$AH$24=TRUE,0,AA48*$C48)</f>
        <v>0</v>
      </c>
      <c r="AE48" s="2905"/>
      <c r="AF48" s="2905"/>
      <c r="AG48" s="1359">
        <f>IF(Options!$AH$24=TRUE,0,AA48*$F48)</f>
        <v>0</v>
      </c>
      <c r="AH48" s="2905"/>
      <c r="AI48" s="2905"/>
      <c r="AJ48" s="1359">
        <f>IF(Options!$AH$24=TRUE,0,AA48*$I48)</f>
        <v>0</v>
      </c>
      <c r="AK48" s="2907"/>
    </row>
    <row r="49" spans="1:37" ht="3" customHeight="1">
      <c r="A49" s="3660"/>
      <c r="B49" s="1385"/>
      <c r="C49" s="1399"/>
      <c r="D49" s="1395"/>
      <c r="E49" s="1395"/>
      <c r="F49" s="1395"/>
      <c r="G49" s="1395"/>
      <c r="H49" s="1395"/>
      <c r="I49" s="1395"/>
      <c r="J49" s="1380"/>
      <c r="K49" s="1380"/>
      <c r="L49" s="3544"/>
      <c r="M49" s="1380"/>
      <c r="N49" s="2879"/>
      <c r="O49" s="2880"/>
      <c r="P49" s="2880"/>
      <c r="Q49" s="2880"/>
      <c r="R49" s="2881"/>
      <c r="S49" s="2880"/>
      <c r="T49" s="2880"/>
      <c r="U49" s="2882"/>
      <c r="V49" s="2880"/>
      <c r="W49" s="2880"/>
      <c r="X49" s="2882"/>
      <c r="Y49" s="2883"/>
      <c r="Z49" s="2904"/>
      <c r="AA49" s="2905"/>
      <c r="AB49" s="2905"/>
      <c r="AC49" s="2905"/>
      <c r="AD49" s="2906"/>
      <c r="AE49" s="2905"/>
      <c r="AF49" s="2905"/>
      <c r="AG49" s="1359"/>
      <c r="AH49" s="2905"/>
      <c r="AI49" s="2905"/>
      <c r="AJ49" s="1359"/>
      <c r="AK49" s="2907"/>
    </row>
    <row r="50" spans="1:37" ht="14.25">
      <c r="A50" s="3658" t="s">
        <v>8</v>
      </c>
      <c r="B50" s="1381"/>
      <c r="C50" s="3542">
        <v>50</v>
      </c>
      <c r="D50" s="1392"/>
      <c r="E50" s="1392"/>
      <c r="F50" s="3548">
        <v>1.5</v>
      </c>
      <c r="G50" s="1392"/>
      <c r="H50" s="1392"/>
      <c r="I50" s="3549">
        <v>0.1</v>
      </c>
      <c r="J50" s="1378"/>
      <c r="K50" s="1378"/>
      <c r="L50" s="3543" t="s">
        <v>1228</v>
      </c>
      <c r="M50" s="1378"/>
      <c r="N50" s="2879"/>
      <c r="O50" s="2880">
        <f>'Step 10b--Required Acres'!N47</f>
        <v>0</v>
      </c>
      <c r="P50" s="2880"/>
      <c r="Q50" s="2880"/>
      <c r="R50" s="2881">
        <f>IF(Options!$AG$24=TRUE,0,O50*$C50)</f>
        <v>0</v>
      </c>
      <c r="S50" s="2880"/>
      <c r="T50" s="2880"/>
      <c r="U50" s="2882">
        <f>IF(Options!$AG$24=TRUE,0,O50*$F50)</f>
        <v>0</v>
      </c>
      <c r="V50" s="2880"/>
      <c r="W50" s="2880"/>
      <c r="X50" s="2882">
        <f>IF(Options!$AG$24=TRUE,0,O50*$I50)</f>
        <v>0</v>
      </c>
      <c r="Y50" s="2883"/>
      <c r="Z50" s="2904"/>
      <c r="AA50" s="2905">
        <f>'Step 10b--Required Acres'!AC47</f>
        <v>0</v>
      </c>
      <c r="AB50" s="2905"/>
      <c r="AC50" s="2905"/>
      <c r="AD50" s="2906">
        <f>IF(Options!$AH$24=TRUE,0,AA50*$C50)</f>
        <v>0</v>
      </c>
      <c r="AE50" s="2905"/>
      <c r="AF50" s="2905"/>
      <c r="AG50" s="1359">
        <f>IF(Options!$AH$24=TRUE,0,AA50*$F50)</f>
        <v>0</v>
      </c>
      <c r="AH50" s="2905"/>
      <c r="AI50" s="2905"/>
      <c r="AJ50" s="1359">
        <f>IF(Options!$AH$24=TRUE,0,AA50*$I50)</f>
        <v>0</v>
      </c>
      <c r="AK50" s="2907"/>
    </row>
    <row r="51" spans="1:37" ht="3" customHeight="1">
      <c r="A51" s="3660"/>
      <c r="B51" s="1385"/>
      <c r="C51" s="1399"/>
      <c r="D51" s="1395"/>
      <c r="E51" s="1395"/>
      <c r="F51" s="1395"/>
      <c r="G51" s="1395"/>
      <c r="H51" s="1395"/>
      <c r="I51" s="1395"/>
      <c r="J51" s="1380"/>
      <c r="K51" s="1380"/>
      <c r="L51" s="3544"/>
      <c r="M51" s="1380"/>
      <c r="N51" s="2879"/>
      <c r="O51" s="2880"/>
      <c r="P51" s="2880"/>
      <c r="Q51" s="2880"/>
      <c r="R51" s="2881"/>
      <c r="S51" s="2880"/>
      <c r="T51" s="2880"/>
      <c r="U51" s="2882"/>
      <c r="V51" s="2880"/>
      <c r="W51" s="2880"/>
      <c r="X51" s="2882"/>
      <c r="Y51" s="2883"/>
      <c r="Z51" s="2904"/>
      <c r="AA51" s="2905"/>
      <c r="AB51" s="2905"/>
      <c r="AC51" s="2905"/>
      <c r="AD51" s="2906"/>
      <c r="AE51" s="2905"/>
      <c r="AF51" s="2905"/>
      <c r="AG51" s="1359"/>
      <c r="AH51" s="2905"/>
      <c r="AI51" s="2905"/>
      <c r="AJ51" s="1359"/>
      <c r="AK51" s="2907"/>
    </row>
    <row r="52" spans="1:37" ht="14.25">
      <c r="A52" s="3659" t="str">
        <f>IF('Step 7a--Feedstuff Required'!B52="[add protein source here]"," ",'Step 7a--Feedstuff Required'!B52)</f>
        <v xml:space="preserve"> </v>
      </c>
      <c r="B52" s="1382"/>
      <c r="C52" s="1401"/>
      <c r="D52" s="1392"/>
      <c r="E52" s="1392"/>
      <c r="F52" s="3551"/>
      <c r="G52" s="1392"/>
      <c r="H52" s="1392"/>
      <c r="I52" s="3551"/>
      <c r="J52" s="1386"/>
      <c r="K52" s="1386"/>
      <c r="L52" s="3546"/>
      <c r="M52" s="1379"/>
      <c r="N52" s="2879"/>
      <c r="O52" s="2880">
        <f>'Step 10b--Required Acres'!N49</f>
        <v>0</v>
      </c>
      <c r="P52" s="2880"/>
      <c r="Q52" s="2880"/>
      <c r="R52" s="2881">
        <f>IF(Options!$AG$24=TRUE,0,O52*$C52)</f>
        <v>0</v>
      </c>
      <c r="S52" s="2880"/>
      <c r="T52" s="2880"/>
      <c r="U52" s="2882">
        <f>IF(Options!$AG$24=TRUE,0,O52*$F52)</f>
        <v>0</v>
      </c>
      <c r="V52" s="2880"/>
      <c r="W52" s="2880"/>
      <c r="X52" s="2882">
        <f>IF(Options!$AG$24=TRUE,0,O52*$I52)</f>
        <v>0</v>
      </c>
      <c r="Y52" s="2883"/>
      <c r="Z52" s="2904"/>
      <c r="AA52" s="2905">
        <f>'Step 10b--Required Acres'!AC49</f>
        <v>0</v>
      </c>
      <c r="AB52" s="2905"/>
      <c r="AC52" s="2905"/>
      <c r="AD52" s="2906">
        <f>IF(Options!$AH$24=TRUE,0,AA52*$C52)</f>
        <v>0</v>
      </c>
      <c r="AE52" s="2905"/>
      <c r="AF52" s="2905"/>
      <c r="AG52" s="1359">
        <f>IF(Options!$AH$24=TRUE,0,AA52*$F52)</f>
        <v>0</v>
      </c>
      <c r="AH52" s="2905"/>
      <c r="AI52" s="2905"/>
      <c r="AJ52" s="1359">
        <f>IF(Options!$AH$24=TRUE,0,AA52*$I52)</f>
        <v>0</v>
      </c>
      <c r="AK52" s="2907"/>
    </row>
    <row r="53" spans="1:37" ht="3" customHeight="1">
      <c r="A53" s="3658"/>
      <c r="B53" s="1385"/>
      <c r="C53" s="1399"/>
      <c r="D53" s="1395"/>
      <c r="E53" s="1395"/>
      <c r="F53" s="1395"/>
      <c r="G53" s="1395"/>
      <c r="H53" s="1395"/>
      <c r="I53" s="1395"/>
      <c r="J53" s="1387"/>
      <c r="K53" s="1387"/>
      <c r="L53" s="3547"/>
      <c r="M53" s="1380"/>
      <c r="N53" s="2879"/>
      <c r="O53" s="2880"/>
      <c r="P53" s="2880"/>
      <c r="Q53" s="2880"/>
      <c r="R53" s="2881"/>
      <c r="S53" s="2880"/>
      <c r="T53" s="2880"/>
      <c r="U53" s="2882"/>
      <c r="V53" s="2880"/>
      <c r="W53" s="2880"/>
      <c r="X53" s="2882"/>
      <c r="Y53" s="2883"/>
      <c r="Z53" s="2904"/>
      <c r="AA53" s="2905"/>
      <c r="AB53" s="2905"/>
      <c r="AC53" s="2905"/>
      <c r="AD53" s="2906"/>
      <c r="AE53" s="2905"/>
      <c r="AF53" s="2905"/>
      <c r="AG53" s="1359"/>
      <c r="AH53" s="2905"/>
      <c r="AI53" s="2905"/>
      <c r="AJ53" s="1359"/>
      <c r="AK53" s="2907"/>
    </row>
    <row r="54" spans="1:37" ht="14.25">
      <c r="A54" s="3659" t="str">
        <f>IF('Step 7a--Feedstuff Required'!B54="[add protein source here]"," ",'Step 7a--Feedstuff Required'!B54)</f>
        <v xml:space="preserve"> </v>
      </c>
      <c r="B54" s="1382"/>
      <c r="C54" s="1401"/>
      <c r="D54" s="1392"/>
      <c r="E54" s="1392"/>
      <c r="F54" s="3551"/>
      <c r="G54" s="1392"/>
      <c r="H54" s="1392"/>
      <c r="I54" s="3551"/>
      <c r="J54" s="1386"/>
      <c r="K54" s="1386"/>
      <c r="L54" s="3546"/>
      <c r="M54" s="1379"/>
      <c r="N54" s="2879"/>
      <c r="O54" s="2880">
        <f>'Step 10b--Required Acres'!N51</f>
        <v>0</v>
      </c>
      <c r="P54" s="2880"/>
      <c r="Q54" s="2880"/>
      <c r="R54" s="2881">
        <f>IF(Options!$AG$24=TRUE,0,O54*$C54)</f>
        <v>0</v>
      </c>
      <c r="S54" s="2880"/>
      <c r="T54" s="2880"/>
      <c r="U54" s="2882">
        <f>IF(Options!$AG$24=TRUE,0,O54*$F54)</f>
        <v>0</v>
      </c>
      <c r="V54" s="2880"/>
      <c r="W54" s="2880"/>
      <c r="X54" s="2882">
        <f>IF(Options!$AG$24=TRUE,0,O54*$I54)</f>
        <v>0</v>
      </c>
      <c r="Y54" s="2883"/>
      <c r="Z54" s="2904"/>
      <c r="AA54" s="2905">
        <f>'Step 10b--Required Acres'!AC51</f>
        <v>0</v>
      </c>
      <c r="AB54" s="2905"/>
      <c r="AC54" s="2905"/>
      <c r="AD54" s="2906">
        <f>IF(Options!$AH$24=TRUE,0,AA54*$C54)</f>
        <v>0</v>
      </c>
      <c r="AE54" s="2905"/>
      <c r="AF54" s="2905"/>
      <c r="AG54" s="1359">
        <f>IF(Options!$AH$24=TRUE,0,AA54*$F54)</f>
        <v>0</v>
      </c>
      <c r="AH54" s="2905"/>
      <c r="AI54" s="2905"/>
      <c r="AJ54" s="1359">
        <f>IF(Options!$AH$24=TRUE,0,AA54*$I54)</f>
        <v>0</v>
      </c>
      <c r="AK54" s="2907"/>
    </row>
    <row r="55" spans="1:37" ht="3" customHeight="1">
      <c r="A55" s="3658"/>
      <c r="B55" s="1385"/>
      <c r="C55" s="1399"/>
      <c r="D55" s="1395"/>
      <c r="E55" s="1395"/>
      <c r="F55" s="1395"/>
      <c r="G55" s="1395"/>
      <c r="H55" s="1395"/>
      <c r="I55" s="1395"/>
      <c r="J55" s="1387"/>
      <c r="K55" s="1387"/>
      <c r="L55" s="3547"/>
      <c r="M55" s="1380"/>
      <c r="N55" s="2879"/>
      <c r="O55" s="2880"/>
      <c r="P55" s="2880"/>
      <c r="Q55" s="2880"/>
      <c r="R55" s="2881"/>
      <c r="S55" s="2880"/>
      <c r="T55" s="2880"/>
      <c r="U55" s="2882"/>
      <c r="V55" s="2880"/>
      <c r="W55" s="2880"/>
      <c r="X55" s="2882"/>
      <c r="Y55" s="2883"/>
      <c r="Z55" s="2904"/>
      <c r="AA55" s="2905"/>
      <c r="AB55" s="2905"/>
      <c r="AC55" s="2905"/>
      <c r="AD55" s="2906"/>
      <c r="AE55" s="2905"/>
      <c r="AF55" s="2905"/>
      <c r="AG55" s="1359"/>
      <c r="AH55" s="2905"/>
      <c r="AI55" s="2905"/>
      <c r="AJ55" s="1359"/>
      <c r="AK55" s="2907"/>
    </row>
    <row r="56" spans="1:37" ht="14.25">
      <c r="A56" s="3659" t="str">
        <f>IF('Step 7a--Feedstuff Required'!B56="[add protein source here]"," ",'Step 7a--Feedstuff Required'!B56)</f>
        <v xml:space="preserve"> </v>
      </c>
      <c r="B56" s="1382"/>
      <c r="C56" s="1401"/>
      <c r="D56" s="1392"/>
      <c r="E56" s="1392"/>
      <c r="F56" s="3551"/>
      <c r="G56" s="1392"/>
      <c r="H56" s="1392"/>
      <c r="I56" s="3551"/>
      <c r="J56" s="1386"/>
      <c r="K56" s="1386"/>
      <c r="L56" s="3546"/>
      <c r="M56" s="1379"/>
      <c r="N56" s="2879"/>
      <c r="O56" s="2880">
        <f>'Step 10b--Required Acres'!N53</f>
        <v>0</v>
      </c>
      <c r="P56" s="2880"/>
      <c r="Q56" s="2880"/>
      <c r="R56" s="2881">
        <f>IF(Options!$AG$24=TRUE,0,O56*$C56)</f>
        <v>0</v>
      </c>
      <c r="S56" s="2880"/>
      <c r="T56" s="2880"/>
      <c r="U56" s="2882">
        <f>IF(Options!$AG$24=TRUE,0,O56*$F56)</f>
        <v>0</v>
      </c>
      <c r="V56" s="2880"/>
      <c r="W56" s="2880"/>
      <c r="X56" s="2882">
        <f>IF(Options!$AG$24=TRUE,0,O56*$I56)</f>
        <v>0</v>
      </c>
      <c r="Y56" s="2883"/>
      <c r="Z56" s="2904"/>
      <c r="AA56" s="2905">
        <f>'Step 10b--Required Acres'!AC53</f>
        <v>0</v>
      </c>
      <c r="AB56" s="2905"/>
      <c r="AC56" s="2905"/>
      <c r="AD56" s="2906">
        <f>IF(Options!$AH$24=TRUE,0,AA56*$C56)</f>
        <v>0</v>
      </c>
      <c r="AE56" s="2905"/>
      <c r="AF56" s="2905"/>
      <c r="AG56" s="1359">
        <f>IF(Options!$AH$24=TRUE,0,AA56*$F56)</f>
        <v>0</v>
      </c>
      <c r="AH56" s="2905"/>
      <c r="AI56" s="2905"/>
      <c r="AJ56" s="1359">
        <f>IF(Options!$AH$24=TRUE,0,AA56*$I56)</f>
        <v>0</v>
      </c>
      <c r="AK56" s="2907"/>
    </row>
    <row r="57" spans="1:37" ht="3" customHeight="1">
      <c r="A57" s="1224"/>
      <c r="B57" s="1381"/>
      <c r="C57" s="1396"/>
      <c r="D57" s="1392"/>
      <c r="E57" s="1392"/>
      <c r="F57" s="1392"/>
      <c r="G57" s="1392"/>
      <c r="H57" s="1392"/>
      <c r="I57" s="1392"/>
      <c r="J57" s="1386"/>
      <c r="K57" s="1386"/>
      <c r="L57" s="1386"/>
      <c r="M57" s="1378"/>
      <c r="N57" s="2879"/>
      <c r="O57" s="2880"/>
      <c r="P57" s="2880"/>
      <c r="Q57" s="2880"/>
      <c r="R57" s="2881"/>
      <c r="S57" s="2880"/>
      <c r="T57" s="2880"/>
      <c r="U57" s="2882"/>
      <c r="V57" s="2880"/>
      <c r="W57" s="2880"/>
      <c r="X57" s="2882"/>
      <c r="Y57" s="2883"/>
      <c r="Z57" s="2904"/>
      <c r="AA57" s="2905"/>
      <c r="AB57" s="2905"/>
      <c r="AC57" s="2905"/>
      <c r="AD57" s="2906"/>
      <c r="AE57" s="2905"/>
      <c r="AF57" s="2905"/>
      <c r="AG57" s="1359"/>
      <c r="AH57" s="2905"/>
      <c r="AI57" s="2905"/>
      <c r="AJ57" s="1359"/>
      <c r="AK57" s="2907"/>
    </row>
    <row r="58" spans="1:37" ht="15">
      <c r="A58" s="2799" t="s">
        <v>286</v>
      </c>
      <c r="B58" s="1383"/>
      <c r="C58" s="1393"/>
      <c r="D58" s="1393"/>
      <c r="E58" s="1393"/>
      <c r="F58" s="1393"/>
      <c r="G58" s="1393"/>
      <c r="H58" s="1393"/>
      <c r="I58" s="1393"/>
      <c r="J58" s="1390"/>
      <c r="K58" s="1390"/>
      <c r="L58" s="1390"/>
      <c r="M58" s="2800"/>
      <c r="N58" s="2879"/>
      <c r="O58" s="2890">
        <f>SUM(O48:O56)</f>
        <v>0.40978654793226743</v>
      </c>
      <c r="P58" s="2880"/>
      <c r="Q58" s="2880"/>
      <c r="R58" s="2890">
        <f>SUM(R48:R56)</f>
        <v>0</v>
      </c>
      <c r="S58" s="2880"/>
      <c r="T58" s="2880"/>
      <c r="U58" s="2890">
        <f>SUM(U48:U56)</f>
        <v>0</v>
      </c>
      <c r="V58" s="2880"/>
      <c r="W58" s="2880"/>
      <c r="X58" s="2890">
        <f>SUM(X48:X56)</f>
        <v>0</v>
      </c>
      <c r="Y58" s="2883"/>
      <c r="Z58" s="2904"/>
      <c r="AA58" s="2914">
        <f>SUM(AA48:AA56)</f>
        <v>0.12555458847736625</v>
      </c>
      <c r="AB58" s="2905"/>
      <c r="AC58" s="2905"/>
      <c r="AD58" s="2914">
        <f>SUM(AD48:AD56)</f>
        <v>0</v>
      </c>
      <c r="AE58" s="2905"/>
      <c r="AF58" s="2905"/>
      <c r="AG58" s="2914">
        <f>SUM(AG48:AG56)</f>
        <v>0</v>
      </c>
      <c r="AH58" s="2905"/>
      <c r="AI58" s="2905"/>
      <c r="AJ58" s="2914">
        <f>SUM(AJ48:AJ56)</f>
        <v>0</v>
      </c>
      <c r="AK58" s="2907"/>
    </row>
    <row r="59" spans="1:37" ht="15">
      <c r="A59" s="2799"/>
      <c r="B59" s="1383"/>
      <c r="C59" s="1393"/>
      <c r="D59" s="1393"/>
      <c r="E59" s="1393"/>
      <c r="F59" s="1393"/>
      <c r="G59" s="1393"/>
      <c r="H59" s="1393"/>
      <c r="I59" s="1393"/>
      <c r="J59" s="2800"/>
      <c r="K59" s="2800"/>
      <c r="L59" s="2800"/>
      <c r="M59" s="2800"/>
      <c r="N59" s="2879"/>
      <c r="O59" s="2880"/>
      <c r="P59" s="2880"/>
      <c r="Q59" s="2880"/>
      <c r="R59" s="2880"/>
      <c r="S59" s="2880"/>
      <c r="T59" s="2880"/>
      <c r="U59" s="2891"/>
      <c r="V59" s="2880"/>
      <c r="W59" s="2880"/>
      <c r="X59" s="2880"/>
      <c r="Y59" s="2883"/>
      <c r="Z59" s="2904"/>
      <c r="AA59" s="2905"/>
      <c r="AB59" s="2905"/>
      <c r="AC59" s="2905"/>
      <c r="AD59" s="2905"/>
      <c r="AE59" s="2905"/>
      <c r="AF59" s="2905"/>
      <c r="AG59" s="2915"/>
      <c r="AH59" s="2905"/>
      <c r="AI59" s="2905"/>
      <c r="AJ59" s="2905"/>
      <c r="AK59" s="2907"/>
    </row>
    <row r="60" spans="1:37" ht="5.25" customHeight="1">
      <c r="A60" s="1427"/>
      <c r="B60" s="1431"/>
      <c r="C60" s="1428"/>
      <c r="D60" s="1429"/>
      <c r="E60" s="1429"/>
      <c r="F60" s="1429"/>
      <c r="G60" s="1429"/>
      <c r="H60" s="1429"/>
      <c r="I60" s="1429"/>
      <c r="J60" s="1430"/>
      <c r="K60" s="1430"/>
      <c r="L60" s="1430"/>
      <c r="M60" s="1431"/>
      <c r="N60" s="2892"/>
      <c r="O60" s="2893"/>
      <c r="P60" s="2893"/>
      <c r="Q60" s="2893"/>
      <c r="R60" s="2894"/>
      <c r="S60" s="2893"/>
      <c r="T60" s="2893"/>
      <c r="U60" s="2895"/>
      <c r="V60" s="2893"/>
      <c r="W60" s="2893"/>
      <c r="X60" s="2895"/>
      <c r="Y60" s="2896"/>
      <c r="Z60" s="2916"/>
      <c r="AA60" s="2917"/>
      <c r="AB60" s="2917"/>
      <c r="AC60" s="2917"/>
      <c r="AD60" s="2918"/>
      <c r="AE60" s="2917"/>
      <c r="AF60" s="2917"/>
      <c r="AG60" s="2919"/>
      <c r="AH60" s="2917"/>
      <c r="AI60" s="2917"/>
      <c r="AJ60" s="2919"/>
      <c r="AK60" s="2920"/>
    </row>
    <row r="61" spans="1:37" ht="15">
      <c r="A61" s="4876" t="s">
        <v>298</v>
      </c>
      <c r="B61" s="4877"/>
      <c r="C61" s="4877"/>
      <c r="D61" s="4877"/>
      <c r="E61" s="4877"/>
      <c r="F61" s="4877"/>
      <c r="G61" s="4877"/>
      <c r="H61" s="4877"/>
      <c r="I61" s="4877"/>
      <c r="J61" s="4877"/>
      <c r="K61" s="4877"/>
      <c r="L61" s="4877"/>
      <c r="M61" s="2800"/>
      <c r="N61" s="2879"/>
      <c r="O61" s="2880"/>
      <c r="P61" s="2880"/>
      <c r="Q61" s="2880"/>
      <c r="R61" s="2890">
        <f>R63*Defaults!$D$9</f>
        <v>0</v>
      </c>
      <c r="S61" s="2880" t="s">
        <v>36</v>
      </c>
      <c r="T61" s="2880"/>
      <c r="U61" s="2890">
        <f>U63*Defaults!$D$9</f>
        <v>0</v>
      </c>
      <c r="V61" s="2880" t="s">
        <v>36</v>
      </c>
      <c r="W61" s="2880"/>
      <c r="X61" s="2890">
        <f>X63*Defaults!$D$9</f>
        <v>0</v>
      </c>
      <c r="Y61" s="2880" t="s">
        <v>36</v>
      </c>
      <c r="Z61" s="2904"/>
      <c r="AA61" s="2905"/>
      <c r="AB61" s="2905"/>
      <c r="AC61" s="2905"/>
      <c r="AD61" s="2914">
        <f>AD63*Defaults!$D$9</f>
        <v>0</v>
      </c>
      <c r="AE61" s="2905" t="s">
        <v>36</v>
      </c>
      <c r="AF61" s="2905"/>
      <c r="AG61" s="2914">
        <f>AG63*Defaults!$D$9</f>
        <v>0</v>
      </c>
      <c r="AH61" s="2905" t="s">
        <v>36</v>
      </c>
      <c r="AI61" s="2905"/>
      <c r="AJ61" s="2914">
        <f>AJ63*Defaults!$D$9</f>
        <v>0</v>
      </c>
      <c r="AK61" s="2907" t="s">
        <v>36</v>
      </c>
    </row>
    <row r="62" spans="1:37" ht="3" customHeight="1">
      <c r="A62" s="1224"/>
      <c r="B62" s="1378"/>
      <c r="C62" s="1396"/>
      <c r="D62" s="1392"/>
      <c r="E62" s="1392"/>
      <c r="F62" s="1392"/>
      <c r="G62" s="1392"/>
      <c r="H62" s="1392"/>
      <c r="I62" s="1392"/>
      <c r="J62" s="1386"/>
      <c r="K62" s="1386"/>
      <c r="L62" s="1386"/>
      <c r="M62" s="1378"/>
      <c r="N62" s="2879"/>
      <c r="O62" s="2880"/>
      <c r="P62" s="2880"/>
      <c r="Q62" s="2880"/>
      <c r="R62" s="2881"/>
      <c r="S62" s="2880"/>
      <c r="T62" s="2880"/>
      <c r="U62" s="2882"/>
      <c r="V62" s="2880"/>
      <c r="W62" s="2880"/>
      <c r="X62" s="2882"/>
      <c r="Y62" s="2883"/>
      <c r="Z62" s="2904"/>
      <c r="AA62" s="2905"/>
      <c r="AB62" s="2905"/>
      <c r="AC62" s="2905"/>
      <c r="AD62" s="2906"/>
      <c r="AE62" s="2905"/>
      <c r="AF62" s="2905"/>
      <c r="AG62" s="1359"/>
      <c r="AH62" s="2905"/>
      <c r="AI62" s="2905"/>
      <c r="AJ62" s="1359"/>
      <c r="AK62" s="2907"/>
    </row>
    <row r="63" spans="1:37" s="13" customFormat="1" ht="17.25" customHeight="1">
      <c r="A63" s="4874" t="s">
        <v>299</v>
      </c>
      <c r="B63" s="4875"/>
      <c r="C63" s="4875"/>
      <c r="D63" s="4875"/>
      <c r="E63" s="4875"/>
      <c r="F63" s="4875"/>
      <c r="G63" s="4875"/>
      <c r="H63" s="4875"/>
      <c r="I63" s="4875"/>
      <c r="J63" s="4875"/>
      <c r="K63" s="4875"/>
      <c r="L63" s="4875"/>
      <c r="M63" s="1438"/>
      <c r="N63" s="2897"/>
      <c r="O63" s="2890"/>
      <c r="P63" s="2890"/>
      <c r="Q63" s="2890"/>
      <c r="R63" s="2890">
        <f>R26+R44+R58</f>
        <v>0</v>
      </c>
      <c r="S63" s="2898" t="s">
        <v>257</v>
      </c>
      <c r="T63" s="2890"/>
      <c r="U63" s="2890">
        <f>U26+U44+U58</f>
        <v>0</v>
      </c>
      <c r="V63" s="2898" t="s">
        <v>257</v>
      </c>
      <c r="W63" s="2890"/>
      <c r="X63" s="2890">
        <f>X26+X44+X58</f>
        <v>0</v>
      </c>
      <c r="Y63" s="2898" t="s">
        <v>257</v>
      </c>
      <c r="Z63" s="2921"/>
      <c r="AA63" s="2914"/>
      <c r="AB63" s="2914"/>
      <c r="AC63" s="2914"/>
      <c r="AD63" s="2914">
        <f>AD26+AD44+AD58</f>
        <v>0</v>
      </c>
      <c r="AE63" s="2922" t="s">
        <v>257</v>
      </c>
      <c r="AF63" s="2914"/>
      <c r="AG63" s="2914">
        <f>AG26+AG44+AG58</f>
        <v>0</v>
      </c>
      <c r="AH63" s="2922" t="s">
        <v>257</v>
      </c>
      <c r="AI63" s="2914"/>
      <c r="AJ63" s="2914">
        <f>AJ26+AJ44+AJ58</f>
        <v>0</v>
      </c>
      <c r="AK63" s="2923" t="s">
        <v>257</v>
      </c>
    </row>
    <row r="64" spans="1:37" ht="5.25" customHeight="1">
      <c r="A64" s="1440"/>
      <c r="B64" s="1441"/>
      <c r="C64" s="1442"/>
      <c r="D64" s="1443"/>
      <c r="E64" s="1443"/>
      <c r="F64" s="1443"/>
      <c r="G64" s="1443"/>
      <c r="H64" s="1443"/>
      <c r="I64" s="1443"/>
      <c r="J64" s="1444"/>
      <c r="K64" s="1444"/>
      <c r="L64" s="1444"/>
      <c r="M64" s="1441"/>
      <c r="N64" s="2899"/>
      <c r="O64" s="2900"/>
      <c r="P64" s="2900"/>
      <c r="Q64" s="2900"/>
      <c r="R64" s="2901"/>
      <c r="S64" s="2900"/>
      <c r="T64" s="2900"/>
      <c r="U64" s="2902"/>
      <c r="V64" s="2900"/>
      <c r="W64" s="2900"/>
      <c r="X64" s="2902"/>
      <c r="Y64" s="2903"/>
      <c r="Z64" s="2924"/>
      <c r="AA64" s="2925"/>
      <c r="AB64" s="2925"/>
      <c r="AC64" s="2925"/>
      <c r="AD64" s="2926"/>
      <c r="AE64" s="2925"/>
      <c r="AF64" s="2925"/>
      <c r="AG64" s="2927"/>
      <c r="AH64" s="2925"/>
      <c r="AI64" s="2925"/>
      <c r="AJ64" s="2927"/>
      <c r="AK64" s="2928"/>
    </row>
    <row r="65" spans="1:37" s="13" customFormat="1" ht="30" customHeight="1">
      <c r="A65" s="4908" t="s">
        <v>292</v>
      </c>
      <c r="B65" s="4909"/>
      <c r="C65" s="4909"/>
      <c r="D65" s="4909"/>
      <c r="E65" s="4909"/>
      <c r="F65" s="4909"/>
      <c r="G65" s="4909"/>
      <c r="H65" s="4909"/>
      <c r="I65" s="4909"/>
      <c r="J65" s="4909"/>
      <c r="K65" s="4909"/>
      <c r="L65" s="4909"/>
      <c r="M65" s="4909"/>
      <c r="N65" s="4909"/>
      <c r="O65" s="4909"/>
      <c r="P65" s="4909"/>
      <c r="Q65" s="4909"/>
      <c r="R65" s="4909"/>
      <c r="S65" s="4909"/>
      <c r="T65" s="4909"/>
      <c r="U65" s="4909"/>
      <c r="V65" s="4909"/>
      <c r="W65" s="4909"/>
      <c r="X65" s="4909"/>
      <c r="Y65" s="4909"/>
      <c r="Z65" s="4909"/>
      <c r="AA65" s="4909"/>
      <c r="AB65" s="4909"/>
      <c r="AC65" s="4909"/>
      <c r="AD65" s="4909"/>
      <c r="AE65" s="4909"/>
      <c r="AF65" s="4909"/>
      <c r="AG65" s="4909"/>
      <c r="AH65" s="4909"/>
      <c r="AI65" s="4909"/>
      <c r="AJ65" s="4909"/>
      <c r="AK65" s="4910"/>
    </row>
    <row r="66" spans="1:37" s="13" customFormat="1" ht="26.25" customHeight="1">
      <c r="A66" s="4871" t="s">
        <v>1227</v>
      </c>
      <c r="B66" s="4872"/>
      <c r="C66" s="4872"/>
      <c r="D66" s="4872"/>
      <c r="E66" s="4872"/>
      <c r="F66" s="4872"/>
      <c r="G66" s="4872"/>
      <c r="H66" s="4872"/>
      <c r="I66" s="4872"/>
      <c r="J66" s="4872"/>
      <c r="K66" s="4872"/>
      <c r="L66" s="4872"/>
      <c r="M66" s="4872"/>
      <c r="N66" s="4872"/>
      <c r="O66" s="4872"/>
      <c r="P66" s="4872"/>
      <c r="Q66" s="4872"/>
      <c r="R66" s="4872"/>
      <c r="S66" s="4872"/>
      <c r="T66" s="4872"/>
      <c r="U66" s="4872"/>
      <c r="V66" s="4872"/>
      <c r="W66" s="4872"/>
      <c r="X66" s="4872"/>
      <c r="Y66" s="4872"/>
      <c r="Z66" s="4872"/>
      <c r="AA66" s="4872"/>
      <c r="AB66" s="4872"/>
      <c r="AC66" s="4872"/>
      <c r="AD66" s="4872"/>
      <c r="AE66" s="4872"/>
      <c r="AF66" s="4872"/>
      <c r="AG66" s="4872"/>
      <c r="AH66" s="4872"/>
      <c r="AI66" s="4872"/>
      <c r="AJ66" s="4872"/>
      <c r="AK66" s="4873"/>
    </row>
    <row r="67" spans="1:37" s="13" customFormat="1" ht="26.25" customHeight="1">
      <c r="A67" s="4871" t="s">
        <v>1229</v>
      </c>
      <c r="B67" s="4872"/>
      <c r="C67" s="4872"/>
      <c r="D67" s="4872"/>
      <c r="E67" s="4872"/>
      <c r="F67" s="4872"/>
      <c r="G67" s="4872"/>
      <c r="H67" s="4872"/>
      <c r="I67" s="4872"/>
      <c r="J67" s="4872"/>
      <c r="K67" s="4872"/>
      <c r="L67" s="4872"/>
      <c r="M67" s="4872"/>
      <c r="N67" s="4872"/>
      <c r="O67" s="4872"/>
      <c r="P67" s="4872"/>
      <c r="Q67" s="4872"/>
      <c r="R67" s="4872"/>
      <c r="S67" s="4872"/>
      <c r="T67" s="4872"/>
      <c r="U67" s="4872"/>
      <c r="V67" s="4872"/>
      <c r="W67" s="4872"/>
      <c r="X67" s="4872"/>
      <c r="Y67" s="4872"/>
      <c r="Z67" s="4872"/>
      <c r="AA67" s="4872"/>
      <c r="AB67" s="4872"/>
      <c r="AC67" s="4872"/>
      <c r="AD67" s="4872"/>
      <c r="AE67" s="4872"/>
      <c r="AF67" s="4872"/>
      <c r="AG67" s="4872"/>
      <c r="AH67" s="4872"/>
      <c r="AI67" s="4872"/>
      <c r="AJ67" s="4872"/>
      <c r="AK67" s="4873"/>
    </row>
    <row r="68" spans="1:37" s="13" customFormat="1" ht="39.75" customHeight="1">
      <c r="A68" s="4871" t="s">
        <v>1230</v>
      </c>
      <c r="B68" s="4872"/>
      <c r="C68" s="4872"/>
      <c r="D68" s="4872"/>
      <c r="E68" s="4872"/>
      <c r="F68" s="4872"/>
      <c r="G68" s="4872"/>
      <c r="H68" s="4872"/>
      <c r="I68" s="4872"/>
      <c r="J68" s="4872"/>
      <c r="K68" s="4872"/>
      <c r="L68" s="4872"/>
      <c r="M68" s="4872"/>
      <c r="N68" s="4872"/>
      <c r="O68" s="4872"/>
      <c r="P68" s="4872"/>
      <c r="Q68" s="4872"/>
      <c r="R68" s="4872"/>
      <c r="S68" s="4872"/>
      <c r="T68" s="4872"/>
      <c r="U68" s="4872"/>
      <c r="V68" s="4872"/>
      <c r="W68" s="4872"/>
      <c r="X68" s="4872"/>
      <c r="Y68" s="4872"/>
      <c r="Z68" s="4872"/>
      <c r="AA68" s="4872"/>
      <c r="AB68" s="4872"/>
      <c r="AC68" s="4872"/>
      <c r="AD68" s="4872"/>
      <c r="AE68" s="4872"/>
      <c r="AF68" s="4872"/>
      <c r="AG68" s="4872"/>
      <c r="AH68" s="4872"/>
      <c r="AI68" s="4872"/>
      <c r="AJ68" s="4872"/>
      <c r="AK68" s="4873"/>
    </row>
    <row r="69" spans="1:37" s="13" customFormat="1" ht="15">
      <c r="A69" s="4865" t="s">
        <v>99</v>
      </c>
      <c r="B69" s="4866"/>
      <c r="C69" s="4866"/>
      <c r="D69" s="4866"/>
      <c r="E69" s="4866"/>
      <c r="F69" s="4866"/>
      <c r="G69" s="4866"/>
      <c r="H69" s="4866"/>
      <c r="I69" s="4866"/>
      <c r="J69" s="4866"/>
      <c r="K69" s="4866"/>
      <c r="L69" s="4866"/>
      <c r="M69" s="4866"/>
      <c r="N69" s="4866"/>
      <c r="O69" s="4866"/>
      <c r="P69" s="4866"/>
      <c r="Q69" s="4866"/>
      <c r="R69" s="4866"/>
      <c r="S69" s="4866"/>
      <c r="T69" s="4866"/>
      <c r="U69" s="4866"/>
      <c r="V69" s="4866"/>
      <c r="W69" s="4866"/>
      <c r="X69" s="4866"/>
      <c r="Y69" s="4866"/>
      <c r="Z69" s="4866"/>
      <c r="AA69" s="4866"/>
      <c r="AB69" s="4866"/>
      <c r="AC69" s="4866"/>
      <c r="AD69" s="4866"/>
      <c r="AE69" s="4866"/>
      <c r="AF69" s="4866"/>
      <c r="AG69" s="4866"/>
      <c r="AH69" s="4866"/>
      <c r="AI69" s="4866"/>
      <c r="AJ69" s="4866"/>
      <c r="AK69" s="4867"/>
    </row>
    <row r="70" spans="1:37" s="13" customFormat="1" ht="15">
      <c r="A70" s="4865" t="s">
        <v>98</v>
      </c>
      <c r="B70" s="4866"/>
      <c r="C70" s="4866"/>
      <c r="D70" s="4866"/>
      <c r="E70" s="4866"/>
      <c r="F70" s="4866"/>
      <c r="G70" s="4866"/>
      <c r="H70" s="4866"/>
      <c r="I70" s="4866"/>
      <c r="J70" s="4866"/>
      <c r="K70" s="4866"/>
      <c r="L70" s="4866"/>
      <c r="M70" s="4866"/>
      <c r="N70" s="4866"/>
      <c r="O70" s="4866"/>
      <c r="P70" s="4866"/>
      <c r="Q70" s="4866"/>
      <c r="R70" s="4866"/>
      <c r="S70" s="4866"/>
      <c r="T70" s="4866"/>
      <c r="U70" s="4866"/>
      <c r="V70" s="4866"/>
      <c r="W70" s="4866"/>
      <c r="X70" s="4866"/>
      <c r="Y70" s="4866"/>
      <c r="Z70" s="4866"/>
      <c r="AA70" s="4866"/>
      <c r="AB70" s="4866"/>
      <c r="AC70" s="4866"/>
      <c r="AD70" s="4866"/>
      <c r="AE70" s="4866"/>
      <c r="AF70" s="4866"/>
      <c r="AG70" s="4866"/>
      <c r="AH70" s="4866"/>
      <c r="AI70" s="4866"/>
      <c r="AJ70" s="4866"/>
      <c r="AK70" s="4867"/>
    </row>
    <row r="71" spans="1:37" s="13" customFormat="1" ht="15">
      <c r="A71" s="4865" t="s">
        <v>188</v>
      </c>
      <c r="B71" s="4866"/>
      <c r="C71" s="4866"/>
      <c r="D71" s="4866"/>
      <c r="E71" s="4866"/>
      <c r="F71" s="4866"/>
      <c r="G71" s="4866"/>
      <c r="H71" s="4866"/>
      <c r="I71" s="4866"/>
      <c r="J71" s="4866"/>
      <c r="K71" s="4866"/>
      <c r="L71" s="4866"/>
      <c r="M71" s="4866"/>
      <c r="N71" s="4866"/>
      <c r="O71" s="4866"/>
      <c r="P71" s="4866"/>
      <c r="Q71" s="4866"/>
      <c r="R71" s="4866"/>
      <c r="S71" s="4866"/>
      <c r="T71" s="4866"/>
      <c r="U71" s="4866"/>
      <c r="V71" s="4866"/>
      <c r="W71" s="4866"/>
      <c r="X71" s="4866"/>
      <c r="Y71" s="4866"/>
      <c r="Z71" s="4866"/>
      <c r="AA71" s="4866"/>
      <c r="AB71" s="4866"/>
      <c r="AC71" s="4866"/>
      <c r="AD71" s="4866"/>
      <c r="AE71" s="4866"/>
      <c r="AF71" s="4866"/>
      <c r="AG71" s="4866"/>
      <c r="AH71" s="4866"/>
      <c r="AI71" s="4866"/>
      <c r="AJ71" s="4866"/>
      <c r="AK71" s="4867"/>
    </row>
    <row r="72" spans="1:37" s="13" customFormat="1" ht="15.75" thickBot="1">
      <c r="A72" s="4868" t="s">
        <v>120</v>
      </c>
      <c r="B72" s="4869"/>
      <c r="C72" s="4869"/>
      <c r="D72" s="4869"/>
      <c r="E72" s="4869"/>
      <c r="F72" s="4869"/>
      <c r="G72" s="4869"/>
      <c r="H72" s="4869"/>
      <c r="I72" s="4869"/>
      <c r="J72" s="4869"/>
      <c r="K72" s="4869"/>
      <c r="L72" s="4869"/>
      <c r="M72" s="4869"/>
      <c r="N72" s="4869"/>
      <c r="O72" s="4869"/>
      <c r="P72" s="4869"/>
      <c r="Q72" s="4869"/>
      <c r="R72" s="4869"/>
      <c r="S72" s="4869"/>
      <c r="T72" s="4869"/>
      <c r="U72" s="4869"/>
      <c r="V72" s="4869"/>
      <c r="W72" s="4869"/>
      <c r="X72" s="4869"/>
      <c r="Y72" s="4869"/>
      <c r="Z72" s="4869"/>
      <c r="AA72" s="4869"/>
      <c r="AB72" s="4869"/>
      <c r="AC72" s="4869"/>
      <c r="AD72" s="4869"/>
      <c r="AE72" s="4869"/>
      <c r="AF72" s="4869"/>
      <c r="AG72" s="4869"/>
      <c r="AH72" s="4869"/>
      <c r="AI72" s="4869"/>
      <c r="AJ72" s="4869"/>
      <c r="AK72" s="4870"/>
    </row>
    <row r="73" spans="1:37" s="13" customFormat="1" ht="15.75">
      <c r="A73" s="1402"/>
      <c r="B73" s="1403"/>
      <c r="C73" s="1404"/>
      <c r="D73" s="1404"/>
      <c r="E73" s="1404"/>
      <c r="F73" s="1404"/>
      <c r="G73" s="1404"/>
      <c r="H73" s="1404"/>
      <c r="I73" s="1404"/>
      <c r="J73" s="1403"/>
      <c r="K73" s="1403"/>
      <c r="L73" s="1403"/>
      <c r="M73" s="1403"/>
      <c r="N73" s="1405"/>
      <c r="O73" s="1405"/>
      <c r="P73" s="1405"/>
      <c r="Q73" s="1405"/>
      <c r="R73" s="1405"/>
      <c r="S73" s="1405"/>
      <c r="T73" s="1405"/>
      <c r="U73" s="1405"/>
      <c r="V73" s="1405"/>
      <c r="W73" s="1405"/>
      <c r="X73" s="1405"/>
      <c r="Y73" s="1405"/>
      <c r="Z73" s="1405"/>
      <c r="AA73" s="1405"/>
      <c r="AB73" s="1405"/>
      <c r="AC73" s="1405"/>
      <c r="AD73" s="1405"/>
      <c r="AE73" s="1405"/>
      <c r="AF73" s="1405"/>
      <c r="AG73" s="1405"/>
      <c r="AH73" s="1405"/>
      <c r="AI73" s="1405"/>
      <c r="AJ73" s="1405"/>
      <c r="AK73" s="1405"/>
    </row>
  </sheetData>
  <sheetProtection password="E0BE" sheet="1" objects="1" scenarios="1"/>
  <mergeCells count="32">
    <mergeCell ref="AF5:AH5"/>
    <mergeCell ref="A69:AK69"/>
    <mergeCell ref="A70:AK70"/>
    <mergeCell ref="A71:AK71"/>
    <mergeCell ref="A72:AK72"/>
    <mergeCell ref="A61:L61"/>
    <mergeCell ref="A63:L63"/>
    <mergeCell ref="A65:AK65"/>
    <mergeCell ref="A66:AK66"/>
    <mergeCell ref="A67:AK67"/>
    <mergeCell ref="A68:AK68"/>
    <mergeCell ref="Q5:S5"/>
    <mergeCell ref="T5:V5"/>
    <mergeCell ref="W5:Y5"/>
    <mergeCell ref="Z5:AB5"/>
    <mergeCell ref="AC5:AE5"/>
    <mergeCell ref="A6:AK6"/>
    <mergeCell ref="A28:AK28"/>
    <mergeCell ref="A46:AK46"/>
    <mergeCell ref="A1:AK1"/>
    <mergeCell ref="A2:AK2"/>
    <mergeCell ref="B3:M4"/>
    <mergeCell ref="N3:Y3"/>
    <mergeCell ref="Z3:AK3"/>
    <mergeCell ref="N4:Y4"/>
    <mergeCell ref="Z4:AK4"/>
    <mergeCell ref="AI5:AK5"/>
    <mergeCell ref="B5:D5"/>
    <mergeCell ref="E5:G5"/>
    <mergeCell ref="H5:J5"/>
    <mergeCell ref="K5:M5"/>
    <mergeCell ref="N5:P5"/>
  </mergeCells>
  <printOptions horizontalCentered="1" gridLines="1"/>
  <pageMargins left="0.7" right="0.7" top="0.75" bottom="0.75" header="0.3" footer="0.3"/>
  <pageSetup scale="54" orientation="landscape" r:id="rId1"/>
  <headerFooter>
    <oddFooter>&amp;L&amp;A&amp;C&amp;F&amp;R&amp;D</oddFooter>
  </headerFooter>
</worksheet>
</file>

<file path=xl/worksheets/sheet27.xml><?xml version="1.0" encoding="utf-8"?>
<worksheet xmlns="http://schemas.openxmlformats.org/spreadsheetml/2006/main" xmlns:r="http://schemas.openxmlformats.org/officeDocument/2006/relationships">
  <dimension ref="A1:CS69"/>
  <sheetViews>
    <sheetView topLeftCell="A5" zoomScale="75" zoomScaleNormal="75" workbookViewId="0">
      <selection activeCell="CI19" sqref="CI19"/>
    </sheetView>
  </sheetViews>
  <sheetFormatPr defaultRowHeight="12.75"/>
  <cols>
    <col min="1" max="1" width="28.140625" customWidth="1"/>
    <col min="2" max="2" width="13.28515625" style="1" customWidth="1"/>
    <col min="3" max="3" width="2.5703125" style="1" customWidth="1"/>
    <col min="4" max="4" width="13.5703125" style="1" customWidth="1"/>
    <col min="5" max="5" width="2.7109375" style="1" customWidth="1"/>
    <col min="6" max="6" width="14.28515625" style="1" customWidth="1"/>
    <col min="7" max="7" width="2.7109375" style="1" customWidth="1"/>
    <col min="8" max="8" width="14.5703125" style="1" customWidth="1"/>
    <col min="9" max="9" width="2.7109375" style="1" customWidth="1"/>
    <col min="10" max="10" width="13.28515625" customWidth="1"/>
    <col min="11" max="11" width="2.7109375" style="1" customWidth="1"/>
    <col min="12" max="12" width="14.140625" customWidth="1"/>
    <col min="13" max="13" width="2.7109375" style="1" customWidth="1"/>
    <col min="14" max="14" width="13.42578125" customWidth="1"/>
    <col min="15" max="15" width="2.7109375" style="1" customWidth="1"/>
    <col min="16" max="16" width="13.28515625" customWidth="1"/>
    <col min="17" max="17" width="2.7109375" style="1" customWidth="1"/>
    <col min="18" max="18" width="13.7109375" customWidth="1"/>
    <col min="19" max="19" width="2.7109375" style="1" customWidth="1"/>
    <col min="20" max="20" width="14.140625" customWidth="1"/>
    <col min="21" max="21" width="2.7109375" style="1" customWidth="1"/>
    <col min="22" max="22" width="13.7109375" customWidth="1"/>
    <col min="23" max="23" width="2.7109375" style="1" customWidth="1"/>
    <col min="24" max="24" width="13.42578125" customWidth="1"/>
    <col min="25" max="25" width="2.7109375" style="1" customWidth="1"/>
    <col min="26" max="26" width="14.28515625" customWidth="1"/>
    <col min="27" max="27" width="2.7109375" style="1" customWidth="1"/>
    <col min="28" max="28" width="13.7109375" customWidth="1"/>
    <col min="29" max="29" width="2.7109375" style="1" customWidth="1"/>
    <col min="30" max="30" width="13.42578125" customWidth="1"/>
    <col min="31" max="31" width="2.7109375" style="1" customWidth="1"/>
    <col min="32" max="32" width="13.7109375" customWidth="1"/>
    <col min="33" max="33" width="2.7109375" style="1" customWidth="1"/>
    <col min="34" max="34" width="13.140625" customWidth="1"/>
    <col min="35" max="35" width="2.7109375" style="1" customWidth="1"/>
    <col min="36" max="36" width="13.42578125" customWidth="1"/>
    <col min="37" max="37" width="2.7109375" style="1" customWidth="1"/>
    <col min="38" max="38" width="14" customWidth="1"/>
    <col min="39" max="39" width="2.7109375" style="1" customWidth="1"/>
    <col min="40" max="40" width="13.5703125" customWidth="1"/>
    <col min="41" max="41" width="2.7109375" style="1" customWidth="1"/>
    <col min="42" max="42" width="11.85546875" customWidth="1"/>
    <col min="43" max="43" width="2.7109375" customWidth="1"/>
    <col min="44" max="44" width="11.85546875" customWidth="1"/>
    <col min="45" max="45" width="2.7109375" customWidth="1"/>
    <col min="46" max="46" width="11.85546875" customWidth="1"/>
    <col min="47" max="47" width="2.7109375" customWidth="1"/>
    <col min="48" max="48" width="11.85546875" customWidth="1"/>
    <col min="49" max="49" width="2.7109375" customWidth="1"/>
    <col min="50" max="50" width="11.85546875" customWidth="1"/>
    <col min="51" max="51" width="2.7109375" customWidth="1"/>
    <col min="52" max="52" width="11.85546875" customWidth="1"/>
    <col min="53" max="53" width="2.7109375" customWidth="1"/>
    <col min="54" max="54" width="11.85546875" customWidth="1"/>
    <col min="55" max="55" width="2.7109375" customWidth="1"/>
    <col min="56" max="56" width="11.85546875" customWidth="1"/>
    <col min="57" max="57" width="2.7109375" customWidth="1"/>
    <col min="58" max="58" width="11.85546875" customWidth="1"/>
    <col min="59" max="59" width="2.7109375" customWidth="1"/>
    <col min="60" max="60" width="11.85546875" customWidth="1"/>
    <col min="61" max="61" width="2.7109375" customWidth="1"/>
    <col min="62" max="62" width="11.85546875" customWidth="1"/>
    <col min="63" max="63" width="2.7109375" customWidth="1"/>
    <col min="64" max="64" width="11.85546875" customWidth="1"/>
    <col min="65" max="65" width="2.7109375" customWidth="1"/>
    <col min="66" max="66" width="11.85546875" customWidth="1"/>
    <col min="67" max="67" width="2.7109375" customWidth="1"/>
    <col min="68" max="68" width="11.85546875" customWidth="1"/>
    <col min="69" max="69" width="2.7109375" customWidth="1"/>
    <col min="70" max="70" width="11.85546875" customWidth="1"/>
    <col min="71" max="71" width="2.7109375" customWidth="1"/>
    <col min="72" max="72" width="11.85546875" customWidth="1"/>
    <col min="73" max="73" width="2.7109375" customWidth="1"/>
    <col min="74" max="74" width="11.85546875" customWidth="1"/>
    <col min="75" max="75" width="2.7109375" customWidth="1"/>
    <col min="76" max="76" width="11.85546875" customWidth="1"/>
    <col min="77" max="77" width="2.7109375" customWidth="1"/>
    <col min="78" max="78" width="11.85546875" customWidth="1"/>
    <col min="79" max="79" width="2.7109375" customWidth="1"/>
    <col min="80" max="80" width="11.85546875" customWidth="1"/>
    <col min="81" max="81" width="2.7109375" customWidth="1"/>
  </cols>
  <sheetData>
    <row r="1" spans="1:9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2"/>
      <c r="AL1" s="4692"/>
      <c r="AM1" s="4692"/>
      <c r="AN1" s="4692"/>
      <c r="AO1" s="4692"/>
      <c r="AP1" s="4692"/>
      <c r="AQ1" s="4692"/>
      <c r="AR1" s="4692"/>
      <c r="AS1" s="4692"/>
      <c r="AT1" s="4692"/>
      <c r="AU1" s="4692"/>
      <c r="AV1" s="4692"/>
      <c r="AW1" s="4692"/>
      <c r="AX1" s="4692"/>
      <c r="AY1" s="4692"/>
      <c r="AZ1" s="4692"/>
      <c r="BA1" s="4692"/>
      <c r="BB1" s="4692"/>
      <c r="BC1" s="4692"/>
      <c r="BD1" s="4692"/>
      <c r="BE1" s="4692"/>
      <c r="BF1" s="4692"/>
      <c r="BG1" s="4692"/>
      <c r="BH1" s="4692"/>
      <c r="BI1" s="4692"/>
      <c r="BJ1" s="4692"/>
      <c r="BK1" s="4692"/>
      <c r="BL1" s="4692"/>
      <c r="BM1" s="4692"/>
      <c r="BN1" s="4692"/>
      <c r="BO1" s="4692"/>
      <c r="BP1" s="4692"/>
      <c r="BQ1" s="4692"/>
      <c r="BR1" s="4692"/>
      <c r="BS1" s="4692"/>
      <c r="BT1" s="4692"/>
      <c r="BU1" s="4692"/>
      <c r="BV1" s="4692"/>
      <c r="BW1" s="4692"/>
      <c r="BX1" s="4692"/>
      <c r="BY1" s="4692"/>
      <c r="BZ1" s="4692"/>
      <c r="CA1" s="4692"/>
      <c r="CB1" s="4692"/>
      <c r="CC1" s="4693"/>
      <c r="CD1" s="1706"/>
      <c r="CE1" s="1706"/>
      <c r="CF1" s="1706"/>
      <c r="CG1" s="1706"/>
      <c r="CH1" s="1706"/>
      <c r="CI1" s="1706"/>
      <c r="CJ1" s="1706"/>
      <c r="CK1" s="1706"/>
      <c r="CL1" s="1706"/>
      <c r="CM1" s="1706"/>
      <c r="CN1" s="1706"/>
      <c r="CO1" s="1706"/>
      <c r="CP1" s="1706"/>
      <c r="CQ1" s="1706"/>
      <c r="CR1" s="1706"/>
      <c r="CS1" s="103"/>
    </row>
    <row r="2" spans="1:97" s="3" customFormat="1" ht="30" customHeight="1">
      <c r="A2" s="3967" t="s">
        <v>1266</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8"/>
      <c r="AD2" s="3968"/>
      <c r="AE2" s="3968"/>
      <c r="AF2" s="3968"/>
      <c r="AG2" s="3968"/>
      <c r="AH2" s="3968"/>
      <c r="AI2" s="3968"/>
      <c r="AJ2" s="3968"/>
      <c r="AK2" s="3968"/>
      <c r="AL2" s="3968"/>
      <c r="AM2" s="3968"/>
      <c r="AN2" s="3968"/>
      <c r="AO2" s="3968"/>
      <c r="AP2" s="3968"/>
      <c r="AQ2" s="3968"/>
      <c r="AR2" s="3968"/>
      <c r="AS2" s="3968"/>
      <c r="AT2" s="3968"/>
      <c r="AU2" s="3968"/>
      <c r="AV2" s="3968"/>
      <c r="AW2" s="3968"/>
      <c r="AX2" s="3968"/>
      <c r="AY2" s="3968"/>
      <c r="AZ2" s="3968"/>
      <c r="BA2" s="3968"/>
      <c r="BB2" s="3968"/>
      <c r="BC2" s="3968"/>
      <c r="BD2" s="3968"/>
      <c r="BE2" s="3968"/>
      <c r="BF2" s="3968"/>
      <c r="BG2" s="3968"/>
      <c r="BH2" s="3968"/>
      <c r="BI2" s="3968"/>
      <c r="BJ2" s="3968"/>
      <c r="BK2" s="3968"/>
      <c r="BL2" s="3968"/>
      <c r="BM2" s="3968"/>
      <c r="BN2" s="3968"/>
      <c r="BO2" s="3968"/>
      <c r="BP2" s="3968"/>
      <c r="BQ2" s="3968"/>
      <c r="BR2" s="3968"/>
      <c r="BS2" s="3968"/>
      <c r="BT2" s="3968"/>
      <c r="BU2" s="3968"/>
      <c r="BV2" s="3968"/>
      <c r="BW2" s="3968"/>
      <c r="BX2" s="3968"/>
      <c r="BY2" s="3968"/>
      <c r="BZ2" s="3968"/>
      <c r="CA2" s="3968"/>
      <c r="CB2" s="3968"/>
      <c r="CC2" s="3969"/>
    </row>
    <row r="3" spans="1:97" ht="18">
      <c r="A3" s="1183"/>
      <c r="B3" s="4915" t="str">
        <f>'Chosen Parameters-Part I'!B4</f>
        <v>Scenario 1</v>
      </c>
      <c r="C3" s="4916"/>
      <c r="D3" s="4916"/>
      <c r="E3" s="4916"/>
      <c r="F3" s="4916"/>
      <c r="G3" s="4916"/>
      <c r="H3" s="4916"/>
      <c r="I3" s="4916"/>
      <c r="J3" s="4916"/>
      <c r="K3" s="4916"/>
      <c r="L3" s="4916"/>
      <c r="M3" s="4916"/>
      <c r="N3" s="4916"/>
      <c r="O3" s="4916"/>
      <c r="P3" s="4916"/>
      <c r="Q3" s="4916"/>
      <c r="R3" s="4916"/>
      <c r="S3" s="4916"/>
      <c r="T3" s="4916"/>
      <c r="U3" s="4916"/>
      <c r="V3" s="4916"/>
      <c r="W3" s="4916"/>
      <c r="X3" s="4916"/>
      <c r="Y3" s="4916"/>
      <c r="Z3" s="4916"/>
      <c r="AA3" s="4916"/>
      <c r="AB3" s="4916"/>
      <c r="AC3" s="4916"/>
      <c r="AD3" s="4916"/>
      <c r="AE3" s="4916"/>
      <c r="AF3" s="4916"/>
      <c r="AG3" s="4916"/>
      <c r="AH3" s="4916"/>
      <c r="AI3" s="4916"/>
      <c r="AJ3" s="4916"/>
      <c r="AK3" s="4916"/>
      <c r="AL3" s="4916"/>
      <c r="AM3" s="4916"/>
      <c r="AN3" s="4916"/>
      <c r="AO3" s="4917"/>
      <c r="AP3" s="4924" t="str">
        <f>'Chosen Parameters-Part I'!C4</f>
        <v>Scenario 2</v>
      </c>
      <c r="AQ3" s="4925"/>
      <c r="AR3" s="4925"/>
      <c r="AS3" s="4925"/>
      <c r="AT3" s="4925"/>
      <c r="AU3" s="4925"/>
      <c r="AV3" s="4925"/>
      <c r="AW3" s="4925"/>
      <c r="AX3" s="4925"/>
      <c r="AY3" s="4925"/>
      <c r="AZ3" s="4925"/>
      <c r="BA3" s="4925"/>
      <c r="BB3" s="4925"/>
      <c r="BC3" s="4925"/>
      <c r="BD3" s="4925"/>
      <c r="BE3" s="4925"/>
      <c r="BF3" s="4925"/>
      <c r="BG3" s="4925"/>
      <c r="BH3" s="4925"/>
      <c r="BI3" s="4925"/>
      <c r="BJ3" s="4925"/>
      <c r="BK3" s="4925"/>
      <c r="BL3" s="4925"/>
      <c r="BM3" s="4925"/>
      <c r="BN3" s="4925"/>
      <c r="BO3" s="4925"/>
      <c r="BP3" s="4925"/>
      <c r="BQ3" s="4925"/>
      <c r="BR3" s="4925"/>
      <c r="BS3" s="4925"/>
      <c r="BT3" s="4925"/>
      <c r="BU3" s="4925"/>
      <c r="BV3" s="4925"/>
      <c r="BW3" s="4925"/>
      <c r="BX3" s="4925"/>
      <c r="BY3" s="4925"/>
      <c r="BZ3" s="4925"/>
      <c r="CA3" s="4925"/>
      <c r="CB3" s="4925"/>
      <c r="CC3" s="4926"/>
    </row>
    <row r="4" spans="1:97" ht="18">
      <c r="A4" s="1184"/>
      <c r="B4" s="4918" t="str">
        <f>'Step 1 -- Herd Profile'!B4:L4</f>
        <v>Intensive Conventional Management with Holsteins and rbST</v>
      </c>
      <c r="C4" s="4919"/>
      <c r="D4" s="4919"/>
      <c r="E4" s="4919"/>
      <c r="F4" s="4919"/>
      <c r="G4" s="4919"/>
      <c r="H4" s="4919"/>
      <c r="I4" s="4919"/>
      <c r="J4" s="4919"/>
      <c r="K4" s="4919"/>
      <c r="L4" s="4919"/>
      <c r="M4" s="4919"/>
      <c r="N4" s="4919"/>
      <c r="O4" s="4919"/>
      <c r="P4" s="4919"/>
      <c r="Q4" s="4919"/>
      <c r="R4" s="4919"/>
      <c r="S4" s="4919"/>
      <c r="T4" s="4919"/>
      <c r="U4" s="4919"/>
      <c r="V4" s="4919"/>
      <c r="W4" s="4919"/>
      <c r="X4" s="4919"/>
      <c r="Y4" s="4919"/>
      <c r="Z4" s="4919"/>
      <c r="AA4" s="4919"/>
      <c r="AB4" s="4919"/>
      <c r="AC4" s="4919"/>
      <c r="AD4" s="4919"/>
      <c r="AE4" s="4919"/>
      <c r="AF4" s="4919"/>
      <c r="AG4" s="4919"/>
      <c r="AH4" s="4919"/>
      <c r="AI4" s="4919"/>
      <c r="AJ4" s="4919"/>
      <c r="AK4" s="4919"/>
      <c r="AL4" s="4919"/>
      <c r="AM4" s="4919"/>
      <c r="AN4" s="4919"/>
      <c r="AO4" s="4920"/>
      <c r="AP4" s="4921" t="str">
        <f>'Step 1 -- Herd Profile'!M4</f>
        <v>Conventional Management, Holsteins</v>
      </c>
      <c r="AQ4" s="4922"/>
      <c r="AR4" s="4922"/>
      <c r="AS4" s="4922"/>
      <c r="AT4" s="4922"/>
      <c r="AU4" s="4922"/>
      <c r="AV4" s="4922"/>
      <c r="AW4" s="4922"/>
      <c r="AX4" s="4922"/>
      <c r="AY4" s="4922"/>
      <c r="AZ4" s="4922"/>
      <c r="BA4" s="4922"/>
      <c r="BB4" s="4922"/>
      <c r="BC4" s="4922"/>
      <c r="BD4" s="4922"/>
      <c r="BE4" s="4922"/>
      <c r="BF4" s="4922"/>
      <c r="BG4" s="4922"/>
      <c r="BH4" s="4922"/>
      <c r="BI4" s="4922"/>
      <c r="BJ4" s="4922"/>
      <c r="BK4" s="4922"/>
      <c r="BL4" s="4922"/>
      <c r="BM4" s="4922"/>
      <c r="BN4" s="4922"/>
      <c r="BO4" s="4922"/>
      <c r="BP4" s="4922"/>
      <c r="BQ4" s="4922"/>
      <c r="BR4" s="4922"/>
      <c r="BS4" s="4922"/>
      <c r="BT4" s="4922"/>
      <c r="BU4" s="4922"/>
      <c r="BV4" s="4922"/>
      <c r="BW4" s="4922"/>
      <c r="BX4" s="4922"/>
      <c r="BY4" s="4922"/>
      <c r="BZ4" s="4922"/>
      <c r="CA4" s="4922"/>
      <c r="CB4" s="4922"/>
      <c r="CC4" s="4923"/>
    </row>
    <row r="5" spans="1:97" s="1701" customFormat="1" ht="15.75">
      <c r="A5" s="1715"/>
      <c r="B5" s="4911" t="s">
        <v>1499</v>
      </c>
      <c r="C5" s="4912"/>
      <c r="D5" s="4912"/>
      <c r="E5" s="4912"/>
      <c r="F5" s="4912"/>
      <c r="G5" s="4912"/>
      <c r="H5" s="4912"/>
      <c r="I5" s="4913"/>
      <c r="J5" s="4914" t="s">
        <v>48</v>
      </c>
      <c r="K5" s="4912"/>
      <c r="L5" s="4912"/>
      <c r="M5" s="4912"/>
      <c r="N5" s="4912"/>
      <c r="O5" s="4912"/>
      <c r="P5" s="4912"/>
      <c r="Q5" s="4913"/>
      <c r="R5" s="4914" t="s">
        <v>51</v>
      </c>
      <c r="S5" s="4912"/>
      <c r="T5" s="4912"/>
      <c r="U5" s="4912"/>
      <c r="V5" s="4912"/>
      <c r="W5" s="4912"/>
      <c r="X5" s="4912"/>
      <c r="Y5" s="4913"/>
      <c r="Z5" s="4914" t="s">
        <v>199</v>
      </c>
      <c r="AA5" s="4912"/>
      <c r="AB5" s="4912"/>
      <c r="AC5" s="4912"/>
      <c r="AD5" s="4912"/>
      <c r="AE5" s="4912"/>
      <c r="AF5" s="4912"/>
      <c r="AG5" s="4913"/>
      <c r="AH5" s="4914" t="s">
        <v>710</v>
      </c>
      <c r="AI5" s="4912"/>
      <c r="AJ5" s="4912"/>
      <c r="AK5" s="4912"/>
      <c r="AL5" s="4912"/>
      <c r="AM5" s="4912"/>
      <c r="AN5" s="4912"/>
      <c r="AO5" s="4931"/>
      <c r="AP5" s="4930" t="s">
        <v>1499</v>
      </c>
      <c r="AQ5" s="4928"/>
      <c r="AR5" s="4928"/>
      <c r="AS5" s="4928"/>
      <c r="AT5" s="4928"/>
      <c r="AU5" s="4928"/>
      <c r="AV5" s="4928"/>
      <c r="AW5" s="4929"/>
      <c r="AX5" s="4927" t="s">
        <v>48</v>
      </c>
      <c r="AY5" s="4928"/>
      <c r="AZ5" s="4928"/>
      <c r="BA5" s="4928"/>
      <c r="BB5" s="4928"/>
      <c r="BC5" s="4928"/>
      <c r="BD5" s="4928"/>
      <c r="BE5" s="4929"/>
      <c r="BF5" s="4927" t="s">
        <v>51</v>
      </c>
      <c r="BG5" s="4928"/>
      <c r="BH5" s="4928"/>
      <c r="BI5" s="4928"/>
      <c r="BJ5" s="4928"/>
      <c r="BK5" s="4928"/>
      <c r="BL5" s="4928"/>
      <c r="BM5" s="4929"/>
      <c r="BN5" s="4927" t="s">
        <v>199</v>
      </c>
      <c r="BO5" s="4928"/>
      <c r="BP5" s="4928"/>
      <c r="BQ5" s="4928"/>
      <c r="BR5" s="4928"/>
      <c r="BS5" s="4928"/>
      <c r="BT5" s="4928"/>
      <c r="BU5" s="4929"/>
      <c r="BV5" s="4927" t="s">
        <v>710</v>
      </c>
      <c r="BW5" s="4928"/>
      <c r="BX5" s="4928"/>
      <c r="BY5" s="4928"/>
      <c r="BZ5" s="4928"/>
      <c r="CA5" s="4928"/>
      <c r="CB5" s="4928"/>
      <c r="CC5" s="4933"/>
    </row>
    <row r="6" spans="1:97" s="1717" customFormat="1" ht="45" customHeight="1">
      <c r="A6" s="3127"/>
      <c r="B6" s="4937" t="s">
        <v>524</v>
      </c>
      <c r="C6" s="4355"/>
      <c r="D6" s="4355" t="s">
        <v>523</v>
      </c>
      <c r="E6" s="4355"/>
      <c r="F6" s="4355" t="s">
        <v>525</v>
      </c>
      <c r="G6" s="4355"/>
      <c r="H6" s="4355" t="s">
        <v>526</v>
      </c>
      <c r="I6" s="4935"/>
      <c r="J6" s="4354" t="s">
        <v>524</v>
      </c>
      <c r="K6" s="4355"/>
      <c r="L6" s="4355" t="s">
        <v>523</v>
      </c>
      <c r="M6" s="4355"/>
      <c r="N6" s="4355" t="s">
        <v>525</v>
      </c>
      <c r="O6" s="4355"/>
      <c r="P6" s="4355" t="s">
        <v>526</v>
      </c>
      <c r="Q6" s="4935"/>
      <c r="R6" s="4354" t="s">
        <v>524</v>
      </c>
      <c r="S6" s="4355"/>
      <c r="T6" s="4355" t="s">
        <v>523</v>
      </c>
      <c r="U6" s="4355"/>
      <c r="V6" s="4355" t="s">
        <v>525</v>
      </c>
      <c r="W6" s="4355"/>
      <c r="X6" s="4355" t="s">
        <v>526</v>
      </c>
      <c r="Y6" s="4935"/>
      <c r="Z6" s="4354" t="s">
        <v>524</v>
      </c>
      <c r="AA6" s="4355"/>
      <c r="AB6" s="4355" t="s">
        <v>523</v>
      </c>
      <c r="AC6" s="4355"/>
      <c r="AD6" s="4355" t="s">
        <v>525</v>
      </c>
      <c r="AE6" s="4355"/>
      <c r="AF6" s="4355" t="s">
        <v>526</v>
      </c>
      <c r="AG6" s="4935"/>
      <c r="AH6" s="4354" t="s">
        <v>524</v>
      </c>
      <c r="AI6" s="4355"/>
      <c r="AJ6" s="4355" t="s">
        <v>523</v>
      </c>
      <c r="AK6" s="4355"/>
      <c r="AL6" s="4355" t="s">
        <v>525</v>
      </c>
      <c r="AM6" s="4355"/>
      <c r="AN6" s="4355" t="s">
        <v>526</v>
      </c>
      <c r="AO6" s="4356"/>
      <c r="AP6" s="4936" t="s">
        <v>524</v>
      </c>
      <c r="AQ6" s="4373"/>
      <c r="AR6" s="4373" t="s">
        <v>523</v>
      </c>
      <c r="AS6" s="4373"/>
      <c r="AT6" s="4373" t="s">
        <v>525</v>
      </c>
      <c r="AU6" s="4373"/>
      <c r="AV6" s="4373" t="s">
        <v>526</v>
      </c>
      <c r="AW6" s="4934"/>
      <c r="AX6" s="4372" t="s">
        <v>524</v>
      </c>
      <c r="AY6" s="4373"/>
      <c r="AZ6" s="4373" t="s">
        <v>523</v>
      </c>
      <c r="BA6" s="4373"/>
      <c r="BB6" s="4373" t="s">
        <v>525</v>
      </c>
      <c r="BC6" s="4373"/>
      <c r="BD6" s="4373" t="s">
        <v>526</v>
      </c>
      <c r="BE6" s="4934"/>
      <c r="BF6" s="4372" t="s">
        <v>524</v>
      </c>
      <c r="BG6" s="4373"/>
      <c r="BH6" s="4373" t="s">
        <v>523</v>
      </c>
      <c r="BI6" s="4373"/>
      <c r="BJ6" s="4373" t="s">
        <v>525</v>
      </c>
      <c r="BK6" s="4373"/>
      <c r="BL6" s="4373" t="s">
        <v>526</v>
      </c>
      <c r="BM6" s="4934"/>
      <c r="BN6" s="4372" t="s">
        <v>524</v>
      </c>
      <c r="BO6" s="4373"/>
      <c r="BP6" s="4373" t="s">
        <v>523</v>
      </c>
      <c r="BQ6" s="4373"/>
      <c r="BR6" s="4373" t="s">
        <v>525</v>
      </c>
      <c r="BS6" s="4373"/>
      <c r="BT6" s="4373" t="s">
        <v>526</v>
      </c>
      <c r="BU6" s="4934"/>
      <c r="BV6" s="4372" t="s">
        <v>524</v>
      </c>
      <c r="BW6" s="4373"/>
      <c r="BX6" s="4373" t="s">
        <v>523</v>
      </c>
      <c r="BY6" s="4373"/>
      <c r="BZ6" s="4373" t="s">
        <v>525</v>
      </c>
      <c r="CA6" s="4373"/>
      <c r="CB6" s="4373" t="s">
        <v>526</v>
      </c>
      <c r="CC6" s="4932"/>
      <c r="CD6" s="1716"/>
    </row>
    <row r="7" spans="1:97" ht="21.75" customHeight="1">
      <c r="A7" s="4031" t="s">
        <v>1475</v>
      </c>
      <c r="B7" s="4032"/>
      <c r="C7" s="4032"/>
      <c r="D7" s="4032"/>
      <c r="E7" s="4032"/>
      <c r="F7" s="4032"/>
      <c r="G7" s="4032"/>
      <c r="H7" s="4032"/>
      <c r="I7" s="4032"/>
      <c r="J7" s="4032"/>
      <c r="K7" s="4032"/>
      <c r="L7" s="4032"/>
      <c r="M7" s="4032"/>
      <c r="N7" s="4032"/>
      <c r="O7" s="4032"/>
      <c r="P7" s="4032"/>
      <c r="Q7" s="4032"/>
      <c r="R7" s="4032"/>
      <c r="S7" s="4032"/>
      <c r="T7" s="4032"/>
      <c r="U7" s="4032"/>
      <c r="V7" s="4032"/>
      <c r="W7" s="4032"/>
      <c r="X7" s="4032"/>
      <c r="Y7" s="4032"/>
      <c r="Z7" s="4032"/>
      <c r="AA7" s="4032"/>
      <c r="AB7" s="4032"/>
      <c r="AC7" s="4032"/>
      <c r="AD7" s="4032"/>
      <c r="AE7" s="4032"/>
      <c r="AF7" s="4032"/>
      <c r="AG7" s="4032"/>
      <c r="AH7" s="4032"/>
      <c r="AI7" s="4032"/>
      <c r="AJ7" s="4032"/>
      <c r="AK7" s="4032"/>
      <c r="AL7" s="4032"/>
      <c r="AM7" s="4032"/>
      <c r="AN7" s="4032"/>
      <c r="AO7" s="4032"/>
      <c r="AP7" s="4032"/>
      <c r="AQ7" s="4032"/>
      <c r="AR7" s="4032"/>
      <c r="AS7" s="4032"/>
      <c r="AT7" s="4032"/>
      <c r="AU7" s="4032"/>
      <c r="AV7" s="4032"/>
      <c r="AW7" s="4032"/>
      <c r="AX7" s="4032"/>
      <c r="AY7" s="4032"/>
      <c r="AZ7" s="4032"/>
      <c r="BA7" s="4032"/>
      <c r="BB7" s="4032"/>
      <c r="BC7" s="4032"/>
      <c r="BD7" s="4032"/>
      <c r="BE7" s="4032"/>
      <c r="BF7" s="4032"/>
      <c r="BG7" s="4032"/>
      <c r="BH7" s="4032"/>
      <c r="BI7" s="4032"/>
      <c r="BJ7" s="4032"/>
      <c r="BK7" s="4032"/>
      <c r="BL7" s="4032"/>
      <c r="BM7" s="4032"/>
      <c r="BN7" s="4032"/>
      <c r="BO7" s="4032"/>
      <c r="BP7" s="4032"/>
      <c r="BQ7" s="4032"/>
      <c r="BR7" s="4032"/>
      <c r="BS7" s="4032"/>
      <c r="BT7" s="4032"/>
      <c r="BU7" s="4032"/>
      <c r="BV7" s="4032"/>
      <c r="BW7" s="4032"/>
      <c r="BX7" s="4032"/>
      <c r="BY7" s="4032"/>
      <c r="BZ7" s="4032"/>
      <c r="CA7" s="4032"/>
      <c r="CB7" s="4032"/>
      <c r="CC7" s="4033"/>
    </row>
    <row r="8" spans="1:97" ht="14.25">
      <c r="A8" s="1224" t="s">
        <v>28</v>
      </c>
      <c r="B8" s="1712">
        <f>IFERROR('Step 10a--Required Acres'!D7/'Step 7a--Feedstuff Required'!$E8*'Step 7a--Feedstuff Required'!$Q8/'Step 7a--Feedstuff Required'!$N8,0)</f>
        <v>2.7174133708351791E-3</v>
      </c>
      <c r="C8" s="1531"/>
      <c r="D8" s="1531">
        <f>IF(Options!$AE$24=TRUE,0,B8*'Step 11a--Inputs'!$C8)</f>
        <v>2.7174133708351791E-11</v>
      </c>
      <c r="E8" s="1531"/>
      <c r="F8" s="1531">
        <f>IF(Options!$AE$24=TRUE,0,B8*'Step 11a--Inputs'!$F8)</f>
        <v>8.1522401125055368E-4</v>
      </c>
      <c r="G8" s="1531"/>
      <c r="H8" s="1531">
        <f>IF(Options!$AE$24=TRUE,0,B8*'Step 11a--Inputs'!$I8)</f>
        <v>5.4348267416703586E-4</v>
      </c>
      <c r="I8" s="1532"/>
      <c r="J8" s="1533">
        <f>IFERROR('Step 9a--Daily DMI Rations'!F12/'Step 7a--Feedstuff Required'!$E8*'Step 7a--Feedstuff Required'!$Q8/'Step 7a--Feedstuff Required'!$N8,0)</f>
        <v>1.3653580246913584E-3</v>
      </c>
      <c r="K8" s="1531"/>
      <c r="L8" s="1531">
        <f>IF(Options!$AE$24=TRUE,0,J8*'Step 11a--Inputs'!$C8)</f>
        <v>1.3653580246913585E-11</v>
      </c>
      <c r="M8" s="1531"/>
      <c r="N8" s="1531">
        <f>IF(Options!$AE$24=TRUE,0,J8*'Step 11a--Inputs'!$F8)</f>
        <v>4.0960740740740754E-4</v>
      </c>
      <c r="O8" s="1531"/>
      <c r="P8" s="1531">
        <f>IF(Options!$AE$24=TRUE,0,J8*'Step 11a--Inputs'!$I8)</f>
        <v>2.7307160493827168E-4</v>
      </c>
      <c r="Q8" s="1532"/>
      <c r="R8" s="1533">
        <f>IFERROR('Step 9a--Daily DMI Rations'!L12/'Step 7a--Feedstuff Required'!$E8*'Step 7a--Feedstuff Required'!$Q8/'Step 7a--Feedstuff Required'!$N8,0)</f>
        <v>2.1946901108908483E-4</v>
      </c>
      <c r="S8" s="1531"/>
      <c r="T8" s="1531">
        <f>IF(Options!$AE$24=TRUE,0,R8*'Step 11a--Inputs'!$C8)</f>
        <v>2.1946901108908484E-12</v>
      </c>
      <c r="U8" s="1531"/>
      <c r="V8" s="1531">
        <f>IF(Options!$AE$24=TRUE,0,R8*'Step 11a--Inputs'!$F8)</f>
        <v>6.5840703326725452E-5</v>
      </c>
      <c r="W8" s="1531"/>
      <c r="X8" s="1531">
        <f>IF(Options!$AE$24=TRUE,0,R8*'Step 11a--Inputs'!$I8)</f>
        <v>4.3893802217816971E-5</v>
      </c>
      <c r="Y8" s="1532"/>
      <c r="Z8" s="1533">
        <f>IFERROR('Step 9a--Daily DMI Rations'!R12/'Step 7a--Feedstuff Required'!$E8*'Step 7a--Feedstuff Required'!$Q8/'Step 7a--Feedstuff Required'!$N8,0)</f>
        <v>8.0162508399930993E-4</v>
      </c>
      <c r="AA8" s="1531"/>
      <c r="AB8" s="1531">
        <f>IF(Options!$AE$24=TRUE,0,Z8*'Step 11a--Inputs'!$C8)</f>
        <v>8.0162508399930993E-12</v>
      </c>
      <c r="AC8" s="1531"/>
      <c r="AD8" s="1531">
        <f>IF(Options!$AE$24=TRUE,0,Z8*'Step 11a--Inputs'!$F8)</f>
        <v>2.4048752519979297E-4</v>
      </c>
      <c r="AE8" s="1531"/>
      <c r="AF8" s="1531">
        <f>IF(Options!$AE$24=TRUE,0,Z8*'Step 11a--Inputs'!$I8)</f>
        <v>1.6032501679986199E-4</v>
      </c>
      <c r="AG8" s="1532"/>
      <c r="AH8" s="1533">
        <f>IFERROR('Step 9a--Daily DMI Rations'!X12/'Step 7a--Feedstuff Required'!$E8*'Step 7a--Feedstuff Required'!$Q8/'Step 7a--Feedstuff Required'!$N8,0)</f>
        <v>3.3096125105542569E-4</v>
      </c>
      <c r="AI8" s="1531"/>
      <c r="AJ8" s="1531">
        <f>IF(Options!$AE$24=TRUE,0,AH8*'Step 11a--Inputs'!$C8)</f>
        <v>3.309612510554257E-12</v>
      </c>
      <c r="AK8" s="1531"/>
      <c r="AL8" s="1531">
        <f>IF(Options!$AE$24=TRUE,0,AH8*'Step 11a--Inputs'!$F8)</f>
        <v>9.92883753166277E-5</v>
      </c>
      <c r="AM8" s="1531"/>
      <c r="AN8" s="1531">
        <f>IF(Options!$AE$24=TRUE,0,AH8*'Step 11a--Inputs'!$I8)</f>
        <v>6.6192250211085147E-5</v>
      </c>
      <c r="AO8" s="1566"/>
      <c r="AP8" s="1983">
        <f>IFERROR('Step 9a--Daily DMI Rations'!AB12/'Step 7a--Feedstuff Required'!$Z8*'Step 7a--Feedstuff Required'!$AL8/'Step 7a--Feedstuff Required'!$AI8,0)</f>
        <v>2.7174133708351791E-3</v>
      </c>
      <c r="AQ8" s="1534"/>
      <c r="AR8" s="1534">
        <f>IF(Options!$AF$24=TRUE,0,AP8*'Step 11a--Inputs'!$C8)</f>
        <v>2.7174133708351791E-11</v>
      </c>
      <c r="AS8" s="1534"/>
      <c r="AT8" s="1534">
        <f>IF(Options!$AF$24=TRUE,0,AP8*'Step 11a--Inputs'!$F8)</f>
        <v>8.1522401125055368E-4</v>
      </c>
      <c r="AU8" s="1534"/>
      <c r="AV8" s="1534">
        <f>IF(Options!$AF$24=TRUE,0,AP8*'Step 11a--Inputs'!$I8)</f>
        <v>5.4348267416703586E-4</v>
      </c>
      <c r="AW8" s="1535"/>
      <c r="AX8" s="1554">
        <f>IFERROR('Step 9a--Daily DMI Rations'!AG12/'Step 7a--Feedstuff Required'!$Z8*'Step 7a--Feedstuff Required'!$AL8/'Step 7a--Feedstuff Required'!$AI8,0)</f>
        <v>1.6432098765432098E-3</v>
      </c>
      <c r="AY8" s="1534"/>
      <c r="AZ8" s="1534">
        <f>IF(Options!$AF$24=TRUE,0,AX8*'Step 11a--Inputs'!$C8)</f>
        <v>1.6432098765432098E-11</v>
      </c>
      <c r="BA8" s="1534"/>
      <c r="BB8" s="1534">
        <f>IF(Options!$AF$24=TRUE,0,AX8*'Step 11a--Inputs'!$F8)</f>
        <v>4.9296296296296295E-4</v>
      </c>
      <c r="BC8" s="1534"/>
      <c r="BD8" s="1534">
        <f>IF(Options!$AF$24=TRUE,0,AX8*'Step 11a--Inputs'!$I8)</f>
        <v>3.2864197530864197E-4</v>
      </c>
      <c r="BE8" s="1535"/>
      <c r="BF8" s="1554">
        <f>IFERROR('Step 9a--Daily DMI Rations'!AM12/'Step 7a--Feedstuff Required'!$Z8*'Step 7a--Feedstuff Required'!$AL8/'Step 7a--Feedstuff Required'!$AI8,0)</f>
        <v>2.2988302860806826E-4</v>
      </c>
      <c r="BG8" s="1534"/>
      <c r="BH8" s="1534">
        <f>IF(Options!$AF$24=TRUE,0,BF8*'Step 11a--Inputs'!$C8)</f>
        <v>2.2988302860806828E-12</v>
      </c>
      <c r="BI8" s="1534"/>
      <c r="BJ8" s="1534">
        <f>IF(Options!$AF$24=TRUE,0,BF8*'Step 11a--Inputs'!$F8)</f>
        <v>6.8964908582420481E-5</v>
      </c>
      <c r="BK8" s="1534"/>
      <c r="BL8" s="1534">
        <f>IF(Options!$AF$24=TRUE,0,BF8*'Step 11a--Inputs'!$I8)</f>
        <v>4.5976605721613656E-5</v>
      </c>
      <c r="BM8" s="1535"/>
      <c r="BN8" s="1554">
        <f>IFERROR('Step 9a--Daily DMI Rations'!AS12/'Step 7a--Feedstuff Required'!$Z8*'Step 7a--Feedstuff Required'!$AL8/'Step 7a--Feedstuff Required'!$AI8,0)</f>
        <v>6.7396704505162241E-4</v>
      </c>
      <c r="BO8" s="1534"/>
      <c r="BP8" s="1534">
        <f>IF(Options!$AF$24=TRUE,0,BN8*'Step 11a--Inputs'!$C8)</f>
        <v>6.7396704505162241E-12</v>
      </c>
      <c r="BQ8" s="1534"/>
      <c r="BR8" s="1534">
        <f>IF(Options!$AF$24=TRUE,0,BN8*'Step 11a--Inputs'!$F8)</f>
        <v>2.0219011351548671E-4</v>
      </c>
      <c r="BS8" s="1534"/>
      <c r="BT8" s="1534">
        <f>IF(Options!$AF$24=TRUE,0,BN8*'Step 11a--Inputs'!$I8)</f>
        <v>1.3479340901032449E-4</v>
      </c>
      <c r="BU8" s="1535"/>
      <c r="BV8" s="1554">
        <f>IFERROR('Step 9a--Daily DMI Rations'!AY12/'Step 7a--Feedstuff Required'!$Z8*'Step 7a--Feedstuff Required'!$AL8/'Step 7a--Feedstuff Required'!$AI8,0)</f>
        <v>2.7768927101875325E-4</v>
      </c>
      <c r="BW8" s="1534"/>
      <c r="BX8" s="1534">
        <f>IF(Options!$AF$24=TRUE,0,BV8*'Step 11a--Inputs'!$C8)</f>
        <v>2.7768927101875324E-12</v>
      </c>
      <c r="BY8" s="1534"/>
      <c r="BZ8" s="1534">
        <f>IF(Options!$AF$24=TRUE,0,BV8*'Step 11a--Inputs'!$F8)</f>
        <v>8.3306781305625969E-5</v>
      </c>
      <c r="CA8" s="1534"/>
      <c r="CB8" s="1534">
        <f>IF(Options!$AF$24=TRUE,0,BV8*'Step 11a--Inputs'!$I8)</f>
        <v>5.5537854203750655E-5</v>
      </c>
      <c r="CC8" s="1542"/>
      <c r="CD8" s="1530"/>
    </row>
    <row r="9" spans="1:97" ht="3" customHeight="1">
      <c r="A9" s="1224"/>
      <c r="B9" s="1712"/>
      <c r="C9" s="1531"/>
      <c r="D9" s="1531"/>
      <c r="E9" s="1531"/>
      <c r="F9" s="1531"/>
      <c r="G9" s="1531"/>
      <c r="H9" s="1531"/>
      <c r="I9" s="1532"/>
      <c r="J9" s="1533"/>
      <c r="K9" s="1531"/>
      <c r="L9" s="1531"/>
      <c r="M9" s="1531"/>
      <c r="N9" s="1531"/>
      <c r="O9" s="1531"/>
      <c r="P9" s="1531"/>
      <c r="Q9" s="1532"/>
      <c r="R9" s="1533"/>
      <c r="S9" s="1531"/>
      <c r="T9" s="1531"/>
      <c r="U9" s="1531"/>
      <c r="V9" s="1531"/>
      <c r="W9" s="1531"/>
      <c r="X9" s="1531"/>
      <c r="Y9" s="1532"/>
      <c r="Z9" s="1533"/>
      <c r="AA9" s="1531"/>
      <c r="AB9" s="1531"/>
      <c r="AC9" s="1531"/>
      <c r="AD9" s="1531"/>
      <c r="AE9" s="1531"/>
      <c r="AF9" s="1531"/>
      <c r="AG9" s="1532"/>
      <c r="AH9" s="1533"/>
      <c r="AI9" s="1531"/>
      <c r="AJ9" s="1531"/>
      <c r="AK9" s="1531"/>
      <c r="AL9" s="1531"/>
      <c r="AM9" s="1531"/>
      <c r="AN9" s="1531"/>
      <c r="AO9" s="1566"/>
      <c r="AP9" s="1983"/>
      <c r="AQ9" s="1534"/>
      <c r="AR9" s="1534"/>
      <c r="AS9" s="1534"/>
      <c r="AT9" s="1534"/>
      <c r="AU9" s="1534"/>
      <c r="AV9" s="1534"/>
      <c r="AW9" s="1535"/>
      <c r="AX9" s="1554"/>
      <c r="AY9" s="1534"/>
      <c r="AZ9" s="1534"/>
      <c r="BA9" s="1534"/>
      <c r="BB9" s="1534"/>
      <c r="BC9" s="1534"/>
      <c r="BD9" s="1534"/>
      <c r="BE9" s="1535"/>
      <c r="BF9" s="1554"/>
      <c r="BG9" s="1534"/>
      <c r="BH9" s="1534"/>
      <c r="BI9" s="1534"/>
      <c r="BJ9" s="1534"/>
      <c r="BK9" s="1534"/>
      <c r="BL9" s="1534"/>
      <c r="BM9" s="1535"/>
      <c r="BN9" s="1554"/>
      <c r="BO9" s="1534"/>
      <c r="BP9" s="1534"/>
      <c r="BQ9" s="1534"/>
      <c r="BR9" s="1534"/>
      <c r="BS9" s="1534"/>
      <c r="BT9" s="1534"/>
      <c r="BU9" s="1535"/>
      <c r="BV9" s="1554"/>
      <c r="BW9" s="1534"/>
      <c r="BX9" s="1534"/>
      <c r="BY9" s="1534"/>
      <c r="BZ9" s="1534"/>
      <c r="CA9" s="1534"/>
      <c r="CB9" s="1534"/>
      <c r="CC9" s="1542"/>
      <c r="CD9" s="40"/>
    </row>
    <row r="10" spans="1:97" ht="14.25">
      <c r="A10" s="1224" t="s">
        <v>29</v>
      </c>
      <c r="B10" s="1712">
        <f>IFERROR('Step 10a--Required Acres'!D9/'Step 7a--Feedstuff Required'!$E10*'Step 7a--Feedstuff Required'!$Q10/'Step 7a--Feedstuff Required'!$N10,0)</f>
        <v>0</v>
      </c>
      <c r="C10" s="1531"/>
      <c r="D10" s="1531">
        <f>IF(Options!$AE$24=TRUE,0,B10*'Step 11a--Inputs'!$C10)</f>
        <v>0</v>
      </c>
      <c r="E10" s="1531"/>
      <c r="F10" s="1531">
        <f>IF(Options!$AE$24=TRUE,0,B10*'Step 11a--Inputs'!$F10)</f>
        <v>0</v>
      </c>
      <c r="G10" s="1531"/>
      <c r="H10" s="1531">
        <f>IF(Options!$AE$24=TRUE,0,B10*'Step 11a--Inputs'!$I10)</f>
        <v>0</v>
      </c>
      <c r="I10" s="1532"/>
      <c r="J10" s="1533">
        <f>IFERROR('Step 9a--Daily DMI Rations'!F14/'Step 7a--Feedstuff Required'!$E10*'Step 7a--Feedstuff Required'!$Q10/'Step 7a--Feedstuff Required'!$N10,0)</f>
        <v>0</v>
      </c>
      <c r="K10" s="1531"/>
      <c r="L10" s="1531">
        <f>IF(Options!$AE$24=TRUE,0,J10*'Step 11a--Inputs'!$C10)</f>
        <v>0</v>
      </c>
      <c r="M10" s="1531"/>
      <c r="N10" s="1531">
        <f>IF(Options!$AE$24=TRUE,0,J10*'Step 11a--Inputs'!$F10)</f>
        <v>0</v>
      </c>
      <c r="O10" s="1531"/>
      <c r="P10" s="1531">
        <f>IF(Options!$AE$24=TRUE,0,J10*'Step 11a--Inputs'!$I10)</f>
        <v>0</v>
      </c>
      <c r="Q10" s="1532"/>
      <c r="R10" s="1533">
        <f>IFERROR('Step 9a--Daily DMI Rations'!L14/'Step 7a--Feedstuff Required'!$E10*'Step 7a--Feedstuff Required'!$Q10/'Step 7a--Feedstuff Required'!$N10,0)</f>
        <v>0</v>
      </c>
      <c r="S10" s="1531"/>
      <c r="T10" s="1531">
        <f>IF(Options!$AE$24=TRUE,0,R10*'Step 11a--Inputs'!$C10)</f>
        <v>0</v>
      </c>
      <c r="U10" s="1531"/>
      <c r="V10" s="1531">
        <f>IF(Options!$AE$24=TRUE,0,R10*'Step 11a--Inputs'!$F10)</f>
        <v>0</v>
      </c>
      <c r="W10" s="1531"/>
      <c r="X10" s="1531">
        <f>IF(Options!$AE$24=TRUE,0,R10*'Step 11a--Inputs'!$I10)</f>
        <v>0</v>
      </c>
      <c r="Y10" s="1532"/>
      <c r="Z10" s="1533">
        <f>IFERROR('Step 9a--Daily DMI Rations'!R14/'Step 7a--Feedstuff Required'!$E10*'Step 7a--Feedstuff Required'!$Q10/'Step 7a--Feedstuff Required'!$N10,0)</f>
        <v>0</v>
      </c>
      <c r="AA10" s="1531"/>
      <c r="AB10" s="1531">
        <f>IF(Options!$AE$24=TRUE,0,Z10*'Step 11a--Inputs'!$C10)</f>
        <v>0</v>
      </c>
      <c r="AC10" s="1531"/>
      <c r="AD10" s="1531">
        <f>IF(Options!$AE$24=TRUE,0,Z10*'Step 11a--Inputs'!$F10)</f>
        <v>0</v>
      </c>
      <c r="AE10" s="1531"/>
      <c r="AF10" s="1531">
        <f>IF(Options!$AE$24=TRUE,0,Z10*'Step 11a--Inputs'!$I10)</f>
        <v>0</v>
      </c>
      <c r="AG10" s="1532"/>
      <c r="AH10" s="1533">
        <f>IFERROR('Step 9a--Daily DMI Rations'!X14/'Step 7a--Feedstuff Required'!$E10*'Step 7a--Feedstuff Required'!$Q10/'Step 7a--Feedstuff Required'!$N10,0)</f>
        <v>0</v>
      </c>
      <c r="AI10" s="1531"/>
      <c r="AJ10" s="1531">
        <f>IF(Options!$AE$24=TRUE,0,AH10*'Step 11a--Inputs'!$C10)</f>
        <v>0</v>
      </c>
      <c r="AK10" s="1531"/>
      <c r="AL10" s="1531">
        <f>IF(Options!$AE$24=TRUE,0,AH10*'Step 11a--Inputs'!$F10)</f>
        <v>0</v>
      </c>
      <c r="AM10" s="1531"/>
      <c r="AN10" s="1531">
        <f>IF(Options!$AE$24=TRUE,0,AH10*'Step 11a--Inputs'!$I10)</f>
        <v>0</v>
      </c>
      <c r="AO10" s="1566"/>
      <c r="AP10" s="1983">
        <f>IFERROR('Step 9a--Daily DMI Rations'!AB14/'Step 7a--Feedstuff Required'!$Z10*'Step 7a--Feedstuff Required'!$AL10/'Step 7a--Feedstuff Required'!$AI10,0)</f>
        <v>0</v>
      </c>
      <c r="AQ10" s="1534"/>
      <c r="AR10" s="1534">
        <f>IF(Options!$AF$24=TRUE,0,AP10*'Step 11a--Inputs'!$C10)</f>
        <v>0</v>
      </c>
      <c r="AS10" s="1534"/>
      <c r="AT10" s="1534">
        <f>IF(Options!$AF$24=TRUE,0,AP10*'Step 11a--Inputs'!$F10)</f>
        <v>0</v>
      </c>
      <c r="AU10" s="1534"/>
      <c r="AV10" s="1534">
        <f>IF(Options!$AF$24=TRUE,0,AP10*'Step 11a--Inputs'!$I10)</f>
        <v>0</v>
      </c>
      <c r="AW10" s="1535"/>
      <c r="AX10" s="1554">
        <f>IFERROR('Step 9a--Daily DMI Rations'!AG14/'Step 7a--Feedstuff Required'!$Z10*'Step 7a--Feedstuff Required'!$AL10/'Step 7a--Feedstuff Required'!$AI10,0)</f>
        <v>1.7393749999999999E-4</v>
      </c>
      <c r="AY10" s="1534"/>
      <c r="AZ10" s="1534">
        <f>IF(Options!$AF$24=TRUE,0,AX10*'Step 11a--Inputs'!$C10)</f>
        <v>1.3775849999999999E-2</v>
      </c>
      <c r="BA10" s="1534"/>
      <c r="BB10" s="1534">
        <f>IF(Options!$AF$24=TRUE,0,AX10*'Step 11a--Inputs'!$F10)</f>
        <v>5.2181249999999998E-5</v>
      </c>
      <c r="BC10" s="1534"/>
      <c r="BD10" s="1534">
        <f>IF(Options!$AF$24=TRUE,0,AX10*'Step 11a--Inputs'!$I10)</f>
        <v>3.4787499999999999E-5</v>
      </c>
      <c r="BE10" s="1535"/>
      <c r="BF10" s="1554">
        <f>IFERROR('Step 9a--Daily DMI Rations'!AM14/'Step 7a--Feedstuff Required'!$Z10*'Step 7a--Feedstuff Required'!$AL10/'Step 7a--Feedstuff Required'!$AI10,0)</f>
        <v>0</v>
      </c>
      <c r="BG10" s="1534"/>
      <c r="BH10" s="1534">
        <f>IF(Options!$AF$24=TRUE,0,BF10*'Step 11a--Inputs'!$C10)</f>
        <v>0</v>
      </c>
      <c r="BI10" s="1534"/>
      <c r="BJ10" s="1534">
        <f>IF(Options!$AF$24=TRUE,0,BF10*'Step 11a--Inputs'!$F10)</f>
        <v>0</v>
      </c>
      <c r="BK10" s="1534"/>
      <c r="BL10" s="1534">
        <f>IF(Options!$AF$24=TRUE,0,BF10*'Step 11a--Inputs'!$I10)</f>
        <v>0</v>
      </c>
      <c r="BM10" s="1535"/>
      <c r="BN10" s="1554">
        <f>IFERROR('Step 9a--Daily DMI Rations'!AS14/'Step 7a--Feedstuff Required'!$Z10*'Step 7a--Feedstuff Required'!$AL10/'Step 7a--Feedstuff Required'!$AI10,0)</f>
        <v>0</v>
      </c>
      <c r="BO10" s="1534"/>
      <c r="BP10" s="1534">
        <f>IF(Options!$AF$24=TRUE,0,BN10*'Step 11a--Inputs'!$C10)</f>
        <v>0</v>
      </c>
      <c r="BQ10" s="1534"/>
      <c r="BR10" s="1534">
        <f>IF(Options!$AF$24=TRUE,0,BN10*'Step 11a--Inputs'!$F10)</f>
        <v>0</v>
      </c>
      <c r="BS10" s="1534"/>
      <c r="BT10" s="1534">
        <f>IF(Options!$AF$24=TRUE,0,BN10*'Step 11a--Inputs'!$I10)</f>
        <v>0</v>
      </c>
      <c r="BU10" s="1535"/>
      <c r="BV10" s="1554">
        <f>IFERROR('Step 9a--Daily DMI Rations'!AY14/'Step 7a--Feedstuff Required'!$Z10*'Step 7a--Feedstuff Required'!$AL10/'Step 7a--Feedstuff Required'!$AI10,0)</f>
        <v>0</v>
      </c>
      <c r="BW10" s="1534"/>
      <c r="BX10" s="1534">
        <f>IF(Options!$AF$24=TRUE,0,BV10*'Step 11a--Inputs'!$C10)</f>
        <v>0</v>
      </c>
      <c r="BY10" s="1534"/>
      <c r="BZ10" s="1534">
        <f>IF(Options!$AF$24=TRUE,0,BV10*'Step 11a--Inputs'!$F10)</f>
        <v>0</v>
      </c>
      <c r="CA10" s="1534"/>
      <c r="CB10" s="1534">
        <f>IF(Options!$AF$24=TRUE,0,BV10*'Step 11a--Inputs'!$I10)</f>
        <v>0</v>
      </c>
      <c r="CC10" s="1542"/>
      <c r="CD10" s="40"/>
    </row>
    <row r="11" spans="1:97" ht="3" customHeight="1">
      <c r="A11" s="1224"/>
      <c r="B11" s="1712"/>
      <c r="C11" s="1531"/>
      <c r="D11" s="1531"/>
      <c r="E11" s="1531"/>
      <c r="F11" s="1531"/>
      <c r="G11" s="1531"/>
      <c r="H11" s="1531"/>
      <c r="I11" s="1532"/>
      <c r="J11" s="1533"/>
      <c r="K11" s="1531"/>
      <c r="L11" s="1531"/>
      <c r="M11" s="1531"/>
      <c r="N11" s="1531"/>
      <c r="O11" s="1531"/>
      <c r="P11" s="1531"/>
      <c r="Q11" s="1532"/>
      <c r="R11" s="1533"/>
      <c r="S11" s="1531"/>
      <c r="T11" s="1531"/>
      <c r="U11" s="1531"/>
      <c r="V11" s="1531"/>
      <c r="W11" s="1531"/>
      <c r="X11" s="1531"/>
      <c r="Y11" s="1532"/>
      <c r="Z11" s="1533"/>
      <c r="AA11" s="1531"/>
      <c r="AB11" s="1531"/>
      <c r="AC11" s="1531"/>
      <c r="AD11" s="1531"/>
      <c r="AE11" s="1531"/>
      <c r="AF11" s="1531"/>
      <c r="AG11" s="1532"/>
      <c r="AH11" s="1533"/>
      <c r="AI11" s="1531"/>
      <c r="AJ11" s="1531"/>
      <c r="AK11" s="1531"/>
      <c r="AL11" s="1531"/>
      <c r="AM11" s="1531"/>
      <c r="AN11" s="1531"/>
      <c r="AO11" s="1566"/>
      <c r="AP11" s="1983"/>
      <c r="AQ11" s="1534"/>
      <c r="AR11" s="1534"/>
      <c r="AS11" s="1534"/>
      <c r="AT11" s="1534"/>
      <c r="AU11" s="1534"/>
      <c r="AV11" s="1534"/>
      <c r="AW11" s="1535"/>
      <c r="AX11" s="1554"/>
      <c r="AY11" s="1534"/>
      <c r="AZ11" s="1534"/>
      <c r="BA11" s="1534"/>
      <c r="BB11" s="1534"/>
      <c r="BC11" s="1534"/>
      <c r="BD11" s="1534"/>
      <c r="BE11" s="1535"/>
      <c r="BF11" s="1554"/>
      <c r="BG11" s="1534"/>
      <c r="BH11" s="1534"/>
      <c r="BI11" s="1534"/>
      <c r="BJ11" s="1534"/>
      <c r="BK11" s="1534"/>
      <c r="BL11" s="1534"/>
      <c r="BM11" s="1535"/>
      <c r="BN11" s="1554"/>
      <c r="BO11" s="1534"/>
      <c r="BP11" s="1534"/>
      <c r="BQ11" s="1534"/>
      <c r="BR11" s="1534"/>
      <c r="BS11" s="1534"/>
      <c r="BT11" s="1534"/>
      <c r="BU11" s="1535"/>
      <c r="BV11" s="1554"/>
      <c r="BW11" s="1534"/>
      <c r="BX11" s="1534"/>
      <c r="BY11" s="1534"/>
      <c r="BZ11" s="1534"/>
      <c r="CA11" s="1534"/>
      <c r="CB11" s="1534"/>
      <c r="CC11" s="1542"/>
      <c r="CD11" s="40"/>
    </row>
    <row r="12" spans="1:97" ht="14.25">
      <c r="A12" s="1224" t="s">
        <v>3</v>
      </c>
      <c r="B12" s="1712">
        <f>IFERROR('Step 10a--Required Acres'!D11/'Step 7a--Feedstuff Required'!$E12*'Step 7a--Feedstuff Required'!$Q12/'Step 7a--Feedstuff Required'!$N12,0)</f>
        <v>1.5726176470588235E-3</v>
      </c>
      <c r="C12" s="1531"/>
      <c r="D12" s="1531">
        <f>IF(Options!$AE$24=TRUE,0,B12*'Step 11a--Inputs'!$C12)</f>
        <v>0.2075855294117647</v>
      </c>
      <c r="E12" s="1531"/>
      <c r="F12" s="1531">
        <f>IF(Options!$AE$24=TRUE,0,B12*'Step 11a--Inputs'!$F12)</f>
        <v>3.3024970588235295E-3</v>
      </c>
      <c r="G12" s="1531"/>
      <c r="H12" s="1531">
        <f>IF(Options!$AE$24=TRUE,0,B12*'Step 11a--Inputs'!$I12)</f>
        <v>3.1452352941176474E-4</v>
      </c>
      <c r="I12" s="1532"/>
      <c r="J12" s="1533">
        <f>IFERROR('Step 9a--Daily DMI Rations'!F16/'Step 7a--Feedstuff Required'!$E12*'Step 7a--Feedstuff Required'!$Q12/'Step 7a--Feedstuff Required'!$N12,0)</f>
        <v>1.5726176470588235E-3</v>
      </c>
      <c r="K12" s="1531"/>
      <c r="L12" s="1531">
        <f>IF(Options!$AE$24=TRUE,0,J12*'Step 11a--Inputs'!$C12)</f>
        <v>0.2075855294117647</v>
      </c>
      <c r="M12" s="1531"/>
      <c r="N12" s="1531">
        <f>IF(Options!$AE$24=TRUE,0,J12*'Step 11a--Inputs'!$F12)</f>
        <v>3.3024970588235295E-3</v>
      </c>
      <c r="O12" s="1531"/>
      <c r="P12" s="1531">
        <f>IF(Options!$AE$24=TRUE,0,J12*'Step 11a--Inputs'!$I12)</f>
        <v>3.1452352941176474E-4</v>
      </c>
      <c r="Q12" s="1532"/>
      <c r="R12" s="1533">
        <f>IFERROR('Step 9a--Daily DMI Rations'!L16/'Step 7a--Feedstuff Required'!$E12*'Step 7a--Feedstuff Required'!$Q12/'Step 7a--Feedstuff Required'!$N12,0)</f>
        <v>0</v>
      </c>
      <c r="S12" s="1531"/>
      <c r="T12" s="1531">
        <f>IF(Options!$AE$24=TRUE,0,R12*'Step 11a--Inputs'!$C12)</f>
        <v>0</v>
      </c>
      <c r="U12" s="1531"/>
      <c r="V12" s="1531">
        <f>IF(Options!$AE$24=TRUE,0,R12*'Step 11a--Inputs'!$F12)</f>
        <v>0</v>
      </c>
      <c r="W12" s="1531"/>
      <c r="X12" s="1531">
        <f>IF(Options!$AE$24=TRUE,0,R12*'Step 11a--Inputs'!$I12)</f>
        <v>0</v>
      </c>
      <c r="Y12" s="1532"/>
      <c r="Z12" s="1533">
        <f>IFERROR('Step 9a--Daily DMI Rations'!R16/'Step 7a--Feedstuff Required'!$E12*'Step 7a--Feedstuff Required'!$Q12/'Step 7a--Feedstuff Required'!$N12,0)</f>
        <v>0</v>
      </c>
      <c r="AA12" s="1531"/>
      <c r="AB12" s="1531">
        <f>IF(Options!$AE$24=TRUE,0,Z12*'Step 11a--Inputs'!$C12)</f>
        <v>0</v>
      </c>
      <c r="AC12" s="1531"/>
      <c r="AD12" s="1531">
        <f>IF(Options!$AE$24=TRUE,0,Z12*'Step 11a--Inputs'!$F12)</f>
        <v>0</v>
      </c>
      <c r="AE12" s="1531"/>
      <c r="AF12" s="1531">
        <f>IF(Options!$AE$24=TRUE,0,Z12*'Step 11a--Inputs'!$I12)</f>
        <v>0</v>
      </c>
      <c r="AG12" s="1532"/>
      <c r="AH12" s="1533">
        <f>IFERROR('Step 9a--Daily DMI Rations'!X16/'Step 7a--Feedstuff Required'!$E12*'Step 7a--Feedstuff Required'!$Q12/'Step 7a--Feedstuff Required'!$N12,0)</f>
        <v>0</v>
      </c>
      <c r="AI12" s="1531"/>
      <c r="AJ12" s="1531">
        <f>IF(Options!$AE$24=TRUE,0,AH12*'Step 11a--Inputs'!$C12)</f>
        <v>0</v>
      </c>
      <c r="AK12" s="1531"/>
      <c r="AL12" s="1531">
        <f>IF(Options!$AE$24=TRUE,0,AH12*'Step 11a--Inputs'!$F12)</f>
        <v>0</v>
      </c>
      <c r="AM12" s="1531"/>
      <c r="AN12" s="1531">
        <f>IF(Options!$AE$24=TRUE,0,AH12*'Step 11a--Inputs'!$I12)</f>
        <v>0</v>
      </c>
      <c r="AO12" s="1566"/>
      <c r="AP12" s="1983">
        <f>IFERROR('Step 9a--Daily DMI Rations'!AB16/'Step 7a--Feedstuff Required'!$Z12*'Step 7a--Feedstuff Required'!$AL12/'Step 7a--Feedstuff Required'!$AI12,0)</f>
        <v>1.5726176470588235E-3</v>
      </c>
      <c r="AQ12" s="1534"/>
      <c r="AR12" s="1534">
        <f>IF(Options!$AF$24=TRUE,0,AP12*'Step 11a--Inputs'!$C12)</f>
        <v>0.2075855294117647</v>
      </c>
      <c r="AS12" s="1534"/>
      <c r="AT12" s="1534">
        <f>IF(Options!$AF$24=TRUE,0,AP12*'Step 11a--Inputs'!$F12)</f>
        <v>3.3024970588235295E-3</v>
      </c>
      <c r="AU12" s="1534"/>
      <c r="AV12" s="1534">
        <f>IF(Options!$AF$24=TRUE,0,AP12*'Step 11a--Inputs'!$I12)</f>
        <v>3.1452352941176474E-4</v>
      </c>
      <c r="AW12" s="1535"/>
      <c r="AX12" s="1554">
        <f>IFERROR('Step 9a--Daily DMI Rations'!AG16/'Step 7a--Feedstuff Required'!$Z12*'Step 7a--Feedstuff Required'!$AL12/'Step 7a--Feedstuff Required'!$AI12,0)</f>
        <v>1.3764705882352941E-3</v>
      </c>
      <c r="AY12" s="1534"/>
      <c r="AZ12" s="1534">
        <f>IF(Options!$AF$24=TRUE,0,AX12*'Step 11a--Inputs'!$C12)</f>
        <v>0.18169411764705881</v>
      </c>
      <c r="BA12" s="1534"/>
      <c r="BB12" s="1534">
        <f>IF(Options!$AF$24=TRUE,0,AX12*'Step 11a--Inputs'!$F12)</f>
        <v>2.8905882352941179E-3</v>
      </c>
      <c r="BC12" s="1534"/>
      <c r="BD12" s="1534">
        <f>IF(Options!$AF$24=TRUE,0,AX12*'Step 11a--Inputs'!$I12)</f>
        <v>2.7529411764705885E-4</v>
      </c>
      <c r="BE12" s="1535"/>
      <c r="BF12" s="1554">
        <f>IFERROR('Step 9a--Daily DMI Rations'!AM16/'Step 7a--Feedstuff Required'!$Z12*'Step 7a--Feedstuff Required'!$AL12/'Step 7a--Feedstuff Required'!$AI12,0)</f>
        <v>0</v>
      </c>
      <c r="BG12" s="1534"/>
      <c r="BH12" s="1534">
        <f>IF(Options!$AF$24=TRUE,0,BF12*'Step 11a--Inputs'!$C12)</f>
        <v>0</v>
      </c>
      <c r="BI12" s="1534"/>
      <c r="BJ12" s="1534">
        <f>IF(Options!$AF$24=TRUE,0,BF12*'Step 11a--Inputs'!$F12)</f>
        <v>0</v>
      </c>
      <c r="BK12" s="1534"/>
      <c r="BL12" s="1534">
        <f>IF(Options!$AF$24=TRUE,0,BF12*'Step 11a--Inputs'!$I12)</f>
        <v>0</v>
      </c>
      <c r="BM12" s="1535"/>
      <c r="BN12" s="1554">
        <f>IFERROR('Step 9a--Daily DMI Rations'!AS16/'Step 7a--Feedstuff Required'!$Z12*'Step 7a--Feedstuff Required'!$AL12/'Step 7a--Feedstuff Required'!$AI12,0)</f>
        <v>0</v>
      </c>
      <c r="BO12" s="1534"/>
      <c r="BP12" s="1534">
        <f>IF(Options!$AF$24=TRUE,0,BN12*'Step 11a--Inputs'!$C12)</f>
        <v>0</v>
      </c>
      <c r="BQ12" s="1534"/>
      <c r="BR12" s="1534">
        <f>IF(Options!$AF$24=TRUE,0,BN12*'Step 11a--Inputs'!$F12)</f>
        <v>0</v>
      </c>
      <c r="BS12" s="1534"/>
      <c r="BT12" s="1534">
        <f>IF(Options!$AF$24=TRUE,0,BN12*'Step 11a--Inputs'!$I12)</f>
        <v>0</v>
      </c>
      <c r="BU12" s="1535"/>
      <c r="BV12" s="1554">
        <f>IFERROR('Step 9a--Daily DMI Rations'!AY16/'Step 7a--Feedstuff Required'!$Z12*'Step 7a--Feedstuff Required'!$AL12/'Step 7a--Feedstuff Required'!$AI12,0)</f>
        <v>0</v>
      </c>
      <c r="BW12" s="1534"/>
      <c r="BX12" s="1534">
        <f>IF(Options!$AF$24=TRUE,0,BV12*'Step 11a--Inputs'!$C12)</f>
        <v>0</v>
      </c>
      <c r="BY12" s="1534"/>
      <c r="BZ12" s="1534">
        <f>IF(Options!$AF$24=TRUE,0,BV12*'Step 11a--Inputs'!$F12)</f>
        <v>0</v>
      </c>
      <c r="CA12" s="1534"/>
      <c r="CB12" s="1534">
        <f>IF(Options!$AF$24=TRUE,0,BV12*'Step 11a--Inputs'!$I12)</f>
        <v>0</v>
      </c>
      <c r="CC12" s="1542"/>
      <c r="CD12" s="40"/>
    </row>
    <row r="13" spans="1:97" ht="3" customHeight="1">
      <c r="A13" s="1224"/>
      <c r="B13" s="1712"/>
      <c r="C13" s="1531"/>
      <c r="D13" s="1531"/>
      <c r="E13" s="1531"/>
      <c r="F13" s="1531"/>
      <c r="G13" s="1531"/>
      <c r="H13" s="1531"/>
      <c r="I13" s="1532"/>
      <c r="J13" s="1533"/>
      <c r="K13" s="1531"/>
      <c r="L13" s="1531"/>
      <c r="M13" s="1531"/>
      <c r="N13" s="1531"/>
      <c r="O13" s="1531"/>
      <c r="P13" s="1531"/>
      <c r="Q13" s="1532"/>
      <c r="R13" s="1533"/>
      <c r="S13" s="1531"/>
      <c r="T13" s="1531"/>
      <c r="U13" s="1531"/>
      <c r="V13" s="1531"/>
      <c r="W13" s="1531"/>
      <c r="X13" s="1531"/>
      <c r="Y13" s="1532"/>
      <c r="Z13" s="1533"/>
      <c r="AA13" s="1531"/>
      <c r="AB13" s="1531"/>
      <c r="AC13" s="1531"/>
      <c r="AD13" s="1531"/>
      <c r="AE13" s="1531"/>
      <c r="AF13" s="1531"/>
      <c r="AG13" s="1532"/>
      <c r="AH13" s="1533"/>
      <c r="AI13" s="1531"/>
      <c r="AJ13" s="1531"/>
      <c r="AK13" s="1531"/>
      <c r="AL13" s="1531"/>
      <c r="AM13" s="1531"/>
      <c r="AN13" s="1531"/>
      <c r="AO13" s="1566"/>
      <c r="AP13" s="1983"/>
      <c r="AQ13" s="1534"/>
      <c r="AR13" s="1534"/>
      <c r="AS13" s="1534"/>
      <c r="AT13" s="1534"/>
      <c r="AU13" s="1534"/>
      <c r="AV13" s="1534"/>
      <c r="AW13" s="1535"/>
      <c r="AX13" s="1554"/>
      <c r="AY13" s="1534"/>
      <c r="AZ13" s="1534"/>
      <c r="BA13" s="1534"/>
      <c r="BB13" s="1534"/>
      <c r="BC13" s="1534"/>
      <c r="BD13" s="1534"/>
      <c r="BE13" s="1535"/>
      <c r="BF13" s="1554"/>
      <c r="BG13" s="1534"/>
      <c r="BH13" s="1534"/>
      <c r="BI13" s="1534"/>
      <c r="BJ13" s="1534"/>
      <c r="BK13" s="1534"/>
      <c r="BL13" s="1534"/>
      <c r="BM13" s="1535"/>
      <c r="BN13" s="1554"/>
      <c r="BO13" s="1534"/>
      <c r="BP13" s="1534"/>
      <c r="BQ13" s="1534"/>
      <c r="BR13" s="1534"/>
      <c r="BS13" s="1534"/>
      <c r="BT13" s="1534"/>
      <c r="BU13" s="1535"/>
      <c r="BV13" s="1554"/>
      <c r="BW13" s="1534"/>
      <c r="BX13" s="1534"/>
      <c r="BY13" s="1534"/>
      <c r="BZ13" s="1534"/>
      <c r="CA13" s="1534"/>
      <c r="CB13" s="1534"/>
      <c r="CC13" s="1542"/>
      <c r="CD13" s="40"/>
    </row>
    <row r="14" spans="1:97" ht="14.25">
      <c r="A14" s="1224" t="s">
        <v>30</v>
      </c>
      <c r="B14" s="1712">
        <f>IFERROR('Step 10a--Required Acres'!D13/'Step 7a--Feedstuff Required'!$E14*'Step 7a--Feedstuff Required'!$Q14/'Step 7a--Feedstuff Required'!$N14,0)</f>
        <v>9.1563046132027469E-4</v>
      </c>
      <c r="C14" s="1531"/>
      <c r="D14" s="1531">
        <f>IF(Options!$AE$24=TRUE,0,B14*'Step 11a--Inputs'!$C14)</f>
        <v>7.2517932536565757E-2</v>
      </c>
      <c r="E14" s="1531"/>
      <c r="F14" s="1531">
        <f>IF(Options!$AE$24=TRUE,0,B14*'Step 11a--Inputs'!$F14)</f>
        <v>2.7468913839608241E-4</v>
      </c>
      <c r="G14" s="1531"/>
      <c r="H14" s="1531">
        <f>IF(Options!$AE$24=TRUE,0,B14*'Step 11a--Inputs'!$I14)</f>
        <v>1.8312609226405494E-4</v>
      </c>
      <c r="I14" s="1532"/>
      <c r="J14" s="1533">
        <f>IFERROR('Step 9a--Daily DMI Rations'!F18/'Step 7a--Feedstuff Required'!$E14*'Step 7a--Feedstuff Required'!$Q14/'Step 7a--Feedstuff Required'!$N14,0)</f>
        <v>3.0720555555555556E-4</v>
      </c>
      <c r="K14" s="1531"/>
      <c r="L14" s="1531">
        <f>IF(Options!$AE$24=TRUE,0,J14*'Step 11a--Inputs'!$C14)</f>
        <v>2.433068E-2</v>
      </c>
      <c r="M14" s="1531"/>
      <c r="N14" s="1531">
        <f>IF(Options!$AE$24=TRUE,0,J14*'Step 11a--Inputs'!$F14)</f>
        <v>9.2161666666666669E-5</v>
      </c>
      <c r="O14" s="1531"/>
      <c r="P14" s="1531">
        <f>IF(Options!$AE$24=TRUE,0,J14*'Step 11a--Inputs'!$I14)</f>
        <v>6.1441111111111113E-5</v>
      </c>
      <c r="Q14" s="1532"/>
      <c r="R14" s="1533">
        <f>IFERROR('Step 9a--Daily DMI Rations'!L18/'Step 7a--Feedstuff Required'!$E14*'Step 7a--Feedstuff Required'!$Q14/'Step 7a--Feedstuff Required'!$N14,0)</f>
        <v>9.8761054990088152E-5</v>
      </c>
      <c r="S14" s="1531"/>
      <c r="T14" s="1531">
        <f>IF(Options!$AE$24=TRUE,0,R14*'Step 11a--Inputs'!$C14)</f>
        <v>7.8218755552149823E-3</v>
      </c>
      <c r="U14" s="1531"/>
      <c r="V14" s="1531">
        <f>IF(Options!$AE$24=TRUE,0,R14*'Step 11a--Inputs'!$F14)</f>
        <v>2.9628316497026444E-5</v>
      </c>
      <c r="W14" s="1531"/>
      <c r="X14" s="1531">
        <f>IF(Options!$AE$24=TRUE,0,R14*'Step 11a--Inputs'!$I14)</f>
        <v>1.9752210998017632E-5</v>
      </c>
      <c r="Y14" s="1532"/>
      <c r="Z14" s="1533">
        <f>IFERROR('Step 9a--Daily DMI Rations'!R18/'Step 7a--Feedstuff Required'!$E14*'Step 7a--Feedstuff Required'!$Q14/'Step 7a--Feedstuff Required'!$N14,0)</f>
        <v>3.6073128779968939E-4</v>
      </c>
      <c r="AA14" s="1531"/>
      <c r="AB14" s="1531">
        <f>IF(Options!$AE$24=TRUE,0,Z14*'Step 11a--Inputs'!$C14)</f>
        <v>2.85699179937354E-2</v>
      </c>
      <c r="AC14" s="1531"/>
      <c r="AD14" s="1531">
        <f>IF(Options!$AE$24=TRUE,0,Z14*'Step 11a--Inputs'!$F14)</f>
        <v>1.0821938633990682E-4</v>
      </c>
      <c r="AE14" s="1531"/>
      <c r="AF14" s="1531">
        <f>IF(Options!$AE$24=TRUE,0,Z14*'Step 11a--Inputs'!$I14)</f>
        <v>7.2146257559937879E-5</v>
      </c>
      <c r="AG14" s="1532"/>
      <c r="AH14" s="1533">
        <f>IFERROR('Step 9a--Daily DMI Rations'!X18/'Step 7a--Feedstuff Required'!$E14*'Step 7a--Feedstuff Required'!$Q14/'Step 7a--Feedstuff Required'!$N14,0)</f>
        <v>1.4893256297494152E-4</v>
      </c>
      <c r="AI14" s="1531"/>
      <c r="AJ14" s="1531">
        <f>IF(Options!$AE$24=TRUE,0,AH14*'Step 11a--Inputs'!$C14)</f>
        <v>1.1795458987615368E-2</v>
      </c>
      <c r="AK14" s="1531"/>
      <c r="AL14" s="1531">
        <f>IF(Options!$AE$24=TRUE,0,AH14*'Step 11a--Inputs'!$F14)</f>
        <v>4.4679768892482456E-5</v>
      </c>
      <c r="AM14" s="1531"/>
      <c r="AN14" s="1531">
        <f>IF(Options!$AE$24=TRUE,0,AH14*'Step 11a--Inputs'!$I14)</f>
        <v>2.9786512594988305E-5</v>
      </c>
      <c r="AO14" s="1566"/>
      <c r="AP14" s="1983">
        <f>IFERROR('Step 9a--Daily DMI Rations'!AB18/'Step 7a--Feedstuff Required'!$Z14*'Step 7a--Feedstuff Required'!$AL14/'Step 7a--Feedstuff Required'!$AI14,0)</f>
        <v>9.1563046132027469E-4</v>
      </c>
      <c r="AQ14" s="1534"/>
      <c r="AR14" s="1534">
        <f>IF(Options!$AF$24=TRUE,0,AP14*'Step 11a--Inputs'!$C14)</f>
        <v>7.2517932536565757E-2</v>
      </c>
      <c r="AS14" s="1534"/>
      <c r="AT14" s="1534">
        <f>IF(Options!$AF$24=TRUE,0,AP14*'Step 11a--Inputs'!$F14)</f>
        <v>2.7468913839608241E-4</v>
      </c>
      <c r="AU14" s="1534"/>
      <c r="AV14" s="1534">
        <f>IF(Options!$AF$24=TRUE,0,AP14*'Step 11a--Inputs'!$I14)</f>
        <v>1.8312609226405494E-4</v>
      </c>
      <c r="AW14" s="1535"/>
      <c r="AX14" s="1554">
        <f>IFERROR('Step 9a--Daily DMI Rations'!AG18/'Step 7a--Feedstuff Required'!$Z14*'Step 7a--Feedstuff Required'!$AL14/'Step 7a--Feedstuff Required'!$AI14,0)</f>
        <v>4.9296296296296295E-4</v>
      </c>
      <c r="AY14" s="1534"/>
      <c r="AZ14" s="1534">
        <f>IF(Options!$AF$24=TRUE,0,AX14*'Step 11a--Inputs'!$C14)</f>
        <v>3.904266666666667E-2</v>
      </c>
      <c r="BA14" s="1534"/>
      <c r="BB14" s="1534">
        <f>IF(Options!$AF$24=TRUE,0,AX14*'Step 11a--Inputs'!$F14)</f>
        <v>1.4788888888888889E-4</v>
      </c>
      <c r="BC14" s="1534"/>
      <c r="BD14" s="1534">
        <f>IF(Options!$AF$24=TRUE,0,AX14*'Step 11a--Inputs'!$I14)</f>
        <v>9.8592592592592598E-5</v>
      </c>
      <c r="BE14" s="1535"/>
      <c r="BF14" s="1554">
        <f>IFERROR('Step 9a--Daily DMI Rations'!AM18/'Step 7a--Feedstuff Required'!$Z14*'Step 7a--Feedstuff Required'!$AL14/'Step 7a--Feedstuff Required'!$AI14,0)</f>
        <v>1.0344736287363071E-4</v>
      </c>
      <c r="BG14" s="1534"/>
      <c r="BH14" s="1534">
        <f>IF(Options!$AF$24=TRUE,0,BF14*'Step 11a--Inputs'!$C14)</f>
        <v>8.1930311395915518E-3</v>
      </c>
      <c r="BI14" s="1534"/>
      <c r="BJ14" s="1534">
        <f>IF(Options!$AF$24=TRUE,0,BF14*'Step 11a--Inputs'!$F14)</f>
        <v>3.1034208862089212E-5</v>
      </c>
      <c r="BK14" s="1534"/>
      <c r="BL14" s="1534">
        <f>IF(Options!$AF$24=TRUE,0,BF14*'Step 11a--Inputs'!$I14)</f>
        <v>2.0689472574726142E-5</v>
      </c>
      <c r="BM14" s="1535"/>
      <c r="BN14" s="1554">
        <f>IFERROR('Step 9a--Daily DMI Rations'!AS18/'Step 7a--Feedstuff Required'!$Z14*'Step 7a--Feedstuff Required'!$AL14/'Step 7a--Feedstuff Required'!$AI14,0)</f>
        <v>3.0328517027323007E-4</v>
      </c>
      <c r="BO14" s="1534"/>
      <c r="BP14" s="1534">
        <f>IF(Options!$AF$24=TRUE,0,BN14*'Step 11a--Inputs'!$C14)</f>
        <v>2.4020185485639823E-2</v>
      </c>
      <c r="BQ14" s="1534"/>
      <c r="BR14" s="1534">
        <f>IF(Options!$AF$24=TRUE,0,BN14*'Step 11a--Inputs'!$F14)</f>
        <v>9.0985551081969023E-5</v>
      </c>
      <c r="BS14" s="1534"/>
      <c r="BT14" s="1534">
        <f>IF(Options!$AF$24=TRUE,0,BN14*'Step 11a--Inputs'!$I14)</f>
        <v>6.0657034054646017E-5</v>
      </c>
      <c r="BU14" s="1535"/>
      <c r="BV14" s="1554">
        <f>IFERROR('Step 9a--Daily DMI Rations'!AY18/'Step 7a--Feedstuff Required'!$Z14*'Step 7a--Feedstuff Required'!$AL14/'Step 7a--Feedstuff Required'!$AI14,0)</f>
        <v>1.2496017195843894E-4</v>
      </c>
      <c r="BW14" s="1534"/>
      <c r="BX14" s="1534">
        <f>IF(Options!$AF$24=TRUE,0,BV14*'Step 11a--Inputs'!$C14)</f>
        <v>9.8968456191083649E-3</v>
      </c>
      <c r="BY14" s="1534"/>
      <c r="BZ14" s="1534">
        <f>IF(Options!$AF$24=TRUE,0,BV14*'Step 11a--Inputs'!$F14)</f>
        <v>3.7488051587531682E-5</v>
      </c>
      <c r="CA14" s="1534"/>
      <c r="CB14" s="1534">
        <f>IF(Options!$AF$24=TRUE,0,BV14*'Step 11a--Inputs'!$I14)</f>
        <v>2.4992034391687788E-5</v>
      </c>
      <c r="CC14" s="1542"/>
      <c r="CD14" s="40"/>
    </row>
    <row r="15" spans="1:97" ht="3" customHeight="1">
      <c r="A15" s="1224"/>
      <c r="B15" s="1712"/>
      <c r="C15" s="1531"/>
      <c r="D15" s="1531"/>
      <c r="E15" s="1531"/>
      <c r="F15" s="1531"/>
      <c r="G15" s="1531"/>
      <c r="H15" s="1531"/>
      <c r="I15" s="1532"/>
      <c r="J15" s="1533"/>
      <c r="K15" s="1531"/>
      <c r="L15" s="1531"/>
      <c r="M15" s="1531"/>
      <c r="N15" s="1531"/>
      <c r="O15" s="1531"/>
      <c r="P15" s="1531"/>
      <c r="Q15" s="1532"/>
      <c r="R15" s="1533"/>
      <c r="S15" s="1531"/>
      <c r="T15" s="1531"/>
      <c r="U15" s="1531"/>
      <c r="V15" s="1531"/>
      <c r="W15" s="1531"/>
      <c r="X15" s="1531"/>
      <c r="Y15" s="1532"/>
      <c r="Z15" s="1533"/>
      <c r="AA15" s="1531"/>
      <c r="AB15" s="1531"/>
      <c r="AC15" s="1531"/>
      <c r="AD15" s="1531"/>
      <c r="AE15" s="1531"/>
      <c r="AF15" s="1531"/>
      <c r="AG15" s="1532"/>
      <c r="AH15" s="1533"/>
      <c r="AI15" s="1531"/>
      <c r="AJ15" s="1531"/>
      <c r="AK15" s="1531"/>
      <c r="AL15" s="1531"/>
      <c r="AM15" s="1531"/>
      <c r="AN15" s="1531"/>
      <c r="AO15" s="1566"/>
      <c r="AP15" s="1983"/>
      <c r="AQ15" s="1534"/>
      <c r="AR15" s="1534"/>
      <c r="AS15" s="1534"/>
      <c r="AT15" s="1534"/>
      <c r="AU15" s="1534"/>
      <c r="AV15" s="1534"/>
      <c r="AW15" s="1535"/>
      <c r="AX15" s="1554"/>
      <c r="AY15" s="1534"/>
      <c r="AZ15" s="1534"/>
      <c r="BA15" s="1534"/>
      <c r="BB15" s="1534"/>
      <c r="BC15" s="1534"/>
      <c r="BD15" s="1534"/>
      <c r="BE15" s="1535"/>
      <c r="BF15" s="1554"/>
      <c r="BG15" s="1534"/>
      <c r="BH15" s="1534"/>
      <c r="BI15" s="1534"/>
      <c r="BJ15" s="1534"/>
      <c r="BK15" s="1534"/>
      <c r="BL15" s="1534"/>
      <c r="BM15" s="1535"/>
      <c r="BN15" s="1554"/>
      <c r="BO15" s="1534"/>
      <c r="BP15" s="1534"/>
      <c r="BQ15" s="1534"/>
      <c r="BR15" s="1534"/>
      <c r="BS15" s="1534"/>
      <c r="BT15" s="1534"/>
      <c r="BU15" s="1535"/>
      <c r="BV15" s="1554"/>
      <c r="BW15" s="1534"/>
      <c r="BX15" s="1534"/>
      <c r="BY15" s="1534"/>
      <c r="BZ15" s="1534"/>
      <c r="CA15" s="1534"/>
      <c r="CB15" s="1534"/>
      <c r="CC15" s="1542"/>
    </row>
    <row r="16" spans="1:97" ht="14.25">
      <c r="A16" s="1224" t="s">
        <v>19</v>
      </c>
      <c r="B16" s="1712">
        <f>IFERROR('Step 10a--Required Acres'!D15/'Step 7a--Feedstuff Required'!$E16*'Step 7a--Feedstuff Required'!$Q16/'Step 7a--Feedstuff Required'!$N16,0)</f>
        <v>1.522422765626887E-3</v>
      </c>
      <c r="C16" s="1531"/>
      <c r="D16" s="1531">
        <f>IF(Options!$AE$24=TRUE,0,B16*'Step 11a--Inputs'!$C16)</f>
        <v>6.0287941518824731E-2</v>
      </c>
      <c r="E16" s="1531"/>
      <c r="F16" s="1531">
        <f>IF(Options!$AE$24=TRUE,0,B16*'Step 11a--Inputs'!$F16)</f>
        <v>0</v>
      </c>
      <c r="G16" s="1531"/>
      <c r="H16" s="1531">
        <f>IF(Options!$AE$24=TRUE,0,B16*'Step 11a--Inputs'!$I16)</f>
        <v>0</v>
      </c>
      <c r="I16" s="1532"/>
      <c r="J16" s="1533">
        <f>IFERROR('Step 9a--Daily DMI Rations'!F20/'Step 7a--Feedstuff Required'!$E16*'Step 7a--Feedstuff Required'!$Q16/'Step 7a--Feedstuff Required'!$N16,0)</f>
        <v>1.3963888888888891E-4</v>
      </c>
      <c r="K16" s="1531"/>
      <c r="L16" s="1531">
        <f>IF(Options!$AE$24=TRUE,0,J16*'Step 11a--Inputs'!$C16)</f>
        <v>5.5297000000000011E-3</v>
      </c>
      <c r="M16" s="1531"/>
      <c r="N16" s="1531">
        <f>IF(Options!$AE$24=TRUE,0,J16*'Step 11a--Inputs'!$F16)</f>
        <v>0</v>
      </c>
      <c r="O16" s="1531"/>
      <c r="P16" s="1531">
        <f>IF(Options!$AE$24=TRUE,0,J16*'Step 11a--Inputs'!$I16)</f>
        <v>0</v>
      </c>
      <c r="Q16" s="1532"/>
      <c r="R16" s="1533">
        <f>IFERROR('Step 9a--Daily DMI Rations'!L20/'Step 7a--Feedstuff Required'!$E16*'Step 7a--Feedstuff Required'!$Q16/'Step 7a--Feedstuff Required'!$N16,0)</f>
        <v>2.2445694315929127E-4</v>
      </c>
      <c r="S16" s="1531"/>
      <c r="T16" s="1531">
        <f>IF(Options!$AE$24=TRUE,0,R16*'Step 11a--Inputs'!$C16)</f>
        <v>8.8884949491079349E-3</v>
      </c>
      <c r="U16" s="1531"/>
      <c r="V16" s="1531">
        <f>IF(Options!$AE$24=TRUE,0,R16*'Step 11a--Inputs'!$F16)</f>
        <v>0</v>
      </c>
      <c r="W16" s="1531"/>
      <c r="X16" s="1531">
        <f>IF(Options!$AE$24=TRUE,0,R16*'Step 11a--Inputs'!$I16)</f>
        <v>0</v>
      </c>
      <c r="Y16" s="1532"/>
      <c r="Z16" s="1533">
        <f>IFERROR('Step 9a--Daily DMI Rations'!R20/'Step 7a--Feedstuff Required'!$E16*'Step 7a--Feedstuff Required'!$Q16/'Step 7a--Feedstuff Required'!$N16,0)</f>
        <v>8.1984383590838516E-4</v>
      </c>
      <c r="AA16" s="1531"/>
      <c r="AB16" s="1531">
        <f>IF(Options!$AE$24=TRUE,0,Z16*'Step 11a--Inputs'!$C16)</f>
        <v>3.2465815901972055E-2</v>
      </c>
      <c r="AC16" s="1531"/>
      <c r="AD16" s="1531">
        <f>IF(Options!$AE$24=TRUE,0,Z16*'Step 11a--Inputs'!$F16)</f>
        <v>0</v>
      </c>
      <c r="AE16" s="1531"/>
      <c r="AF16" s="1531">
        <f>IF(Options!$AE$24=TRUE,0,Z16*'Step 11a--Inputs'!$I16)</f>
        <v>0</v>
      </c>
      <c r="AG16" s="1532"/>
      <c r="AH16" s="1533">
        <f>IFERROR('Step 9a--Daily DMI Rations'!X20/'Step 7a--Feedstuff Required'!$E16*'Step 7a--Feedstuff Required'!$Q16/'Step 7a--Feedstuff Required'!$N16,0)</f>
        <v>3.3848309767032169E-4</v>
      </c>
      <c r="AI16" s="1531"/>
      <c r="AJ16" s="1531">
        <f>IF(Options!$AE$24=TRUE,0,AH16*'Step 11a--Inputs'!$C16)</f>
        <v>1.3403930667744739E-2</v>
      </c>
      <c r="AK16" s="1531"/>
      <c r="AL16" s="1531">
        <f>IF(Options!$AE$24=TRUE,0,AH16*'Step 11a--Inputs'!$F16)</f>
        <v>0</v>
      </c>
      <c r="AM16" s="1531"/>
      <c r="AN16" s="1531">
        <f>IF(Options!$AE$24=TRUE,0,AH16*'Step 11a--Inputs'!$I16)</f>
        <v>0</v>
      </c>
      <c r="AO16" s="1566"/>
      <c r="AP16" s="1983">
        <f>IFERROR('Step 9a--Daily DMI Rations'!AB20/'Step 7a--Feedstuff Required'!$Z16*'Step 7a--Feedstuff Required'!$AL16/'Step 7a--Feedstuff Required'!$AI16,0)</f>
        <v>1.522422765626887E-3</v>
      </c>
      <c r="AQ16" s="1534"/>
      <c r="AR16" s="1534">
        <f>IF(Options!$AF$24=TRUE,0,AP16*'Step 11a--Inputs'!$C16)</f>
        <v>6.0287941518824731E-2</v>
      </c>
      <c r="AS16" s="1534"/>
      <c r="AT16" s="1534">
        <f>IF(Options!$AF$24=TRUE,0,AP16*'Step 11a--Inputs'!$F16)</f>
        <v>0</v>
      </c>
      <c r="AU16" s="1534"/>
      <c r="AV16" s="1534">
        <f>IF(Options!$AF$24=TRUE,0,AP16*'Step 11a--Inputs'!$I16)</f>
        <v>0</v>
      </c>
      <c r="AW16" s="1535"/>
      <c r="AX16" s="1554">
        <f>IFERROR('Step 9a--Daily DMI Rations'!AG20/'Step 7a--Feedstuff Required'!$Z16*'Step 7a--Feedstuff Required'!$AL16/'Step 7a--Feedstuff Required'!$AI16,0)</f>
        <v>3.3611111111111108E-4</v>
      </c>
      <c r="AY16" s="1534"/>
      <c r="AZ16" s="1534">
        <f>IF(Options!$AF$24=TRUE,0,AX16*'Step 11a--Inputs'!$C16)</f>
        <v>1.3309999999999999E-2</v>
      </c>
      <c r="BA16" s="1534"/>
      <c r="BB16" s="1534">
        <f>IF(Options!$AF$24=TRUE,0,AX16*'Step 11a--Inputs'!$F16)</f>
        <v>0</v>
      </c>
      <c r="BC16" s="1534"/>
      <c r="BD16" s="1534">
        <f>IF(Options!$AF$24=TRUE,0,AX16*'Step 11a--Inputs'!$I16)</f>
        <v>0</v>
      </c>
      <c r="BE16" s="1535"/>
      <c r="BF16" s="1554">
        <f>IFERROR('Step 9a--Daily DMI Rations'!AM20/'Step 7a--Feedstuff Required'!$Z16*'Step 7a--Feedstuff Required'!$AL16/'Step 7a--Feedstuff Required'!$AI16,0)</f>
        <v>2.3510764289461523E-4</v>
      </c>
      <c r="BG16" s="1534"/>
      <c r="BH16" s="1534">
        <f>IF(Options!$AF$24=TRUE,0,BF16*'Step 11a--Inputs'!$C16)</f>
        <v>9.3102626586267639E-3</v>
      </c>
      <c r="BI16" s="1534"/>
      <c r="BJ16" s="1534">
        <f>IF(Options!$AF$24=TRUE,0,BF16*'Step 11a--Inputs'!$F16)</f>
        <v>0</v>
      </c>
      <c r="BK16" s="1534"/>
      <c r="BL16" s="1534">
        <f>IF(Options!$AF$24=TRUE,0,BF16*'Step 11a--Inputs'!$I16)</f>
        <v>0</v>
      </c>
      <c r="BM16" s="1535"/>
      <c r="BN16" s="1554">
        <f>IFERROR('Step 9a--Daily DMI Rations'!AS20/'Step 7a--Feedstuff Required'!$Z16*'Step 7a--Feedstuff Required'!$AL16/'Step 7a--Feedstuff Required'!$AI16,0)</f>
        <v>6.8928447789370472E-4</v>
      </c>
      <c r="BO16" s="1534"/>
      <c r="BP16" s="1534">
        <f>IF(Options!$AF$24=TRUE,0,BN16*'Step 11a--Inputs'!$C16)</f>
        <v>2.7295665324590709E-2</v>
      </c>
      <c r="BQ16" s="1534"/>
      <c r="BR16" s="1534">
        <f>IF(Options!$AF$24=TRUE,0,BN16*'Step 11a--Inputs'!$F16)</f>
        <v>0</v>
      </c>
      <c r="BS16" s="1534"/>
      <c r="BT16" s="1534">
        <f>IF(Options!$AF$24=TRUE,0,BN16*'Step 11a--Inputs'!$I16)</f>
        <v>0</v>
      </c>
      <c r="BU16" s="1535"/>
      <c r="BV16" s="1554">
        <f>IFERROR('Step 9a--Daily DMI Rations'!AY20/'Step 7a--Feedstuff Required'!$Z16*'Step 7a--Feedstuff Required'!$AL16/'Step 7a--Feedstuff Required'!$AI16,0)</f>
        <v>2.8400039081463398E-4</v>
      </c>
      <c r="BW16" s="1534"/>
      <c r="BX16" s="1534">
        <f>IF(Options!$AF$24=TRUE,0,BV16*'Step 11a--Inputs'!$C16)</f>
        <v>1.1246415476259507E-2</v>
      </c>
      <c r="BY16" s="1534"/>
      <c r="BZ16" s="1534">
        <f>IF(Options!$AF$24=TRUE,0,BV16*'Step 11a--Inputs'!$F16)</f>
        <v>0</v>
      </c>
      <c r="CA16" s="1534"/>
      <c r="CB16" s="1534">
        <f>IF(Options!$AF$24=TRUE,0,BV16*'Step 11a--Inputs'!$I16)</f>
        <v>0</v>
      </c>
      <c r="CC16" s="1542"/>
    </row>
    <row r="17" spans="1:81" ht="3" customHeight="1">
      <c r="A17" s="1224"/>
      <c r="B17" s="1712"/>
      <c r="C17" s="1531"/>
      <c r="D17" s="1531"/>
      <c r="E17" s="1531"/>
      <c r="F17" s="1531"/>
      <c r="G17" s="1531"/>
      <c r="H17" s="1531"/>
      <c r="I17" s="1532"/>
      <c r="J17" s="1533"/>
      <c r="K17" s="1531"/>
      <c r="L17" s="1531"/>
      <c r="M17" s="1531"/>
      <c r="N17" s="1531"/>
      <c r="O17" s="1531"/>
      <c r="P17" s="1531"/>
      <c r="Q17" s="1532"/>
      <c r="R17" s="1533"/>
      <c r="S17" s="1531"/>
      <c r="T17" s="1531"/>
      <c r="U17" s="1531"/>
      <c r="V17" s="1531"/>
      <c r="W17" s="1531"/>
      <c r="X17" s="1531"/>
      <c r="Y17" s="1532"/>
      <c r="Z17" s="1533"/>
      <c r="AA17" s="1531"/>
      <c r="AB17" s="1531"/>
      <c r="AC17" s="1531"/>
      <c r="AD17" s="1531"/>
      <c r="AE17" s="1531"/>
      <c r="AF17" s="1531"/>
      <c r="AG17" s="1532"/>
      <c r="AH17" s="1533"/>
      <c r="AI17" s="1531"/>
      <c r="AJ17" s="1531"/>
      <c r="AK17" s="1531"/>
      <c r="AL17" s="1531"/>
      <c r="AM17" s="1531"/>
      <c r="AN17" s="1531"/>
      <c r="AO17" s="1566"/>
      <c r="AP17" s="1983"/>
      <c r="AQ17" s="1534"/>
      <c r="AR17" s="1534"/>
      <c r="AS17" s="1534"/>
      <c r="AT17" s="1534"/>
      <c r="AU17" s="1534"/>
      <c r="AV17" s="1534"/>
      <c r="AW17" s="1535"/>
      <c r="AX17" s="1554"/>
      <c r="AY17" s="1534"/>
      <c r="AZ17" s="1534"/>
      <c r="BA17" s="1534"/>
      <c r="BB17" s="1534"/>
      <c r="BC17" s="1534"/>
      <c r="BD17" s="1534"/>
      <c r="BE17" s="1535"/>
      <c r="BF17" s="1554"/>
      <c r="BG17" s="1534"/>
      <c r="BH17" s="1534"/>
      <c r="BI17" s="1534"/>
      <c r="BJ17" s="1534"/>
      <c r="BK17" s="1534"/>
      <c r="BL17" s="1534"/>
      <c r="BM17" s="1535"/>
      <c r="BN17" s="1554"/>
      <c r="BO17" s="1534"/>
      <c r="BP17" s="1534"/>
      <c r="BQ17" s="1534"/>
      <c r="BR17" s="1534"/>
      <c r="BS17" s="1534"/>
      <c r="BT17" s="1534"/>
      <c r="BU17" s="1535"/>
      <c r="BV17" s="1554"/>
      <c r="BW17" s="1534"/>
      <c r="BX17" s="1534"/>
      <c r="BY17" s="1534"/>
      <c r="BZ17" s="1534"/>
      <c r="CA17" s="1534"/>
      <c r="CB17" s="1534"/>
      <c r="CC17" s="1542"/>
    </row>
    <row r="18" spans="1:81" ht="14.25">
      <c r="A18" s="1224" t="s">
        <v>31</v>
      </c>
      <c r="B18" s="1712">
        <f>IFERROR('Step 10a--Required Acres'!D17/'Step 7a--Feedstuff Required'!$E18*'Step 7a--Feedstuff Required'!$Q18/'Step 7a--Feedstuff Required'!$N18,0)</f>
        <v>1.0987565535843298E-3</v>
      </c>
      <c r="C18" s="1531"/>
      <c r="D18" s="1531">
        <f>IF(Options!$AE$24=TRUE,0,B18*'Step 11a--Inputs'!$C18)</f>
        <v>4.3510759521939467E-2</v>
      </c>
      <c r="E18" s="1531"/>
      <c r="F18" s="1531">
        <f>IF(Options!$AE$24=TRUE,0,B18*'Step 11a--Inputs'!$F18)</f>
        <v>3.2962696607529893E-4</v>
      </c>
      <c r="G18" s="1531"/>
      <c r="H18" s="1531">
        <f>IF(Options!$AE$24=TRUE,0,B18*'Step 11a--Inputs'!$I18)</f>
        <v>2.1975131071686599E-4</v>
      </c>
      <c r="I18" s="1532"/>
      <c r="J18" s="1533">
        <f>IFERROR('Step 9a--Daily DMI Rations'!F22/'Step 7a--Feedstuff Required'!$E18*'Step 7a--Feedstuff Required'!$Q18/'Step 7a--Feedstuff Required'!$N18,0)</f>
        <v>3.6864666666666673E-4</v>
      </c>
      <c r="K18" s="1531"/>
      <c r="L18" s="1531">
        <f>IF(Options!$AE$24=TRUE,0,J18*'Step 11a--Inputs'!$C18)</f>
        <v>1.4598408000000004E-2</v>
      </c>
      <c r="M18" s="1531"/>
      <c r="N18" s="1531">
        <f>IF(Options!$AE$24=TRUE,0,J18*'Step 11a--Inputs'!$F18)</f>
        <v>1.1059400000000002E-4</v>
      </c>
      <c r="O18" s="1531"/>
      <c r="P18" s="1531">
        <f>IF(Options!$AE$24=TRUE,0,J18*'Step 11a--Inputs'!$I18)</f>
        <v>7.3729333333333346E-5</v>
      </c>
      <c r="Q18" s="1532"/>
      <c r="R18" s="1533">
        <f>IFERROR('Step 9a--Daily DMI Rations'!L22/'Step 7a--Feedstuff Required'!$E18*'Step 7a--Feedstuff Required'!$Q18/'Step 7a--Feedstuff Required'!$N18,0)</f>
        <v>1.185132659881058E-4</v>
      </c>
      <c r="S18" s="1531"/>
      <c r="T18" s="1531">
        <f>IF(Options!$AE$24=TRUE,0,R18*'Step 11a--Inputs'!$C18)</f>
        <v>4.6931253331289899E-3</v>
      </c>
      <c r="U18" s="1531"/>
      <c r="V18" s="1531">
        <f>IF(Options!$AE$24=TRUE,0,R18*'Step 11a--Inputs'!$F18)</f>
        <v>3.5553979796431742E-5</v>
      </c>
      <c r="W18" s="1531"/>
      <c r="X18" s="1531">
        <f>IF(Options!$AE$24=TRUE,0,R18*'Step 11a--Inputs'!$I18)</f>
        <v>2.3702653197621163E-5</v>
      </c>
      <c r="Y18" s="1532"/>
      <c r="Z18" s="1533">
        <f>IFERROR('Step 9a--Daily DMI Rations'!R22/'Step 7a--Feedstuff Required'!$E18*'Step 7a--Feedstuff Required'!$Q18/'Step 7a--Feedstuff Required'!$N18,0)</f>
        <v>4.3287754535962743E-4</v>
      </c>
      <c r="AA18" s="1531"/>
      <c r="AB18" s="1531">
        <f>IF(Options!$AE$24=TRUE,0,Z18*'Step 11a--Inputs'!$C18)</f>
        <v>1.7141950796241246E-2</v>
      </c>
      <c r="AC18" s="1531"/>
      <c r="AD18" s="1531">
        <f>IF(Options!$AE$24=TRUE,0,Z18*'Step 11a--Inputs'!$F18)</f>
        <v>1.2986326360788823E-4</v>
      </c>
      <c r="AE18" s="1531"/>
      <c r="AF18" s="1531">
        <f>IF(Options!$AE$24=TRUE,0,Z18*'Step 11a--Inputs'!$I18)</f>
        <v>8.6575509071925487E-5</v>
      </c>
      <c r="AG18" s="1532"/>
      <c r="AH18" s="1533">
        <f>IFERROR('Step 9a--Daily DMI Rations'!X22/'Step 7a--Feedstuff Required'!$E18*'Step 7a--Feedstuff Required'!$Q18/'Step 7a--Feedstuff Required'!$N18,0)</f>
        <v>1.7871907556992985E-4</v>
      </c>
      <c r="AI18" s="1531"/>
      <c r="AJ18" s="1531">
        <f>IF(Options!$AE$24=TRUE,0,AH18*'Step 11a--Inputs'!$C18)</f>
        <v>7.077275392569222E-3</v>
      </c>
      <c r="AK18" s="1531"/>
      <c r="AL18" s="1531">
        <f>IF(Options!$AE$24=TRUE,0,AH18*'Step 11a--Inputs'!$F18)</f>
        <v>5.3615722670978954E-5</v>
      </c>
      <c r="AM18" s="1531"/>
      <c r="AN18" s="1531">
        <f>IF(Options!$AE$24=TRUE,0,AH18*'Step 11a--Inputs'!$I18)</f>
        <v>3.5743815113985972E-5</v>
      </c>
      <c r="AO18" s="1566"/>
      <c r="AP18" s="1983">
        <f>IFERROR('Step 9a--Daily DMI Rations'!AB22/'Step 7a--Feedstuff Required'!$Z18*'Step 7a--Feedstuff Required'!$AL18/'Step 7a--Feedstuff Required'!$AI18,0)</f>
        <v>1.0987565535843298E-3</v>
      </c>
      <c r="AQ18" s="1534"/>
      <c r="AR18" s="1534">
        <f>IF(Options!$AF$24=TRUE,0,AP18*'Step 11a--Inputs'!$C18)</f>
        <v>4.3510759521939467E-2</v>
      </c>
      <c r="AS18" s="1534"/>
      <c r="AT18" s="1534">
        <f>IF(Options!$AF$24=TRUE,0,AP18*'Step 11a--Inputs'!$F18)</f>
        <v>3.2962696607529893E-4</v>
      </c>
      <c r="AU18" s="1534"/>
      <c r="AV18" s="1534">
        <f>IF(Options!$AF$24=TRUE,0,AP18*'Step 11a--Inputs'!$I18)</f>
        <v>2.1975131071686599E-4</v>
      </c>
      <c r="AW18" s="1535"/>
      <c r="AX18" s="1554">
        <f>IFERROR('Step 9a--Daily DMI Rations'!AG22/'Step 7a--Feedstuff Required'!$Z18*'Step 7a--Feedstuff Required'!$AL18/'Step 7a--Feedstuff Required'!$AI18,0)</f>
        <v>3.5493333333333336E-4</v>
      </c>
      <c r="AY18" s="1534"/>
      <c r="AZ18" s="1534">
        <f>IF(Options!$AF$24=TRUE,0,AX18*'Step 11a--Inputs'!$C18)</f>
        <v>1.4055360000000001E-2</v>
      </c>
      <c r="BA18" s="1534"/>
      <c r="BB18" s="1534">
        <f>IF(Options!$AF$24=TRUE,0,AX18*'Step 11a--Inputs'!$F18)</f>
        <v>1.0648000000000001E-4</v>
      </c>
      <c r="BC18" s="1534"/>
      <c r="BD18" s="1534">
        <f>IF(Options!$AF$24=TRUE,0,AX18*'Step 11a--Inputs'!$I18)</f>
        <v>7.0986666666666669E-5</v>
      </c>
      <c r="BE18" s="1535"/>
      <c r="BF18" s="1554">
        <f>IFERROR('Step 9a--Daily DMI Rations'!AM22/'Step 7a--Feedstuff Required'!$Z18*'Step 7a--Feedstuff Required'!$AL18/'Step 7a--Feedstuff Required'!$AI18,0)</f>
        <v>1.2413683544835688E-4</v>
      </c>
      <c r="BG18" s="1534"/>
      <c r="BH18" s="1534">
        <f>IF(Options!$AF$24=TRUE,0,BF18*'Step 11a--Inputs'!$C18)</f>
        <v>4.9158186837549326E-3</v>
      </c>
      <c r="BI18" s="1534"/>
      <c r="BJ18" s="1534">
        <f>IF(Options!$AF$24=TRUE,0,BF18*'Step 11a--Inputs'!$F18)</f>
        <v>3.7241050634507063E-5</v>
      </c>
      <c r="BK18" s="1534"/>
      <c r="BL18" s="1534">
        <f>IF(Options!$AF$24=TRUE,0,BF18*'Step 11a--Inputs'!$I18)</f>
        <v>2.4827367089671375E-5</v>
      </c>
      <c r="BM18" s="1535"/>
      <c r="BN18" s="1554">
        <f>IFERROR('Step 9a--Daily DMI Rations'!AS22/'Step 7a--Feedstuff Required'!$Z18*'Step 7a--Feedstuff Required'!$AL18/'Step 7a--Feedstuff Required'!$AI18,0)</f>
        <v>3.6394220432787614E-4</v>
      </c>
      <c r="BO18" s="1534"/>
      <c r="BP18" s="1534">
        <f>IF(Options!$AF$24=TRUE,0,BN18*'Step 11a--Inputs'!$C18)</f>
        <v>1.4412111291383896E-2</v>
      </c>
      <c r="BQ18" s="1534"/>
      <c r="BR18" s="1534">
        <f>IF(Options!$AF$24=TRUE,0,BN18*'Step 11a--Inputs'!$F18)</f>
        <v>1.0918266129836284E-4</v>
      </c>
      <c r="BS18" s="1534"/>
      <c r="BT18" s="1534">
        <f>IF(Options!$AF$24=TRUE,0,BN18*'Step 11a--Inputs'!$I18)</f>
        <v>7.2788440865575229E-5</v>
      </c>
      <c r="BU18" s="1535"/>
      <c r="BV18" s="1554">
        <f>IFERROR('Step 9a--Daily DMI Rations'!AY22/'Step 7a--Feedstuff Required'!$Z18*'Step 7a--Feedstuff Required'!$AL18/'Step 7a--Feedstuff Required'!$AI18,0)</f>
        <v>1.4995220635012678E-4</v>
      </c>
      <c r="BW18" s="1534"/>
      <c r="BX18" s="1534">
        <f>IF(Options!$AF$24=TRUE,0,BV18*'Step 11a--Inputs'!$C18)</f>
        <v>5.9381073714650208E-3</v>
      </c>
      <c r="BY18" s="1534"/>
      <c r="BZ18" s="1534">
        <f>IF(Options!$AF$24=TRUE,0,BV18*'Step 11a--Inputs'!$F18)</f>
        <v>4.4985661905038033E-5</v>
      </c>
      <c r="CA18" s="1534"/>
      <c r="CB18" s="1534">
        <f>IF(Options!$AF$24=TRUE,0,BV18*'Step 11a--Inputs'!$I18)</f>
        <v>2.9990441270025358E-5</v>
      </c>
      <c r="CC18" s="1542"/>
    </row>
    <row r="19" spans="1:81" ht="3" customHeight="1">
      <c r="A19" s="1224"/>
      <c r="B19" s="1712"/>
      <c r="C19" s="1531"/>
      <c r="D19" s="1531"/>
      <c r="E19" s="1531"/>
      <c r="F19" s="1531"/>
      <c r="G19" s="1531"/>
      <c r="H19" s="1531"/>
      <c r="I19" s="1532"/>
      <c r="J19" s="1533"/>
      <c r="K19" s="1531"/>
      <c r="L19" s="1531"/>
      <c r="M19" s="1531"/>
      <c r="N19" s="1531"/>
      <c r="O19" s="1531"/>
      <c r="P19" s="1531"/>
      <c r="Q19" s="1532"/>
      <c r="R19" s="1533"/>
      <c r="S19" s="1531"/>
      <c r="T19" s="1531"/>
      <c r="U19" s="1531"/>
      <c r="V19" s="1531"/>
      <c r="W19" s="1531"/>
      <c r="X19" s="1531"/>
      <c r="Y19" s="1532"/>
      <c r="Z19" s="1533"/>
      <c r="AA19" s="1531"/>
      <c r="AB19" s="1531"/>
      <c r="AC19" s="1531"/>
      <c r="AD19" s="1531"/>
      <c r="AE19" s="1531"/>
      <c r="AF19" s="1531"/>
      <c r="AG19" s="1532"/>
      <c r="AH19" s="1533"/>
      <c r="AI19" s="1531"/>
      <c r="AJ19" s="1531"/>
      <c r="AK19" s="1531"/>
      <c r="AL19" s="1531"/>
      <c r="AM19" s="1531"/>
      <c r="AN19" s="1531"/>
      <c r="AO19" s="1566"/>
      <c r="AP19" s="1983"/>
      <c r="AQ19" s="1534"/>
      <c r="AR19" s="1534"/>
      <c r="AS19" s="1534"/>
      <c r="AT19" s="1534"/>
      <c r="AU19" s="1534"/>
      <c r="AV19" s="1534"/>
      <c r="AW19" s="1535"/>
      <c r="AX19" s="1554"/>
      <c r="AY19" s="1534"/>
      <c r="AZ19" s="1534"/>
      <c r="BA19" s="1534"/>
      <c r="BB19" s="1534"/>
      <c r="BC19" s="1534"/>
      <c r="BD19" s="1534"/>
      <c r="BE19" s="1535"/>
      <c r="BF19" s="1554"/>
      <c r="BG19" s="1534"/>
      <c r="BH19" s="1534"/>
      <c r="BI19" s="1534"/>
      <c r="BJ19" s="1534"/>
      <c r="BK19" s="1534"/>
      <c r="BL19" s="1534"/>
      <c r="BM19" s="1535"/>
      <c r="BN19" s="1554"/>
      <c r="BO19" s="1534"/>
      <c r="BP19" s="1534"/>
      <c r="BQ19" s="1534"/>
      <c r="BR19" s="1534"/>
      <c r="BS19" s="1534"/>
      <c r="BT19" s="1534"/>
      <c r="BU19" s="1535"/>
      <c r="BV19" s="1554"/>
      <c r="BW19" s="1534"/>
      <c r="BX19" s="1534"/>
      <c r="BY19" s="1534"/>
      <c r="BZ19" s="1534"/>
      <c r="CA19" s="1534"/>
      <c r="CB19" s="1534"/>
      <c r="CC19" s="1542"/>
    </row>
    <row r="20" spans="1:81" ht="14.25">
      <c r="A20" s="1225" t="str">
        <f>IF('Step 7a--Feedstuff Required'!B20="[add forage crop here]"," ",'Step 7a--Feedstuff Required'!B20)</f>
        <v xml:space="preserve"> </v>
      </c>
      <c r="B20" s="1712">
        <f>IFERROR('Step 10a--Required Acres'!D19/'Step 7a--Feedstuff Required'!$E20*'Step 7a--Feedstuff Required'!$Q20/'Step 7a--Feedstuff Required'!$N20,0)</f>
        <v>0</v>
      </c>
      <c r="C20" s="1531"/>
      <c r="D20" s="1531">
        <f>IF(Options!$AE$24=TRUE,0,B20*'Step 11a--Inputs'!$C20)</f>
        <v>0</v>
      </c>
      <c r="E20" s="1531"/>
      <c r="F20" s="1531">
        <f>IF(Options!$AE$24=TRUE,0,B20*'Step 11a--Inputs'!$F20)</f>
        <v>0</v>
      </c>
      <c r="G20" s="1531"/>
      <c r="H20" s="1531">
        <f>IF(Options!$AE$24=TRUE,0,B20*'Step 11a--Inputs'!$I20)</f>
        <v>0</v>
      </c>
      <c r="I20" s="1532"/>
      <c r="J20" s="1533">
        <f>IFERROR('Step 9a--Daily DMI Rations'!F24/'Step 7a--Feedstuff Required'!$E20*'Step 7a--Feedstuff Required'!$Q20/'Step 7a--Feedstuff Required'!$N20,0)</f>
        <v>0</v>
      </c>
      <c r="K20" s="1531"/>
      <c r="L20" s="1531">
        <f>IF(Options!$AE$24=TRUE,0,J20*'Step 11a--Inputs'!$C20)</f>
        <v>0</v>
      </c>
      <c r="M20" s="1531"/>
      <c r="N20" s="1531">
        <f>IF(Options!$AE$24=TRUE,0,J20*'Step 11a--Inputs'!$F20)</f>
        <v>0</v>
      </c>
      <c r="O20" s="1531"/>
      <c r="P20" s="1531">
        <f>IF(Options!$AE$24=TRUE,0,J20*'Step 11a--Inputs'!$I20)</f>
        <v>0</v>
      </c>
      <c r="Q20" s="1532"/>
      <c r="R20" s="1533">
        <f>IFERROR('Step 9a--Daily DMI Rations'!L24/'Step 7a--Feedstuff Required'!$E20*'Step 7a--Feedstuff Required'!$Q20/'Step 7a--Feedstuff Required'!$N20,0)</f>
        <v>0</v>
      </c>
      <c r="S20" s="1531"/>
      <c r="T20" s="1531">
        <f>IF(Options!$AE$24=TRUE,0,R20*'Step 11a--Inputs'!$C20)</f>
        <v>0</v>
      </c>
      <c r="U20" s="1531"/>
      <c r="V20" s="1531">
        <f>IF(Options!$AE$24=TRUE,0,R20*'Step 11a--Inputs'!$F20)</f>
        <v>0</v>
      </c>
      <c r="W20" s="1531"/>
      <c r="X20" s="1531">
        <f>IF(Options!$AE$24=TRUE,0,R20*'Step 11a--Inputs'!$I20)</f>
        <v>0</v>
      </c>
      <c r="Y20" s="1532"/>
      <c r="Z20" s="1533">
        <f>IFERROR('Step 9a--Daily DMI Rations'!R24/'Step 7a--Feedstuff Required'!$E20*'Step 7a--Feedstuff Required'!$Q20/'Step 7a--Feedstuff Required'!$N20,0)</f>
        <v>0</v>
      </c>
      <c r="AA20" s="1531"/>
      <c r="AB20" s="1531">
        <f>IF(Options!$AE$24=TRUE,0,Z20*'Step 11a--Inputs'!$C20)</f>
        <v>0</v>
      </c>
      <c r="AC20" s="1531"/>
      <c r="AD20" s="1531">
        <f>IF(Options!$AE$24=TRUE,0,Z20*'Step 11a--Inputs'!$F20)</f>
        <v>0</v>
      </c>
      <c r="AE20" s="1531"/>
      <c r="AF20" s="1531">
        <f>IF(Options!$AE$24=TRUE,0,Z20*'Step 11a--Inputs'!$I20)</f>
        <v>0</v>
      </c>
      <c r="AG20" s="1532"/>
      <c r="AH20" s="1533">
        <f>IFERROR('Step 9a--Daily DMI Rations'!X24/'Step 7a--Feedstuff Required'!$E20*'Step 7a--Feedstuff Required'!$Q20/'Step 7a--Feedstuff Required'!$N20,0)</f>
        <v>0</v>
      </c>
      <c r="AI20" s="1531"/>
      <c r="AJ20" s="1531">
        <f>IF(Options!$AE$24=TRUE,0,AH20*'Step 11a--Inputs'!$C20)</f>
        <v>0</v>
      </c>
      <c r="AK20" s="1531"/>
      <c r="AL20" s="1531">
        <f>IF(Options!$AE$24=TRUE,0,AH20*'Step 11a--Inputs'!$F20)</f>
        <v>0</v>
      </c>
      <c r="AM20" s="1531"/>
      <c r="AN20" s="1531">
        <f>IF(Options!$AE$24=TRUE,0,AH20*'Step 11a--Inputs'!$I20)</f>
        <v>0</v>
      </c>
      <c r="AO20" s="1566"/>
      <c r="AP20" s="1983">
        <f>IFERROR('Step 9a--Daily DMI Rations'!AB24/'Step 7a--Feedstuff Required'!$Z20*'Step 7a--Feedstuff Required'!$AL20/'Step 7a--Feedstuff Required'!$AI20,0)</f>
        <v>0</v>
      </c>
      <c r="AQ20" s="1534"/>
      <c r="AR20" s="1534">
        <f>IF(Options!$AF$24=TRUE,0,AP20*'Step 11a--Inputs'!$C20)</f>
        <v>0</v>
      </c>
      <c r="AS20" s="1534"/>
      <c r="AT20" s="1534">
        <f>IF(Options!$AF$24=TRUE,0,AP20*'Step 11a--Inputs'!$F20)</f>
        <v>0</v>
      </c>
      <c r="AU20" s="1534"/>
      <c r="AV20" s="1534">
        <f>IF(Options!$AF$24=TRUE,0,AP20*'Step 11a--Inputs'!$I20)</f>
        <v>0</v>
      </c>
      <c r="AW20" s="1535"/>
      <c r="AX20" s="1554">
        <f>IFERROR('Step 9a--Daily DMI Rations'!AG24/'Step 7a--Feedstuff Required'!$Z20*'Step 7a--Feedstuff Required'!$AL20/'Step 7a--Feedstuff Required'!$AI20,0)</f>
        <v>0</v>
      </c>
      <c r="AY20" s="1534"/>
      <c r="AZ20" s="1534">
        <f>IF(Options!$AF$24=TRUE,0,AX20*'Step 11a--Inputs'!$C20)</f>
        <v>0</v>
      </c>
      <c r="BA20" s="1534"/>
      <c r="BB20" s="1534">
        <f>IF(Options!$AF$24=TRUE,0,AX20*'Step 11a--Inputs'!$F20)</f>
        <v>0</v>
      </c>
      <c r="BC20" s="1534"/>
      <c r="BD20" s="1534">
        <f>IF(Options!$AF$24=TRUE,0,AX20*'Step 11a--Inputs'!$I20)</f>
        <v>0</v>
      </c>
      <c r="BE20" s="1535"/>
      <c r="BF20" s="1554">
        <f>IFERROR('Step 9a--Daily DMI Rations'!AM24/'Step 7a--Feedstuff Required'!$Z20*'Step 7a--Feedstuff Required'!$AL20/'Step 7a--Feedstuff Required'!$AI20,0)</f>
        <v>0</v>
      </c>
      <c r="BG20" s="1534"/>
      <c r="BH20" s="1534">
        <f>IF(Options!$AF$24=TRUE,0,BF20*'Step 11a--Inputs'!$C20)</f>
        <v>0</v>
      </c>
      <c r="BI20" s="1534"/>
      <c r="BJ20" s="1534">
        <f>IF(Options!$AF$24=TRUE,0,BF20*'Step 11a--Inputs'!$F20)</f>
        <v>0</v>
      </c>
      <c r="BK20" s="1534"/>
      <c r="BL20" s="1534">
        <f>IF(Options!$AF$24=TRUE,0,BF20*'Step 11a--Inputs'!$I20)</f>
        <v>0</v>
      </c>
      <c r="BM20" s="1535"/>
      <c r="BN20" s="1554">
        <f>IFERROR('Step 9a--Daily DMI Rations'!AS24/'Step 7a--Feedstuff Required'!$Z20*'Step 7a--Feedstuff Required'!$AL20/'Step 7a--Feedstuff Required'!$AI20,0)</f>
        <v>0</v>
      </c>
      <c r="BO20" s="1534"/>
      <c r="BP20" s="1534">
        <f>IF(Options!$AF$24=TRUE,0,BN20*'Step 11a--Inputs'!$C20)</f>
        <v>0</v>
      </c>
      <c r="BQ20" s="1534"/>
      <c r="BR20" s="1534">
        <f>IF(Options!$AF$24=TRUE,0,BN20*'Step 11a--Inputs'!$F20)</f>
        <v>0</v>
      </c>
      <c r="BS20" s="1534"/>
      <c r="BT20" s="1534">
        <f>IF(Options!$AF$24=TRUE,0,BN20*'Step 11a--Inputs'!$I20)</f>
        <v>0</v>
      </c>
      <c r="BU20" s="1535"/>
      <c r="BV20" s="1554">
        <f>IFERROR('Step 9a--Daily DMI Rations'!AY24/'Step 7a--Feedstuff Required'!$Z20*'Step 7a--Feedstuff Required'!$AL20/'Step 7a--Feedstuff Required'!$AI20,0)</f>
        <v>0</v>
      </c>
      <c r="BW20" s="1534"/>
      <c r="BX20" s="1534">
        <f>IF(Options!$AF$24=TRUE,0,BV20*'Step 11a--Inputs'!$C20)</f>
        <v>0</v>
      </c>
      <c r="BY20" s="1534"/>
      <c r="BZ20" s="1534">
        <f>IF(Options!$AF$24=TRUE,0,BV20*'Step 11a--Inputs'!$F20)</f>
        <v>0</v>
      </c>
      <c r="CA20" s="1534"/>
      <c r="CB20" s="1534">
        <f>IF(Options!$AF$24=TRUE,0,BV20*'Step 11a--Inputs'!$I20)</f>
        <v>0</v>
      </c>
      <c r="CC20" s="1542"/>
    </row>
    <row r="21" spans="1:81" ht="3" customHeight="1">
      <c r="A21" s="1224"/>
      <c r="B21" s="1712"/>
      <c r="C21" s="1531"/>
      <c r="D21" s="1531"/>
      <c r="E21" s="1531"/>
      <c r="F21" s="1531"/>
      <c r="G21" s="1531"/>
      <c r="H21" s="1531"/>
      <c r="I21" s="1532"/>
      <c r="J21" s="1533"/>
      <c r="K21" s="1531"/>
      <c r="L21" s="1531"/>
      <c r="M21" s="1531"/>
      <c r="N21" s="1531"/>
      <c r="O21" s="1531"/>
      <c r="P21" s="1531"/>
      <c r="Q21" s="1532"/>
      <c r="R21" s="1533"/>
      <c r="S21" s="1531"/>
      <c r="T21" s="1531"/>
      <c r="U21" s="1531"/>
      <c r="V21" s="1531"/>
      <c r="W21" s="1531"/>
      <c r="X21" s="1531"/>
      <c r="Y21" s="1532"/>
      <c r="Z21" s="1533"/>
      <c r="AA21" s="1531"/>
      <c r="AB21" s="1531"/>
      <c r="AC21" s="1531"/>
      <c r="AD21" s="1531"/>
      <c r="AE21" s="1531"/>
      <c r="AF21" s="1531"/>
      <c r="AG21" s="1532"/>
      <c r="AH21" s="1533"/>
      <c r="AI21" s="1531"/>
      <c r="AJ21" s="1531"/>
      <c r="AK21" s="1531"/>
      <c r="AL21" s="1531"/>
      <c r="AM21" s="1531"/>
      <c r="AN21" s="1531"/>
      <c r="AO21" s="1566"/>
      <c r="AP21" s="1983"/>
      <c r="AQ21" s="1534"/>
      <c r="AR21" s="1534"/>
      <c r="AS21" s="1534"/>
      <c r="AT21" s="1534"/>
      <c r="AU21" s="1534"/>
      <c r="AV21" s="1534"/>
      <c r="AW21" s="1535"/>
      <c r="AX21" s="1554"/>
      <c r="AY21" s="1534"/>
      <c r="AZ21" s="1534"/>
      <c r="BA21" s="1534"/>
      <c r="BB21" s="1534"/>
      <c r="BC21" s="1534"/>
      <c r="BD21" s="1534"/>
      <c r="BE21" s="1535"/>
      <c r="BF21" s="1554"/>
      <c r="BG21" s="1534"/>
      <c r="BH21" s="1534"/>
      <c r="BI21" s="1534"/>
      <c r="BJ21" s="1534"/>
      <c r="BK21" s="1534"/>
      <c r="BL21" s="1534"/>
      <c r="BM21" s="1535"/>
      <c r="BN21" s="1554"/>
      <c r="BO21" s="1534"/>
      <c r="BP21" s="1534"/>
      <c r="BQ21" s="1534"/>
      <c r="BR21" s="1534"/>
      <c r="BS21" s="1534"/>
      <c r="BT21" s="1534"/>
      <c r="BU21" s="1535"/>
      <c r="BV21" s="1554"/>
      <c r="BW21" s="1534"/>
      <c r="BX21" s="1534"/>
      <c r="BY21" s="1534"/>
      <c r="BZ21" s="1534"/>
      <c r="CA21" s="1534"/>
      <c r="CB21" s="1534"/>
      <c r="CC21" s="1542"/>
    </row>
    <row r="22" spans="1:81" ht="14.25">
      <c r="A22" s="1225" t="str">
        <f>IF('Step 7a--Feedstuff Required'!B22="[add forage crop here]"," ",'Step 7a--Feedstuff Required'!B22)</f>
        <v xml:space="preserve"> </v>
      </c>
      <c r="B22" s="1712">
        <f>IFERROR('Step 10a--Required Acres'!D21/'Step 7a--Feedstuff Required'!$E22*'Step 7a--Feedstuff Required'!$Q22/'Step 7a--Feedstuff Required'!$N22,0)</f>
        <v>0</v>
      </c>
      <c r="C22" s="1531"/>
      <c r="D22" s="1531">
        <f>IF(Options!$AE$24=TRUE,0,B22*'Step 11a--Inputs'!$C22)</f>
        <v>0</v>
      </c>
      <c r="E22" s="1531"/>
      <c r="F22" s="1531">
        <f>IF(Options!$AE$24=TRUE,0,B22*'Step 11a--Inputs'!$F22)</f>
        <v>0</v>
      </c>
      <c r="G22" s="1531"/>
      <c r="H22" s="1531">
        <f>IF(Options!$AE$24=TRUE,0,B22*'Step 11a--Inputs'!$I22)</f>
        <v>0</v>
      </c>
      <c r="I22" s="1532"/>
      <c r="J22" s="1533">
        <f>IFERROR('Step 9a--Daily DMI Rations'!F26/'Step 7a--Feedstuff Required'!$E22*'Step 7a--Feedstuff Required'!$Q22/'Step 7a--Feedstuff Required'!$N22,0)</f>
        <v>0</v>
      </c>
      <c r="K22" s="1531"/>
      <c r="L22" s="1531">
        <f>IF(Options!$AE$24=TRUE,0,J22*'Step 11a--Inputs'!$C22)</f>
        <v>0</v>
      </c>
      <c r="M22" s="1531"/>
      <c r="N22" s="1531">
        <f>IF(Options!$AE$24=TRUE,0,J22*'Step 11a--Inputs'!$F22)</f>
        <v>0</v>
      </c>
      <c r="O22" s="1531"/>
      <c r="P22" s="1531">
        <f>IF(Options!$AE$24=TRUE,0,J22*'Step 11a--Inputs'!$I22)</f>
        <v>0</v>
      </c>
      <c r="Q22" s="1532"/>
      <c r="R22" s="1533">
        <f>IFERROR('Step 9a--Daily DMI Rations'!L26/'Step 7a--Feedstuff Required'!$E22*'Step 7a--Feedstuff Required'!$Q22/'Step 7a--Feedstuff Required'!$N22,0)</f>
        <v>0</v>
      </c>
      <c r="S22" s="1531"/>
      <c r="T22" s="1531">
        <f>IF(Options!$AE$24=TRUE,0,R22*'Step 11a--Inputs'!$C22)</f>
        <v>0</v>
      </c>
      <c r="U22" s="1531"/>
      <c r="V22" s="1531">
        <f>IF(Options!$AE$24=TRUE,0,R22*'Step 11a--Inputs'!$F22)</f>
        <v>0</v>
      </c>
      <c r="W22" s="1531"/>
      <c r="X22" s="1531">
        <f>IF(Options!$AE$24=TRUE,0,R22*'Step 11a--Inputs'!$I22)</f>
        <v>0</v>
      </c>
      <c r="Y22" s="1532"/>
      <c r="Z22" s="1533">
        <f>IFERROR('Step 9a--Daily DMI Rations'!R26/'Step 7a--Feedstuff Required'!$E22*'Step 7a--Feedstuff Required'!$Q22/'Step 7a--Feedstuff Required'!$N22,0)</f>
        <v>0</v>
      </c>
      <c r="AA22" s="1531"/>
      <c r="AB22" s="1531">
        <f>IF(Options!$AE$24=TRUE,0,Z22*'Step 11a--Inputs'!$C22)</f>
        <v>0</v>
      </c>
      <c r="AC22" s="1531"/>
      <c r="AD22" s="1531">
        <f>IF(Options!$AE$24=TRUE,0,Z22*'Step 11a--Inputs'!$F22)</f>
        <v>0</v>
      </c>
      <c r="AE22" s="1531"/>
      <c r="AF22" s="1531">
        <f>IF(Options!$AE$24=TRUE,0,Z22*'Step 11a--Inputs'!$I22)</f>
        <v>0</v>
      </c>
      <c r="AG22" s="1532"/>
      <c r="AH22" s="1533">
        <f>IFERROR('Step 9a--Daily DMI Rations'!X26/'Step 7a--Feedstuff Required'!$E22*'Step 7a--Feedstuff Required'!$Q22/'Step 7a--Feedstuff Required'!$N22,0)</f>
        <v>0</v>
      </c>
      <c r="AI22" s="1531"/>
      <c r="AJ22" s="1531">
        <f>IF(Options!$AE$24=TRUE,0,AH22*'Step 11a--Inputs'!$C22)</f>
        <v>0</v>
      </c>
      <c r="AK22" s="1531"/>
      <c r="AL22" s="1531">
        <f>IF(Options!$AE$24=TRUE,0,AH22*'Step 11a--Inputs'!$F22)</f>
        <v>0</v>
      </c>
      <c r="AM22" s="1531"/>
      <c r="AN22" s="1531">
        <f>IF(Options!$AE$24=TRUE,0,AH22*'Step 11a--Inputs'!$I22)</f>
        <v>0</v>
      </c>
      <c r="AO22" s="1566"/>
      <c r="AP22" s="1983">
        <f>IFERROR('Step 9a--Daily DMI Rations'!AB26/'Step 7a--Feedstuff Required'!$Z22*'Step 7a--Feedstuff Required'!$AL22/'Step 7a--Feedstuff Required'!$AI22,0)</f>
        <v>0</v>
      </c>
      <c r="AQ22" s="1534"/>
      <c r="AR22" s="1534">
        <f>IF(Options!$AF$24=TRUE,0,AP22*'Step 11a--Inputs'!$C22)</f>
        <v>0</v>
      </c>
      <c r="AS22" s="1534"/>
      <c r="AT22" s="1534">
        <f>IF(Options!$AF$24=TRUE,0,AP22*'Step 11a--Inputs'!$F22)</f>
        <v>0</v>
      </c>
      <c r="AU22" s="1534"/>
      <c r="AV22" s="1534">
        <f>IF(Options!$AF$24=TRUE,0,AP22*'Step 11a--Inputs'!$I22)</f>
        <v>0</v>
      </c>
      <c r="AW22" s="1535"/>
      <c r="AX22" s="1554">
        <f>IFERROR('Step 9a--Daily DMI Rations'!AG26/'Step 7a--Feedstuff Required'!$Z22*'Step 7a--Feedstuff Required'!$AL22/'Step 7a--Feedstuff Required'!$AI22,0)</f>
        <v>0</v>
      </c>
      <c r="AY22" s="1534"/>
      <c r="AZ22" s="1534">
        <f>IF(Options!$AF$24=TRUE,0,AX22*'Step 11a--Inputs'!$C22)</f>
        <v>0</v>
      </c>
      <c r="BA22" s="1534"/>
      <c r="BB22" s="1534">
        <f>IF(Options!$AF$24=TRUE,0,AX22*'Step 11a--Inputs'!$F22)</f>
        <v>0</v>
      </c>
      <c r="BC22" s="1534"/>
      <c r="BD22" s="1534">
        <f>IF(Options!$AF$24=TRUE,0,AX22*'Step 11a--Inputs'!$I22)</f>
        <v>0</v>
      </c>
      <c r="BE22" s="1535"/>
      <c r="BF22" s="1554">
        <f>IFERROR('Step 9a--Daily DMI Rations'!AM26/'Step 7a--Feedstuff Required'!$Z22*'Step 7a--Feedstuff Required'!$AL22/'Step 7a--Feedstuff Required'!$AI22,0)</f>
        <v>0</v>
      </c>
      <c r="BG22" s="1534"/>
      <c r="BH22" s="1534">
        <f>IF(Options!$AF$24=TRUE,0,BF22*'Step 11a--Inputs'!$C22)</f>
        <v>0</v>
      </c>
      <c r="BI22" s="1534"/>
      <c r="BJ22" s="1534">
        <f>IF(Options!$AF$24=TRUE,0,BF22*'Step 11a--Inputs'!$F22)</f>
        <v>0</v>
      </c>
      <c r="BK22" s="1534"/>
      <c r="BL22" s="1534">
        <f>IF(Options!$AF$24=TRUE,0,BF22*'Step 11a--Inputs'!$I22)</f>
        <v>0</v>
      </c>
      <c r="BM22" s="1535"/>
      <c r="BN22" s="1554">
        <f>IFERROR('Step 9a--Daily DMI Rations'!AS26/'Step 7a--Feedstuff Required'!$Z22*'Step 7a--Feedstuff Required'!$AL22/'Step 7a--Feedstuff Required'!$AI22,0)</f>
        <v>0</v>
      </c>
      <c r="BO22" s="1534"/>
      <c r="BP22" s="1534">
        <f>IF(Options!$AF$24=TRUE,0,BN22*'Step 11a--Inputs'!$C22)</f>
        <v>0</v>
      </c>
      <c r="BQ22" s="1534"/>
      <c r="BR22" s="1534">
        <f>IF(Options!$AF$24=TRUE,0,BN22*'Step 11a--Inputs'!$F22)</f>
        <v>0</v>
      </c>
      <c r="BS22" s="1534"/>
      <c r="BT22" s="1534">
        <f>IF(Options!$AF$24=TRUE,0,BN22*'Step 11a--Inputs'!$I22)</f>
        <v>0</v>
      </c>
      <c r="BU22" s="1535"/>
      <c r="BV22" s="1554">
        <f>IFERROR('Step 9a--Daily DMI Rations'!AY26/'Step 7a--Feedstuff Required'!$Z22*'Step 7a--Feedstuff Required'!$AL22/'Step 7a--Feedstuff Required'!$AI22,0)</f>
        <v>0</v>
      </c>
      <c r="BW22" s="1534"/>
      <c r="BX22" s="1534">
        <f>IF(Options!$AF$24=TRUE,0,BV22*'Step 11a--Inputs'!$C22)</f>
        <v>0</v>
      </c>
      <c r="BY22" s="1534"/>
      <c r="BZ22" s="1534">
        <f>IF(Options!$AF$24=TRUE,0,BV22*'Step 11a--Inputs'!$F22)</f>
        <v>0</v>
      </c>
      <c r="CA22" s="1534"/>
      <c r="CB22" s="1534">
        <f>IF(Options!$AF$24=TRUE,0,BV22*'Step 11a--Inputs'!$I22)</f>
        <v>0</v>
      </c>
      <c r="CC22" s="1542"/>
    </row>
    <row r="23" spans="1:81" ht="3" customHeight="1">
      <c r="A23" s="1224"/>
      <c r="B23" s="1712"/>
      <c r="C23" s="1531"/>
      <c r="D23" s="1531"/>
      <c r="E23" s="1531"/>
      <c r="F23" s="1531"/>
      <c r="G23" s="1531"/>
      <c r="H23" s="1531"/>
      <c r="I23" s="1532"/>
      <c r="J23" s="1533"/>
      <c r="K23" s="1531"/>
      <c r="L23" s="1531"/>
      <c r="M23" s="1531"/>
      <c r="N23" s="1531"/>
      <c r="O23" s="1531"/>
      <c r="P23" s="1531"/>
      <c r="Q23" s="1532"/>
      <c r="R23" s="1533"/>
      <c r="S23" s="1531"/>
      <c r="T23" s="1531"/>
      <c r="U23" s="1531"/>
      <c r="V23" s="1531"/>
      <c r="W23" s="1531"/>
      <c r="X23" s="1531"/>
      <c r="Y23" s="1532"/>
      <c r="Z23" s="1533"/>
      <c r="AA23" s="1531"/>
      <c r="AB23" s="1531"/>
      <c r="AC23" s="1531"/>
      <c r="AD23" s="1531"/>
      <c r="AE23" s="1531"/>
      <c r="AF23" s="1531"/>
      <c r="AG23" s="1532"/>
      <c r="AH23" s="1533"/>
      <c r="AI23" s="1531"/>
      <c r="AJ23" s="1531"/>
      <c r="AK23" s="1531"/>
      <c r="AL23" s="1531"/>
      <c r="AM23" s="1531"/>
      <c r="AN23" s="1531"/>
      <c r="AO23" s="1566"/>
      <c r="AP23" s="1983"/>
      <c r="AQ23" s="1534"/>
      <c r="AR23" s="1534"/>
      <c r="AS23" s="1534"/>
      <c r="AT23" s="1534"/>
      <c r="AU23" s="1534"/>
      <c r="AV23" s="1534"/>
      <c r="AW23" s="1535"/>
      <c r="AX23" s="1554"/>
      <c r="AY23" s="1534"/>
      <c r="AZ23" s="1534"/>
      <c r="BA23" s="1534"/>
      <c r="BB23" s="1534"/>
      <c r="BC23" s="1534"/>
      <c r="BD23" s="1534"/>
      <c r="BE23" s="1535"/>
      <c r="BF23" s="1554"/>
      <c r="BG23" s="1534"/>
      <c r="BH23" s="1534"/>
      <c r="BI23" s="1534"/>
      <c r="BJ23" s="1534"/>
      <c r="BK23" s="1534"/>
      <c r="BL23" s="1534"/>
      <c r="BM23" s="1535"/>
      <c r="BN23" s="1554"/>
      <c r="BO23" s="1534"/>
      <c r="BP23" s="1534"/>
      <c r="BQ23" s="1534"/>
      <c r="BR23" s="1534"/>
      <c r="BS23" s="1534"/>
      <c r="BT23" s="1534"/>
      <c r="BU23" s="1535"/>
      <c r="BV23" s="1554"/>
      <c r="BW23" s="1534"/>
      <c r="BX23" s="1534"/>
      <c r="BY23" s="1534"/>
      <c r="BZ23" s="1534"/>
      <c r="CA23" s="1534"/>
      <c r="CB23" s="1534"/>
      <c r="CC23" s="1542"/>
    </row>
    <row r="24" spans="1:81" ht="14.25">
      <c r="A24" s="1225" t="str">
        <f>IF('Step 7a--Feedstuff Required'!B24="[add forage crop here]"," ",'Step 7a--Feedstuff Required'!B24)</f>
        <v xml:space="preserve"> </v>
      </c>
      <c r="B24" s="1712">
        <f>IFERROR('Step 10a--Required Acres'!D23/'Step 7a--Feedstuff Required'!$E24*'Step 7a--Feedstuff Required'!$Q24/'Step 7a--Feedstuff Required'!$N24,0)</f>
        <v>0</v>
      </c>
      <c r="C24" s="1531"/>
      <c r="D24" s="1531">
        <f>IF(Options!$AE$24=TRUE,0,B24*'Step 11a--Inputs'!$C24)</f>
        <v>0</v>
      </c>
      <c r="E24" s="1531"/>
      <c r="F24" s="1531">
        <f>IF(Options!$AE$24=TRUE,0,B24*'Step 11a--Inputs'!$F24)</f>
        <v>0</v>
      </c>
      <c r="G24" s="1531"/>
      <c r="H24" s="1531">
        <f>IF(Options!$AE$24=TRUE,0,B24*'Step 11a--Inputs'!$I24)</f>
        <v>0</v>
      </c>
      <c r="I24" s="1532"/>
      <c r="J24" s="1533">
        <f>IFERROR('Step 9a--Daily DMI Rations'!F28/'Step 7a--Feedstuff Required'!$E24*'Step 7a--Feedstuff Required'!$Q24/'Step 7a--Feedstuff Required'!$N24,0)</f>
        <v>0</v>
      </c>
      <c r="K24" s="1531"/>
      <c r="L24" s="1531">
        <f>IF(Options!$AE$24=TRUE,0,J24*'Step 11a--Inputs'!$C24)</f>
        <v>0</v>
      </c>
      <c r="M24" s="1531"/>
      <c r="N24" s="1531">
        <f>IF(Options!$AE$24=TRUE,0,J24*'Step 11a--Inputs'!$F24)</f>
        <v>0</v>
      </c>
      <c r="O24" s="1531"/>
      <c r="P24" s="1531">
        <f>IF(Options!$AE$24=TRUE,0,J24*'Step 11a--Inputs'!$I24)</f>
        <v>0</v>
      </c>
      <c r="Q24" s="1532"/>
      <c r="R24" s="1533">
        <f>IFERROR('Step 9a--Daily DMI Rations'!L28/'Step 7a--Feedstuff Required'!$E24*'Step 7a--Feedstuff Required'!$Q24/'Step 7a--Feedstuff Required'!$N24,0)</f>
        <v>0</v>
      </c>
      <c r="S24" s="1531"/>
      <c r="T24" s="1531">
        <f>IF(Options!$AE$24=TRUE,0,R24*'Step 11a--Inputs'!$C24)</f>
        <v>0</v>
      </c>
      <c r="U24" s="1531"/>
      <c r="V24" s="1531">
        <f>IF(Options!$AE$24=TRUE,0,R24*'Step 11a--Inputs'!$F24)</f>
        <v>0</v>
      </c>
      <c r="W24" s="1531"/>
      <c r="X24" s="1531">
        <f>IF(Options!$AE$24=TRUE,0,R24*'Step 11a--Inputs'!$I24)</f>
        <v>0</v>
      </c>
      <c r="Y24" s="1532"/>
      <c r="Z24" s="1533">
        <f>IFERROR('Step 9a--Daily DMI Rations'!R28/'Step 7a--Feedstuff Required'!$E24*'Step 7a--Feedstuff Required'!$Q24/'Step 7a--Feedstuff Required'!$N24,0)</f>
        <v>0</v>
      </c>
      <c r="AA24" s="1531"/>
      <c r="AB24" s="1531">
        <f>IF(Options!$AE$24=TRUE,0,Z24*'Step 11a--Inputs'!$C24)</f>
        <v>0</v>
      </c>
      <c r="AC24" s="1531"/>
      <c r="AD24" s="1531">
        <f>IF(Options!$AE$24=TRUE,0,Z24*'Step 11a--Inputs'!$F24)</f>
        <v>0</v>
      </c>
      <c r="AE24" s="1531"/>
      <c r="AF24" s="1531">
        <f>IF(Options!$AE$24=TRUE,0,Z24*'Step 11a--Inputs'!$I24)</f>
        <v>0</v>
      </c>
      <c r="AG24" s="1532"/>
      <c r="AH24" s="1533">
        <f>IFERROR('Step 9a--Daily DMI Rations'!X28/'Step 7a--Feedstuff Required'!$E24*'Step 7a--Feedstuff Required'!$Q24/'Step 7a--Feedstuff Required'!$N24,0)</f>
        <v>0</v>
      </c>
      <c r="AI24" s="1531"/>
      <c r="AJ24" s="1531">
        <f>IF(Options!$AE$24=TRUE,0,AH24*'Step 11a--Inputs'!$C24)</f>
        <v>0</v>
      </c>
      <c r="AK24" s="1531"/>
      <c r="AL24" s="1531">
        <f>IF(Options!$AE$24=TRUE,0,AH24*'Step 11a--Inputs'!$F24)</f>
        <v>0</v>
      </c>
      <c r="AM24" s="1531"/>
      <c r="AN24" s="1531">
        <f>IF(Options!$AE$24=TRUE,0,AH24*'Step 11a--Inputs'!$I24)</f>
        <v>0</v>
      </c>
      <c r="AO24" s="1566"/>
      <c r="AP24" s="1983">
        <f>IFERROR('Step 9a--Daily DMI Rations'!AB28/'Step 7a--Feedstuff Required'!$Z24*'Step 7a--Feedstuff Required'!$AL24/'Step 7a--Feedstuff Required'!$AI24,0)</f>
        <v>0</v>
      </c>
      <c r="AQ24" s="1534"/>
      <c r="AR24" s="1534">
        <f>IF(Options!$AF$24=TRUE,0,AP24*'Step 11a--Inputs'!$C24)</f>
        <v>0</v>
      </c>
      <c r="AS24" s="1534"/>
      <c r="AT24" s="1534">
        <f>IF(Options!$AF$24=TRUE,0,AP24*'Step 11a--Inputs'!$F24)</f>
        <v>0</v>
      </c>
      <c r="AU24" s="1534"/>
      <c r="AV24" s="1534">
        <f>IF(Options!$AF$24=TRUE,0,AP24*'Step 11a--Inputs'!$I24)</f>
        <v>0</v>
      </c>
      <c r="AW24" s="1535"/>
      <c r="AX24" s="1554">
        <f>IFERROR('Step 9a--Daily DMI Rations'!AG28/'Step 7a--Feedstuff Required'!$Z24*'Step 7a--Feedstuff Required'!$AL24/'Step 7a--Feedstuff Required'!$AI24,0)</f>
        <v>0</v>
      </c>
      <c r="AY24" s="1534"/>
      <c r="AZ24" s="1534">
        <f>IF(Options!$AF$24=TRUE,0,AX24*'Step 11a--Inputs'!$C24)</f>
        <v>0</v>
      </c>
      <c r="BA24" s="1534"/>
      <c r="BB24" s="1534">
        <f>IF(Options!$AF$24=TRUE,0,AX24*'Step 11a--Inputs'!$F24)</f>
        <v>0</v>
      </c>
      <c r="BC24" s="1534"/>
      <c r="BD24" s="1534">
        <f>IF(Options!$AF$24=TRUE,0,AX24*'Step 11a--Inputs'!$I24)</f>
        <v>0</v>
      </c>
      <c r="BE24" s="1535"/>
      <c r="BF24" s="1554">
        <f>IFERROR('Step 9a--Daily DMI Rations'!AM28/'Step 7a--Feedstuff Required'!$Z24*'Step 7a--Feedstuff Required'!$AL24/'Step 7a--Feedstuff Required'!$AI24,0)</f>
        <v>0</v>
      </c>
      <c r="BG24" s="1534"/>
      <c r="BH24" s="1534">
        <f>IF(Options!$AF$24=TRUE,0,BF24*'Step 11a--Inputs'!$C24)</f>
        <v>0</v>
      </c>
      <c r="BI24" s="1534"/>
      <c r="BJ24" s="1534">
        <f>IF(Options!$AF$24=TRUE,0,BF24*'Step 11a--Inputs'!$F24)</f>
        <v>0</v>
      </c>
      <c r="BK24" s="1534"/>
      <c r="BL24" s="1534">
        <f>IF(Options!$AF$24=TRUE,0,BF24*'Step 11a--Inputs'!$I24)</f>
        <v>0</v>
      </c>
      <c r="BM24" s="1535"/>
      <c r="BN24" s="1554">
        <f>IFERROR('Step 9a--Daily DMI Rations'!AS28/'Step 7a--Feedstuff Required'!$Z24*'Step 7a--Feedstuff Required'!$AL24/'Step 7a--Feedstuff Required'!$AI24,0)</f>
        <v>0</v>
      </c>
      <c r="BO24" s="1534"/>
      <c r="BP24" s="1534">
        <f>IF(Options!$AF$24=TRUE,0,BN24*'Step 11a--Inputs'!$C24)</f>
        <v>0</v>
      </c>
      <c r="BQ24" s="1534"/>
      <c r="BR24" s="1534">
        <f>IF(Options!$AF$24=TRUE,0,BN24*'Step 11a--Inputs'!$F24)</f>
        <v>0</v>
      </c>
      <c r="BS24" s="1534"/>
      <c r="BT24" s="1534">
        <f>IF(Options!$AF$24=TRUE,0,BN24*'Step 11a--Inputs'!$I24)</f>
        <v>0</v>
      </c>
      <c r="BU24" s="1535"/>
      <c r="BV24" s="1554">
        <f>IFERROR('Step 9a--Daily DMI Rations'!AY28/'Step 7a--Feedstuff Required'!$Z24*'Step 7a--Feedstuff Required'!$AL24/'Step 7a--Feedstuff Required'!$AI24,0)</f>
        <v>0</v>
      </c>
      <c r="BW24" s="1534"/>
      <c r="BX24" s="1534">
        <f>IF(Options!$AF$24=TRUE,0,BV24*'Step 11a--Inputs'!$C24)</f>
        <v>0</v>
      </c>
      <c r="BY24" s="1534"/>
      <c r="BZ24" s="1534">
        <f>IF(Options!$AF$24=TRUE,0,BV24*'Step 11a--Inputs'!$F24)</f>
        <v>0</v>
      </c>
      <c r="CA24" s="1534"/>
      <c r="CB24" s="1534">
        <f>IF(Options!$AF$24=TRUE,0,BV24*'Step 11a--Inputs'!$I24)</f>
        <v>0</v>
      </c>
      <c r="CC24" s="1542"/>
    </row>
    <row r="25" spans="1:81" ht="3" customHeight="1">
      <c r="A25" s="1224"/>
      <c r="B25" s="1712"/>
      <c r="C25" s="1531"/>
      <c r="D25" s="1531"/>
      <c r="E25" s="1531"/>
      <c r="F25" s="1531"/>
      <c r="G25" s="1531"/>
      <c r="H25" s="1531"/>
      <c r="I25" s="1532"/>
      <c r="J25" s="1533"/>
      <c r="K25" s="1531"/>
      <c r="L25" s="1531"/>
      <c r="M25" s="1531"/>
      <c r="N25" s="1531"/>
      <c r="O25" s="1531"/>
      <c r="P25" s="1531"/>
      <c r="Q25" s="1532"/>
      <c r="R25" s="1533"/>
      <c r="S25" s="1531"/>
      <c r="T25" s="1531"/>
      <c r="U25" s="1531"/>
      <c r="V25" s="1531"/>
      <c r="W25" s="1531"/>
      <c r="X25" s="1531"/>
      <c r="Y25" s="1532"/>
      <c r="Z25" s="1533"/>
      <c r="AA25" s="1531"/>
      <c r="AB25" s="1531"/>
      <c r="AC25" s="1531"/>
      <c r="AD25" s="1531"/>
      <c r="AE25" s="1531"/>
      <c r="AF25" s="1531"/>
      <c r="AG25" s="1532"/>
      <c r="AH25" s="1533"/>
      <c r="AI25" s="1531"/>
      <c r="AJ25" s="1531"/>
      <c r="AK25" s="1531"/>
      <c r="AL25" s="1531"/>
      <c r="AM25" s="1531"/>
      <c r="AN25" s="1531"/>
      <c r="AO25" s="1566"/>
      <c r="AP25" s="1983"/>
      <c r="AQ25" s="1534"/>
      <c r="AR25" s="1534"/>
      <c r="AS25" s="1534"/>
      <c r="AT25" s="1534"/>
      <c r="AU25" s="1534"/>
      <c r="AV25" s="1534"/>
      <c r="AW25" s="1535"/>
      <c r="AX25" s="1554"/>
      <c r="AY25" s="1534"/>
      <c r="AZ25" s="1534"/>
      <c r="BA25" s="1534"/>
      <c r="BB25" s="1534"/>
      <c r="BC25" s="1534"/>
      <c r="BD25" s="1534"/>
      <c r="BE25" s="1535"/>
      <c r="BF25" s="1554"/>
      <c r="BG25" s="1534"/>
      <c r="BH25" s="1534"/>
      <c r="BI25" s="1534"/>
      <c r="BJ25" s="1534"/>
      <c r="BK25" s="1534"/>
      <c r="BL25" s="1534"/>
      <c r="BM25" s="1535"/>
      <c r="BN25" s="1554"/>
      <c r="BO25" s="1534"/>
      <c r="BP25" s="1534"/>
      <c r="BQ25" s="1534"/>
      <c r="BR25" s="1534"/>
      <c r="BS25" s="1534"/>
      <c r="BT25" s="1534"/>
      <c r="BU25" s="1535"/>
      <c r="BV25" s="1554"/>
      <c r="BW25" s="1534"/>
      <c r="BX25" s="1534"/>
      <c r="BY25" s="1534"/>
      <c r="BZ25" s="1534"/>
      <c r="CA25" s="1534"/>
      <c r="CB25" s="1534"/>
      <c r="CC25" s="1542"/>
    </row>
    <row r="26" spans="1:81" s="20" customFormat="1" ht="15">
      <c r="A26" s="3774" t="s">
        <v>1481</v>
      </c>
      <c r="B26" s="1713">
        <f>SUM(B8:B24)</f>
        <v>7.8268407984254957E-3</v>
      </c>
      <c r="C26" s="1536"/>
      <c r="D26" s="1536">
        <f t="shared" ref="D26:CB26" si="0">SUM(D8:D24)</f>
        <v>0.38390216301626873</v>
      </c>
      <c r="E26" s="1536"/>
      <c r="F26" s="1536">
        <f t="shared" si="0"/>
        <v>4.722037174545465E-3</v>
      </c>
      <c r="G26" s="1536"/>
      <c r="H26" s="1536">
        <f t="shared" si="0"/>
        <v>1.2608836065597217E-3</v>
      </c>
      <c r="I26" s="1537"/>
      <c r="J26" s="1538">
        <f t="shared" si="0"/>
        <v>3.7534667828612932E-3</v>
      </c>
      <c r="K26" s="1536"/>
      <c r="L26" s="1536">
        <f t="shared" si="0"/>
        <v>0.25204431742541827</v>
      </c>
      <c r="M26" s="1536"/>
      <c r="N26" s="1536">
        <f t="shared" si="0"/>
        <v>3.9148601328976036E-3</v>
      </c>
      <c r="O26" s="1536"/>
      <c r="P26" s="1536">
        <f t="shared" si="0"/>
        <v>7.2276557879448087E-4</v>
      </c>
      <c r="Q26" s="1537"/>
      <c r="R26" s="1538">
        <f t="shared" si="0"/>
        <v>6.6120027522656997E-4</v>
      </c>
      <c r="S26" s="1536"/>
      <c r="T26" s="1536">
        <f t="shared" si="0"/>
        <v>2.1403495839646597E-2</v>
      </c>
      <c r="U26" s="1536"/>
      <c r="V26" s="1536">
        <f t="shared" si="0"/>
        <v>1.3102299962018365E-4</v>
      </c>
      <c r="W26" s="1536"/>
      <c r="X26" s="1536">
        <f t="shared" si="0"/>
        <v>8.7348666413455768E-5</v>
      </c>
      <c r="Y26" s="1537"/>
      <c r="Z26" s="1538">
        <f t="shared" si="0"/>
        <v>2.4150777530670122E-3</v>
      </c>
      <c r="AA26" s="1536"/>
      <c r="AB26" s="1536">
        <f t="shared" si="0"/>
        <v>7.8177684699964944E-2</v>
      </c>
      <c r="AC26" s="1536"/>
      <c r="AD26" s="1536">
        <f t="shared" si="0"/>
        <v>4.7857017514758805E-4</v>
      </c>
      <c r="AE26" s="1536"/>
      <c r="AF26" s="1536">
        <f t="shared" si="0"/>
        <v>3.1904678343172533E-4</v>
      </c>
      <c r="AG26" s="1537"/>
      <c r="AH26" s="1538">
        <f t="shared" si="0"/>
        <v>9.970959872706187E-4</v>
      </c>
      <c r="AI26" s="1536"/>
      <c r="AJ26" s="1536">
        <f t="shared" si="0"/>
        <v>3.227666505123894E-2</v>
      </c>
      <c r="AK26" s="1536"/>
      <c r="AL26" s="1536">
        <f t="shared" si="0"/>
        <v>1.9758386688008912E-4</v>
      </c>
      <c r="AM26" s="1536"/>
      <c r="AN26" s="1536">
        <f t="shared" si="0"/>
        <v>1.3172257792005943E-4</v>
      </c>
      <c r="AO26" s="1567"/>
      <c r="AP26" s="1984">
        <f t="shared" si="0"/>
        <v>7.8268407984254957E-3</v>
      </c>
      <c r="AQ26" s="1539"/>
      <c r="AR26" s="1539">
        <f t="shared" si="0"/>
        <v>0.38390216301626873</v>
      </c>
      <c r="AS26" s="1539"/>
      <c r="AT26" s="1539">
        <f t="shared" si="0"/>
        <v>4.722037174545465E-3</v>
      </c>
      <c r="AU26" s="1539"/>
      <c r="AV26" s="1539">
        <f t="shared" si="0"/>
        <v>1.2608836065597217E-3</v>
      </c>
      <c r="AW26" s="1540"/>
      <c r="AX26" s="1555">
        <f t="shared" si="0"/>
        <v>4.377625372185911E-3</v>
      </c>
      <c r="AY26" s="1539"/>
      <c r="AZ26" s="1539">
        <f t="shared" si="0"/>
        <v>0.26187799433015757</v>
      </c>
      <c r="BA26" s="1539"/>
      <c r="BB26" s="1539">
        <f t="shared" si="0"/>
        <v>3.6901013371459694E-3</v>
      </c>
      <c r="BC26" s="1539"/>
      <c r="BD26" s="1539">
        <f t="shared" si="0"/>
        <v>8.0830285221496006E-4</v>
      </c>
      <c r="BE26" s="1540"/>
      <c r="BF26" s="1555">
        <f t="shared" si="0"/>
        <v>6.9257486982467111E-4</v>
      </c>
      <c r="BG26" s="1539"/>
      <c r="BH26" s="1539">
        <f t="shared" si="0"/>
        <v>2.2419112484272079E-2</v>
      </c>
      <c r="BI26" s="1539"/>
      <c r="BJ26" s="1539">
        <f t="shared" si="0"/>
        <v>1.3724016807901675E-4</v>
      </c>
      <c r="BK26" s="1539"/>
      <c r="BL26" s="1539">
        <f t="shared" si="0"/>
        <v>9.1493445386011166E-5</v>
      </c>
      <c r="BM26" s="1540"/>
      <c r="BN26" s="1555">
        <f t="shared" si="0"/>
        <v>2.0304788975464335E-3</v>
      </c>
      <c r="BO26" s="1539"/>
      <c r="BP26" s="1539">
        <f t="shared" si="0"/>
        <v>6.5727962108354104E-2</v>
      </c>
      <c r="BQ26" s="1539"/>
      <c r="BR26" s="1539">
        <f t="shared" si="0"/>
        <v>4.0235832589581859E-4</v>
      </c>
      <c r="BS26" s="1539"/>
      <c r="BT26" s="1539">
        <f t="shared" si="0"/>
        <v>2.6823888393054575E-4</v>
      </c>
      <c r="BU26" s="1540"/>
      <c r="BV26" s="1555">
        <f t="shared" si="0"/>
        <v>8.36602040141953E-4</v>
      </c>
      <c r="BW26" s="1539"/>
      <c r="BX26" s="1539">
        <f t="shared" si="0"/>
        <v>2.7081368469609787E-2</v>
      </c>
      <c r="BY26" s="1539"/>
      <c r="BZ26" s="1539">
        <f t="shared" si="0"/>
        <v>1.6578049479819569E-4</v>
      </c>
      <c r="CA26" s="1539"/>
      <c r="CB26" s="1539">
        <f t="shared" si="0"/>
        <v>1.1052032986546379E-4</v>
      </c>
      <c r="CC26" s="1543"/>
    </row>
    <row r="27" spans="1:81" ht="8.25" customHeight="1">
      <c r="A27" s="787"/>
      <c r="B27" s="1712"/>
      <c r="C27" s="1531"/>
      <c r="D27" s="1531"/>
      <c r="E27" s="1531"/>
      <c r="F27" s="1531"/>
      <c r="G27" s="1531"/>
      <c r="H27" s="1531"/>
      <c r="I27" s="1532"/>
      <c r="J27" s="1533"/>
      <c r="K27" s="1531"/>
      <c r="L27" s="1531"/>
      <c r="M27" s="1531"/>
      <c r="N27" s="1531"/>
      <c r="O27" s="1531"/>
      <c r="P27" s="1531"/>
      <c r="Q27" s="1532"/>
      <c r="R27" s="1533"/>
      <c r="S27" s="1531"/>
      <c r="T27" s="1531"/>
      <c r="U27" s="1531"/>
      <c r="V27" s="1531"/>
      <c r="W27" s="1531"/>
      <c r="X27" s="1531"/>
      <c r="Y27" s="1532"/>
      <c r="Z27" s="1533"/>
      <c r="AA27" s="1531"/>
      <c r="AB27" s="1531"/>
      <c r="AC27" s="1531"/>
      <c r="AD27" s="1531"/>
      <c r="AE27" s="1531"/>
      <c r="AF27" s="1531"/>
      <c r="AG27" s="1532"/>
      <c r="AH27" s="1533"/>
      <c r="AI27" s="1531"/>
      <c r="AJ27" s="1531"/>
      <c r="AK27" s="1531"/>
      <c r="AL27" s="1531"/>
      <c r="AM27" s="1531"/>
      <c r="AN27" s="1531"/>
      <c r="AO27" s="1566"/>
      <c r="AP27" s="1983"/>
      <c r="AQ27" s="1534"/>
      <c r="AR27" s="1534"/>
      <c r="AS27" s="1534"/>
      <c r="AT27" s="1534"/>
      <c r="AU27" s="1534"/>
      <c r="AV27" s="1534"/>
      <c r="AW27" s="1535"/>
      <c r="AX27" s="1554"/>
      <c r="AY27" s="1534"/>
      <c r="AZ27" s="1534"/>
      <c r="BA27" s="1534"/>
      <c r="BB27" s="1534"/>
      <c r="BC27" s="1534"/>
      <c r="BD27" s="1534"/>
      <c r="BE27" s="1535"/>
      <c r="BF27" s="1554"/>
      <c r="BG27" s="1534"/>
      <c r="BH27" s="1534"/>
      <c r="BI27" s="1534"/>
      <c r="BJ27" s="1534"/>
      <c r="BK27" s="1534"/>
      <c r="BL27" s="1534"/>
      <c r="BM27" s="1535"/>
      <c r="BN27" s="1554"/>
      <c r="BO27" s="1534"/>
      <c r="BP27" s="1534"/>
      <c r="BQ27" s="1534"/>
      <c r="BR27" s="1534"/>
      <c r="BS27" s="1534"/>
      <c r="BT27" s="1534"/>
      <c r="BU27" s="1535"/>
      <c r="BV27" s="1554"/>
      <c r="BW27" s="1534"/>
      <c r="BX27" s="1534"/>
      <c r="BY27" s="1534"/>
      <c r="BZ27" s="1534"/>
      <c r="CA27" s="1534"/>
      <c r="CB27" s="1534"/>
      <c r="CC27" s="1542"/>
    </row>
    <row r="28" spans="1:81" ht="21.75" customHeight="1">
      <c r="A28" s="4031" t="s">
        <v>1476</v>
      </c>
      <c r="B28" s="4032"/>
      <c r="C28" s="4032"/>
      <c r="D28" s="4032"/>
      <c r="E28" s="4032"/>
      <c r="F28" s="4032"/>
      <c r="G28" s="4032"/>
      <c r="H28" s="4032"/>
      <c r="I28" s="4032"/>
      <c r="J28" s="4032"/>
      <c r="K28" s="4032"/>
      <c r="L28" s="4032"/>
      <c r="M28" s="4032"/>
      <c r="N28" s="4032"/>
      <c r="O28" s="4032"/>
      <c r="P28" s="4032"/>
      <c r="Q28" s="4032"/>
      <c r="R28" s="4032"/>
      <c r="S28" s="4032"/>
      <c r="T28" s="4032"/>
      <c r="U28" s="4032"/>
      <c r="V28" s="4032"/>
      <c r="W28" s="4032"/>
      <c r="X28" s="4032"/>
      <c r="Y28" s="4032"/>
      <c r="Z28" s="4032"/>
      <c r="AA28" s="4032"/>
      <c r="AB28" s="4032"/>
      <c r="AC28" s="4032"/>
      <c r="AD28" s="4032"/>
      <c r="AE28" s="4032"/>
      <c r="AF28" s="4032"/>
      <c r="AG28" s="4032"/>
      <c r="AH28" s="4032"/>
      <c r="AI28" s="4032"/>
      <c r="AJ28" s="4032"/>
      <c r="AK28" s="4032"/>
      <c r="AL28" s="4032"/>
      <c r="AM28" s="4032"/>
      <c r="AN28" s="4032"/>
      <c r="AO28" s="4032"/>
      <c r="AP28" s="4032"/>
      <c r="AQ28" s="4032"/>
      <c r="AR28" s="4032"/>
      <c r="AS28" s="4032"/>
      <c r="AT28" s="4032"/>
      <c r="AU28" s="4032"/>
      <c r="AV28" s="4032"/>
      <c r="AW28" s="4032"/>
      <c r="AX28" s="4032"/>
      <c r="AY28" s="4032"/>
      <c r="AZ28" s="4032"/>
      <c r="BA28" s="4032"/>
      <c r="BB28" s="4032"/>
      <c r="BC28" s="4032"/>
      <c r="BD28" s="4032"/>
      <c r="BE28" s="4032"/>
      <c r="BF28" s="4032"/>
      <c r="BG28" s="4032"/>
      <c r="BH28" s="4032"/>
      <c r="BI28" s="4032"/>
      <c r="BJ28" s="4032"/>
      <c r="BK28" s="4032"/>
      <c r="BL28" s="4032"/>
      <c r="BM28" s="4032"/>
      <c r="BN28" s="4032"/>
      <c r="BO28" s="4032"/>
      <c r="BP28" s="4032"/>
      <c r="BQ28" s="4032"/>
      <c r="BR28" s="4032"/>
      <c r="BS28" s="4032"/>
      <c r="BT28" s="4032"/>
      <c r="BU28" s="4032"/>
      <c r="BV28" s="4032"/>
      <c r="BW28" s="4032"/>
      <c r="BX28" s="4032"/>
      <c r="BY28" s="4032"/>
      <c r="BZ28" s="4032"/>
      <c r="CA28" s="4032"/>
      <c r="CB28" s="4032"/>
      <c r="CC28" s="4033"/>
    </row>
    <row r="29" spans="1:81" ht="14.25">
      <c r="A29" s="1224" t="s">
        <v>33</v>
      </c>
      <c r="B29" s="1712">
        <f>IFERROR('Step 10a--Required Acres'!D28/'Step 7a--Feedstuff Required'!$E30*'Step 7a--Feedstuff Required'!$Q30/'Step 7a--Feedstuff Required'!$N30,0)</f>
        <v>1.861215538847118E-3</v>
      </c>
      <c r="C29" s="1531"/>
      <c r="D29" s="1531">
        <f>IF(Options!$AE$24=TRUE,0,B29*'Step 11a--Inputs'!$C30)</f>
        <v>0.24568045112781958</v>
      </c>
      <c r="E29" s="1531"/>
      <c r="F29" s="1531">
        <f>IF(Options!$AE$24=TRUE,0,B29*'Step 11a--Inputs'!$F30)</f>
        <v>3.908552631578948E-3</v>
      </c>
      <c r="G29" s="1531"/>
      <c r="H29" s="1531">
        <f>IF(Options!$AE$24=TRUE,0,B29*'Step 11a--Inputs'!$I30)</f>
        <v>3.7224310776942361E-4</v>
      </c>
      <c r="I29" s="1532"/>
      <c r="J29" s="1533">
        <f>IFERROR('Step 9a--Daily DMI Rations'!F34/'Step 7a--Feedstuff Required'!$E30*'Step 7a--Feedstuff Required'!$Q30/'Step 7a--Feedstuff Required'!$N30,0)</f>
        <v>1.861215538847118E-3</v>
      </c>
      <c r="K29" s="1531"/>
      <c r="L29" s="1531">
        <f>IF(Options!$AE$24=TRUE,0,J29*'Step 11a--Inputs'!$C30)</f>
        <v>0.24568045112781958</v>
      </c>
      <c r="M29" s="1531"/>
      <c r="N29" s="1531">
        <f>IF(Options!$AE$24=TRUE,0,J29*'Step 11a--Inputs'!$F30)</f>
        <v>3.908552631578948E-3</v>
      </c>
      <c r="O29" s="1531"/>
      <c r="P29" s="1531">
        <f>IF(Options!$AE$24=TRUE,0,J29*'Step 11a--Inputs'!$I30)</f>
        <v>3.7224310776942361E-4</v>
      </c>
      <c r="Q29" s="1532"/>
      <c r="R29" s="1533">
        <f>IFERROR('Step 9a--Daily DMI Rations'!L34/'Step 7a--Feedstuff Required'!$E30*'Step 7a--Feedstuff Required'!$Q30/'Step 7a--Feedstuff Required'!$N30,0)</f>
        <v>0</v>
      </c>
      <c r="S29" s="1531"/>
      <c r="T29" s="1531">
        <f>IF(Options!$AE$24=TRUE,0,R29*'Step 11a--Inputs'!$C30)</f>
        <v>0</v>
      </c>
      <c r="U29" s="1531"/>
      <c r="V29" s="1531">
        <f>IF(Options!$AE$24=TRUE,0,R29*'Step 11a--Inputs'!$F30)</f>
        <v>0</v>
      </c>
      <c r="W29" s="1531"/>
      <c r="X29" s="1531">
        <f>IF(Options!$AE$24=TRUE,0,R29*'Step 11a--Inputs'!$I30)</f>
        <v>0</v>
      </c>
      <c r="Y29" s="1532"/>
      <c r="Z29" s="1533">
        <f>IFERROR('Step 9a--Daily DMI Rations'!R34/'Step 7a--Feedstuff Required'!$E30*'Step 7a--Feedstuff Required'!$Q30/'Step 7a--Feedstuff Required'!$N30,0)</f>
        <v>0</v>
      </c>
      <c r="AA29" s="1531"/>
      <c r="AB29" s="1531">
        <f>IF(Options!$AE$24=TRUE,0,Z29*'Step 11a--Inputs'!$C30)</f>
        <v>0</v>
      </c>
      <c r="AC29" s="1531"/>
      <c r="AD29" s="1531">
        <f>IF(Options!$AE$24=TRUE,0,Z29*'Step 11a--Inputs'!$F30)</f>
        <v>0</v>
      </c>
      <c r="AE29" s="1531"/>
      <c r="AF29" s="1531">
        <f>IF(Options!$AE$24=TRUE,0,Z29*'Step 11a--Inputs'!$I30)</f>
        <v>0</v>
      </c>
      <c r="AG29" s="1532"/>
      <c r="AH29" s="1533">
        <f>IFERROR('Step 9a--Daily DMI Rations'!X34/'Step 7a--Feedstuff Required'!$E30*'Step 7a--Feedstuff Required'!$Q30/'Step 7a--Feedstuff Required'!$N30,0)</f>
        <v>0</v>
      </c>
      <c r="AI29" s="1531"/>
      <c r="AJ29" s="1531">
        <f>IF(Options!$AE$24=TRUE,0,AH29*'Step 11a--Inputs'!$C30)</f>
        <v>0</v>
      </c>
      <c r="AK29" s="1531"/>
      <c r="AL29" s="1531">
        <f>IF(Options!$AE$24=TRUE,0,AH29*'Step 11a--Inputs'!$F30)</f>
        <v>0</v>
      </c>
      <c r="AM29" s="1531"/>
      <c r="AN29" s="1531">
        <f>IF(Options!$AE$24=TRUE,0,AH29*'Step 11a--Inputs'!$I30)</f>
        <v>0</v>
      </c>
      <c r="AO29" s="1566"/>
      <c r="AP29" s="1983">
        <f>IFERROR('Step 9a--Daily DMI Rations'!AB34/'Step 7a--Feedstuff Required'!$Z30*'Step 7a--Feedstuff Required'!$AL30/'Step 7a--Feedstuff Required'!$AI30,0)</f>
        <v>1.861215538847118E-3</v>
      </c>
      <c r="AQ29" s="1534"/>
      <c r="AR29" s="1534">
        <f>IF(Options!$AF$24=TRUE,0,AP29*'Step 11a--Inputs'!$C30)</f>
        <v>0.24568045112781958</v>
      </c>
      <c r="AS29" s="1534"/>
      <c r="AT29" s="1534">
        <f>IF(Options!$AF$24=TRUE,0,AP29*'Step 11a--Inputs'!$F30)</f>
        <v>3.908552631578948E-3</v>
      </c>
      <c r="AU29" s="1534"/>
      <c r="AV29" s="1534">
        <f>IF(Options!$AF$24=TRUE,0,AP29*'Step 11a--Inputs'!$I30)</f>
        <v>3.7224310776942361E-4</v>
      </c>
      <c r="AW29" s="1535"/>
      <c r="AX29" s="1554">
        <f>IFERROR('Step 9a--Daily DMI Rations'!AG34/'Step 7a--Feedstuff Required'!$Z30*'Step 7a--Feedstuff Required'!$AL30/'Step 7a--Feedstuff Required'!$AI30,0)</f>
        <v>1.5162907268170425E-3</v>
      </c>
      <c r="AY29" s="1534"/>
      <c r="AZ29" s="1534">
        <f>IF(Options!$AF$24=TRUE,0,AX29*'Step 11a--Inputs'!$C30)</f>
        <v>0.20015037593984961</v>
      </c>
      <c r="BA29" s="1534"/>
      <c r="BB29" s="1534">
        <f>IF(Options!$AF$24=TRUE,0,AX29*'Step 11a--Inputs'!$F30)</f>
        <v>3.1842105263157894E-3</v>
      </c>
      <c r="BC29" s="1534"/>
      <c r="BD29" s="1534">
        <f>IF(Options!$AF$24=TRUE,0,AX29*'Step 11a--Inputs'!$I30)</f>
        <v>3.0325814536340853E-4</v>
      </c>
      <c r="BE29" s="1535"/>
      <c r="BF29" s="1554">
        <f>IFERROR('Step 9a--Daily DMI Rations'!AM34/'Step 7a--Feedstuff Required'!$Z30*'Step 7a--Feedstuff Required'!$AL30/'Step 7a--Feedstuff Required'!$AI30,0)</f>
        <v>0</v>
      </c>
      <c r="BG29" s="1534"/>
      <c r="BH29" s="1534">
        <f>IF(Options!$AF$24=TRUE,0,BF29*'Step 11a--Inputs'!$C30)</f>
        <v>0</v>
      </c>
      <c r="BI29" s="1534"/>
      <c r="BJ29" s="1534">
        <f>IF(Options!$AF$24=TRUE,0,BF29*'Step 11a--Inputs'!$F30)</f>
        <v>0</v>
      </c>
      <c r="BK29" s="1534"/>
      <c r="BL29" s="1534">
        <f>IF(Options!$AF$24=TRUE,0,BF29*'Step 11a--Inputs'!$I30)</f>
        <v>0</v>
      </c>
      <c r="BM29" s="1535"/>
      <c r="BN29" s="1554">
        <f>IFERROR('Step 9a--Daily DMI Rations'!AS34/'Step 7a--Feedstuff Required'!$Z30*'Step 7a--Feedstuff Required'!$AL30/'Step 7a--Feedstuff Required'!$AI30,0)</f>
        <v>0</v>
      </c>
      <c r="BO29" s="1534"/>
      <c r="BP29" s="1534">
        <f>IF(Options!$AF$24=TRUE,0,BN29*'Step 11a--Inputs'!$C30)</f>
        <v>0</v>
      </c>
      <c r="BQ29" s="1534"/>
      <c r="BR29" s="1534">
        <f>IF(Options!$AF$24=TRUE,0,BN29*'Step 11a--Inputs'!$F30)</f>
        <v>0</v>
      </c>
      <c r="BS29" s="1534"/>
      <c r="BT29" s="1534">
        <f>IF(Options!$AF$24=TRUE,0,BN29*'Step 11a--Inputs'!$I30)</f>
        <v>0</v>
      </c>
      <c r="BU29" s="1535"/>
      <c r="BV29" s="1554">
        <f>IFERROR('Step 9a--Daily DMI Rations'!AY34/'Step 7a--Feedstuff Required'!$Z30*'Step 7a--Feedstuff Required'!$AL30/'Step 7a--Feedstuff Required'!$AI30,0)</f>
        <v>0</v>
      </c>
      <c r="BW29" s="1534"/>
      <c r="BX29" s="1534">
        <f>IF(Options!$AF$24=TRUE,0,BV29*'Step 11a--Inputs'!$C30)</f>
        <v>0</v>
      </c>
      <c r="BY29" s="1534"/>
      <c r="BZ29" s="1534">
        <f>IF(Options!$AF$24=TRUE,0,BV29*'Step 11a--Inputs'!$F30)</f>
        <v>0</v>
      </c>
      <c r="CA29" s="1534"/>
      <c r="CB29" s="1534">
        <f>IF(Options!$AF$24=TRUE,0,BV29*'Step 11a--Inputs'!$I30)</f>
        <v>0</v>
      </c>
      <c r="CC29" s="1542"/>
    </row>
    <row r="30" spans="1:81" ht="3" customHeight="1">
      <c r="A30" s="1224"/>
      <c r="B30" s="1712"/>
      <c r="C30" s="1531"/>
      <c r="D30" s="1531"/>
      <c r="E30" s="1531"/>
      <c r="F30" s="1531"/>
      <c r="G30" s="1531"/>
      <c r="H30" s="1531"/>
      <c r="I30" s="1532"/>
      <c r="J30" s="1533"/>
      <c r="K30" s="1531"/>
      <c r="L30" s="1531"/>
      <c r="M30" s="1531"/>
      <c r="N30" s="1531"/>
      <c r="O30" s="1531"/>
      <c r="P30" s="1531"/>
      <c r="Q30" s="1532"/>
      <c r="R30" s="1533"/>
      <c r="S30" s="1531"/>
      <c r="T30" s="1531"/>
      <c r="U30" s="1531"/>
      <c r="V30" s="1531"/>
      <c r="W30" s="1531"/>
      <c r="X30" s="1531"/>
      <c r="Y30" s="1532"/>
      <c r="Z30" s="1533"/>
      <c r="AA30" s="1531"/>
      <c r="AB30" s="1531"/>
      <c r="AC30" s="1531"/>
      <c r="AD30" s="1531"/>
      <c r="AE30" s="1531"/>
      <c r="AF30" s="1531"/>
      <c r="AG30" s="1532"/>
      <c r="AH30" s="1533"/>
      <c r="AI30" s="1531"/>
      <c r="AJ30" s="1531"/>
      <c r="AK30" s="1531"/>
      <c r="AL30" s="1531"/>
      <c r="AM30" s="1531"/>
      <c r="AN30" s="1531"/>
      <c r="AO30" s="1566"/>
      <c r="AP30" s="1983"/>
      <c r="AQ30" s="1534"/>
      <c r="AR30" s="1534"/>
      <c r="AS30" s="1534"/>
      <c r="AT30" s="1534"/>
      <c r="AU30" s="1534"/>
      <c r="AV30" s="1534"/>
      <c r="AW30" s="1535"/>
      <c r="AX30" s="1554"/>
      <c r="AY30" s="1534"/>
      <c r="AZ30" s="1534"/>
      <c r="BA30" s="1534"/>
      <c r="BB30" s="1534"/>
      <c r="BC30" s="1534"/>
      <c r="BD30" s="1534"/>
      <c r="BE30" s="1535"/>
      <c r="BF30" s="1554"/>
      <c r="BG30" s="1534"/>
      <c r="BH30" s="1534"/>
      <c r="BI30" s="1534"/>
      <c r="BJ30" s="1534"/>
      <c r="BK30" s="1534"/>
      <c r="BL30" s="1534"/>
      <c r="BM30" s="1535"/>
      <c r="BN30" s="1554"/>
      <c r="BO30" s="1534"/>
      <c r="BP30" s="1534"/>
      <c r="BQ30" s="1534"/>
      <c r="BR30" s="1534"/>
      <c r="BS30" s="1534"/>
      <c r="BT30" s="1534"/>
      <c r="BU30" s="1535"/>
      <c r="BV30" s="1554"/>
      <c r="BW30" s="1534"/>
      <c r="BX30" s="1534"/>
      <c r="BY30" s="1534"/>
      <c r="BZ30" s="1534"/>
      <c r="CA30" s="1534"/>
      <c r="CB30" s="1534"/>
      <c r="CC30" s="1542"/>
    </row>
    <row r="31" spans="1:81" ht="14.25">
      <c r="A31" s="1224" t="s">
        <v>22</v>
      </c>
      <c r="B31" s="1712">
        <f>IFERROR('Step 10a--Required Acres'!D30/'Step 7a--Feedstuff Required'!$E32*'Step 7a--Feedstuff Required'!$Q32/'Step 7a--Feedstuff Required'!$N32,0)</f>
        <v>0</v>
      </c>
      <c r="C31" s="1531"/>
      <c r="D31" s="1531">
        <f>IF(Options!$AE$24=TRUE,0,B31*'Step 11a--Inputs'!$C32)</f>
        <v>0</v>
      </c>
      <c r="E31" s="1531"/>
      <c r="F31" s="1531">
        <f>IF(Options!$AE$24=TRUE,0,B31*'Step 11a--Inputs'!$F32)</f>
        <v>0</v>
      </c>
      <c r="G31" s="1531"/>
      <c r="H31" s="1531">
        <f>IF(Options!$AE$24=TRUE,0,B31*'Step 11a--Inputs'!$I32)</f>
        <v>0</v>
      </c>
      <c r="I31" s="1532"/>
      <c r="J31" s="1533">
        <f>IFERROR('Step 9a--Daily DMI Rations'!F36/'Step 7a--Feedstuff Required'!$E32*'Step 7a--Feedstuff Required'!$Q32/'Step 7a--Feedstuff Required'!$N32,0)</f>
        <v>0</v>
      </c>
      <c r="K31" s="1531"/>
      <c r="L31" s="1531">
        <f>IF(Options!$AE$24=TRUE,0,J31*'Step 11a--Inputs'!$C32)</f>
        <v>0</v>
      </c>
      <c r="M31" s="1531"/>
      <c r="N31" s="1531">
        <f>IF(Options!$AE$24=TRUE,0,J31*'Step 11a--Inputs'!$F32)</f>
        <v>0</v>
      </c>
      <c r="O31" s="1531"/>
      <c r="P31" s="1531">
        <f>IF(Options!$AE$24=TRUE,0,J31*'Step 11a--Inputs'!$I32)</f>
        <v>0</v>
      </c>
      <c r="Q31" s="1532"/>
      <c r="R31" s="1533">
        <f>IFERROR('Step 9a--Daily DMI Rations'!L36/'Step 7a--Feedstuff Required'!$E32*'Step 7a--Feedstuff Required'!$Q32/'Step 7a--Feedstuff Required'!$N32,0)</f>
        <v>0</v>
      </c>
      <c r="S31" s="1531"/>
      <c r="T31" s="1531">
        <f>IF(Options!$AE$24=TRUE,0,R31*'Step 11a--Inputs'!$C32)</f>
        <v>0</v>
      </c>
      <c r="U31" s="1531"/>
      <c r="V31" s="1531">
        <f>IF(Options!$AE$24=TRUE,0,R31*'Step 11a--Inputs'!$F32)</f>
        <v>0</v>
      </c>
      <c r="W31" s="1531"/>
      <c r="X31" s="1531">
        <f>IF(Options!$AE$24=TRUE,0,R31*'Step 11a--Inputs'!$I32)</f>
        <v>0</v>
      </c>
      <c r="Y31" s="1532"/>
      <c r="Z31" s="1533">
        <f>IFERROR('Step 9a--Daily DMI Rations'!R36/'Step 7a--Feedstuff Required'!$E32*'Step 7a--Feedstuff Required'!$Q32/'Step 7a--Feedstuff Required'!$N32,0)</f>
        <v>0</v>
      </c>
      <c r="AA31" s="1531"/>
      <c r="AB31" s="1531">
        <f>IF(Options!$AE$24=TRUE,0,Z31*'Step 11a--Inputs'!$C32)</f>
        <v>0</v>
      </c>
      <c r="AC31" s="1531"/>
      <c r="AD31" s="1531">
        <f>IF(Options!$AE$24=TRUE,0,Z31*'Step 11a--Inputs'!$F32)</f>
        <v>0</v>
      </c>
      <c r="AE31" s="1531"/>
      <c r="AF31" s="1531">
        <f>IF(Options!$AE$24=TRUE,0,Z31*'Step 11a--Inputs'!$I32)</f>
        <v>0</v>
      </c>
      <c r="AG31" s="1532"/>
      <c r="AH31" s="1533">
        <f>IFERROR('Step 9a--Daily DMI Rations'!X36/'Step 7a--Feedstuff Required'!$E32*'Step 7a--Feedstuff Required'!$Q32/'Step 7a--Feedstuff Required'!$N32,0)</f>
        <v>0</v>
      </c>
      <c r="AI31" s="1531"/>
      <c r="AJ31" s="1531">
        <f>IF(Options!$AE$24=TRUE,0,AH31*'Step 11a--Inputs'!$C32)</f>
        <v>0</v>
      </c>
      <c r="AK31" s="1531"/>
      <c r="AL31" s="1531">
        <f>IF(Options!$AE$24=TRUE,0,AH31*'Step 11a--Inputs'!$F32)</f>
        <v>0</v>
      </c>
      <c r="AM31" s="1531"/>
      <c r="AN31" s="1531">
        <f>IF(Options!$AE$24=TRUE,0,AH31*'Step 11a--Inputs'!$I32)</f>
        <v>0</v>
      </c>
      <c r="AO31" s="1566"/>
      <c r="AP31" s="1983">
        <f>IFERROR('Step 9a--Daily DMI Rations'!AB36/'Step 7a--Feedstuff Required'!$Z32*'Step 7a--Feedstuff Required'!$AL32/'Step 7a--Feedstuff Required'!$AI32,0)</f>
        <v>0</v>
      </c>
      <c r="AQ31" s="1534"/>
      <c r="AR31" s="1534">
        <f>IF(Options!$AF$24=TRUE,0,AP31*'Step 11a--Inputs'!$C32)</f>
        <v>0</v>
      </c>
      <c r="AS31" s="1534"/>
      <c r="AT31" s="1534">
        <f>IF(Options!$AF$24=TRUE,0,AP31*'Step 11a--Inputs'!$F32)</f>
        <v>0</v>
      </c>
      <c r="AU31" s="1534"/>
      <c r="AV31" s="1534">
        <f>IF(Options!$AF$24=TRUE,0,AP31*'Step 11a--Inputs'!$I32)</f>
        <v>0</v>
      </c>
      <c r="AW31" s="1535"/>
      <c r="AX31" s="1554">
        <f>IFERROR('Step 9a--Daily DMI Rations'!AG36/'Step 7a--Feedstuff Required'!$Z32*'Step 7a--Feedstuff Required'!$AL32/'Step 7a--Feedstuff Required'!$AI32,0)</f>
        <v>0</v>
      </c>
      <c r="AY31" s="1534"/>
      <c r="AZ31" s="1534">
        <f>IF(Options!$AF$24=TRUE,0,AX31*'Step 11a--Inputs'!$C32)</f>
        <v>0</v>
      </c>
      <c r="BA31" s="1534"/>
      <c r="BB31" s="1534">
        <f>IF(Options!$AF$24=TRUE,0,AX31*'Step 11a--Inputs'!$F32)</f>
        <v>0</v>
      </c>
      <c r="BC31" s="1534"/>
      <c r="BD31" s="1534">
        <f>IF(Options!$AF$24=TRUE,0,AX31*'Step 11a--Inputs'!$I32)</f>
        <v>0</v>
      </c>
      <c r="BE31" s="1535"/>
      <c r="BF31" s="1554">
        <f>IFERROR('Step 9a--Daily DMI Rations'!AM36/'Step 7a--Feedstuff Required'!$Z32*'Step 7a--Feedstuff Required'!$AL32/'Step 7a--Feedstuff Required'!$AI32,0)</f>
        <v>0</v>
      </c>
      <c r="BG31" s="1534"/>
      <c r="BH31" s="1534">
        <f>IF(Options!$AF$24=TRUE,0,BF31*'Step 11a--Inputs'!$C32)</f>
        <v>0</v>
      </c>
      <c r="BI31" s="1534"/>
      <c r="BJ31" s="1534">
        <f>IF(Options!$AF$24=TRUE,0,BF31*'Step 11a--Inputs'!$F32)</f>
        <v>0</v>
      </c>
      <c r="BK31" s="1534"/>
      <c r="BL31" s="1534">
        <f>IF(Options!$AF$24=TRUE,0,BF31*'Step 11a--Inputs'!$I32)</f>
        <v>0</v>
      </c>
      <c r="BM31" s="1535"/>
      <c r="BN31" s="1554">
        <f>IFERROR('Step 9a--Daily DMI Rations'!AS36/'Step 7a--Feedstuff Required'!$Z32*'Step 7a--Feedstuff Required'!$AL32/'Step 7a--Feedstuff Required'!$AI32,0)</f>
        <v>0</v>
      </c>
      <c r="BO31" s="1534"/>
      <c r="BP31" s="1534">
        <f>IF(Options!$AF$24=TRUE,0,BN31*'Step 11a--Inputs'!$C32)</f>
        <v>0</v>
      </c>
      <c r="BQ31" s="1534"/>
      <c r="BR31" s="1534">
        <f>IF(Options!$AF$24=TRUE,0,BN31*'Step 11a--Inputs'!$F32)</f>
        <v>0</v>
      </c>
      <c r="BS31" s="1534"/>
      <c r="BT31" s="1534">
        <f>IF(Options!$AF$24=TRUE,0,BN31*'Step 11a--Inputs'!$I32)</f>
        <v>0</v>
      </c>
      <c r="BU31" s="1535"/>
      <c r="BV31" s="1554">
        <f>IFERROR('Step 9a--Daily DMI Rations'!AY36/'Step 7a--Feedstuff Required'!$Z32*'Step 7a--Feedstuff Required'!$AL32/'Step 7a--Feedstuff Required'!$AI32,0)</f>
        <v>0</v>
      </c>
      <c r="BW31" s="1534"/>
      <c r="BX31" s="1534">
        <f>IF(Options!$AF$24=TRUE,0,BV31*'Step 11a--Inputs'!$C32)</f>
        <v>0</v>
      </c>
      <c r="BY31" s="1534"/>
      <c r="BZ31" s="1534">
        <f>IF(Options!$AF$24=TRUE,0,BV31*'Step 11a--Inputs'!$F32)</f>
        <v>0</v>
      </c>
      <c r="CA31" s="1534"/>
      <c r="CB31" s="1534">
        <f>IF(Options!$AF$24=TRUE,0,BV31*'Step 11a--Inputs'!$I32)</f>
        <v>0</v>
      </c>
      <c r="CC31" s="1542"/>
    </row>
    <row r="32" spans="1:81" ht="3" customHeight="1">
      <c r="A32" s="1224"/>
      <c r="B32" s="1712"/>
      <c r="C32" s="1531"/>
      <c r="D32" s="1531"/>
      <c r="E32" s="1531"/>
      <c r="F32" s="1531"/>
      <c r="G32" s="1531"/>
      <c r="H32" s="1531"/>
      <c r="I32" s="1532"/>
      <c r="J32" s="1533"/>
      <c r="K32" s="1531"/>
      <c r="L32" s="1531"/>
      <c r="M32" s="1531"/>
      <c r="N32" s="1531"/>
      <c r="O32" s="1531"/>
      <c r="P32" s="1531"/>
      <c r="Q32" s="1532"/>
      <c r="R32" s="1533"/>
      <c r="S32" s="1531"/>
      <c r="T32" s="1531"/>
      <c r="U32" s="1531"/>
      <c r="V32" s="1531"/>
      <c r="W32" s="1531"/>
      <c r="X32" s="1531"/>
      <c r="Y32" s="1532"/>
      <c r="Z32" s="1533"/>
      <c r="AA32" s="1531"/>
      <c r="AB32" s="1531"/>
      <c r="AC32" s="1531"/>
      <c r="AD32" s="1531"/>
      <c r="AE32" s="1531"/>
      <c r="AF32" s="1531"/>
      <c r="AG32" s="1532"/>
      <c r="AH32" s="1533"/>
      <c r="AI32" s="1531"/>
      <c r="AJ32" s="1531"/>
      <c r="AK32" s="1531"/>
      <c r="AL32" s="1531"/>
      <c r="AM32" s="1531"/>
      <c r="AN32" s="1531"/>
      <c r="AO32" s="1566"/>
      <c r="AP32" s="1983"/>
      <c r="AQ32" s="1534"/>
      <c r="AR32" s="1534"/>
      <c r="AS32" s="1534"/>
      <c r="AT32" s="1534"/>
      <c r="AU32" s="1534"/>
      <c r="AV32" s="1534"/>
      <c r="AW32" s="1535"/>
      <c r="AX32" s="1554"/>
      <c r="AY32" s="1534"/>
      <c r="AZ32" s="1534"/>
      <c r="BA32" s="1534"/>
      <c r="BB32" s="1534"/>
      <c r="BC32" s="1534"/>
      <c r="BD32" s="1534"/>
      <c r="BE32" s="1535"/>
      <c r="BF32" s="1554"/>
      <c r="BG32" s="1534"/>
      <c r="BH32" s="1534"/>
      <c r="BI32" s="1534"/>
      <c r="BJ32" s="1534"/>
      <c r="BK32" s="1534"/>
      <c r="BL32" s="1534"/>
      <c r="BM32" s="1535"/>
      <c r="BN32" s="1554"/>
      <c r="BO32" s="1534"/>
      <c r="BP32" s="1534"/>
      <c r="BQ32" s="1534"/>
      <c r="BR32" s="1534"/>
      <c r="BS32" s="1534"/>
      <c r="BT32" s="1534"/>
      <c r="BU32" s="1535"/>
      <c r="BV32" s="1554"/>
      <c r="BW32" s="1534"/>
      <c r="BX32" s="1534"/>
      <c r="BY32" s="1534"/>
      <c r="BZ32" s="1534"/>
      <c r="CA32" s="1534"/>
      <c r="CB32" s="1534"/>
      <c r="CC32" s="1542"/>
    </row>
    <row r="33" spans="1:81" ht="14.25">
      <c r="A33" s="1224" t="s">
        <v>25</v>
      </c>
      <c r="B33" s="1712">
        <f>IFERROR('Step 10a--Required Acres'!D32/'Step 7a--Feedstuff Required'!$E34*'Step 7a--Feedstuff Required'!$Q34/'Step 7a--Feedstuff Required'!$N34,0)</f>
        <v>0</v>
      </c>
      <c r="C33" s="1531"/>
      <c r="D33" s="1531">
        <f>IF(Options!$AE$24=TRUE,0,B33*'Step 11a--Inputs'!$C34)</f>
        <v>0</v>
      </c>
      <c r="E33" s="1531"/>
      <c r="F33" s="1531">
        <f>IF(Options!$AE$24=TRUE,0,B33*'Step 11a--Inputs'!$F34)</f>
        <v>0</v>
      </c>
      <c r="G33" s="1531"/>
      <c r="H33" s="1531">
        <f>IF(Options!$AE$24=TRUE,0,B33*'Step 11a--Inputs'!$I34)</f>
        <v>0</v>
      </c>
      <c r="I33" s="1532"/>
      <c r="J33" s="1533">
        <f>IFERROR('Step 9a--Daily DMI Rations'!F38/'Step 7a--Feedstuff Required'!$E34*'Step 7a--Feedstuff Required'!$Q34/'Step 7a--Feedstuff Required'!$N34,0)</f>
        <v>0</v>
      </c>
      <c r="K33" s="1531"/>
      <c r="L33" s="1531">
        <f>IF(Options!$AE$24=TRUE,0,J33*'Step 11a--Inputs'!$C34)</f>
        <v>0</v>
      </c>
      <c r="M33" s="1531"/>
      <c r="N33" s="1531">
        <f>IF(Options!$AE$24=TRUE,0,J33*'Step 11a--Inputs'!$F34)</f>
        <v>0</v>
      </c>
      <c r="O33" s="1531"/>
      <c r="P33" s="1531">
        <f>IF(Options!$AE$24=TRUE,0,J33*'Step 11a--Inputs'!$I34)</f>
        <v>0</v>
      </c>
      <c r="Q33" s="1532"/>
      <c r="R33" s="1533">
        <f>IFERROR('Step 9a--Daily DMI Rations'!L38/'Step 7a--Feedstuff Required'!$E34*'Step 7a--Feedstuff Required'!$Q34/'Step 7a--Feedstuff Required'!$N34,0)</f>
        <v>0</v>
      </c>
      <c r="S33" s="1531"/>
      <c r="T33" s="1531">
        <f>IF(Options!$AE$24=TRUE,0,R33*'Step 11a--Inputs'!$C34)</f>
        <v>0</v>
      </c>
      <c r="U33" s="1531"/>
      <c r="V33" s="1531">
        <f>IF(Options!$AE$24=TRUE,0,R33*'Step 11a--Inputs'!$F34)</f>
        <v>0</v>
      </c>
      <c r="W33" s="1531"/>
      <c r="X33" s="1531">
        <f>IF(Options!$AE$24=TRUE,0,R33*'Step 11a--Inputs'!$I34)</f>
        <v>0</v>
      </c>
      <c r="Y33" s="1532"/>
      <c r="Z33" s="1533">
        <f>IFERROR('Step 9a--Daily DMI Rations'!R38/'Step 7a--Feedstuff Required'!$E34*'Step 7a--Feedstuff Required'!$Q34/'Step 7a--Feedstuff Required'!$N34,0)</f>
        <v>0</v>
      </c>
      <c r="AA33" s="1531"/>
      <c r="AB33" s="1531">
        <f>IF(Options!$AE$24=TRUE,0,Z33*'Step 11a--Inputs'!$C34)</f>
        <v>0</v>
      </c>
      <c r="AC33" s="1531"/>
      <c r="AD33" s="1531">
        <f>IF(Options!$AE$24=TRUE,0,Z33*'Step 11a--Inputs'!$F34)</f>
        <v>0</v>
      </c>
      <c r="AE33" s="1531"/>
      <c r="AF33" s="1531">
        <f>IF(Options!$AE$24=TRUE,0,Z33*'Step 11a--Inputs'!$I34)</f>
        <v>0</v>
      </c>
      <c r="AG33" s="1532"/>
      <c r="AH33" s="1533">
        <f>IFERROR('Step 9a--Daily DMI Rations'!X38/'Step 7a--Feedstuff Required'!$E34*'Step 7a--Feedstuff Required'!$Q34/'Step 7a--Feedstuff Required'!$N34,0)</f>
        <v>0</v>
      </c>
      <c r="AI33" s="1531"/>
      <c r="AJ33" s="1531">
        <f>IF(Options!$AE$24=TRUE,0,AH33*'Step 11a--Inputs'!$C34)</f>
        <v>0</v>
      </c>
      <c r="AK33" s="1531"/>
      <c r="AL33" s="1531">
        <f>IF(Options!$AE$24=TRUE,0,AH33*'Step 11a--Inputs'!$F34)</f>
        <v>0</v>
      </c>
      <c r="AM33" s="1531"/>
      <c r="AN33" s="1531">
        <f>IF(Options!$AE$24=TRUE,0,AH33*'Step 11a--Inputs'!$I34)</f>
        <v>0</v>
      </c>
      <c r="AO33" s="1566"/>
      <c r="AP33" s="1983">
        <f>IFERROR('Step 9a--Daily DMI Rations'!AB38/'Step 7a--Feedstuff Required'!$Z34*'Step 7a--Feedstuff Required'!$AL34/'Step 7a--Feedstuff Required'!$AI34,0)</f>
        <v>0</v>
      </c>
      <c r="AQ33" s="1534"/>
      <c r="AR33" s="1534">
        <f>IF(Options!$AF$24=TRUE,0,AP33*'Step 11a--Inputs'!$C34)</f>
        <v>0</v>
      </c>
      <c r="AS33" s="1534"/>
      <c r="AT33" s="1534">
        <f>IF(Options!$AF$24=TRUE,0,AP33*'Step 11a--Inputs'!$F34)</f>
        <v>0</v>
      </c>
      <c r="AU33" s="1534"/>
      <c r="AV33" s="1534">
        <f>IF(Options!$AF$24=TRUE,0,AP33*'Step 11a--Inputs'!$I34)</f>
        <v>0</v>
      </c>
      <c r="AW33" s="1535"/>
      <c r="AX33" s="1554">
        <f>IFERROR('Step 9a--Daily DMI Rations'!AG38/'Step 7a--Feedstuff Required'!$Z34*'Step 7a--Feedstuff Required'!$AL34/'Step 7a--Feedstuff Required'!$AI34,0)</f>
        <v>0</v>
      </c>
      <c r="AY33" s="1534"/>
      <c r="AZ33" s="1534">
        <f>IF(Options!$AF$24=TRUE,0,AX33*'Step 11a--Inputs'!$C34)</f>
        <v>0</v>
      </c>
      <c r="BA33" s="1534"/>
      <c r="BB33" s="1534">
        <f>IF(Options!$AF$24=TRUE,0,AX33*'Step 11a--Inputs'!$F34)</f>
        <v>0</v>
      </c>
      <c r="BC33" s="1534"/>
      <c r="BD33" s="1534">
        <f>IF(Options!$AF$24=TRUE,0,AX33*'Step 11a--Inputs'!$I34)</f>
        <v>0</v>
      </c>
      <c r="BE33" s="1535"/>
      <c r="BF33" s="1554">
        <f>IFERROR('Step 9a--Daily DMI Rations'!AM38/'Step 7a--Feedstuff Required'!$Z34*'Step 7a--Feedstuff Required'!$AL34/'Step 7a--Feedstuff Required'!$AI34,0)</f>
        <v>0</v>
      </c>
      <c r="BG33" s="1534"/>
      <c r="BH33" s="1534">
        <f>IF(Options!$AF$24=TRUE,0,BF33*'Step 11a--Inputs'!$C34)</f>
        <v>0</v>
      </c>
      <c r="BI33" s="1534"/>
      <c r="BJ33" s="1534">
        <f>IF(Options!$AF$24=TRUE,0,BF33*'Step 11a--Inputs'!$F34)</f>
        <v>0</v>
      </c>
      <c r="BK33" s="1534"/>
      <c r="BL33" s="1534">
        <f>IF(Options!$AF$24=TRUE,0,BF33*'Step 11a--Inputs'!$I34)</f>
        <v>0</v>
      </c>
      <c r="BM33" s="1535"/>
      <c r="BN33" s="1554">
        <f>IFERROR('Step 9a--Daily DMI Rations'!AS38/'Step 7a--Feedstuff Required'!$Z34*'Step 7a--Feedstuff Required'!$AL34/'Step 7a--Feedstuff Required'!$AI34,0)</f>
        <v>0</v>
      </c>
      <c r="BO33" s="1534"/>
      <c r="BP33" s="1534">
        <f>IF(Options!$AF$24=TRUE,0,BN33*'Step 11a--Inputs'!$C34)</f>
        <v>0</v>
      </c>
      <c r="BQ33" s="1534"/>
      <c r="BR33" s="1534">
        <f>IF(Options!$AF$24=TRUE,0,BN33*'Step 11a--Inputs'!$F34)</f>
        <v>0</v>
      </c>
      <c r="BS33" s="1534"/>
      <c r="BT33" s="1534">
        <f>IF(Options!$AF$24=TRUE,0,BN33*'Step 11a--Inputs'!$I34)</f>
        <v>0</v>
      </c>
      <c r="BU33" s="1535"/>
      <c r="BV33" s="1554">
        <f>IFERROR('Step 9a--Daily DMI Rations'!AY38/'Step 7a--Feedstuff Required'!$Z34*'Step 7a--Feedstuff Required'!$AL34/'Step 7a--Feedstuff Required'!$AI34,0)</f>
        <v>0</v>
      </c>
      <c r="BW33" s="1534"/>
      <c r="BX33" s="1534">
        <f>IF(Options!$AF$24=TRUE,0,BV33*'Step 11a--Inputs'!$C34)</f>
        <v>0</v>
      </c>
      <c r="BY33" s="1534"/>
      <c r="BZ33" s="1534">
        <f>IF(Options!$AF$24=TRUE,0,BV33*'Step 11a--Inputs'!$F34)</f>
        <v>0</v>
      </c>
      <c r="CA33" s="1534"/>
      <c r="CB33" s="1534">
        <f>IF(Options!$AF$24=TRUE,0,BV33*'Step 11a--Inputs'!$I34)</f>
        <v>0</v>
      </c>
      <c r="CC33" s="1542"/>
    </row>
    <row r="34" spans="1:81" ht="3" customHeight="1">
      <c r="A34" s="1224"/>
      <c r="B34" s="1712"/>
      <c r="C34" s="1531"/>
      <c r="D34" s="1531"/>
      <c r="E34" s="1531"/>
      <c r="F34" s="1531"/>
      <c r="G34" s="1531"/>
      <c r="H34" s="1531"/>
      <c r="I34" s="1532"/>
      <c r="J34" s="1533"/>
      <c r="K34" s="1531"/>
      <c r="L34" s="1531"/>
      <c r="M34" s="1531"/>
      <c r="N34" s="1531"/>
      <c r="O34" s="1531"/>
      <c r="P34" s="1531"/>
      <c r="Q34" s="1532"/>
      <c r="R34" s="1533"/>
      <c r="S34" s="1531"/>
      <c r="T34" s="1531"/>
      <c r="U34" s="1531"/>
      <c r="V34" s="1531"/>
      <c r="W34" s="1531"/>
      <c r="X34" s="1531"/>
      <c r="Y34" s="1532"/>
      <c r="Z34" s="1533"/>
      <c r="AA34" s="1531"/>
      <c r="AB34" s="1531"/>
      <c r="AC34" s="1531"/>
      <c r="AD34" s="1531"/>
      <c r="AE34" s="1531"/>
      <c r="AF34" s="1531"/>
      <c r="AG34" s="1532"/>
      <c r="AH34" s="1533"/>
      <c r="AI34" s="1531"/>
      <c r="AJ34" s="1531"/>
      <c r="AK34" s="1531"/>
      <c r="AL34" s="1531"/>
      <c r="AM34" s="1531"/>
      <c r="AN34" s="1531"/>
      <c r="AO34" s="1566"/>
      <c r="AP34" s="1983"/>
      <c r="AQ34" s="1534"/>
      <c r="AR34" s="1534"/>
      <c r="AS34" s="1534"/>
      <c r="AT34" s="1534"/>
      <c r="AU34" s="1534"/>
      <c r="AV34" s="1534"/>
      <c r="AW34" s="1535"/>
      <c r="AX34" s="1554"/>
      <c r="AY34" s="1534"/>
      <c r="AZ34" s="1534"/>
      <c r="BA34" s="1534"/>
      <c r="BB34" s="1534"/>
      <c r="BC34" s="1534"/>
      <c r="BD34" s="1534"/>
      <c r="BE34" s="1535"/>
      <c r="BF34" s="1554"/>
      <c r="BG34" s="1534"/>
      <c r="BH34" s="1534"/>
      <c r="BI34" s="1534"/>
      <c r="BJ34" s="1534"/>
      <c r="BK34" s="1534"/>
      <c r="BL34" s="1534"/>
      <c r="BM34" s="1535"/>
      <c r="BN34" s="1554"/>
      <c r="BO34" s="1534"/>
      <c r="BP34" s="1534"/>
      <c r="BQ34" s="1534"/>
      <c r="BR34" s="1534"/>
      <c r="BS34" s="1534"/>
      <c r="BT34" s="1534"/>
      <c r="BU34" s="1535"/>
      <c r="BV34" s="1554"/>
      <c r="BW34" s="1534"/>
      <c r="BX34" s="1534"/>
      <c r="BY34" s="1534"/>
      <c r="BZ34" s="1534"/>
      <c r="CA34" s="1534"/>
      <c r="CB34" s="1534"/>
      <c r="CC34" s="1542"/>
    </row>
    <row r="35" spans="1:81" ht="14.25">
      <c r="A35" s="1224" t="s">
        <v>27</v>
      </c>
      <c r="B35" s="1712">
        <f>IFERROR('Step 10a--Required Acres'!D34/'Step 7a--Feedstuff Required'!$E36*'Step 7a--Feedstuff Required'!$Q36/'Step 7a--Feedstuff Required'!$N36,0)</f>
        <v>0</v>
      </c>
      <c r="C35" s="1531"/>
      <c r="D35" s="1531">
        <f>IF(Options!$AE$24=TRUE,0,B35*'Step 11a--Inputs'!$C36)</f>
        <v>0</v>
      </c>
      <c r="E35" s="1531"/>
      <c r="F35" s="1531">
        <f>IF(Options!$AE$24=TRUE,0,B35*'Step 11a--Inputs'!$F36)</f>
        <v>0</v>
      </c>
      <c r="G35" s="1531"/>
      <c r="H35" s="1531">
        <f>IF(Options!$AE$24=TRUE,0,B35*'Step 11a--Inputs'!$I36)</f>
        <v>0</v>
      </c>
      <c r="I35" s="1532"/>
      <c r="J35" s="1533">
        <f>IFERROR('Step 9a--Daily DMI Rations'!F40/'Step 7a--Feedstuff Required'!$E36*'Step 7a--Feedstuff Required'!$Q36/'Step 7a--Feedstuff Required'!$N36,0)</f>
        <v>0</v>
      </c>
      <c r="K35" s="1531"/>
      <c r="L35" s="1531">
        <f>IF(Options!$AE$24=TRUE,0,J35*'Step 11a--Inputs'!$C36)</f>
        <v>0</v>
      </c>
      <c r="M35" s="1531"/>
      <c r="N35" s="1531">
        <f>IF(Options!$AE$24=TRUE,0,J35*'Step 11a--Inputs'!$F36)</f>
        <v>0</v>
      </c>
      <c r="O35" s="1531"/>
      <c r="P35" s="1531">
        <f>IF(Options!$AE$24=TRUE,0,J35*'Step 11a--Inputs'!$I36)</f>
        <v>0</v>
      </c>
      <c r="Q35" s="1532"/>
      <c r="R35" s="1533">
        <f>IFERROR('Step 9a--Daily DMI Rations'!L40/'Step 7a--Feedstuff Required'!$E36*'Step 7a--Feedstuff Required'!$Q36/'Step 7a--Feedstuff Required'!$N36,0)</f>
        <v>0</v>
      </c>
      <c r="S35" s="1531"/>
      <c r="T35" s="1531">
        <f>IF(Options!$AE$24=TRUE,0,R35*'Step 11a--Inputs'!$C36)</f>
        <v>0</v>
      </c>
      <c r="U35" s="1531"/>
      <c r="V35" s="1531">
        <f>IF(Options!$AE$24=TRUE,0,R35*'Step 11a--Inputs'!$F36)</f>
        <v>0</v>
      </c>
      <c r="W35" s="1531"/>
      <c r="X35" s="1531">
        <f>IF(Options!$AE$24=TRUE,0,R35*'Step 11a--Inputs'!$I36)</f>
        <v>0</v>
      </c>
      <c r="Y35" s="1532"/>
      <c r="Z35" s="1533">
        <f>IFERROR('Step 9a--Daily DMI Rations'!R40/'Step 7a--Feedstuff Required'!$E36*'Step 7a--Feedstuff Required'!$Q36/'Step 7a--Feedstuff Required'!$N36,0)</f>
        <v>0</v>
      </c>
      <c r="AA35" s="1531"/>
      <c r="AB35" s="1531">
        <f>IF(Options!$AE$24=TRUE,0,Z35*'Step 11a--Inputs'!$C36)</f>
        <v>0</v>
      </c>
      <c r="AC35" s="1531"/>
      <c r="AD35" s="1531">
        <f>IF(Options!$AE$24=TRUE,0,Z35*'Step 11a--Inputs'!$F36)</f>
        <v>0</v>
      </c>
      <c r="AE35" s="1531"/>
      <c r="AF35" s="1531">
        <f>IF(Options!$AE$24=TRUE,0,Z35*'Step 11a--Inputs'!$I36)</f>
        <v>0</v>
      </c>
      <c r="AG35" s="1532"/>
      <c r="AH35" s="1533">
        <f>IFERROR('Step 9a--Daily DMI Rations'!X40/'Step 7a--Feedstuff Required'!$E36*'Step 7a--Feedstuff Required'!$Q36/'Step 7a--Feedstuff Required'!$N36,0)</f>
        <v>0</v>
      </c>
      <c r="AI35" s="1531"/>
      <c r="AJ35" s="1531">
        <f>IF(Options!$AE$24=TRUE,0,AH35*'Step 11a--Inputs'!$C36)</f>
        <v>0</v>
      </c>
      <c r="AK35" s="1531"/>
      <c r="AL35" s="1531">
        <f>IF(Options!$AE$24=TRUE,0,AH35*'Step 11a--Inputs'!$F36)</f>
        <v>0</v>
      </c>
      <c r="AM35" s="1531"/>
      <c r="AN35" s="1531">
        <f>IF(Options!$AE$24=TRUE,0,AH35*'Step 11a--Inputs'!$I36)</f>
        <v>0</v>
      </c>
      <c r="AO35" s="1566"/>
      <c r="AP35" s="1983">
        <f>IFERROR('Step 9a--Daily DMI Rations'!AB40/'Step 7a--Feedstuff Required'!$Z36*'Step 7a--Feedstuff Required'!$AL36/'Step 7a--Feedstuff Required'!$AI36,0)</f>
        <v>0</v>
      </c>
      <c r="AQ35" s="1534"/>
      <c r="AR35" s="1534">
        <f>IF(Options!$AF$24=TRUE,0,AP35*'Step 11a--Inputs'!$C36)</f>
        <v>0</v>
      </c>
      <c r="AS35" s="1534"/>
      <c r="AT35" s="1534">
        <f>IF(Options!$AF$24=TRUE,0,AP35*'Step 11a--Inputs'!$F36)</f>
        <v>0</v>
      </c>
      <c r="AU35" s="1534"/>
      <c r="AV35" s="1534">
        <f>IF(Options!$AF$24=TRUE,0,AP35*'Step 11a--Inputs'!$I36)</f>
        <v>0</v>
      </c>
      <c r="AW35" s="1535"/>
      <c r="AX35" s="1554">
        <f>IFERROR('Step 9a--Daily DMI Rations'!AG40/'Step 7a--Feedstuff Required'!$Z36*'Step 7a--Feedstuff Required'!$AL36/'Step 7a--Feedstuff Required'!$AI36,0)</f>
        <v>0</v>
      </c>
      <c r="AY35" s="1534"/>
      <c r="AZ35" s="1534">
        <f>IF(Options!$AF$24=TRUE,0,AX35*'Step 11a--Inputs'!$C36)</f>
        <v>0</v>
      </c>
      <c r="BA35" s="1534"/>
      <c r="BB35" s="1534">
        <f>IF(Options!$AF$24=TRUE,0,AX35*'Step 11a--Inputs'!$F36)</f>
        <v>0</v>
      </c>
      <c r="BC35" s="1534"/>
      <c r="BD35" s="1534">
        <f>IF(Options!$AF$24=TRUE,0,AX35*'Step 11a--Inputs'!$I36)</f>
        <v>0</v>
      </c>
      <c r="BE35" s="1535"/>
      <c r="BF35" s="1554">
        <f>IFERROR('Step 9a--Daily DMI Rations'!AM40/'Step 7a--Feedstuff Required'!$Z36*'Step 7a--Feedstuff Required'!$AL36/'Step 7a--Feedstuff Required'!$AI36,0)</f>
        <v>0</v>
      </c>
      <c r="BG35" s="1534"/>
      <c r="BH35" s="1534">
        <f>IF(Options!$AF$24=TRUE,0,BF35*'Step 11a--Inputs'!$C36)</f>
        <v>0</v>
      </c>
      <c r="BI35" s="1534"/>
      <c r="BJ35" s="1534">
        <f>IF(Options!$AF$24=TRUE,0,BF35*'Step 11a--Inputs'!$F36)</f>
        <v>0</v>
      </c>
      <c r="BK35" s="1534"/>
      <c r="BL35" s="1534">
        <f>IF(Options!$AF$24=TRUE,0,BF35*'Step 11a--Inputs'!$I36)</f>
        <v>0</v>
      </c>
      <c r="BM35" s="1535"/>
      <c r="BN35" s="1554">
        <f>IFERROR('Step 9a--Daily DMI Rations'!AS40/'Step 7a--Feedstuff Required'!$Z36*'Step 7a--Feedstuff Required'!$AL36/'Step 7a--Feedstuff Required'!$AI36,0)</f>
        <v>0</v>
      </c>
      <c r="BO35" s="1534"/>
      <c r="BP35" s="1534">
        <f>IF(Options!$AF$24=TRUE,0,BN35*'Step 11a--Inputs'!$C36)</f>
        <v>0</v>
      </c>
      <c r="BQ35" s="1534"/>
      <c r="BR35" s="1534">
        <f>IF(Options!$AF$24=TRUE,0,BN35*'Step 11a--Inputs'!$F36)</f>
        <v>0</v>
      </c>
      <c r="BS35" s="1534"/>
      <c r="BT35" s="1534">
        <f>IF(Options!$AF$24=TRUE,0,BN35*'Step 11a--Inputs'!$I36)</f>
        <v>0</v>
      </c>
      <c r="BU35" s="1535"/>
      <c r="BV35" s="1554">
        <f>IFERROR('Step 9a--Daily DMI Rations'!AY40/'Step 7a--Feedstuff Required'!$Z36*'Step 7a--Feedstuff Required'!$AL36/'Step 7a--Feedstuff Required'!$AI36,0)</f>
        <v>0</v>
      </c>
      <c r="BW35" s="1534"/>
      <c r="BX35" s="1534">
        <f>IF(Options!$AF$24=TRUE,0,BV35*'Step 11a--Inputs'!$C36)</f>
        <v>0</v>
      </c>
      <c r="BY35" s="1534"/>
      <c r="BZ35" s="1534">
        <f>IF(Options!$AF$24=TRUE,0,BV35*'Step 11a--Inputs'!$F36)</f>
        <v>0</v>
      </c>
      <c r="CA35" s="1534"/>
      <c r="CB35" s="1534">
        <f>IF(Options!$AF$24=TRUE,0,BV35*'Step 11a--Inputs'!$I36)</f>
        <v>0</v>
      </c>
      <c r="CC35" s="1542"/>
    </row>
    <row r="36" spans="1:81" ht="3" customHeight="1">
      <c r="A36" s="1224"/>
      <c r="B36" s="1712"/>
      <c r="C36" s="1531"/>
      <c r="D36" s="1531"/>
      <c r="E36" s="1531"/>
      <c r="F36" s="1531"/>
      <c r="G36" s="1531"/>
      <c r="H36" s="1531"/>
      <c r="I36" s="1532"/>
      <c r="J36" s="1533"/>
      <c r="K36" s="1531"/>
      <c r="L36" s="1531"/>
      <c r="M36" s="1531"/>
      <c r="N36" s="1531"/>
      <c r="O36" s="1531"/>
      <c r="P36" s="1531"/>
      <c r="Q36" s="1532"/>
      <c r="R36" s="1533"/>
      <c r="S36" s="1531"/>
      <c r="T36" s="1531"/>
      <c r="U36" s="1531"/>
      <c r="V36" s="1531"/>
      <c r="W36" s="1531"/>
      <c r="X36" s="1531"/>
      <c r="Y36" s="1532"/>
      <c r="Z36" s="1533"/>
      <c r="AA36" s="1531"/>
      <c r="AB36" s="1531"/>
      <c r="AC36" s="1531"/>
      <c r="AD36" s="1531"/>
      <c r="AE36" s="1531"/>
      <c r="AF36" s="1531"/>
      <c r="AG36" s="1532"/>
      <c r="AH36" s="1533"/>
      <c r="AI36" s="1531"/>
      <c r="AJ36" s="1531"/>
      <c r="AK36" s="1531"/>
      <c r="AL36" s="1531"/>
      <c r="AM36" s="1531"/>
      <c r="AN36" s="1531"/>
      <c r="AO36" s="1566"/>
      <c r="AP36" s="1983"/>
      <c r="AQ36" s="1534"/>
      <c r="AR36" s="1534"/>
      <c r="AS36" s="1534"/>
      <c r="AT36" s="1534"/>
      <c r="AU36" s="1534"/>
      <c r="AV36" s="1534"/>
      <c r="AW36" s="1535"/>
      <c r="AX36" s="1554"/>
      <c r="AY36" s="1534"/>
      <c r="AZ36" s="1534"/>
      <c r="BA36" s="1534"/>
      <c r="BB36" s="1534"/>
      <c r="BC36" s="1534"/>
      <c r="BD36" s="1534"/>
      <c r="BE36" s="1535"/>
      <c r="BF36" s="1554"/>
      <c r="BG36" s="1534"/>
      <c r="BH36" s="1534"/>
      <c r="BI36" s="1534"/>
      <c r="BJ36" s="1534"/>
      <c r="BK36" s="1534"/>
      <c r="BL36" s="1534"/>
      <c r="BM36" s="1535"/>
      <c r="BN36" s="1554"/>
      <c r="BO36" s="1534"/>
      <c r="BP36" s="1534"/>
      <c r="BQ36" s="1534"/>
      <c r="BR36" s="1534"/>
      <c r="BS36" s="1534"/>
      <c r="BT36" s="1534"/>
      <c r="BU36" s="1535"/>
      <c r="BV36" s="1554"/>
      <c r="BW36" s="1534"/>
      <c r="BX36" s="1534"/>
      <c r="BY36" s="1534"/>
      <c r="BZ36" s="1534"/>
      <c r="CA36" s="1534"/>
      <c r="CB36" s="1534"/>
      <c r="CC36" s="1542"/>
    </row>
    <row r="37" spans="1:81" ht="14.25">
      <c r="A37" s="1225" t="str">
        <f>IF('Step 7a--Feedstuff Required'!B38="[add grain crop here]"," ",'Step 7a--Feedstuff Required'!B38)</f>
        <v xml:space="preserve"> </v>
      </c>
      <c r="B37" s="1712">
        <f>IFERROR('Step 10a--Required Acres'!D36/'Step 7a--Feedstuff Required'!$E38*'Step 7a--Feedstuff Required'!$Q38/'Step 7a--Feedstuff Required'!$N38,0)</f>
        <v>0</v>
      </c>
      <c r="C37" s="1531"/>
      <c r="D37" s="1531">
        <f>IF(Options!$AE$24=TRUE,0,B37*'Step 11a--Inputs'!$C38)</f>
        <v>0</v>
      </c>
      <c r="E37" s="1531"/>
      <c r="F37" s="1531">
        <f>IF(Options!$AE$24=TRUE,0,B37*'Step 11a--Inputs'!$F38)</f>
        <v>0</v>
      </c>
      <c r="G37" s="1531"/>
      <c r="H37" s="1531">
        <f>IF(Options!$AE$24=TRUE,0,B37*'Step 11a--Inputs'!$I38)</f>
        <v>0</v>
      </c>
      <c r="I37" s="1532"/>
      <c r="J37" s="1533">
        <f>IFERROR('Step 9a--Daily DMI Rations'!F42/'Step 7a--Feedstuff Required'!$E38*'Step 7a--Feedstuff Required'!$Q38/'Step 7a--Feedstuff Required'!$N38,0)</f>
        <v>0</v>
      </c>
      <c r="K37" s="1531"/>
      <c r="L37" s="1531">
        <f>IF(Options!$AE$24=TRUE,0,J37*'Step 11a--Inputs'!$C38)</f>
        <v>0</v>
      </c>
      <c r="M37" s="1531"/>
      <c r="N37" s="1531">
        <f>IF(Options!$AE$24=TRUE,0,J37*'Step 11a--Inputs'!$F38)</f>
        <v>0</v>
      </c>
      <c r="O37" s="1531"/>
      <c r="P37" s="1531">
        <f>IF(Options!$AE$24=TRUE,0,J37*'Step 11a--Inputs'!$I38)</f>
        <v>0</v>
      </c>
      <c r="Q37" s="1532"/>
      <c r="R37" s="1533">
        <f>IFERROR('Step 9a--Daily DMI Rations'!L42/'Step 7a--Feedstuff Required'!$E38*'Step 7a--Feedstuff Required'!$Q38/'Step 7a--Feedstuff Required'!$N38,0)</f>
        <v>0</v>
      </c>
      <c r="S37" s="1531"/>
      <c r="T37" s="1531">
        <f>IF(Options!$AE$24=TRUE,0,R37*'Step 11a--Inputs'!$C38)</f>
        <v>0</v>
      </c>
      <c r="U37" s="1531"/>
      <c r="V37" s="1531">
        <f>IF(Options!$AE$24=TRUE,0,R37*'Step 11a--Inputs'!$F38)</f>
        <v>0</v>
      </c>
      <c r="W37" s="1531"/>
      <c r="X37" s="1531">
        <f>IF(Options!$AE$24=TRUE,0,R37*'Step 11a--Inputs'!$I38)</f>
        <v>0</v>
      </c>
      <c r="Y37" s="1532"/>
      <c r="Z37" s="1533">
        <f>IFERROR('Step 9a--Daily DMI Rations'!R42/'Step 7a--Feedstuff Required'!$E38*'Step 7a--Feedstuff Required'!$Q38/'Step 7a--Feedstuff Required'!$N38,0)</f>
        <v>0</v>
      </c>
      <c r="AA37" s="1531"/>
      <c r="AB37" s="1531">
        <f>IF(Options!$AE$24=TRUE,0,Z37*'Step 11a--Inputs'!$C38)</f>
        <v>0</v>
      </c>
      <c r="AC37" s="1531"/>
      <c r="AD37" s="1531">
        <f>IF(Options!$AE$24=TRUE,0,Z37*'Step 11a--Inputs'!$F38)</f>
        <v>0</v>
      </c>
      <c r="AE37" s="1531"/>
      <c r="AF37" s="1531">
        <f>IF(Options!$AE$24=TRUE,0,Z37*'Step 11a--Inputs'!$I38)</f>
        <v>0</v>
      </c>
      <c r="AG37" s="1532"/>
      <c r="AH37" s="1533">
        <f>IFERROR('Step 9a--Daily DMI Rations'!X42/'Step 7a--Feedstuff Required'!$E38*'Step 7a--Feedstuff Required'!$Q38/'Step 7a--Feedstuff Required'!$N38,0)</f>
        <v>0</v>
      </c>
      <c r="AI37" s="1531"/>
      <c r="AJ37" s="1531">
        <f>IF(Options!$AE$24=TRUE,0,AH37*'Step 11a--Inputs'!$C38)</f>
        <v>0</v>
      </c>
      <c r="AK37" s="1531"/>
      <c r="AL37" s="1531">
        <f>IF(Options!$AE$24=TRUE,0,AH37*'Step 11a--Inputs'!$F38)</f>
        <v>0</v>
      </c>
      <c r="AM37" s="1531"/>
      <c r="AN37" s="1531">
        <f>IF(Options!$AE$24=TRUE,0,AH37*'Step 11a--Inputs'!$I38)</f>
        <v>0</v>
      </c>
      <c r="AO37" s="1566"/>
      <c r="AP37" s="1983">
        <f>IFERROR('Step 9a--Daily DMI Rations'!AB42/'Step 7a--Feedstuff Required'!$Z38*'Step 7a--Feedstuff Required'!$AL38/'Step 7a--Feedstuff Required'!$AI38,0)</f>
        <v>0</v>
      </c>
      <c r="AQ37" s="1534"/>
      <c r="AR37" s="1534">
        <f>IF(Options!$AF$24=TRUE,0,AP37*'Step 11a--Inputs'!$C38)</f>
        <v>0</v>
      </c>
      <c r="AS37" s="1534"/>
      <c r="AT37" s="1534">
        <f>IF(Options!$AF$24=TRUE,0,AP37*'Step 11a--Inputs'!$F38)</f>
        <v>0</v>
      </c>
      <c r="AU37" s="1534"/>
      <c r="AV37" s="1534">
        <f>IF(Options!$AF$24=TRUE,0,AP37*'Step 11a--Inputs'!$I38)</f>
        <v>0</v>
      </c>
      <c r="AW37" s="1535"/>
      <c r="AX37" s="1554">
        <f>IFERROR('Step 9a--Daily DMI Rations'!AG42/'Step 7a--Feedstuff Required'!$Z38*'Step 7a--Feedstuff Required'!$AL38/'Step 7a--Feedstuff Required'!$AI38,0)</f>
        <v>0</v>
      </c>
      <c r="AY37" s="1534"/>
      <c r="AZ37" s="1534">
        <f>IF(Options!$AF$24=TRUE,0,AX37*'Step 11a--Inputs'!$C38)</f>
        <v>0</v>
      </c>
      <c r="BA37" s="1534"/>
      <c r="BB37" s="1534">
        <f>IF(Options!$AF$24=TRUE,0,AX37*'Step 11a--Inputs'!$F38)</f>
        <v>0</v>
      </c>
      <c r="BC37" s="1534"/>
      <c r="BD37" s="1534">
        <f>IF(Options!$AF$24=TRUE,0,AX37*'Step 11a--Inputs'!$I38)</f>
        <v>0</v>
      </c>
      <c r="BE37" s="1535"/>
      <c r="BF37" s="1554">
        <f>IFERROR('Step 9a--Daily DMI Rations'!AM42/'Step 7a--Feedstuff Required'!$Z38*'Step 7a--Feedstuff Required'!$AL38/'Step 7a--Feedstuff Required'!$AI38,0)</f>
        <v>0</v>
      </c>
      <c r="BG37" s="1534"/>
      <c r="BH37" s="1534">
        <f>IF(Options!$AF$24=TRUE,0,BF37*'Step 11a--Inputs'!$C38)</f>
        <v>0</v>
      </c>
      <c r="BI37" s="1534"/>
      <c r="BJ37" s="1534">
        <f>IF(Options!$AF$24=TRUE,0,BF37*'Step 11a--Inputs'!$F38)</f>
        <v>0</v>
      </c>
      <c r="BK37" s="1534"/>
      <c r="BL37" s="1534">
        <f>IF(Options!$AF$24=TRUE,0,BF37*'Step 11a--Inputs'!$I38)</f>
        <v>0</v>
      </c>
      <c r="BM37" s="1535"/>
      <c r="BN37" s="1554">
        <f>IFERROR('Step 9a--Daily DMI Rations'!AS42/'Step 7a--Feedstuff Required'!$Z38*'Step 7a--Feedstuff Required'!$AL38/'Step 7a--Feedstuff Required'!$AI38,0)</f>
        <v>0</v>
      </c>
      <c r="BO37" s="1534"/>
      <c r="BP37" s="1534">
        <f>IF(Options!$AF$24=TRUE,0,BN37*'Step 11a--Inputs'!$C38)</f>
        <v>0</v>
      </c>
      <c r="BQ37" s="1534"/>
      <c r="BR37" s="1534">
        <f>IF(Options!$AF$24=TRUE,0,BN37*'Step 11a--Inputs'!$F38)</f>
        <v>0</v>
      </c>
      <c r="BS37" s="1534"/>
      <c r="BT37" s="1534">
        <f>IF(Options!$AF$24=TRUE,0,BN37*'Step 11a--Inputs'!$I38)</f>
        <v>0</v>
      </c>
      <c r="BU37" s="1535"/>
      <c r="BV37" s="1554">
        <f>IFERROR('Step 9a--Daily DMI Rations'!AY42/'Step 7a--Feedstuff Required'!$Z38*'Step 7a--Feedstuff Required'!$AL38/'Step 7a--Feedstuff Required'!$AI38,0)</f>
        <v>0</v>
      </c>
      <c r="BW37" s="1534"/>
      <c r="BX37" s="1534">
        <f>IF(Options!$AF$24=TRUE,0,BV37*'Step 11a--Inputs'!$C38)</f>
        <v>0</v>
      </c>
      <c r="BY37" s="1534"/>
      <c r="BZ37" s="1534">
        <f>IF(Options!$AF$24=TRUE,0,BV37*'Step 11a--Inputs'!$F38)</f>
        <v>0</v>
      </c>
      <c r="CA37" s="1534"/>
      <c r="CB37" s="1534">
        <f>IF(Options!$AF$24=TRUE,0,BV37*'Step 11a--Inputs'!$I38)</f>
        <v>0</v>
      </c>
      <c r="CC37" s="1542"/>
    </row>
    <row r="38" spans="1:81" ht="3" customHeight="1">
      <c r="A38" s="1224"/>
      <c r="B38" s="1712"/>
      <c r="C38" s="1531"/>
      <c r="D38" s="1531"/>
      <c r="E38" s="1531"/>
      <c r="F38" s="1531"/>
      <c r="G38" s="1531"/>
      <c r="H38" s="1531"/>
      <c r="I38" s="1532"/>
      <c r="J38" s="1533"/>
      <c r="K38" s="1531"/>
      <c r="L38" s="1531"/>
      <c r="M38" s="1531"/>
      <c r="N38" s="1531"/>
      <c r="O38" s="1531"/>
      <c r="P38" s="1531"/>
      <c r="Q38" s="1532"/>
      <c r="R38" s="1533"/>
      <c r="S38" s="1531"/>
      <c r="T38" s="1531"/>
      <c r="U38" s="1531"/>
      <c r="V38" s="1531"/>
      <c r="W38" s="1531"/>
      <c r="X38" s="1531"/>
      <c r="Y38" s="1532"/>
      <c r="Z38" s="1533"/>
      <c r="AA38" s="1531"/>
      <c r="AB38" s="1531"/>
      <c r="AC38" s="1531"/>
      <c r="AD38" s="1531"/>
      <c r="AE38" s="1531"/>
      <c r="AF38" s="1531"/>
      <c r="AG38" s="1532"/>
      <c r="AH38" s="1533"/>
      <c r="AI38" s="1531"/>
      <c r="AJ38" s="1531"/>
      <c r="AK38" s="1531"/>
      <c r="AL38" s="1531"/>
      <c r="AM38" s="1531"/>
      <c r="AN38" s="1531"/>
      <c r="AO38" s="1566"/>
      <c r="AP38" s="1983"/>
      <c r="AQ38" s="1534"/>
      <c r="AR38" s="1534"/>
      <c r="AS38" s="1534"/>
      <c r="AT38" s="1534"/>
      <c r="AU38" s="1534"/>
      <c r="AV38" s="1534"/>
      <c r="AW38" s="1535"/>
      <c r="AX38" s="1554"/>
      <c r="AY38" s="1534"/>
      <c r="AZ38" s="1534"/>
      <c r="BA38" s="1534"/>
      <c r="BB38" s="1534"/>
      <c r="BC38" s="1534"/>
      <c r="BD38" s="1534"/>
      <c r="BE38" s="1535"/>
      <c r="BF38" s="1554"/>
      <c r="BG38" s="1534"/>
      <c r="BH38" s="1534"/>
      <c r="BI38" s="1534"/>
      <c r="BJ38" s="1534"/>
      <c r="BK38" s="1534"/>
      <c r="BL38" s="1534"/>
      <c r="BM38" s="1535"/>
      <c r="BN38" s="1554"/>
      <c r="BO38" s="1534"/>
      <c r="BP38" s="1534"/>
      <c r="BQ38" s="1534"/>
      <c r="BR38" s="1534"/>
      <c r="BS38" s="1534"/>
      <c r="BT38" s="1534"/>
      <c r="BU38" s="1535"/>
      <c r="BV38" s="1554"/>
      <c r="BW38" s="1534"/>
      <c r="BX38" s="1534"/>
      <c r="BY38" s="1534"/>
      <c r="BZ38" s="1534"/>
      <c r="CA38" s="1534"/>
      <c r="CB38" s="1534"/>
      <c r="CC38" s="1542"/>
    </row>
    <row r="39" spans="1:81" ht="14.25">
      <c r="A39" s="1225" t="str">
        <f>IF('Step 7a--Feedstuff Required'!B40="[add grain crop here]"," ",'Step 7a--Feedstuff Required'!B40)</f>
        <v xml:space="preserve"> </v>
      </c>
      <c r="B39" s="1712">
        <f>IFERROR('Step 10a--Required Acres'!D38/'Step 7a--Feedstuff Required'!$E40*'Step 7a--Feedstuff Required'!$Q40/'Step 7a--Feedstuff Required'!$N40,0)</f>
        <v>0</v>
      </c>
      <c r="C39" s="1531"/>
      <c r="D39" s="1531">
        <f>IF(Options!$AE$24=TRUE,0,B39*'Step 11a--Inputs'!$C40)</f>
        <v>0</v>
      </c>
      <c r="E39" s="1531"/>
      <c r="F39" s="1531">
        <f>IF(Options!$AE$24=TRUE,0,B39*'Step 11a--Inputs'!$F40)</f>
        <v>0</v>
      </c>
      <c r="G39" s="1531"/>
      <c r="H39" s="1531">
        <f>IF(Options!$AE$24=TRUE,0,B39*'Step 11a--Inputs'!$I40)</f>
        <v>0</v>
      </c>
      <c r="I39" s="1532"/>
      <c r="J39" s="1533">
        <f>IFERROR('Step 9a--Daily DMI Rations'!F44/'Step 7a--Feedstuff Required'!$E40*'Step 7a--Feedstuff Required'!$Q40/'Step 7a--Feedstuff Required'!$N40,0)</f>
        <v>0</v>
      </c>
      <c r="K39" s="1531"/>
      <c r="L39" s="1531">
        <f>IF(Options!$AE$24=TRUE,0,J39*'Step 11a--Inputs'!$C40)</f>
        <v>0</v>
      </c>
      <c r="M39" s="1531"/>
      <c r="N39" s="1531">
        <f>IF(Options!$AE$24=TRUE,0,J39*'Step 11a--Inputs'!$F40)</f>
        <v>0</v>
      </c>
      <c r="O39" s="1531"/>
      <c r="P39" s="1531">
        <f>IF(Options!$AE$24=TRUE,0,J39*'Step 11a--Inputs'!$I40)</f>
        <v>0</v>
      </c>
      <c r="Q39" s="1532"/>
      <c r="R39" s="1533">
        <f>IFERROR('Step 9a--Daily DMI Rations'!L44/'Step 7a--Feedstuff Required'!$E40*'Step 7a--Feedstuff Required'!$Q40/'Step 7a--Feedstuff Required'!$N40,0)</f>
        <v>0</v>
      </c>
      <c r="S39" s="1531"/>
      <c r="T39" s="1531">
        <f>IF(Options!$AE$24=TRUE,0,R39*'Step 11a--Inputs'!$C40)</f>
        <v>0</v>
      </c>
      <c r="U39" s="1531"/>
      <c r="V39" s="1531">
        <f>IF(Options!$AE$24=TRUE,0,R39*'Step 11a--Inputs'!$F40)</f>
        <v>0</v>
      </c>
      <c r="W39" s="1531"/>
      <c r="X39" s="1531">
        <f>IF(Options!$AE$24=TRUE,0,R39*'Step 11a--Inputs'!$I40)</f>
        <v>0</v>
      </c>
      <c r="Y39" s="1532"/>
      <c r="Z39" s="1533">
        <f>IFERROR('Step 9a--Daily DMI Rations'!R44/'Step 7a--Feedstuff Required'!$E40*'Step 7a--Feedstuff Required'!$Q40/'Step 7a--Feedstuff Required'!$N40,0)</f>
        <v>0</v>
      </c>
      <c r="AA39" s="1531"/>
      <c r="AB39" s="1531">
        <f>IF(Options!$AE$24=TRUE,0,Z39*'Step 11a--Inputs'!$C40)</f>
        <v>0</v>
      </c>
      <c r="AC39" s="1531"/>
      <c r="AD39" s="1531">
        <f>IF(Options!$AE$24=TRUE,0,Z39*'Step 11a--Inputs'!$F40)</f>
        <v>0</v>
      </c>
      <c r="AE39" s="1531"/>
      <c r="AF39" s="1531">
        <f>IF(Options!$AE$24=TRUE,0,Z39*'Step 11a--Inputs'!$I40)</f>
        <v>0</v>
      </c>
      <c r="AG39" s="1532"/>
      <c r="AH39" s="1533">
        <f>IFERROR('Step 9a--Daily DMI Rations'!X44/'Step 7a--Feedstuff Required'!$E40*'Step 7a--Feedstuff Required'!$Q40/'Step 7a--Feedstuff Required'!$N40,0)</f>
        <v>0</v>
      </c>
      <c r="AI39" s="1531"/>
      <c r="AJ39" s="1531">
        <f>IF(Options!$AE$24=TRUE,0,AH39*'Step 11a--Inputs'!$C40)</f>
        <v>0</v>
      </c>
      <c r="AK39" s="1531"/>
      <c r="AL39" s="1531">
        <f>IF(Options!$AE$24=TRUE,0,AH39*'Step 11a--Inputs'!$F40)</f>
        <v>0</v>
      </c>
      <c r="AM39" s="1531"/>
      <c r="AN39" s="1531">
        <f>IF(Options!$AE$24=TRUE,0,AH39*'Step 11a--Inputs'!$I40)</f>
        <v>0</v>
      </c>
      <c r="AO39" s="1566"/>
      <c r="AP39" s="1983">
        <f>IFERROR('Step 9a--Daily DMI Rations'!AB44/'Step 7a--Feedstuff Required'!$Z40*'Step 7a--Feedstuff Required'!$AL40/'Step 7a--Feedstuff Required'!$AI40,0)</f>
        <v>0</v>
      </c>
      <c r="AQ39" s="1534"/>
      <c r="AR39" s="1534">
        <f>IF(Options!$AF$24=TRUE,0,AP39*'Step 11a--Inputs'!$C40)</f>
        <v>0</v>
      </c>
      <c r="AS39" s="1534"/>
      <c r="AT39" s="1534">
        <f>IF(Options!$AF$24=TRUE,0,AP39*'Step 11a--Inputs'!$F40)</f>
        <v>0</v>
      </c>
      <c r="AU39" s="1534"/>
      <c r="AV39" s="1534">
        <f>IF(Options!$AF$24=TRUE,0,AP39*'Step 11a--Inputs'!$I40)</f>
        <v>0</v>
      </c>
      <c r="AW39" s="1535"/>
      <c r="AX39" s="1554">
        <f>IFERROR('Step 9a--Daily DMI Rations'!AG44/'Step 7a--Feedstuff Required'!$Z40*'Step 7a--Feedstuff Required'!$AL40/'Step 7a--Feedstuff Required'!$AI40,0)</f>
        <v>0</v>
      </c>
      <c r="AY39" s="1534"/>
      <c r="AZ39" s="1534">
        <f>IF(Options!$AF$24=TRUE,0,AX39*'Step 11a--Inputs'!$C40)</f>
        <v>0</v>
      </c>
      <c r="BA39" s="1534"/>
      <c r="BB39" s="1534">
        <f>IF(Options!$AF$24=TRUE,0,AX39*'Step 11a--Inputs'!$F40)</f>
        <v>0</v>
      </c>
      <c r="BC39" s="1534"/>
      <c r="BD39" s="1534">
        <f>IF(Options!$AF$24=TRUE,0,AX39*'Step 11a--Inputs'!$I40)</f>
        <v>0</v>
      </c>
      <c r="BE39" s="1535"/>
      <c r="BF39" s="1554">
        <f>IFERROR('Step 9a--Daily DMI Rations'!AM44/'Step 7a--Feedstuff Required'!$Z40*'Step 7a--Feedstuff Required'!$AL40/'Step 7a--Feedstuff Required'!$AI40,0)</f>
        <v>0</v>
      </c>
      <c r="BG39" s="1534"/>
      <c r="BH39" s="1534">
        <f>IF(Options!$AF$24=TRUE,0,BF39*'Step 11a--Inputs'!$C40)</f>
        <v>0</v>
      </c>
      <c r="BI39" s="1534"/>
      <c r="BJ39" s="1534">
        <f>IF(Options!$AF$24=TRUE,0,BF39*'Step 11a--Inputs'!$F40)</f>
        <v>0</v>
      </c>
      <c r="BK39" s="1534"/>
      <c r="BL39" s="1534">
        <f>IF(Options!$AF$24=TRUE,0,BF39*'Step 11a--Inputs'!$I40)</f>
        <v>0</v>
      </c>
      <c r="BM39" s="1535"/>
      <c r="BN39" s="1554">
        <f>IFERROR('Step 9a--Daily DMI Rations'!AS44/'Step 7a--Feedstuff Required'!$Z40*'Step 7a--Feedstuff Required'!$AL40/'Step 7a--Feedstuff Required'!$AI40,0)</f>
        <v>0</v>
      </c>
      <c r="BO39" s="1534"/>
      <c r="BP39" s="1534">
        <f>IF(Options!$AF$24=TRUE,0,BN39*'Step 11a--Inputs'!$C40)</f>
        <v>0</v>
      </c>
      <c r="BQ39" s="1534"/>
      <c r="BR39" s="1534">
        <f>IF(Options!$AF$24=TRUE,0,BN39*'Step 11a--Inputs'!$F40)</f>
        <v>0</v>
      </c>
      <c r="BS39" s="1534"/>
      <c r="BT39" s="1534">
        <f>IF(Options!$AF$24=TRUE,0,BN39*'Step 11a--Inputs'!$I40)</f>
        <v>0</v>
      </c>
      <c r="BU39" s="1535"/>
      <c r="BV39" s="1554">
        <f>IFERROR('Step 9a--Daily DMI Rations'!AY44/'Step 7a--Feedstuff Required'!$Z40*'Step 7a--Feedstuff Required'!$AL40/'Step 7a--Feedstuff Required'!$AI40,0)</f>
        <v>0</v>
      </c>
      <c r="BW39" s="1534"/>
      <c r="BX39" s="1534">
        <f>IF(Options!$AF$24=TRUE,0,BV39*'Step 11a--Inputs'!$C40)</f>
        <v>0</v>
      </c>
      <c r="BY39" s="1534"/>
      <c r="BZ39" s="1534">
        <f>IF(Options!$AF$24=TRUE,0,BV39*'Step 11a--Inputs'!$F40)</f>
        <v>0</v>
      </c>
      <c r="CA39" s="1534"/>
      <c r="CB39" s="1534">
        <f>IF(Options!$AF$24=TRUE,0,BV39*'Step 11a--Inputs'!$I40)</f>
        <v>0</v>
      </c>
      <c r="CC39" s="1542"/>
    </row>
    <row r="40" spans="1:81" ht="3" customHeight="1">
      <c r="A40" s="1224"/>
      <c r="B40" s="1712"/>
      <c r="C40" s="1531"/>
      <c r="D40" s="1531"/>
      <c r="E40" s="1531"/>
      <c r="F40" s="1531"/>
      <c r="G40" s="1531"/>
      <c r="H40" s="1531"/>
      <c r="I40" s="1532"/>
      <c r="J40" s="1533"/>
      <c r="K40" s="1531"/>
      <c r="L40" s="1531"/>
      <c r="M40" s="1531"/>
      <c r="N40" s="1531"/>
      <c r="O40" s="1531"/>
      <c r="P40" s="1531"/>
      <c r="Q40" s="1532"/>
      <c r="R40" s="1533"/>
      <c r="S40" s="1531"/>
      <c r="T40" s="1531"/>
      <c r="U40" s="1531"/>
      <c r="V40" s="1531"/>
      <c r="W40" s="1531"/>
      <c r="X40" s="1531"/>
      <c r="Y40" s="1532"/>
      <c r="Z40" s="1533"/>
      <c r="AA40" s="1531"/>
      <c r="AB40" s="1531"/>
      <c r="AC40" s="1531"/>
      <c r="AD40" s="1531"/>
      <c r="AE40" s="1531"/>
      <c r="AF40" s="1531"/>
      <c r="AG40" s="1532"/>
      <c r="AH40" s="1533"/>
      <c r="AI40" s="1531"/>
      <c r="AJ40" s="1531"/>
      <c r="AK40" s="1531"/>
      <c r="AL40" s="1531"/>
      <c r="AM40" s="1531"/>
      <c r="AN40" s="1531"/>
      <c r="AO40" s="1566"/>
      <c r="AP40" s="1983"/>
      <c r="AQ40" s="1534"/>
      <c r="AR40" s="1534"/>
      <c r="AS40" s="1534"/>
      <c r="AT40" s="1534"/>
      <c r="AU40" s="1534"/>
      <c r="AV40" s="1534"/>
      <c r="AW40" s="1535"/>
      <c r="AX40" s="1554"/>
      <c r="AY40" s="1534"/>
      <c r="AZ40" s="1534"/>
      <c r="BA40" s="1534"/>
      <c r="BB40" s="1534"/>
      <c r="BC40" s="1534"/>
      <c r="BD40" s="1534"/>
      <c r="BE40" s="1535"/>
      <c r="BF40" s="1554"/>
      <c r="BG40" s="1534"/>
      <c r="BH40" s="1534"/>
      <c r="BI40" s="1534"/>
      <c r="BJ40" s="1534"/>
      <c r="BK40" s="1534"/>
      <c r="BL40" s="1534"/>
      <c r="BM40" s="1535"/>
      <c r="BN40" s="1554"/>
      <c r="BO40" s="1534"/>
      <c r="BP40" s="1534"/>
      <c r="BQ40" s="1534"/>
      <c r="BR40" s="1534"/>
      <c r="BS40" s="1534"/>
      <c r="BT40" s="1534"/>
      <c r="BU40" s="1535"/>
      <c r="BV40" s="1554"/>
      <c r="BW40" s="1534"/>
      <c r="BX40" s="1534"/>
      <c r="BY40" s="1534"/>
      <c r="BZ40" s="1534"/>
      <c r="CA40" s="1534"/>
      <c r="CB40" s="1534"/>
      <c r="CC40" s="1542"/>
    </row>
    <row r="41" spans="1:81" ht="14.25">
      <c r="A41" s="1225" t="str">
        <f>IF('Step 7a--Feedstuff Required'!B42="[add grain crop here]"," ",'Step 7a--Feedstuff Required'!B42)</f>
        <v xml:space="preserve"> </v>
      </c>
      <c r="B41" s="1712">
        <f>IFERROR('Step 10a--Required Acres'!D40/'Step 7a--Feedstuff Required'!$E42*'Step 7a--Feedstuff Required'!$Q42/'Step 7a--Feedstuff Required'!$N42,0)</f>
        <v>0</v>
      </c>
      <c r="C41" s="1531"/>
      <c r="D41" s="1531">
        <f>IF(Options!$AE$24=TRUE,0,B41*'Step 11a--Inputs'!$C42)</f>
        <v>0</v>
      </c>
      <c r="E41" s="1531"/>
      <c r="F41" s="1531">
        <f>IF(Options!$AE$24=TRUE,0,B41*'Step 11a--Inputs'!$F42)</f>
        <v>0</v>
      </c>
      <c r="G41" s="1531"/>
      <c r="H41" s="1531">
        <f>IF(Options!$AE$24=TRUE,0,B41*'Step 11a--Inputs'!$I42)</f>
        <v>0</v>
      </c>
      <c r="I41" s="1532"/>
      <c r="J41" s="1533">
        <f>IFERROR('Step 9a--Daily DMI Rations'!F46/'Step 7a--Feedstuff Required'!$E42*'Step 7a--Feedstuff Required'!$Q42/'Step 7a--Feedstuff Required'!$N42,0)</f>
        <v>0</v>
      </c>
      <c r="K41" s="1531"/>
      <c r="L41" s="1531">
        <f>IF(Options!$AE$24=TRUE,0,J41*'Step 11a--Inputs'!$C42)</f>
        <v>0</v>
      </c>
      <c r="M41" s="1531"/>
      <c r="N41" s="1531">
        <f>IF(Options!$AE$24=TRUE,0,J41*'Step 11a--Inputs'!$F42)</f>
        <v>0</v>
      </c>
      <c r="O41" s="1531"/>
      <c r="P41" s="1531">
        <f>IF(Options!$AE$24=TRUE,0,J41*'Step 11a--Inputs'!$I42)</f>
        <v>0</v>
      </c>
      <c r="Q41" s="1532"/>
      <c r="R41" s="1533">
        <f>IFERROR('Step 9a--Daily DMI Rations'!L46/'Step 7a--Feedstuff Required'!$E42*'Step 7a--Feedstuff Required'!$Q42/'Step 7a--Feedstuff Required'!$N42,0)</f>
        <v>0</v>
      </c>
      <c r="S41" s="1531"/>
      <c r="T41" s="1531">
        <f>IF(Options!$AE$24=TRUE,0,R41*'Step 11a--Inputs'!$C42)</f>
        <v>0</v>
      </c>
      <c r="U41" s="1531"/>
      <c r="V41" s="1531">
        <f>IF(Options!$AE$24=TRUE,0,R41*'Step 11a--Inputs'!$F42)</f>
        <v>0</v>
      </c>
      <c r="W41" s="1531"/>
      <c r="X41" s="1531">
        <f>IF(Options!$AE$24=TRUE,0,R41*'Step 11a--Inputs'!$I42)</f>
        <v>0</v>
      </c>
      <c r="Y41" s="1532"/>
      <c r="Z41" s="1533">
        <f>IFERROR('Step 9a--Daily DMI Rations'!R46/'Step 7a--Feedstuff Required'!$E42*'Step 7a--Feedstuff Required'!$Q42/'Step 7a--Feedstuff Required'!$N42,0)</f>
        <v>0</v>
      </c>
      <c r="AA41" s="1531"/>
      <c r="AB41" s="1531">
        <f>IF(Options!$AE$24=TRUE,0,Z41*'Step 11a--Inputs'!$C42)</f>
        <v>0</v>
      </c>
      <c r="AC41" s="1531"/>
      <c r="AD41" s="1531">
        <f>IF(Options!$AE$24=TRUE,0,Z41*'Step 11a--Inputs'!$F42)</f>
        <v>0</v>
      </c>
      <c r="AE41" s="1531"/>
      <c r="AF41" s="1531">
        <f>IF(Options!$AE$24=TRUE,0,Z41*'Step 11a--Inputs'!$I42)</f>
        <v>0</v>
      </c>
      <c r="AG41" s="1532"/>
      <c r="AH41" s="1533">
        <f>IFERROR('Step 9a--Daily DMI Rations'!X46/'Step 7a--Feedstuff Required'!$E42*'Step 7a--Feedstuff Required'!$Q42/'Step 7a--Feedstuff Required'!$N42,0)</f>
        <v>0</v>
      </c>
      <c r="AI41" s="1531"/>
      <c r="AJ41" s="1531">
        <f>IF(Options!$AE$24=TRUE,0,AH41*'Step 11a--Inputs'!$C42)</f>
        <v>0</v>
      </c>
      <c r="AK41" s="1531"/>
      <c r="AL41" s="1531">
        <f>IF(Options!$AE$24=TRUE,0,AH41*'Step 11a--Inputs'!$F42)</f>
        <v>0</v>
      </c>
      <c r="AM41" s="1531"/>
      <c r="AN41" s="1531">
        <f>IF(Options!$AE$24=TRUE,0,AH41*'Step 11a--Inputs'!$I42)</f>
        <v>0</v>
      </c>
      <c r="AO41" s="1566"/>
      <c r="AP41" s="1983">
        <f>IFERROR('Step 9a--Daily DMI Rations'!AB46/'Step 7a--Feedstuff Required'!$Z42*'Step 7a--Feedstuff Required'!$AL42/'Step 7a--Feedstuff Required'!$AI42,0)</f>
        <v>0</v>
      </c>
      <c r="AQ41" s="1534"/>
      <c r="AR41" s="1534">
        <f>IF(Options!$AF$24=TRUE,0,AP41*'Step 11a--Inputs'!$C42)</f>
        <v>0</v>
      </c>
      <c r="AS41" s="1534"/>
      <c r="AT41" s="1534">
        <f>IF(Options!$AF$24=TRUE,0,AP41*'Step 11a--Inputs'!$F42)</f>
        <v>0</v>
      </c>
      <c r="AU41" s="1534"/>
      <c r="AV41" s="1534">
        <f>IF(Options!$AF$24=TRUE,0,AP41*'Step 11a--Inputs'!$I42)</f>
        <v>0</v>
      </c>
      <c r="AW41" s="1535"/>
      <c r="AX41" s="1554">
        <f>IFERROR('Step 9a--Daily DMI Rations'!AG46/'Step 7a--Feedstuff Required'!$Z42*'Step 7a--Feedstuff Required'!$AL42/'Step 7a--Feedstuff Required'!$AI42,0)</f>
        <v>0</v>
      </c>
      <c r="AY41" s="1534"/>
      <c r="AZ41" s="1534">
        <f>IF(Options!$AF$24=TRUE,0,AX41*'Step 11a--Inputs'!$C42)</f>
        <v>0</v>
      </c>
      <c r="BA41" s="1534"/>
      <c r="BB41" s="1534">
        <f>IF(Options!$AF$24=TRUE,0,AX41*'Step 11a--Inputs'!$F42)</f>
        <v>0</v>
      </c>
      <c r="BC41" s="1534"/>
      <c r="BD41" s="1534">
        <f>IF(Options!$AF$24=TRUE,0,AX41*'Step 11a--Inputs'!$I42)</f>
        <v>0</v>
      </c>
      <c r="BE41" s="1535"/>
      <c r="BF41" s="1554">
        <f>IFERROR('Step 9a--Daily DMI Rations'!AM46/'Step 7a--Feedstuff Required'!$Z42*'Step 7a--Feedstuff Required'!$AL42/'Step 7a--Feedstuff Required'!$AI42,0)</f>
        <v>0</v>
      </c>
      <c r="BG41" s="1534"/>
      <c r="BH41" s="1534">
        <f>IF(Options!$AF$24=TRUE,0,BF41*'Step 11a--Inputs'!$C42)</f>
        <v>0</v>
      </c>
      <c r="BI41" s="1534"/>
      <c r="BJ41" s="1534">
        <f>IF(Options!$AF$24=TRUE,0,BF41*'Step 11a--Inputs'!$F42)</f>
        <v>0</v>
      </c>
      <c r="BK41" s="1534"/>
      <c r="BL41" s="1534">
        <f>IF(Options!$AF$24=TRUE,0,BF41*'Step 11a--Inputs'!$I42)</f>
        <v>0</v>
      </c>
      <c r="BM41" s="1535"/>
      <c r="BN41" s="1554">
        <f>IFERROR('Step 9a--Daily DMI Rations'!AS46/'Step 7a--Feedstuff Required'!$Z42*'Step 7a--Feedstuff Required'!$AL42/'Step 7a--Feedstuff Required'!$AI42,0)</f>
        <v>0</v>
      </c>
      <c r="BO41" s="1534"/>
      <c r="BP41" s="1534">
        <f>IF(Options!$AF$24=TRUE,0,BN41*'Step 11a--Inputs'!$C42)</f>
        <v>0</v>
      </c>
      <c r="BQ41" s="1534"/>
      <c r="BR41" s="1534">
        <f>IF(Options!$AF$24=TRUE,0,BN41*'Step 11a--Inputs'!$F42)</f>
        <v>0</v>
      </c>
      <c r="BS41" s="1534"/>
      <c r="BT41" s="1534">
        <f>IF(Options!$AF$24=TRUE,0,BN41*'Step 11a--Inputs'!$I42)</f>
        <v>0</v>
      </c>
      <c r="BU41" s="1535"/>
      <c r="BV41" s="1554">
        <f>IFERROR('Step 9a--Daily DMI Rations'!AY46/'Step 7a--Feedstuff Required'!$Z42*'Step 7a--Feedstuff Required'!$AL42/'Step 7a--Feedstuff Required'!$AI42,0)</f>
        <v>0</v>
      </c>
      <c r="BW41" s="1534"/>
      <c r="BX41" s="1534">
        <f>IF(Options!$AF$24=TRUE,0,BV41*'Step 11a--Inputs'!$C42)</f>
        <v>0</v>
      </c>
      <c r="BY41" s="1534"/>
      <c r="BZ41" s="1534">
        <f>IF(Options!$AF$24=TRUE,0,BV41*'Step 11a--Inputs'!$F42)</f>
        <v>0</v>
      </c>
      <c r="CA41" s="1534"/>
      <c r="CB41" s="1534">
        <f>IF(Options!$AF$24=TRUE,0,BV41*'Step 11a--Inputs'!$I42)</f>
        <v>0</v>
      </c>
      <c r="CC41" s="1542"/>
    </row>
    <row r="42" spans="1:81" ht="3" customHeight="1">
      <c r="A42" s="1224"/>
      <c r="B42" s="1712"/>
      <c r="C42" s="1531"/>
      <c r="D42" s="1531"/>
      <c r="E42" s="1531"/>
      <c r="F42" s="1531"/>
      <c r="G42" s="1531"/>
      <c r="H42" s="1531"/>
      <c r="I42" s="1532"/>
      <c r="J42" s="1533"/>
      <c r="K42" s="1531"/>
      <c r="L42" s="1531"/>
      <c r="M42" s="1531"/>
      <c r="N42" s="1531"/>
      <c r="O42" s="1531"/>
      <c r="P42" s="1531"/>
      <c r="Q42" s="1532"/>
      <c r="R42" s="1533"/>
      <c r="S42" s="1531"/>
      <c r="T42" s="1531"/>
      <c r="U42" s="1531"/>
      <c r="V42" s="1531"/>
      <c r="W42" s="1531"/>
      <c r="X42" s="1531"/>
      <c r="Y42" s="1532"/>
      <c r="Z42" s="1533"/>
      <c r="AA42" s="1531"/>
      <c r="AB42" s="1531"/>
      <c r="AC42" s="1531"/>
      <c r="AD42" s="1531"/>
      <c r="AE42" s="1531"/>
      <c r="AF42" s="1531"/>
      <c r="AG42" s="1532"/>
      <c r="AH42" s="1533"/>
      <c r="AI42" s="1531"/>
      <c r="AJ42" s="1531"/>
      <c r="AK42" s="1531"/>
      <c r="AL42" s="1531"/>
      <c r="AM42" s="1531"/>
      <c r="AN42" s="1531"/>
      <c r="AO42" s="1566"/>
      <c r="AP42" s="1983"/>
      <c r="AQ42" s="1534"/>
      <c r="AR42" s="1534"/>
      <c r="AS42" s="1534"/>
      <c r="AT42" s="1534"/>
      <c r="AU42" s="1534"/>
      <c r="AV42" s="1534"/>
      <c r="AW42" s="1535"/>
      <c r="AX42" s="1554"/>
      <c r="AY42" s="1534"/>
      <c r="AZ42" s="1534"/>
      <c r="BA42" s="1534"/>
      <c r="BB42" s="1534"/>
      <c r="BC42" s="1534"/>
      <c r="BD42" s="1534"/>
      <c r="BE42" s="1535"/>
      <c r="BF42" s="1554"/>
      <c r="BG42" s="1534"/>
      <c r="BH42" s="1534"/>
      <c r="BI42" s="1534"/>
      <c r="BJ42" s="1534"/>
      <c r="BK42" s="1534"/>
      <c r="BL42" s="1534"/>
      <c r="BM42" s="1535"/>
      <c r="BN42" s="1554"/>
      <c r="BO42" s="1534"/>
      <c r="BP42" s="1534"/>
      <c r="BQ42" s="1534"/>
      <c r="BR42" s="1534"/>
      <c r="BS42" s="1534"/>
      <c r="BT42" s="1534"/>
      <c r="BU42" s="1535"/>
      <c r="BV42" s="1554"/>
      <c r="BW42" s="1534"/>
      <c r="BX42" s="1534"/>
      <c r="BY42" s="1534"/>
      <c r="BZ42" s="1534"/>
      <c r="CA42" s="1534"/>
      <c r="CB42" s="1534"/>
      <c r="CC42" s="1542"/>
    </row>
    <row r="43" spans="1:81" ht="15">
      <c r="A43" s="3774" t="s">
        <v>1482</v>
      </c>
      <c r="B43" s="1713">
        <f>SUM(B29:B42)</f>
        <v>1.861215538847118E-3</v>
      </c>
      <c r="C43" s="1536"/>
      <c r="D43" s="1536">
        <f t="shared" ref="D43:CB43" si="1">SUM(D29:D42)</f>
        <v>0.24568045112781958</v>
      </c>
      <c r="E43" s="1536"/>
      <c r="F43" s="1536">
        <f t="shared" si="1"/>
        <v>3.908552631578948E-3</v>
      </c>
      <c r="G43" s="1536"/>
      <c r="H43" s="1536">
        <f t="shared" si="1"/>
        <v>3.7224310776942361E-4</v>
      </c>
      <c r="I43" s="1537"/>
      <c r="J43" s="1538">
        <f t="shared" si="1"/>
        <v>1.861215538847118E-3</v>
      </c>
      <c r="K43" s="1536"/>
      <c r="L43" s="1536">
        <f t="shared" si="1"/>
        <v>0.24568045112781958</v>
      </c>
      <c r="M43" s="1536"/>
      <c r="N43" s="1536">
        <f t="shared" si="1"/>
        <v>3.908552631578948E-3</v>
      </c>
      <c r="O43" s="1536"/>
      <c r="P43" s="1536">
        <f t="shared" si="1"/>
        <v>3.7224310776942361E-4</v>
      </c>
      <c r="Q43" s="1537"/>
      <c r="R43" s="1538">
        <f t="shared" si="1"/>
        <v>0</v>
      </c>
      <c r="S43" s="1536"/>
      <c r="T43" s="1536">
        <f t="shared" si="1"/>
        <v>0</v>
      </c>
      <c r="U43" s="1536"/>
      <c r="V43" s="1536">
        <f t="shared" si="1"/>
        <v>0</v>
      </c>
      <c r="W43" s="1536"/>
      <c r="X43" s="1536">
        <f t="shared" si="1"/>
        <v>0</v>
      </c>
      <c r="Y43" s="1537"/>
      <c r="Z43" s="1538">
        <f t="shared" si="1"/>
        <v>0</v>
      </c>
      <c r="AA43" s="1536"/>
      <c r="AB43" s="1536">
        <f t="shared" si="1"/>
        <v>0</v>
      </c>
      <c r="AC43" s="1536"/>
      <c r="AD43" s="1536">
        <f t="shared" si="1"/>
        <v>0</v>
      </c>
      <c r="AE43" s="1536"/>
      <c r="AF43" s="1536">
        <f t="shared" si="1"/>
        <v>0</v>
      </c>
      <c r="AG43" s="1537"/>
      <c r="AH43" s="1538">
        <f t="shared" si="1"/>
        <v>0</v>
      </c>
      <c r="AI43" s="1536"/>
      <c r="AJ43" s="1536">
        <f t="shared" si="1"/>
        <v>0</v>
      </c>
      <c r="AK43" s="1536"/>
      <c r="AL43" s="1536">
        <f t="shared" si="1"/>
        <v>0</v>
      </c>
      <c r="AM43" s="1536"/>
      <c r="AN43" s="1536">
        <f t="shared" si="1"/>
        <v>0</v>
      </c>
      <c r="AO43" s="1567"/>
      <c r="AP43" s="1984">
        <f t="shared" si="1"/>
        <v>1.861215538847118E-3</v>
      </c>
      <c r="AQ43" s="1539"/>
      <c r="AR43" s="1539">
        <f t="shared" si="1"/>
        <v>0.24568045112781958</v>
      </c>
      <c r="AS43" s="1539"/>
      <c r="AT43" s="1539">
        <f t="shared" si="1"/>
        <v>3.908552631578948E-3</v>
      </c>
      <c r="AU43" s="1539"/>
      <c r="AV43" s="1539">
        <f t="shared" si="1"/>
        <v>3.7224310776942361E-4</v>
      </c>
      <c r="AW43" s="1540"/>
      <c r="AX43" s="1555">
        <f t="shared" si="1"/>
        <v>1.5162907268170425E-3</v>
      </c>
      <c r="AY43" s="1539"/>
      <c r="AZ43" s="1539">
        <f t="shared" si="1"/>
        <v>0.20015037593984961</v>
      </c>
      <c r="BA43" s="1539"/>
      <c r="BB43" s="1539">
        <f t="shared" si="1"/>
        <v>3.1842105263157894E-3</v>
      </c>
      <c r="BC43" s="1539"/>
      <c r="BD43" s="1539">
        <f t="shared" si="1"/>
        <v>3.0325814536340853E-4</v>
      </c>
      <c r="BE43" s="1540"/>
      <c r="BF43" s="1555">
        <f t="shared" si="1"/>
        <v>0</v>
      </c>
      <c r="BG43" s="1539"/>
      <c r="BH43" s="1539">
        <f t="shared" si="1"/>
        <v>0</v>
      </c>
      <c r="BI43" s="1539"/>
      <c r="BJ43" s="1539">
        <f t="shared" si="1"/>
        <v>0</v>
      </c>
      <c r="BK43" s="1539"/>
      <c r="BL43" s="1539">
        <f t="shared" si="1"/>
        <v>0</v>
      </c>
      <c r="BM43" s="1540"/>
      <c r="BN43" s="1555">
        <f t="shared" si="1"/>
        <v>0</v>
      </c>
      <c r="BO43" s="1539"/>
      <c r="BP43" s="1539">
        <f t="shared" si="1"/>
        <v>0</v>
      </c>
      <c r="BQ43" s="1539"/>
      <c r="BR43" s="1539">
        <f t="shared" si="1"/>
        <v>0</v>
      </c>
      <c r="BS43" s="1539"/>
      <c r="BT43" s="1539">
        <f t="shared" si="1"/>
        <v>0</v>
      </c>
      <c r="BU43" s="1540"/>
      <c r="BV43" s="1555">
        <f t="shared" si="1"/>
        <v>0</v>
      </c>
      <c r="BW43" s="1539"/>
      <c r="BX43" s="1539">
        <f t="shared" si="1"/>
        <v>0</v>
      </c>
      <c r="BY43" s="1539"/>
      <c r="BZ43" s="1539">
        <f t="shared" si="1"/>
        <v>0</v>
      </c>
      <c r="CA43" s="1539"/>
      <c r="CB43" s="1539">
        <f t="shared" si="1"/>
        <v>0</v>
      </c>
      <c r="CC43" s="1543"/>
    </row>
    <row r="44" spans="1:81" ht="14.25">
      <c r="A44" s="787"/>
      <c r="B44" s="1712"/>
      <c r="C44" s="1531"/>
      <c r="D44" s="1531"/>
      <c r="E44" s="1531"/>
      <c r="F44" s="1531"/>
      <c r="G44" s="1531"/>
      <c r="H44" s="1531"/>
      <c r="I44" s="1532"/>
      <c r="J44" s="1533"/>
      <c r="K44" s="1531"/>
      <c r="L44" s="1531"/>
      <c r="M44" s="1531"/>
      <c r="N44" s="1531"/>
      <c r="O44" s="1531"/>
      <c r="P44" s="1531"/>
      <c r="Q44" s="1532"/>
      <c r="R44" s="1533"/>
      <c r="S44" s="1531"/>
      <c r="T44" s="1531"/>
      <c r="U44" s="1531"/>
      <c r="V44" s="1531"/>
      <c r="W44" s="1531"/>
      <c r="X44" s="1531"/>
      <c r="Y44" s="1532"/>
      <c r="Z44" s="1533"/>
      <c r="AA44" s="1531"/>
      <c r="AB44" s="1531"/>
      <c r="AC44" s="1531"/>
      <c r="AD44" s="1531"/>
      <c r="AE44" s="1531"/>
      <c r="AF44" s="1531"/>
      <c r="AG44" s="1532"/>
      <c r="AH44" s="1533"/>
      <c r="AI44" s="1531"/>
      <c r="AJ44" s="1531"/>
      <c r="AK44" s="1531"/>
      <c r="AL44" s="1531"/>
      <c r="AM44" s="1531"/>
      <c r="AN44" s="1531"/>
      <c r="AO44" s="1566"/>
      <c r="AP44" s="1983"/>
      <c r="AQ44" s="1534"/>
      <c r="AR44" s="1534"/>
      <c r="AS44" s="1534"/>
      <c r="AT44" s="1534"/>
      <c r="AU44" s="1534"/>
      <c r="AV44" s="1534"/>
      <c r="AW44" s="1535"/>
      <c r="AX44" s="1554"/>
      <c r="AY44" s="1534"/>
      <c r="AZ44" s="1534"/>
      <c r="BA44" s="1534"/>
      <c r="BB44" s="1534"/>
      <c r="BC44" s="1534"/>
      <c r="BD44" s="1534"/>
      <c r="BE44" s="1535"/>
      <c r="BF44" s="1554"/>
      <c r="BG44" s="1534"/>
      <c r="BH44" s="1534"/>
      <c r="BI44" s="1534"/>
      <c r="BJ44" s="1534"/>
      <c r="BK44" s="1534"/>
      <c r="BL44" s="1534"/>
      <c r="BM44" s="1535"/>
      <c r="BN44" s="1554"/>
      <c r="BO44" s="1534"/>
      <c r="BP44" s="1534"/>
      <c r="BQ44" s="1534"/>
      <c r="BR44" s="1534"/>
      <c r="BS44" s="1534"/>
      <c r="BT44" s="1534"/>
      <c r="BU44" s="1535"/>
      <c r="BV44" s="1554"/>
      <c r="BW44" s="1534"/>
      <c r="BX44" s="1534"/>
      <c r="BY44" s="1534"/>
      <c r="BZ44" s="1534"/>
      <c r="CA44" s="1534"/>
      <c r="CB44" s="1534"/>
      <c r="CC44" s="1542"/>
    </row>
    <row r="45" spans="1:81" ht="21.75" customHeight="1">
      <c r="A45" s="4031" t="s">
        <v>1477</v>
      </c>
      <c r="B45" s="4032"/>
      <c r="C45" s="4032"/>
      <c r="D45" s="4032"/>
      <c r="E45" s="4032"/>
      <c r="F45" s="4032"/>
      <c r="G45" s="4032"/>
      <c r="H45" s="4032"/>
      <c r="I45" s="4032"/>
      <c r="J45" s="4032"/>
      <c r="K45" s="4032"/>
      <c r="L45" s="4032"/>
      <c r="M45" s="4032"/>
      <c r="N45" s="4032"/>
      <c r="O45" s="4032"/>
      <c r="P45" s="4032"/>
      <c r="Q45" s="4032"/>
      <c r="R45" s="4032"/>
      <c r="S45" s="4032"/>
      <c r="T45" s="4032"/>
      <c r="U45" s="4032"/>
      <c r="V45" s="4032"/>
      <c r="W45" s="4032"/>
      <c r="X45" s="4032"/>
      <c r="Y45" s="4032"/>
      <c r="Z45" s="4032"/>
      <c r="AA45" s="4032"/>
      <c r="AB45" s="4032"/>
      <c r="AC45" s="4032"/>
      <c r="AD45" s="4032"/>
      <c r="AE45" s="4032"/>
      <c r="AF45" s="4032"/>
      <c r="AG45" s="4032"/>
      <c r="AH45" s="4032"/>
      <c r="AI45" s="4032"/>
      <c r="AJ45" s="4032"/>
      <c r="AK45" s="4032"/>
      <c r="AL45" s="4032"/>
      <c r="AM45" s="4032"/>
      <c r="AN45" s="4032"/>
      <c r="AO45" s="4032"/>
      <c r="AP45" s="4032"/>
      <c r="AQ45" s="4032"/>
      <c r="AR45" s="4032"/>
      <c r="AS45" s="4032"/>
      <c r="AT45" s="4032"/>
      <c r="AU45" s="4032"/>
      <c r="AV45" s="4032"/>
      <c r="AW45" s="4032"/>
      <c r="AX45" s="4032"/>
      <c r="AY45" s="4032"/>
      <c r="AZ45" s="4032"/>
      <c r="BA45" s="4032"/>
      <c r="BB45" s="4032"/>
      <c r="BC45" s="4032"/>
      <c r="BD45" s="4032"/>
      <c r="BE45" s="4032"/>
      <c r="BF45" s="4032"/>
      <c r="BG45" s="4032"/>
      <c r="BH45" s="4032"/>
      <c r="BI45" s="4032"/>
      <c r="BJ45" s="4032"/>
      <c r="BK45" s="4032"/>
      <c r="BL45" s="4032"/>
      <c r="BM45" s="4032"/>
      <c r="BN45" s="4032"/>
      <c r="BO45" s="4032"/>
      <c r="BP45" s="4032"/>
      <c r="BQ45" s="4032"/>
      <c r="BR45" s="4032"/>
      <c r="BS45" s="4032"/>
      <c r="BT45" s="4032"/>
      <c r="BU45" s="4032"/>
      <c r="BV45" s="4032"/>
      <c r="BW45" s="4032"/>
      <c r="BX45" s="4032"/>
      <c r="BY45" s="4032"/>
      <c r="BZ45" s="4032"/>
      <c r="CA45" s="4032"/>
      <c r="CB45" s="4032"/>
      <c r="CC45" s="4033"/>
    </row>
    <row r="46" spans="1:81" ht="14.25">
      <c r="A46" s="1224" t="s">
        <v>7</v>
      </c>
      <c r="B46" s="1712">
        <f>IFERROR('Step 10a--Required Acres'!D45/'Step 7a--Feedstuff Required'!$E48*'Step 7a--Feedstuff Required'!$Q48/'Step 7a--Feedstuff Required'!$N48,0)</f>
        <v>3.6202674897119346E-3</v>
      </c>
      <c r="C46" s="1531"/>
      <c r="D46" s="1531">
        <f>IF(Options!$AE$24=TRUE,0,B46*'Step 11a--Inputs'!$C48)</f>
        <v>1.0860802469135804E-2</v>
      </c>
      <c r="E46" s="1531"/>
      <c r="F46" s="1531">
        <f>IF(Options!$AE$24=TRUE,0,B46*'Step 11a--Inputs'!$F48)</f>
        <v>3.6202674897119346E-3</v>
      </c>
      <c r="G46" s="1531"/>
      <c r="H46" s="1531">
        <f>IF(Options!$AE$24=TRUE,0,B46*'Step 11a--Inputs'!$I48)</f>
        <v>1.0860802469135804E-4</v>
      </c>
      <c r="I46" s="1532"/>
      <c r="J46" s="1533">
        <f>IFERROR('Step 9a--Daily DMI Rations'!F52/'Step 7a--Feedstuff Required'!$E48*'Step 7a--Feedstuff Required'!$Q48/'Step 7a--Feedstuff Required'!$N48,0)</f>
        <v>3.6202674897119346E-3</v>
      </c>
      <c r="K46" s="1531"/>
      <c r="L46" s="1531">
        <f>IF(Options!$AE$24=TRUE,0,J46*'Step 11a--Inputs'!$C48)</f>
        <v>1.0860802469135804E-2</v>
      </c>
      <c r="M46" s="1531"/>
      <c r="N46" s="1531">
        <f>IF(Options!$AE$24=TRUE,0,J46*'Step 11a--Inputs'!$F48)</f>
        <v>3.6202674897119346E-3</v>
      </c>
      <c r="O46" s="1531"/>
      <c r="P46" s="1531">
        <f>IF(Options!$AE$24=TRUE,0,J46*'Step 11a--Inputs'!$I48)</f>
        <v>1.0860802469135804E-4</v>
      </c>
      <c r="Q46" s="1532"/>
      <c r="R46" s="1533">
        <f>IFERROR('Step 9a--Daily DMI Rations'!L52/'Step 7a--Feedstuff Required'!$E48*'Step 7a--Feedstuff Required'!$Q48/'Step 7a--Feedstuff Required'!$N48,0)</f>
        <v>0</v>
      </c>
      <c r="S46" s="1531"/>
      <c r="T46" s="1531">
        <f>IF(Options!$AE$24=TRUE,0,R46*'Step 11a--Inputs'!$C48)</f>
        <v>0</v>
      </c>
      <c r="U46" s="1531"/>
      <c r="V46" s="1531">
        <f>IF(Options!$AE$24=TRUE,0,R46*'Step 11a--Inputs'!$F48)</f>
        <v>0</v>
      </c>
      <c r="W46" s="1531"/>
      <c r="X46" s="1531">
        <f>IF(Options!$AE$24=TRUE,0,R46*'Step 11a--Inputs'!$I48)</f>
        <v>0</v>
      </c>
      <c r="Y46" s="1532"/>
      <c r="Z46" s="1533">
        <f>IFERROR('Step 9a--Daily DMI Rations'!R52/'Step 7a--Feedstuff Required'!$E48*'Step 7a--Feedstuff Required'!$Q48/'Step 7a--Feedstuff Required'!$N48,0)</f>
        <v>0</v>
      </c>
      <c r="AA46" s="1531"/>
      <c r="AB46" s="1531">
        <f>IF(Options!$AE$24=TRUE,0,Z46*'Step 11a--Inputs'!$C48)</f>
        <v>0</v>
      </c>
      <c r="AC46" s="1531"/>
      <c r="AD46" s="1531">
        <f>IF(Options!$AE$24=TRUE,0,Z46*'Step 11a--Inputs'!$F48)</f>
        <v>0</v>
      </c>
      <c r="AE46" s="1531"/>
      <c r="AF46" s="1531">
        <f>IF(Options!$AE$24=TRUE,0,Z46*'Step 11a--Inputs'!$I48)</f>
        <v>0</v>
      </c>
      <c r="AG46" s="1532"/>
      <c r="AH46" s="1533">
        <f>IFERROR('Step 9a--Daily DMI Rations'!X52/'Step 7a--Feedstuff Required'!$E48*'Step 7a--Feedstuff Required'!$Q48/'Step 7a--Feedstuff Required'!$N48,0)</f>
        <v>0</v>
      </c>
      <c r="AI46" s="1531"/>
      <c r="AJ46" s="1531">
        <f>IF(Options!$AE$24=TRUE,0,AH46*'Step 11a--Inputs'!$C48)</f>
        <v>0</v>
      </c>
      <c r="AK46" s="1531"/>
      <c r="AL46" s="1531">
        <f>IF(Options!$AE$24=TRUE,0,AH46*'Step 11a--Inputs'!$F48)</f>
        <v>0</v>
      </c>
      <c r="AM46" s="1531"/>
      <c r="AN46" s="1531">
        <f>IF(Options!$AE$24=TRUE,0,AH46*'Step 11a--Inputs'!$I48)</f>
        <v>0</v>
      </c>
      <c r="AO46" s="1566"/>
      <c r="AP46" s="1983">
        <f>IFERROR('Step 9a--Daily DMI Rations'!AB52/'Step 7a--Feedstuff Required'!$Z48*'Step 7a--Feedstuff Required'!$AL48/'Step 7a--Feedstuff Required'!$AI48,0)</f>
        <v>3.6202674897119346E-3</v>
      </c>
      <c r="AQ46" s="1534"/>
      <c r="AR46" s="1534">
        <f>IF(Options!$AF$24=TRUE,0,AP46*'Step 11a--Inputs'!$C48)</f>
        <v>1.0860802469135804E-2</v>
      </c>
      <c r="AS46" s="1534"/>
      <c r="AT46" s="1534">
        <f>IF(Options!$AF$24=TRUE,0,AP46*'Step 11a--Inputs'!$F48)</f>
        <v>3.6202674897119346E-3</v>
      </c>
      <c r="AU46" s="1534"/>
      <c r="AV46" s="1534">
        <f>IF(Options!$AF$24=TRUE,0,AP46*'Step 11a--Inputs'!$I48)</f>
        <v>1.0860802469135804E-4</v>
      </c>
      <c r="AW46" s="1535"/>
      <c r="AX46" s="1554">
        <f>IFERROR('Step 9a--Daily DMI Rations'!AG52/'Step 7a--Feedstuff Required'!$Z48*'Step 7a--Feedstuff Required'!$AL48/'Step 7a--Feedstuff Required'!$AI48,0)</f>
        <v>2.9876543209876546E-3</v>
      </c>
      <c r="AY46" s="1534"/>
      <c r="AZ46" s="1534">
        <f>IF(Options!$AF$24=TRUE,0,AX46*'Step 11a--Inputs'!$C48)</f>
        <v>8.9629629629629642E-3</v>
      </c>
      <c r="BA46" s="1534"/>
      <c r="BB46" s="1534">
        <f>IF(Options!$AF$24=TRUE,0,AX46*'Step 11a--Inputs'!$F48)</f>
        <v>2.9876543209876546E-3</v>
      </c>
      <c r="BC46" s="1534"/>
      <c r="BD46" s="1534">
        <f>IF(Options!$AF$24=TRUE,0,AX46*'Step 11a--Inputs'!$I48)</f>
        <v>8.9629629629629635E-5</v>
      </c>
      <c r="BE46" s="1535"/>
      <c r="BF46" s="1554">
        <f>IFERROR('Step 9a--Daily DMI Rations'!AM52/'Step 7a--Feedstuff Required'!$Z48*'Step 7a--Feedstuff Required'!$AL48/'Step 7a--Feedstuff Required'!$AI48,0)</f>
        <v>0</v>
      </c>
      <c r="BG46" s="1534"/>
      <c r="BH46" s="1534">
        <f>IF(Options!$AF$24=TRUE,0,BF46*'Step 11a--Inputs'!$C48)</f>
        <v>0</v>
      </c>
      <c r="BI46" s="1534"/>
      <c r="BJ46" s="1534">
        <f>IF(Options!$AF$24=TRUE,0,BF46*'Step 11a--Inputs'!$F48)</f>
        <v>0</v>
      </c>
      <c r="BK46" s="1534"/>
      <c r="BL46" s="1534">
        <f>IF(Options!$AF$24=TRUE,0,BF46*'Step 11a--Inputs'!$I48)</f>
        <v>0</v>
      </c>
      <c r="BM46" s="1535"/>
      <c r="BN46" s="1554">
        <f>IFERROR('Step 9a--Daily DMI Rations'!AS52/'Step 7a--Feedstuff Required'!$Z48*'Step 7a--Feedstuff Required'!$AL48/'Step 7a--Feedstuff Required'!$AI48,0)</f>
        <v>0</v>
      </c>
      <c r="BO46" s="1534"/>
      <c r="BP46" s="1534">
        <f>IF(Options!$AF$24=TRUE,0,BN46*'Step 11a--Inputs'!$C48)</f>
        <v>0</v>
      </c>
      <c r="BQ46" s="1534"/>
      <c r="BR46" s="1534">
        <f>IF(Options!$AF$24=TRUE,0,BN46*'Step 11a--Inputs'!$F48)</f>
        <v>0</v>
      </c>
      <c r="BS46" s="1534"/>
      <c r="BT46" s="1534">
        <f>IF(Options!$AF$24=TRUE,0,BN46*'Step 11a--Inputs'!$I48)</f>
        <v>0</v>
      </c>
      <c r="BU46" s="1535"/>
      <c r="BV46" s="1554">
        <f>IFERROR('Step 9a--Daily DMI Rations'!AY52/'Step 7a--Feedstuff Required'!$Z48*'Step 7a--Feedstuff Required'!$AL48/'Step 7a--Feedstuff Required'!$AI48,0)</f>
        <v>0</v>
      </c>
      <c r="BW46" s="1534"/>
      <c r="BX46" s="1534">
        <f>IF(Options!$AF$24=TRUE,0,BV46*'Step 11a--Inputs'!$C48)</f>
        <v>0</v>
      </c>
      <c r="BY46" s="1534"/>
      <c r="BZ46" s="1534">
        <f>IF(Options!$AF$24=TRUE,0,BV46*'Step 11a--Inputs'!$F48)</f>
        <v>0</v>
      </c>
      <c r="CA46" s="1534"/>
      <c r="CB46" s="1534">
        <f>IF(Options!$AF$24=TRUE,0,BV46*'Step 11a--Inputs'!$I48)</f>
        <v>0</v>
      </c>
      <c r="CC46" s="1542"/>
    </row>
    <row r="47" spans="1:81" ht="3" customHeight="1">
      <c r="A47" s="1367"/>
      <c r="B47" s="1712"/>
      <c r="C47" s="1531"/>
      <c r="D47" s="1531"/>
      <c r="E47" s="1531"/>
      <c r="F47" s="1531"/>
      <c r="G47" s="1531"/>
      <c r="H47" s="1531"/>
      <c r="I47" s="1532"/>
      <c r="J47" s="1533"/>
      <c r="K47" s="1531"/>
      <c r="L47" s="1531"/>
      <c r="M47" s="1531"/>
      <c r="N47" s="1531"/>
      <c r="O47" s="1531"/>
      <c r="P47" s="1531"/>
      <c r="Q47" s="1532"/>
      <c r="R47" s="1533"/>
      <c r="S47" s="1531"/>
      <c r="T47" s="1531"/>
      <c r="U47" s="1531"/>
      <c r="V47" s="1531"/>
      <c r="W47" s="1531"/>
      <c r="X47" s="1531"/>
      <c r="Y47" s="1532"/>
      <c r="Z47" s="1533"/>
      <c r="AA47" s="1531"/>
      <c r="AB47" s="1531"/>
      <c r="AC47" s="1531"/>
      <c r="AD47" s="1531"/>
      <c r="AE47" s="1531"/>
      <c r="AF47" s="1531"/>
      <c r="AG47" s="1532"/>
      <c r="AH47" s="1533"/>
      <c r="AI47" s="1531"/>
      <c r="AJ47" s="1531"/>
      <c r="AK47" s="1531"/>
      <c r="AL47" s="1531"/>
      <c r="AM47" s="1531"/>
      <c r="AN47" s="1531"/>
      <c r="AO47" s="1566"/>
      <c r="AP47" s="1983"/>
      <c r="AQ47" s="1534"/>
      <c r="AR47" s="1534"/>
      <c r="AS47" s="1534"/>
      <c r="AT47" s="1534"/>
      <c r="AU47" s="1534"/>
      <c r="AV47" s="1534"/>
      <c r="AW47" s="1535"/>
      <c r="AX47" s="1554"/>
      <c r="AY47" s="1534"/>
      <c r="AZ47" s="1534"/>
      <c r="BA47" s="1534"/>
      <c r="BB47" s="1534"/>
      <c r="BC47" s="1534"/>
      <c r="BD47" s="1534"/>
      <c r="BE47" s="1535"/>
      <c r="BF47" s="1554"/>
      <c r="BG47" s="1534"/>
      <c r="BH47" s="1534"/>
      <c r="BI47" s="1534"/>
      <c r="BJ47" s="1534"/>
      <c r="BK47" s="1534"/>
      <c r="BL47" s="1534"/>
      <c r="BM47" s="1535"/>
      <c r="BN47" s="1554"/>
      <c r="BO47" s="1534"/>
      <c r="BP47" s="1534"/>
      <c r="BQ47" s="1534"/>
      <c r="BR47" s="1534"/>
      <c r="BS47" s="1534"/>
      <c r="BT47" s="1534"/>
      <c r="BU47" s="1535"/>
      <c r="BV47" s="1554"/>
      <c r="BW47" s="1534"/>
      <c r="BX47" s="1534"/>
      <c r="BY47" s="1534"/>
      <c r="BZ47" s="1534"/>
      <c r="CA47" s="1534"/>
      <c r="CB47" s="1534"/>
      <c r="CC47" s="1542"/>
    </row>
    <row r="48" spans="1:81" ht="14.25">
      <c r="A48" s="1224" t="s">
        <v>8</v>
      </c>
      <c r="B48" s="1712">
        <f>IFERROR('Step 10a--Required Acres'!D47/'Step 7a--Feedstuff Required'!$E50*'Step 7a--Feedstuff Required'!$Q50/'Step 7a--Feedstuff Required'!$N50,0)</f>
        <v>0</v>
      </c>
      <c r="C48" s="1531"/>
      <c r="D48" s="1531">
        <f>IF(Options!$AE$24=TRUE,0,B48*'Step 11a--Inputs'!$C50)</f>
        <v>0</v>
      </c>
      <c r="E48" s="1531"/>
      <c r="F48" s="1531">
        <f>IF(Options!$AE$24=TRUE,0,B48*'Step 11a--Inputs'!$F50)</f>
        <v>0</v>
      </c>
      <c r="G48" s="1531"/>
      <c r="H48" s="1531">
        <f>IF(Options!$AE$24=TRUE,0,B48*'Step 11a--Inputs'!$I50)</f>
        <v>0</v>
      </c>
      <c r="I48" s="1532"/>
      <c r="J48" s="1533">
        <f>IFERROR('Step 9a--Daily DMI Rations'!F54/'Step 7a--Feedstuff Required'!$E50*'Step 7a--Feedstuff Required'!$Q50/'Step 7a--Feedstuff Required'!$N50,0)</f>
        <v>0</v>
      </c>
      <c r="K48" s="1531"/>
      <c r="L48" s="1531">
        <f>IF(Options!$AE$24=TRUE,0,J48*'Step 11a--Inputs'!$C50)</f>
        <v>0</v>
      </c>
      <c r="M48" s="1531"/>
      <c r="N48" s="1531">
        <f>IF(Options!$AE$24=TRUE,0,J48*'Step 11a--Inputs'!$F50)</f>
        <v>0</v>
      </c>
      <c r="O48" s="1531"/>
      <c r="P48" s="1531">
        <f>IF(Options!$AE$24=TRUE,0,J48*'Step 11a--Inputs'!$I50)</f>
        <v>0</v>
      </c>
      <c r="Q48" s="1532"/>
      <c r="R48" s="1533">
        <f>IFERROR('Step 9a--Daily DMI Rations'!L54/'Step 7a--Feedstuff Required'!$E50*'Step 7a--Feedstuff Required'!$Q50/'Step 7a--Feedstuff Required'!$N50,0)</f>
        <v>0</v>
      </c>
      <c r="S48" s="1531"/>
      <c r="T48" s="1531">
        <f>IF(Options!$AE$24=TRUE,0,R48*'Step 11a--Inputs'!$C50)</f>
        <v>0</v>
      </c>
      <c r="U48" s="1531"/>
      <c r="V48" s="1531">
        <f>IF(Options!$AE$24=TRUE,0,R48*'Step 11a--Inputs'!$F50)</f>
        <v>0</v>
      </c>
      <c r="W48" s="1531"/>
      <c r="X48" s="1531">
        <f>IF(Options!$AE$24=TRUE,0,R48*'Step 11a--Inputs'!$I50)</f>
        <v>0</v>
      </c>
      <c r="Y48" s="1532"/>
      <c r="Z48" s="1533">
        <f>IFERROR('Step 9a--Daily DMI Rations'!R54/'Step 7a--Feedstuff Required'!$E50*'Step 7a--Feedstuff Required'!$Q50/'Step 7a--Feedstuff Required'!$N50,0)</f>
        <v>0</v>
      </c>
      <c r="AA48" s="1531"/>
      <c r="AB48" s="1531">
        <f>IF(Options!$AE$24=TRUE,0,Z48*'Step 11a--Inputs'!$C50)</f>
        <v>0</v>
      </c>
      <c r="AC48" s="1531"/>
      <c r="AD48" s="1531">
        <f>IF(Options!$AE$24=TRUE,0,Z48*'Step 11a--Inputs'!$F50)</f>
        <v>0</v>
      </c>
      <c r="AE48" s="1531"/>
      <c r="AF48" s="1531">
        <f>IF(Options!$AE$24=TRUE,0,Z48*'Step 11a--Inputs'!$I50)</f>
        <v>0</v>
      </c>
      <c r="AG48" s="1532"/>
      <c r="AH48" s="1533">
        <f>IFERROR('Step 9a--Daily DMI Rations'!X54/'Step 7a--Feedstuff Required'!$E50*'Step 7a--Feedstuff Required'!$Q50/'Step 7a--Feedstuff Required'!$N50,0)</f>
        <v>0</v>
      </c>
      <c r="AI48" s="1531"/>
      <c r="AJ48" s="1531">
        <f>IF(Options!$AE$24=TRUE,0,AH48*'Step 11a--Inputs'!$C50)</f>
        <v>0</v>
      </c>
      <c r="AK48" s="1531"/>
      <c r="AL48" s="1531">
        <f>IF(Options!$AE$24=TRUE,0,AH48*'Step 11a--Inputs'!$F50)</f>
        <v>0</v>
      </c>
      <c r="AM48" s="1531"/>
      <c r="AN48" s="1531">
        <f>IF(Options!$AE$24=TRUE,0,AH48*'Step 11a--Inputs'!$I50)</f>
        <v>0</v>
      </c>
      <c r="AO48" s="1566"/>
      <c r="AP48" s="1983">
        <f>IFERROR('Step 9a--Daily DMI Rations'!AB54/'Step 7a--Feedstuff Required'!$Z50*'Step 7a--Feedstuff Required'!$AL50/'Step 7a--Feedstuff Required'!$AI50,0)</f>
        <v>0</v>
      </c>
      <c r="AQ48" s="1534"/>
      <c r="AR48" s="1534">
        <f>IF(Options!$AF$24=TRUE,0,AP48*'Step 11a--Inputs'!$C50)</f>
        <v>0</v>
      </c>
      <c r="AS48" s="1534"/>
      <c r="AT48" s="1534">
        <f>IF(Options!$AF$24=TRUE,0,AP48*'Step 11a--Inputs'!$F50)</f>
        <v>0</v>
      </c>
      <c r="AU48" s="1534"/>
      <c r="AV48" s="1534">
        <f>IF(Options!$AF$24=TRUE,0,AP48*'Step 11a--Inputs'!$I50)</f>
        <v>0</v>
      </c>
      <c r="AW48" s="1535"/>
      <c r="AX48" s="1554">
        <f>IFERROR('Step 9a--Daily DMI Rations'!AG54/'Step 7a--Feedstuff Required'!$Z50*'Step 7a--Feedstuff Required'!$AL50/'Step 7a--Feedstuff Required'!$AI50,0)</f>
        <v>0</v>
      </c>
      <c r="AY48" s="1534"/>
      <c r="AZ48" s="1534">
        <f>IF(Options!$AF$24=TRUE,0,AX48*'Step 11a--Inputs'!$C50)</f>
        <v>0</v>
      </c>
      <c r="BA48" s="1534"/>
      <c r="BB48" s="1534">
        <f>IF(Options!$AF$24=TRUE,0,AX48*'Step 11a--Inputs'!$F50)</f>
        <v>0</v>
      </c>
      <c r="BC48" s="1534"/>
      <c r="BD48" s="1534">
        <f>IF(Options!$AF$24=TRUE,0,AX48*'Step 11a--Inputs'!$I50)</f>
        <v>0</v>
      </c>
      <c r="BE48" s="1535"/>
      <c r="BF48" s="1554">
        <f>IFERROR('Step 9a--Daily DMI Rations'!AM54/'Step 7a--Feedstuff Required'!$Z50*'Step 7a--Feedstuff Required'!$AL50/'Step 7a--Feedstuff Required'!$AI50,0)</f>
        <v>0</v>
      </c>
      <c r="BG48" s="1534"/>
      <c r="BH48" s="1534">
        <f>IF(Options!$AF$24=TRUE,0,BF48*'Step 11a--Inputs'!$C50)</f>
        <v>0</v>
      </c>
      <c r="BI48" s="1534"/>
      <c r="BJ48" s="1534">
        <f>IF(Options!$AF$24=TRUE,0,BF48*'Step 11a--Inputs'!$F50)</f>
        <v>0</v>
      </c>
      <c r="BK48" s="1534"/>
      <c r="BL48" s="1534">
        <f>IF(Options!$AF$24=TRUE,0,BF48*'Step 11a--Inputs'!$I50)</f>
        <v>0</v>
      </c>
      <c r="BM48" s="1535"/>
      <c r="BN48" s="1554">
        <f>IFERROR('Step 9a--Daily DMI Rations'!AS54/'Step 7a--Feedstuff Required'!$Z50*'Step 7a--Feedstuff Required'!$AL50/'Step 7a--Feedstuff Required'!$AI50,0)</f>
        <v>0</v>
      </c>
      <c r="BO48" s="1534"/>
      <c r="BP48" s="1534">
        <f>IF(Options!$AF$24=TRUE,0,BN48*'Step 11a--Inputs'!$C50)</f>
        <v>0</v>
      </c>
      <c r="BQ48" s="1534"/>
      <c r="BR48" s="1534">
        <f>IF(Options!$AF$24=TRUE,0,BN48*'Step 11a--Inputs'!$F50)</f>
        <v>0</v>
      </c>
      <c r="BS48" s="1534"/>
      <c r="BT48" s="1534">
        <f>IF(Options!$AF$24=TRUE,0,BN48*'Step 11a--Inputs'!$I50)</f>
        <v>0</v>
      </c>
      <c r="BU48" s="1535"/>
      <c r="BV48" s="1554">
        <f>IFERROR('Step 9a--Daily DMI Rations'!AY54/'Step 7a--Feedstuff Required'!$Z50*'Step 7a--Feedstuff Required'!$AL50/'Step 7a--Feedstuff Required'!$AI50,0)</f>
        <v>0</v>
      </c>
      <c r="BW48" s="1534"/>
      <c r="BX48" s="1534">
        <f>IF(Options!$AF$24=TRUE,0,BV48*'Step 11a--Inputs'!$C50)</f>
        <v>0</v>
      </c>
      <c r="BY48" s="1534"/>
      <c r="BZ48" s="1534">
        <f>IF(Options!$AF$24=TRUE,0,BV48*'Step 11a--Inputs'!$F50)</f>
        <v>0</v>
      </c>
      <c r="CA48" s="1534"/>
      <c r="CB48" s="1534">
        <f>IF(Options!$AF$24=TRUE,0,BV48*'Step 11a--Inputs'!$I50)</f>
        <v>0</v>
      </c>
      <c r="CC48" s="1542"/>
    </row>
    <row r="49" spans="1:81" ht="3" customHeight="1">
      <c r="A49" s="1367"/>
      <c r="B49" s="1712"/>
      <c r="C49" s="1531"/>
      <c r="D49" s="1531"/>
      <c r="E49" s="1531"/>
      <c r="F49" s="1531"/>
      <c r="G49" s="1531"/>
      <c r="H49" s="1531"/>
      <c r="I49" s="1532"/>
      <c r="J49" s="1533"/>
      <c r="K49" s="1531"/>
      <c r="L49" s="1531"/>
      <c r="M49" s="1531"/>
      <c r="N49" s="1531"/>
      <c r="O49" s="1531"/>
      <c r="P49" s="1531"/>
      <c r="Q49" s="1532"/>
      <c r="R49" s="1533"/>
      <c r="S49" s="1531"/>
      <c r="T49" s="1531"/>
      <c r="U49" s="1531"/>
      <c r="V49" s="1531"/>
      <c r="W49" s="1531"/>
      <c r="X49" s="1531"/>
      <c r="Y49" s="1532"/>
      <c r="Z49" s="1533"/>
      <c r="AA49" s="1531"/>
      <c r="AB49" s="1531"/>
      <c r="AC49" s="1531"/>
      <c r="AD49" s="1531"/>
      <c r="AE49" s="1531"/>
      <c r="AF49" s="1531"/>
      <c r="AG49" s="1532"/>
      <c r="AH49" s="1533"/>
      <c r="AI49" s="1531"/>
      <c r="AJ49" s="1531"/>
      <c r="AK49" s="1531"/>
      <c r="AL49" s="1531"/>
      <c r="AM49" s="1531"/>
      <c r="AN49" s="1531"/>
      <c r="AO49" s="1566"/>
      <c r="AP49" s="1983"/>
      <c r="AQ49" s="1534"/>
      <c r="AR49" s="1534"/>
      <c r="AS49" s="1534"/>
      <c r="AT49" s="1534"/>
      <c r="AU49" s="1534"/>
      <c r="AV49" s="1534"/>
      <c r="AW49" s="1535"/>
      <c r="AX49" s="1554"/>
      <c r="AY49" s="1534"/>
      <c r="AZ49" s="1534"/>
      <c r="BA49" s="1534"/>
      <c r="BB49" s="1534"/>
      <c r="BC49" s="1534"/>
      <c r="BD49" s="1534"/>
      <c r="BE49" s="1535"/>
      <c r="BF49" s="1554"/>
      <c r="BG49" s="1534"/>
      <c r="BH49" s="1534"/>
      <c r="BI49" s="1534"/>
      <c r="BJ49" s="1534"/>
      <c r="BK49" s="1534"/>
      <c r="BL49" s="1534"/>
      <c r="BM49" s="1535"/>
      <c r="BN49" s="1554"/>
      <c r="BO49" s="1534"/>
      <c r="BP49" s="1534"/>
      <c r="BQ49" s="1534"/>
      <c r="BR49" s="1534"/>
      <c r="BS49" s="1534"/>
      <c r="BT49" s="1534"/>
      <c r="BU49" s="1535"/>
      <c r="BV49" s="1554"/>
      <c r="BW49" s="1534"/>
      <c r="BX49" s="1534"/>
      <c r="BY49" s="1534"/>
      <c r="BZ49" s="1534"/>
      <c r="CA49" s="1534"/>
      <c r="CB49" s="1534"/>
      <c r="CC49" s="1542"/>
    </row>
    <row r="50" spans="1:81" ht="14.25">
      <c r="A50" s="1225" t="str">
        <f>IF('Step 7a--Feedstuff Required'!B52="[add protein source here]"," ",'Step 7a--Feedstuff Required'!B52)</f>
        <v xml:space="preserve"> </v>
      </c>
      <c r="B50" s="1712">
        <f>IFERROR('Step 10a--Required Acres'!D49/'Step 7a--Feedstuff Required'!$E52*'Step 7a--Feedstuff Required'!$Q52/'Step 7a--Feedstuff Required'!$N52,0)</f>
        <v>0</v>
      </c>
      <c r="C50" s="1531"/>
      <c r="D50" s="1531">
        <f>IF(Options!$AE$24=TRUE,0,B50*'Step 11a--Inputs'!$C52)</f>
        <v>0</v>
      </c>
      <c r="E50" s="1531"/>
      <c r="F50" s="1531">
        <f>IF(Options!$AE$24=TRUE,0,B50*'Step 11a--Inputs'!$F52)</f>
        <v>0</v>
      </c>
      <c r="G50" s="1531"/>
      <c r="H50" s="1531">
        <f>IF(Options!$AE$24=TRUE,0,B50*'Step 11a--Inputs'!$I52)</f>
        <v>0</v>
      </c>
      <c r="I50" s="1532"/>
      <c r="J50" s="1533">
        <f>IFERROR('Step 9a--Daily DMI Rations'!F56/'Step 7a--Feedstuff Required'!$E52*'Step 7a--Feedstuff Required'!$Q52/'Step 7a--Feedstuff Required'!$N52,0)</f>
        <v>0</v>
      </c>
      <c r="K50" s="1531"/>
      <c r="L50" s="1531">
        <f>IF(Options!$AE$24=TRUE,0,J50*'Step 11a--Inputs'!$C52)</f>
        <v>0</v>
      </c>
      <c r="M50" s="1531"/>
      <c r="N50" s="1531">
        <f>IF(Options!$AE$24=TRUE,0,J50*'Step 11a--Inputs'!$F52)</f>
        <v>0</v>
      </c>
      <c r="O50" s="1531"/>
      <c r="P50" s="1531">
        <f>IF(Options!$AE$24=TRUE,0,J50*'Step 11a--Inputs'!$I52)</f>
        <v>0</v>
      </c>
      <c r="Q50" s="1532"/>
      <c r="R50" s="1533">
        <f>IFERROR('Step 9a--Daily DMI Rations'!L56/'Step 7a--Feedstuff Required'!$E52*'Step 7a--Feedstuff Required'!$Q52/'Step 7a--Feedstuff Required'!$N52,0)</f>
        <v>0</v>
      </c>
      <c r="S50" s="1531"/>
      <c r="T50" s="1531">
        <f>IF(Options!$AE$24=TRUE,0,R50*'Step 11a--Inputs'!$C52)</f>
        <v>0</v>
      </c>
      <c r="U50" s="1531"/>
      <c r="V50" s="1531">
        <f>IF(Options!$AE$24=TRUE,0,R50*'Step 11a--Inputs'!$F52)</f>
        <v>0</v>
      </c>
      <c r="W50" s="1531"/>
      <c r="X50" s="1531">
        <f>IF(Options!$AE$24=TRUE,0,R50*'Step 11a--Inputs'!$I52)</f>
        <v>0</v>
      </c>
      <c r="Y50" s="1532"/>
      <c r="Z50" s="1533">
        <f>IFERROR('Step 9a--Daily DMI Rations'!R56/'Step 7a--Feedstuff Required'!$E52*'Step 7a--Feedstuff Required'!$Q52/'Step 7a--Feedstuff Required'!$N52,0)</f>
        <v>0</v>
      </c>
      <c r="AA50" s="1531"/>
      <c r="AB50" s="1531">
        <f>IF(Options!$AE$24=TRUE,0,Z50*'Step 11a--Inputs'!$C52)</f>
        <v>0</v>
      </c>
      <c r="AC50" s="1531"/>
      <c r="AD50" s="1531">
        <f>IF(Options!$AE$24=TRUE,0,Z50*'Step 11a--Inputs'!$F52)</f>
        <v>0</v>
      </c>
      <c r="AE50" s="1531"/>
      <c r="AF50" s="1531">
        <f>IF(Options!$AE$24=TRUE,0,Z50*'Step 11a--Inputs'!$I52)</f>
        <v>0</v>
      </c>
      <c r="AG50" s="1532"/>
      <c r="AH50" s="1533">
        <f>IFERROR('Step 9a--Daily DMI Rations'!X56/'Step 7a--Feedstuff Required'!$E52*'Step 7a--Feedstuff Required'!$Q52/'Step 7a--Feedstuff Required'!$N52,0)</f>
        <v>0</v>
      </c>
      <c r="AI50" s="1531"/>
      <c r="AJ50" s="1531">
        <f>IF(Options!$AE$24=TRUE,0,AH50*'Step 11a--Inputs'!$C52)</f>
        <v>0</v>
      </c>
      <c r="AK50" s="1531"/>
      <c r="AL50" s="1531">
        <f>IF(Options!$AE$24=TRUE,0,AH50*'Step 11a--Inputs'!$F52)</f>
        <v>0</v>
      </c>
      <c r="AM50" s="1531"/>
      <c r="AN50" s="1531">
        <f>IF(Options!$AE$24=TRUE,0,AH50*'Step 11a--Inputs'!$I52)</f>
        <v>0</v>
      </c>
      <c r="AO50" s="1566"/>
      <c r="AP50" s="1983">
        <f>IFERROR('Step 9a--Daily DMI Rations'!AB56/'Step 7a--Feedstuff Required'!$Z52*'Step 7a--Feedstuff Required'!$AL52/'Step 7a--Feedstuff Required'!$AI52,0)</f>
        <v>0</v>
      </c>
      <c r="AQ50" s="1534"/>
      <c r="AR50" s="1534">
        <f>IF(Options!$AF$24=TRUE,0,AP50*'Step 11a--Inputs'!$C52)</f>
        <v>0</v>
      </c>
      <c r="AS50" s="1534"/>
      <c r="AT50" s="1534">
        <f>IF(Options!$AF$24=TRUE,0,AP50*'Step 11a--Inputs'!$F52)</f>
        <v>0</v>
      </c>
      <c r="AU50" s="1534"/>
      <c r="AV50" s="1534">
        <f>IF(Options!$AF$24=TRUE,0,AP50*'Step 11a--Inputs'!$I52)</f>
        <v>0</v>
      </c>
      <c r="AW50" s="1535"/>
      <c r="AX50" s="1554">
        <f>IFERROR('Step 9a--Daily DMI Rations'!AG56/'Step 7a--Feedstuff Required'!$Z52*'Step 7a--Feedstuff Required'!$AL52/'Step 7a--Feedstuff Required'!$AI52,0)</f>
        <v>0</v>
      </c>
      <c r="AY50" s="1534"/>
      <c r="AZ50" s="1534">
        <f>IF(Options!$AF$24=TRUE,0,AX50*'Step 11a--Inputs'!$C52)</f>
        <v>0</v>
      </c>
      <c r="BA50" s="1534"/>
      <c r="BB50" s="1534">
        <f>IF(Options!$AF$24=TRUE,0,AX50*'Step 11a--Inputs'!$F52)</f>
        <v>0</v>
      </c>
      <c r="BC50" s="1534"/>
      <c r="BD50" s="1534">
        <f>IF(Options!$AF$24=TRUE,0,AX50*'Step 11a--Inputs'!$I52)</f>
        <v>0</v>
      </c>
      <c r="BE50" s="1535"/>
      <c r="BF50" s="1554">
        <f>IFERROR('Step 9a--Daily DMI Rations'!AM56/'Step 7a--Feedstuff Required'!$Z52*'Step 7a--Feedstuff Required'!$AL52/'Step 7a--Feedstuff Required'!$AI52,0)</f>
        <v>0</v>
      </c>
      <c r="BG50" s="1534"/>
      <c r="BH50" s="1534">
        <f>IF(Options!$AF$24=TRUE,0,BF50*'Step 11a--Inputs'!$C52)</f>
        <v>0</v>
      </c>
      <c r="BI50" s="1534"/>
      <c r="BJ50" s="1534">
        <f>IF(Options!$AF$24=TRUE,0,BF50*'Step 11a--Inputs'!$F52)</f>
        <v>0</v>
      </c>
      <c r="BK50" s="1534"/>
      <c r="BL50" s="1534">
        <f>IF(Options!$AF$24=TRUE,0,BF50*'Step 11a--Inputs'!$I52)</f>
        <v>0</v>
      </c>
      <c r="BM50" s="1535"/>
      <c r="BN50" s="1554">
        <f>IFERROR('Step 9a--Daily DMI Rations'!AS56/'Step 7a--Feedstuff Required'!$Z52*'Step 7a--Feedstuff Required'!$AL52/'Step 7a--Feedstuff Required'!$AI52,0)</f>
        <v>0</v>
      </c>
      <c r="BO50" s="1534"/>
      <c r="BP50" s="1534">
        <f>IF(Options!$AF$24=TRUE,0,BN50*'Step 11a--Inputs'!$C52)</f>
        <v>0</v>
      </c>
      <c r="BQ50" s="1534"/>
      <c r="BR50" s="1534">
        <f>IF(Options!$AF$24=TRUE,0,BN50*'Step 11a--Inputs'!$F52)</f>
        <v>0</v>
      </c>
      <c r="BS50" s="1534"/>
      <c r="BT50" s="1534">
        <f>IF(Options!$AF$24=TRUE,0,BN50*'Step 11a--Inputs'!$I52)</f>
        <v>0</v>
      </c>
      <c r="BU50" s="1535"/>
      <c r="BV50" s="1554">
        <f>IFERROR('Step 9a--Daily DMI Rations'!AY56/'Step 7a--Feedstuff Required'!$Z52*'Step 7a--Feedstuff Required'!$AL52/'Step 7a--Feedstuff Required'!$AI52,0)</f>
        <v>0</v>
      </c>
      <c r="BW50" s="1534"/>
      <c r="BX50" s="1534">
        <f>IF(Options!$AF$24=TRUE,0,BV50*'Step 11a--Inputs'!$C52)</f>
        <v>0</v>
      </c>
      <c r="BY50" s="1534"/>
      <c r="BZ50" s="1534">
        <f>IF(Options!$AF$24=TRUE,0,BV50*'Step 11a--Inputs'!$F52)</f>
        <v>0</v>
      </c>
      <c r="CA50" s="1534"/>
      <c r="CB50" s="1534">
        <f>IF(Options!$AF$24=TRUE,0,BV50*'Step 11a--Inputs'!$I52)</f>
        <v>0</v>
      </c>
      <c r="CC50" s="1542"/>
    </row>
    <row r="51" spans="1:81" ht="3" customHeight="1">
      <c r="A51" s="1224"/>
      <c r="B51" s="1712"/>
      <c r="C51" s="1531"/>
      <c r="D51" s="1531"/>
      <c r="E51" s="1531"/>
      <c r="F51" s="1531"/>
      <c r="G51" s="1531"/>
      <c r="H51" s="1531"/>
      <c r="I51" s="1532"/>
      <c r="J51" s="1533"/>
      <c r="K51" s="1531"/>
      <c r="L51" s="1531"/>
      <c r="M51" s="1531"/>
      <c r="N51" s="1531"/>
      <c r="O51" s="1531"/>
      <c r="P51" s="1531"/>
      <c r="Q51" s="1532"/>
      <c r="R51" s="1533"/>
      <c r="S51" s="1531"/>
      <c r="T51" s="1531"/>
      <c r="U51" s="1531"/>
      <c r="V51" s="1531"/>
      <c r="W51" s="1531"/>
      <c r="X51" s="1531"/>
      <c r="Y51" s="1532"/>
      <c r="Z51" s="1533"/>
      <c r="AA51" s="1531"/>
      <c r="AB51" s="1531"/>
      <c r="AC51" s="1531"/>
      <c r="AD51" s="1531"/>
      <c r="AE51" s="1531"/>
      <c r="AF51" s="1531"/>
      <c r="AG51" s="1532"/>
      <c r="AH51" s="1533"/>
      <c r="AI51" s="1531"/>
      <c r="AJ51" s="1531"/>
      <c r="AK51" s="1531"/>
      <c r="AL51" s="1531"/>
      <c r="AM51" s="1531"/>
      <c r="AN51" s="1531"/>
      <c r="AO51" s="1566"/>
      <c r="AP51" s="1983"/>
      <c r="AQ51" s="1534"/>
      <c r="AR51" s="1534"/>
      <c r="AS51" s="1534"/>
      <c r="AT51" s="1534"/>
      <c r="AU51" s="1534"/>
      <c r="AV51" s="1534"/>
      <c r="AW51" s="1535"/>
      <c r="AX51" s="1554"/>
      <c r="AY51" s="1534"/>
      <c r="AZ51" s="1534"/>
      <c r="BA51" s="1534"/>
      <c r="BB51" s="1534"/>
      <c r="BC51" s="1534"/>
      <c r="BD51" s="1534"/>
      <c r="BE51" s="1535"/>
      <c r="BF51" s="1554"/>
      <c r="BG51" s="1534"/>
      <c r="BH51" s="1534"/>
      <c r="BI51" s="1534"/>
      <c r="BJ51" s="1534"/>
      <c r="BK51" s="1534"/>
      <c r="BL51" s="1534"/>
      <c r="BM51" s="1535"/>
      <c r="BN51" s="1554"/>
      <c r="BO51" s="1534"/>
      <c r="BP51" s="1534"/>
      <c r="BQ51" s="1534"/>
      <c r="BR51" s="1534"/>
      <c r="BS51" s="1534"/>
      <c r="BT51" s="1534"/>
      <c r="BU51" s="1535"/>
      <c r="BV51" s="1554"/>
      <c r="BW51" s="1534"/>
      <c r="BX51" s="1534"/>
      <c r="BY51" s="1534"/>
      <c r="BZ51" s="1534"/>
      <c r="CA51" s="1534"/>
      <c r="CB51" s="1534"/>
      <c r="CC51" s="1542"/>
    </row>
    <row r="52" spans="1:81" ht="14.25">
      <c r="A52" s="1225" t="str">
        <f>IF('Step 7a--Feedstuff Required'!B54="[add protein source here]"," ",'Step 7a--Feedstuff Required'!B54)</f>
        <v xml:space="preserve"> </v>
      </c>
      <c r="B52" s="1712">
        <f>IFERROR('Step 10a--Required Acres'!D51/'Step 7a--Feedstuff Required'!$E54*'Step 7a--Feedstuff Required'!$Q54/'Step 7a--Feedstuff Required'!$N54,0)</f>
        <v>0</v>
      </c>
      <c r="C52" s="1531"/>
      <c r="D52" s="1531">
        <f>IF(Options!$AE$24=TRUE,0,B52*'Step 11a--Inputs'!$C54)</f>
        <v>0</v>
      </c>
      <c r="E52" s="1531"/>
      <c r="F52" s="1531">
        <f>IF(Options!$AE$24=TRUE,0,B52*'Step 11a--Inputs'!$F54)</f>
        <v>0</v>
      </c>
      <c r="G52" s="1531"/>
      <c r="H52" s="1531">
        <f>IF(Options!$AE$24=TRUE,0,B52*'Step 11a--Inputs'!$I54)</f>
        <v>0</v>
      </c>
      <c r="I52" s="1532"/>
      <c r="J52" s="1533">
        <f>IFERROR('Step 9a--Daily DMI Rations'!F58/'Step 7a--Feedstuff Required'!$E54*'Step 7a--Feedstuff Required'!$Q54/'Step 7a--Feedstuff Required'!$N54,0)</f>
        <v>0</v>
      </c>
      <c r="K52" s="1531"/>
      <c r="L52" s="1531">
        <f>IF(Options!$AE$24=TRUE,0,J52*'Step 11a--Inputs'!$C54)</f>
        <v>0</v>
      </c>
      <c r="M52" s="1531"/>
      <c r="N52" s="1531">
        <f>IF(Options!$AE$24=TRUE,0,J52*'Step 11a--Inputs'!$F54)</f>
        <v>0</v>
      </c>
      <c r="O52" s="1531"/>
      <c r="P52" s="1531">
        <f>IF(Options!$AE$24=TRUE,0,J52*'Step 11a--Inputs'!$I54)</f>
        <v>0</v>
      </c>
      <c r="Q52" s="1532"/>
      <c r="R52" s="1533">
        <f>IFERROR('Step 9a--Daily DMI Rations'!L58/'Step 7a--Feedstuff Required'!$E54*'Step 7a--Feedstuff Required'!$Q54/'Step 7a--Feedstuff Required'!$N54,0)</f>
        <v>0</v>
      </c>
      <c r="S52" s="1531"/>
      <c r="T52" s="1531">
        <f>IF(Options!$AE$24=TRUE,0,R52*'Step 11a--Inputs'!$C54)</f>
        <v>0</v>
      </c>
      <c r="U52" s="1531"/>
      <c r="V52" s="1531">
        <f>IF(Options!$AE$24=TRUE,0,R52*'Step 11a--Inputs'!$F54)</f>
        <v>0</v>
      </c>
      <c r="W52" s="1531"/>
      <c r="X52" s="1531">
        <f>IF(Options!$AE$24=TRUE,0,R52*'Step 11a--Inputs'!$I54)</f>
        <v>0</v>
      </c>
      <c r="Y52" s="1532"/>
      <c r="Z52" s="1533">
        <f>IFERROR('Step 9a--Daily DMI Rations'!R58/'Step 7a--Feedstuff Required'!$E54*'Step 7a--Feedstuff Required'!$Q54/'Step 7a--Feedstuff Required'!$N54,0)</f>
        <v>0</v>
      </c>
      <c r="AA52" s="1531"/>
      <c r="AB52" s="1531">
        <f>IF(Options!$AE$24=TRUE,0,Z52*'Step 11a--Inputs'!$C54)</f>
        <v>0</v>
      </c>
      <c r="AC52" s="1531"/>
      <c r="AD52" s="1531">
        <f>IF(Options!$AE$24=TRUE,0,Z52*'Step 11a--Inputs'!$F54)</f>
        <v>0</v>
      </c>
      <c r="AE52" s="1531"/>
      <c r="AF52" s="1531">
        <f>IF(Options!$AE$24=TRUE,0,Z52*'Step 11a--Inputs'!$I54)</f>
        <v>0</v>
      </c>
      <c r="AG52" s="1532"/>
      <c r="AH52" s="1533">
        <f>IFERROR('Step 9a--Daily DMI Rations'!X58/'Step 7a--Feedstuff Required'!$E54*'Step 7a--Feedstuff Required'!$Q54/'Step 7a--Feedstuff Required'!$N54,0)</f>
        <v>0</v>
      </c>
      <c r="AI52" s="1531"/>
      <c r="AJ52" s="1531">
        <f>IF(Options!$AE$24=TRUE,0,AH52*'Step 11a--Inputs'!$C54)</f>
        <v>0</v>
      </c>
      <c r="AK52" s="1531"/>
      <c r="AL52" s="1531">
        <f>IF(Options!$AE$24=TRUE,0,AH52*'Step 11a--Inputs'!$F54)</f>
        <v>0</v>
      </c>
      <c r="AM52" s="1531"/>
      <c r="AN52" s="1531">
        <f>IF(Options!$AE$24=TRUE,0,AH52*'Step 11a--Inputs'!$I54)</f>
        <v>0</v>
      </c>
      <c r="AO52" s="1566"/>
      <c r="AP52" s="1983">
        <f>IFERROR('Step 9a--Daily DMI Rations'!AB58/'Step 7a--Feedstuff Required'!$Z54*'Step 7a--Feedstuff Required'!$AL54/'Step 7a--Feedstuff Required'!$AI54,0)</f>
        <v>0</v>
      </c>
      <c r="AQ52" s="1534"/>
      <c r="AR52" s="1534">
        <f>IF(Options!$AF$24=TRUE,0,AP52*'Step 11a--Inputs'!$C54)</f>
        <v>0</v>
      </c>
      <c r="AS52" s="1534"/>
      <c r="AT52" s="1534">
        <f>IF(Options!$AF$24=TRUE,0,AP52*'Step 11a--Inputs'!$F54)</f>
        <v>0</v>
      </c>
      <c r="AU52" s="1534"/>
      <c r="AV52" s="1534">
        <f>IF(Options!$AF$24=TRUE,0,AP52*'Step 11a--Inputs'!$I54)</f>
        <v>0</v>
      </c>
      <c r="AW52" s="1535"/>
      <c r="AX52" s="1554">
        <f>IFERROR('Step 9a--Daily DMI Rations'!AG58/'Step 7a--Feedstuff Required'!$Z54*'Step 7a--Feedstuff Required'!$AL54/'Step 7a--Feedstuff Required'!$AI54,0)</f>
        <v>0</v>
      </c>
      <c r="AY52" s="1534"/>
      <c r="AZ52" s="1534">
        <f>IF(Options!$AF$24=TRUE,0,AX52*'Step 11a--Inputs'!$C54)</f>
        <v>0</v>
      </c>
      <c r="BA52" s="1534"/>
      <c r="BB52" s="1534">
        <f>IF(Options!$AF$24=TRUE,0,AX52*'Step 11a--Inputs'!$F54)</f>
        <v>0</v>
      </c>
      <c r="BC52" s="1534"/>
      <c r="BD52" s="1534">
        <f>IF(Options!$AF$24=TRUE,0,AX52*'Step 11a--Inputs'!$I54)</f>
        <v>0</v>
      </c>
      <c r="BE52" s="1535"/>
      <c r="BF52" s="1554">
        <f>IFERROR('Step 9a--Daily DMI Rations'!AM58/'Step 7a--Feedstuff Required'!$Z54*'Step 7a--Feedstuff Required'!$AL54/'Step 7a--Feedstuff Required'!$AI54,0)</f>
        <v>0</v>
      </c>
      <c r="BG52" s="1534"/>
      <c r="BH52" s="1534">
        <f>IF(Options!$AF$24=TRUE,0,BF52*'Step 11a--Inputs'!$C54)</f>
        <v>0</v>
      </c>
      <c r="BI52" s="1534"/>
      <c r="BJ52" s="1534">
        <f>IF(Options!$AF$24=TRUE,0,BF52*'Step 11a--Inputs'!$F54)</f>
        <v>0</v>
      </c>
      <c r="BK52" s="1534"/>
      <c r="BL52" s="1534">
        <f>IF(Options!$AF$24=TRUE,0,BF52*'Step 11a--Inputs'!$I54)</f>
        <v>0</v>
      </c>
      <c r="BM52" s="1535"/>
      <c r="BN52" s="1554">
        <f>IFERROR('Step 9a--Daily DMI Rations'!AS58/'Step 7a--Feedstuff Required'!$Z54*'Step 7a--Feedstuff Required'!$AL54/'Step 7a--Feedstuff Required'!$AI54,0)</f>
        <v>0</v>
      </c>
      <c r="BO52" s="1534"/>
      <c r="BP52" s="1534">
        <f>IF(Options!$AF$24=TRUE,0,BN52*'Step 11a--Inputs'!$C54)</f>
        <v>0</v>
      </c>
      <c r="BQ52" s="1534"/>
      <c r="BR52" s="1534">
        <f>IF(Options!$AF$24=TRUE,0,BN52*'Step 11a--Inputs'!$F54)</f>
        <v>0</v>
      </c>
      <c r="BS52" s="1534"/>
      <c r="BT52" s="1534">
        <f>IF(Options!$AF$24=TRUE,0,BN52*'Step 11a--Inputs'!$I54)</f>
        <v>0</v>
      </c>
      <c r="BU52" s="1535"/>
      <c r="BV52" s="1554">
        <f>IFERROR('Step 9a--Daily DMI Rations'!AY58/'Step 7a--Feedstuff Required'!$Z54*'Step 7a--Feedstuff Required'!$AL54/'Step 7a--Feedstuff Required'!$AI54,0)</f>
        <v>0</v>
      </c>
      <c r="BW52" s="1534"/>
      <c r="BX52" s="1534">
        <f>IF(Options!$AF$24=TRUE,0,BV52*'Step 11a--Inputs'!$C54)</f>
        <v>0</v>
      </c>
      <c r="BY52" s="1534"/>
      <c r="BZ52" s="1534">
        <f>IF(Options!$AF$24=TRUE,0,BV52*'Step 11a--Inputs'!$F54)</f>
        <v>0</v>
      </c>
      <c r="CA52" s="1534"/>
      <c r="CB52" s="1534">
        <f>IF(Options!$AF$24=TRUE,0,BV52*'Step 11a--Inputs'!$I54)</f>
        <v>0</v>
      </c>
      <c r="CC52" s="1542"/>
    </row>
    <row r="53" spans="1:81" ht="3" customHeight="1">
      <c r="A53" s="1224"/>
      <c r="B53" s="1712"/>
      <c r="C53" s="1531"/>
      <c r="D53" s="1531"/>
      <c r="E53" s="1531"/>
      <c r="F53" s="1531"/>
      <c r="G53" s="1531"/>
      <c r="H53" s="1531"/>
      <c r="I53" s="1532"/>
      <c r="J53" s="1533"/>
      <c r="K53" s="1531"/>
      <c r="L53" s="1531"/>
      <c r="M53" s="1531"/>
      <c r="N53" s="1531"/>
      <c r="O53" s="1531"/>
      <c r="P53" s="1531"/>
      <c r="Q53" s="1532"/>
      <c r="R53" s="1533"/>
      <c r="S53" s="1531"/>
      <c r="T53" s="1531"/>
      <c r="U53" s="1531"/>
      <c r="V53" s="1531"/>
      <c r="W53" s="1531"/>
      <c r="X53" s="1531"/>
      <c r="Y53" s="1532"/>
      <c r="Z53" s="1533"/>
      <c r="AA53" s="1531"/>
      <c r="AB53" s="1531"/>
      <c r="AC53" s="1531"/>
      <c r="AD53" s="1531"/>
      <c r="AE53" s="1531"/>
      <c r="AF53" s="1531"/>
      <c r="AG53" s="1532"/>
      <c r="AH53" s="1533"/>
      <c r="AI53" s="1531"/>
      <c r="AJ53" s="1531"/>
      <c r="AK53" s="1531"/>
      <c r="AL53" s="1531"/>
      <c r="AM53" s="1531"/>
      <c r="AN53" s="1531"/>
      <c r="AO53" s="1566"/>
      <c r="AP53" s="1983"/>
      <c r="AQ53" s="1534"/>
      <c r="AR53" s="1534"/>
      <c r="AS53" s="1534"/>
      <c r="AT53" s="1534"/>
      <c r="AU53" s="1534"/>
      <c r="AV53" s="1534"/>
      <c r="AW53" s="1535"/>
      <c r="AX53" s="1554"/>
      <c r="AY53" s="1534"/>
      <c r="AZ53" s="1534"/>
      <c r="BA53" s="1534"/>
      <c r="BB53" s="1534"/>
      <c r="BC53" s="1534"/>
      <c r="BD53" s="1534"/>
      <c r="BE53" s="1535"/>
      <c r="BF53" s="1554"/>
      <c r="BG53" s="1534"/>
      <c r="BH53" s="1534"/>
      <c r="BI53" s="1534"/>
      <c r="BJ53" s="1534"/>
      <c r="BK53" s="1534"/>
      <c r="BL53" s="1534"/>
      <c r="BM53" s="1535"/>
      <c r="BN53" s="1554"/>
      <c r="BO53" s="1534"/>
      <c r="BP53" s="1534"/>
      <c r="BQ53" s="1534"/>
      <c r="BR53" s="1534"/>
      <c r="BS53" s="1534"/>
      <c r="BT53" s="1534"/>
      <c r="BU53" s="1535"/>
      <c r="BV53" s="1554"/>
      <c r="BW53" s="1534"/>
      <c r="BX53" s="1534"/>
      <c r="BY53" s="1534"/>
      <c r="BZ53" s="1534"/>
      <c r="CA53" s="1534"/>
      <c r="CB53" s="1534"/>
      <c r="CC53" s="1542"/>
    </row>
    <row r="54" spans="1:81" ht="14.25">
      <c r="A54" s="1225" t="str">
        <f>IF('Step 7a--Feedstuff Required'!B56="[add protein source here]"," ",'Step 7a--Feedstuff Required'!B56)</f>
        <v xml:space="preserve"> </v>
      </c>
      <c r="B54" s="1712">
        <f>IFERROR('Step 10a--Required Acres'!D53/'Step 7a--Feedstuff Required'!$E56*'Step 7a--Feedstuff Required'!$Q56/'Step 7a--Feedstuff Required'!$N56,0)</f>
        <v>0</v>
      </c>
      <c r="C54" s="1531"/>
      <c r="D54" s="1531">
        <f>IF(Options!$AE$24=TRUE,0,B54*'Step 11a--Inputs'!$C56)</f>
        <v>0</v>
      </c>
      <c r="E54" s="1531"/>
      <c r="F54" s="1531">
        <f>IF(Options!$AE$24=TRUE,0,B54*'Step 11a--Inputs'!$F56)</f>
        <v>0</v>
      </c>
      <c r="G54" s="1531"/>
      <c r="H54" s="1531">
        <f>IF(Options!$AE$24=TRUE,0,B54*'Step 11a--Inputs'!$I56)</f>
        <v>0</v>
      </c>
      <c r="I54" s="1532"/>
      <c r="J54" s="1533">
        <f>IFERROR('Step 9a--Daily DMI Rations'!F60/'Step 7a--Feedstuff Required'!$E56*'Step 7a--Feedstuff Required'!$Q56/'Step 7a--Feedstuff Required'!$N56,0)</f>
        <v>0</v>
      </c>
      <c r="K54" s="1531"/>
      <c r="L54" s="1531">
        <f>IF(Options!$AE$24=TRUE,0,J54*'Step 11a--Inputs'!$C56)</f>
        <v>0</v>
      </c>
      <c r="M54" s="1531"/>
      <c r="N54" s="1531">
        <f>IF(Options!$AE$24=TRUE,0,J54*'Step 11a--Inputs'!$F56)</f>
        <v>0</v>
      </c>
      <c r="O54" s="1531"/>
      <c r="P54" s="1531">
        <f>IF(Options!$AE$24=TRUE,0,J54*'Step 11a--Inputs'!$I56)</f>
        <v>0</v>
      </c>
      <c r="Q54" s="1532"/>
      <c r="R54" s="1533">
        <f>IFERROR('Step 9a--Daily DMI Rations'!L60/'Step 7a--Feedstuff Required'!$E56*'Step 7a--Feedstuff Required'!$Q56/'Step 7a--Feedstuff Required'!$N56,0)</f>
        <v>0</v>
      </c>
      <c r="S54" s="1531"/>
      <c r="T54" s="1531">
        <f>IF(Options!$AE$24=TRUE,0,R54*'Step 11a--Inputs'!$C56)</f>
        <v>0</v>
      </c>
      <c r="U54" s="1531"/>
      <c r="V54" s="1531">
        <f>IF(Options!$AE$24=TRUE,0,R54*'Step 11a--Inputs'!$F56)</f>
        <v>0</v>
      </c>
      <c r="W54" s="1531"/>
      <c r="X54" s="1531">
        <f>IF(Options!$AE$24=TRUE,0,R54*'Step 11a--Inputs'!$I56)</f>
        <v>0</v>
      </c>
      <c r="Y54" s="1532"/>
      <c r="Z54" s="1533">
        <f>IFERROR('Step 9a--Daily DMI Rations'!R60/'Step 7a--Feedstuff Required'!$E56*'Step 7a--Feedstuff Required'!$Q56/'Step 7a--Feedstuff Required'!$N56,0)</f>
        <v>0</v>
      </c>
      <c r="AA54" s="1531"/>
      <c r="AB54" s="1531">
        <f>IF(Options!$AE$24=TRUE,0,Z54*'Step 11a--Inputs'!$C56)</f>
        <v>0</v>
      </c>
      <c r="AC54" s="1531"/>
      <c r="AD54" s="1531">
        <f>IF(Options!$AE$24=TRUE,0,Z54*'Step 11a--Inputs'!$F56)</f>
        <v>0</v>
      </c>
      <c r="AE54" s="1531"/>
      <c r="AF54" s="1531">
        <f>IF(Options!$AE$24=TRUE,0,Z54*'Step 11a--Inputs'!$I56)</f>
        <v>0</v>
      </c>
      <c r="AG54" s="1532"/>
      <c r="AH54" s="1533">
        <f>IFERROR('Step 9a--Daily DMI Rations'!X60/'Step 7a--Feedstuff Required'!$E56*'Step 7a--Feedstuff Required'!$Q56/'Step 7a--Feedstuff Required'!$N56,0)</f>
        <v>0</v>
      </c>
      <c r="AI54" s="1531"/>
      <c r="AJ54" s="1531">
        <f>IF(Options!$AE$24=TRUE,0,AH54*'Step 11a--Inputs'!$C56)</f>
        <v>0</v>
      </c>
      <c r="AK54" s="1531"/>
      <c r="AL54" s="1531">
        <f>IF(Options!$AE$24=TRUE,0,AH54*'Step 11a--Inputs'!$F56)</f>
        <v>0</v>
      </c>
      <c r="AM54" s="1531"/>
      <c r="AN54" s="1531">
        <f>IF(Options!$AE$24=TRUE,0,AH54*'Step 11a--Inputs'!$I56)</f>
        <v>0</v>
      </c>
      <c r="AO54" s="1566"/>
      <c r="AP54" s="1983">
        <f>IFERROR('Step 9a--Daily DMI Rations'!AB60/'Step 7a--Feedstuff Required'!$Z56*'Step 7a--Feedstuff Required'!$AL56/'Step 7a--Feedstuff Required'!$AI56,0)</f>
        <v>0</v>
      </c>
      <c r="AQ54" s="1534"/>
      <c r="AR54" s="1534">
        <f>IF(Options!$AF$24=TRUE,0,AP54*'Step 11a--Inputs'!$C56)</f>
        <v>0</v>
      </c>
      <c r="AS54" s="1534"/>
      <c r="AT54" s="1534">
        <f>IF(Options!$AF$24=TRUE,0,AP54*'Step 11a--Inputs'!$F56)</f>
        <v>0</v>
      </c>
      <c r="AU54" s="1534"/>
      <c r="AV54" s="1534">
        <f>IF(Options!$AF$24=TRUE,0,AP54*'Step 11a--Inputs'!$I56)</f>
        <v>0</v>
      </c>
      <c r="AW54" s="1535"/>
      <c r="AX54" s="1554">
        <f>IFERROR('Step 9a--Daily DMI Rations'!AG60/'Step 7a--Feedstuff Required'!$Z56*'Step 7a--Feedstuff Required'!$AL56/'Step 7a--Feedstuff Required'!$AI56,0)</f>
        <v>0</v>
      </c>
      <c r="AY54" s="1534"/>
      <c r="AZ54" s="1534">
        <f>IF(Options!$AF$24=TRUE,0,AX54*'Step 11a--Inputs'!$C56)</f>
        <v>0</v>
      </c>
      <c r="BA54" s="1534"/>
      <c r="BB54" s="1534">
        <f>IF(Options!$AF$24=TRUE,0,AX54*'Step 11a--Inputs'!$F56)</f>
        <v>0</v>
      </c>
      <c r="BC54" s="1534"/>
      <c r="BD54" s="1534">
        <f>IF(Options!$AF$24=TRUE,0,AX54*'Step 11a--Inputs'!$I56)</f>
        <v>0</v>
      </c>
      <c r="BE54" s="1535"/>
      <c r="BF54" s="1554">
        <f>IFERROR('Step 9a--Daily DMI Rations'!AM60/'Step 7a--Feedstuff Required'!$Z56*'Step 7a--Feedstuff Required'!$AL56/'Step 7a--Feedstuff Required'!$AI56,0)</f>
        <v>0</v>
      </c>
      <c r="BG54" s="1534"/>
      <c r="BH54" s="1534">
        <f>IF(Options!$AF$24=TRUE,0,BF54*'Step 11a--Inputs'!$C56)</f>
        <v>0</v>
      </c>
      <c r="BI54" s="1534"/>
      <c r="BJ54" s="1534">
        <f>IF(Options!$AF$24=TRUE,0,BF54*'Step 11a--Inputs'!$F56)</f>
        <v>0</v>
      </c>
      <c r="BK54" s="1534"/>
      <c r="BL54" s="1534">
        <f>IF(Options!$AF$24=TRUE,0,BF54*'Step 11a--Inputs'!$I56)</f>
        <v>0</v>
      </c>
      <c r="BM54" s="1535"/>
      <c r="BN54" s="1554">
        <f>IFERROR('Step 9a--Daily DMI Rations'!AS60/'Step 7a--Feedstuff Required'!$Z56*'Step 7a--Feedstuff Required'!$AL56/'Step 7a--Feedstuff Required'!$AI56,0)</f>
        <v>0</v>
      </c>
      <c r="BO54" s="1534"/>
      <c r="BP54" s="1534">
        <f>IF(Options!$AF$24=TRUE,0,BN54*'Step 11a--Inputs'!$C56)</f>
        <v>0</v>
      </c>
      <c r="BQ54" s="1534"/>
      <c r="BR54" s="1534">
        <f>IF(Options!$AF$24=TRUE,0,BN54*'Step 11a--Inputs'!$F56)</f>
        <v>0</v>
      </c>
      <c r="BS54" s="1534"/>
      <c r="BT54" s="1534">
        <f>IF(Options!$AF$24=TRUE,0,BN54*'Step 11a--Inputs'!$I56)</f>
        <v>0</v>
      </c>
      <c r="BU54" s="1535"/>
      <c r="BV54" s="1554">
        <f>IFERROR('Step 9a--Daily DMI Rations'!AY60/'Step 7a--Feedstuff Required'!$Z56*'Step 7a--Feedstuff Required'!$AL56/'Step 7a--Feedstuff Required'!$AI56,0)</f>
        <v>0</v>
      </c>
      <c r="BW54" s="1534"/>
      <c r="BX54" s="1534">
        <f>IF(Options!$AF$24=TRUE,0,BV54*'Step 11a--Inputs'!$C56)</f>
        <v>0</v>
      </c>
      <c r="BY54" s="1534"/>
      <c r="BZ54" s="1534">
        <f>IF(Options!$AF$24=TRUE,0,BV54*'Step 11a--Inputs'!$F56)</f>
        <v>0</v>
      </c>
      <c r="CA54" s="1534"/>
      <c r="CB54" s="1534">
        <f>IF(Options!$AF$24=TRUE,0,BV54*'Step 11a--Inputs'!$I56)</f>
        <v>0</v>
      </c>
      <c r="CC54" s="1542"/>
    </row>
    <row r="55" spans="1:81" ht="3" customHeight="1">
      <c r="A55" s="1224"/>
      <c r="B55" s="1968"/>
      <c r="C55" s="1924"/>
      <c r="D55" s="1924"/>
      <c r="E55" s="1924"/>
      <c r="F55" s="1924"/>
      <c r="G55" s="1924"/>
      <c r="H55" s="1924"/>
      <c r="I55" s="1969"/>
      <c r="J55" s="372"/>
      <c r="K55" s="1924"/>
      <c r="L55" s="382"/>
      <c r="M55" s="1924"/>
      <c r="N55" s="382"/>
      <c r="O55" s="1924"/>
      <c r="P55" s="382"/>
      <c r="Q55" s="1969"/>
      <c r="R55" s="372"/>
      <c r="S55" s="1924"/>
      <c r="T55" s="382"/>
      <c r="U55" s="1924"/>
      <c r="V55" s="382"/>
      <c r="W55" s="1924"/>
      <c r="X55" s="382"/>
      <c r="Y55" s="1969"/>
      <c r="Z55" s="372"/>
      <c r="AA55" s="1924"/>
      <c r="AB55" s="382"/>
      <c r="AC55" s="1924"/>
      <c r="AD55" s="382"/>
      <c r="AE55" s="1924"/>
      <c r="AF55" s="382"/>
      <c r="AG55" s="1969"/>
      <c r="AH55" s="372"/>
      <c r="AI55" s="1924"/>
      <c r="AJ55" s="382"/>
      <c r="AK55" s="1924"/>
      <c r="AL55" s="382"/>
      <c r="AM55" s="1924"/>
      <c r="AN55" s="382"/>
      <c r="AO55" s="1979"/>
      <c r="AP55" s="360"/>
      <c r="AQ55" s="96"/>
      <c r="AR55" s="96"/>
      <c r="AS55" s="96"/>
      <c r="AT55" s="96"/>
      <c r="AU55" s="96"/>
      <c r="AV55" s="96"/>
      <c r="AW55" s="1002"/>
      <c r="AX55" s="109"/>
      <c r="AY55" s="96"/>
      <c r="AZ55" s="96"/>
      <c r="BA55" s="96"/>
      <c r="BB55" s="96"/>
      <c r="BC55" s="96"/>
      <c r="BD55" s="96"/>
      <c r="BE55" s="1002"/>
      <c r="BF55" s="109"/>
      <c r="BG55" s="96"/>
      <c r="BH55" s="96"/>
      <c r="BI55" s="96"/>
      <c r="BJ55" s="96"/>
      <c r="BK55" s="96"/>
      <c r="BL55" s="96"/>
      <c r="BM55" s="1002"/>
      <c r="BN55" s="109"/>
      <c r="BO55" s="96"/>
      <c r="BP55" s="96"/>
      <c r="BQ55" s="96"/>
      <c r="BR55" s="96"/>
      <c r="BS55" s="96"/>
      <c r="BT55" s="96"/>
      <c r="BU55" s="1002"/>
      <c r="BV55" s="109"/>
      <c r="BW55" s="96"/>
      <c r="BX55" s="96"/>
      <c r="BY55" s="96"/>
      <c r="BZ55" s="96"/>
      <c r="CA55" s="96"/>
      <c r="CB55" s="96"/>
      <c r="CC55" s="383"/>
    </row>
    <row r="56" spans="1:81" ht="15">
      <c r="A56" s="3774" t="s">
        <v>1483</v>
      </c>
      <c r="B56" s="1970">
        <f>SUM(B46:B54)</f>
        <v>3.6202674897119346E-3</v>
      </c>
      <c r="C56" s="1971"/>
      <c r="D56" s="1971">
        <f t="shared" ref="D56:X56" si="2">SUM(D46:D54)</f>
        <v>1.0860802469135804E-2</v>
      </c>
      <c r="E56" s="1971"/>
      <c r="F56" s="1971">
        <f t="shared" si="2"/>
        <v>3.6202674897119346E-3</v>
      </c>
      <c r="G56" s="1971"/>
      <c r="H56" s="1971">
        <f t="shared" si="2"/>
        <v>1.0860802469135804E-4</v>
      </c>
      <c r="I56" s="1972"/>
      <c r="J56" s="1562">
        <f t="shared" si="2"/>
        <v>3.6202674897119346E-3</v>
      </c>
      <c r="K56" s="1971"/>
      <c r="L56" s="1544">
        <f t="shared" si="2"/>
        <v>1.0860802469135804E-2</v>
      </c>
      <c r="M56" s="1971"/>
      <c r="N56" s="1544">
        <f t="shared" si="2"/>
        <v>3.6202674897119346E-3</v>
      </c>
      <c r="O56" s="1971"/>
      <c r="P56" s="1544">
        <f t="shared" si="2"/>
        <v>1.0860802469135804E-4</v>
      </c>
      <c r="Q56" s="1972"/>
      <c r="R56" s="1562">
        <f t="shared" si="2"/>
        <v>0</v>
      </c>
      <c r="S56" s="1971"/>
      <c r="T56" s="1544">
        <f t="shared" si="2"/>
        <v>0</v>
      </c>
      <c r="U56" s="1971"/>
      <c r="V56" s="1544">
        <f t="shared" si="2"/>
        <v>0</v>
      </c>
      <c r="W56" s="1971"/>
      <c r="X56" s="1544">
        <f t="shared" si="2"/>
        <v>0</v>
      </c>
      <c r="Y56" s="1972"/>
      <c r="Z56" s="1562">
        <f>SUM(Z46:Z54)</f>
        <v>0</v>
      </c>
      <c r="AA56" s="1971"/>
      <c r="AB56" s="1544">
        <f t="shared" ref="AB56:AP56" si="3">SUM(AB46:AB54)</f>
        <v>0</v>
      </c>
      <c r="AC56" s="1971"/>
      <c r="AD56" s="1544">
        <f t="shared" si="3"/>
        <v>0</v>
      </c>
      <c r="AE56" s="1971"/>
      <c r="AF56" s="1544">
        <f t="shared" si="3"/>
        <v>0</v>
      </c>
      <c r="AG56" s="1972"/>
      <c r="AH56" s="1562">
        <f t="shared" si="3"/>
        <v>0</v>
      </c>
      <c r="AI56" s="1971"/>
      <c r="AJ56" s="1544">
        <f t="shared" si="3"/>
        <v>0</v>
      </c>
      <c r="AK56" s="1971"/>
      <c r="AL56" s="1544">
        <f t="shared" si="3"/>
        <v>0</v>
      </c>
      <c r="AM56" s="1971"/>
      <c r="AN56" s="1544">
        <f t="shared" si="3"/>
        <v>0</v>
      </c>
      <c r="AO56" s="1980"/>
      <c r="AP56" s="1985">
        <f t="shared" si="3"/>
        <v>3.6202674897119346E-3</v>
      </c>
      <c r="AQ56" s="1545"/>
      <c r="AR56" s="1545">
        <f t="shared" ref="AR56:CB56" si="4">SUM(AR46:AR54)</f>
        <v>1.0860802469135804E-2</v>
      </c>
      <c r="AS56" s="1545"/>
      <c r="AT56" s="1545">
        <f t="shared" si="4"/>
        <v>3.6202674897119346E-3</v>
      </c>
      <c r="AU56" s="1545"/>
      <c r="AV56" s="1545">
        <f t="shared" si="4"/>
        <v>1.0860802469135804E-4</v>
      </c>
      <c r="AW56" s="1557"/>
      <c r="AX56" s="1556">
        <f t="shared" si="4"/>
        <v>2.9876543209876546E-3</v>
      </c>
      <c r="AY56" s="1545"/>
      <c r="AZ56" s="1545">
        <f t="shared" si="4"/>
        <v>8.9629629629629642E-3</v>
      </c>
      <c r="BA56" s="1545"/>
      <c r="BB56" s="1545">
        <f t="shared" si="4"/>
        <v>2.9876543209876546E-3</v>
      </c>
      <c r="BC56" s="1545"/>
      <c r="BD56" s="1545">
        <f t="shared" si="4"/>
        <v>8.9629629629629635E-5</v>
      </c>
      <c r="BE56" s="1557"/>
      <c r="BF56" s="1556">
        <f t="shared" si="4"/>
        <v>0</v>
      </c>
      <c r="BG56" s="1545"/>
      <c r="BH56" s="1545">
        <f t="shared" si="4"/>
        <v>0</v>
      </c>
      <c r="BI56" s="1545"/>
      <c r="BJ56" s="1545">
        <f t="shared" si="4"/>
        <v>0</v>
      </c>
      <c r="BK56" s="1545"/>
      <c r="BL56" s="1545">
        <f t="shared" si="4"/>
        <v>0</v>
      </c>
      <c r="BM56" s="1557"/>
      <c r="BN56" s="1556">
        <f t="shared" si="4"/>
        <v>0</v>
      </c>
      <c r="BO56" s="1545"/>
      <c r="BP56" s="1545">
        <f t="shared" si="4"/>
        <v>0</v>
      </c>
      <c r="BQ56" s="1545"/>
      <c r="BR56" s="1545">
        <f t="shared" si="4"/>
        <v>0</v>
      </c>
      <c r="BS56" s="1545"/>
      <c r="BT56" s="1545">
        <f t="shared" si="4"/>
        <v>0</v>
      </c>
      <c r="BU56" s="1557"/>
      <c r="BV56" s="1556">
        <f t="shared" si="4"/>
        <v>0</v>
      </c>
      <c r="BW56" s="1545"/>
      <c r="BX56" s="1545">
        <f t="shared" si="4"/>
        <v>0</v>
      </c>
      <c r="BY56" s="1545"/>
      <c r="BZ56" s="1545">
        <f t="shared" si="4"/>
        <v>0</v>
      </c>
      <c r="CA56" s="1545"/>
      <c r="CB56" s="1545">
        <f t="shared" si="4"/>
        <v>0</v>
      </c>
      <c r="CC56" s="1546"/>
    </row>
    <row r="57" spans="1:81" ht="3" customHeight="1">
      <c r="A57" s="1925"/>
      <c r="B57" s="1968"/>
      <c r="C57" s="1924"/>
      <c r="D57" s="1924"/>
      <c r="E57" s="1924"/>
      <c r="F57" s="1924"/>
      <c r="G57" s="1924"/>
      <c r="H57" s="1924"/>
      <c r="I57" s="1969"/>
      <c r="J57" s="372"/>
      <c r="K57" s="1924"/>
      <c r="L57" s="382"/>
      <c r="M57" s="1924"/>
      <c r="N57" s="382"/>
      <c r="O57" s="1924"/>
      <c r="P57" s="382"/>
      <c r="Q57" s="1969"/>
      <c r="R57" s="372"/>
      <c r="S57" s="1924"/>
      <c r="T57" s="382"/>
      <c r="U57" s="1924"/>
      <c r="V57" s="382"/>
      <c r="W57" s="1924"/>
      <c r="X57" s="382"/>
      <c r="Y57" s="1969"/>
      <c r="Z57" s="372"/>
      <c r="AA57" s="1924"/>
      <c r="AB57" s="382"/>
      <c r="AC57" s="1924"/>
      <c r="AD57" s="382"/>
      <c r="AE57" s="1924"/>
      <c r="AF57" s="382"/>
      <c r="AG57" s="1969"/>
      <c r="AH57" s="372"/>
      <c r="AI57" s="1924"/>
      <c r="AJ57" s="382"/>
      <c r="AK57" s="1924"/>
      <c r="AL57" s="382"/>
      <c r="AM57" s="1924"/>
      <c r="AN57" s="382"/>
      <c r="AO57" s="1979"/>
      <c r="AP57" s="360"/>
      <c r="AQ57" s="96"/>
      <c r="AR57" s="96"/>
      <c r="AS57" s="96"/>
      <c r="AT57" s="96"/>
      <c r="AU57" s="96"/>
      <c r="AV57" s="96"/>
      <c r="AW57" s="1002"/>
      <c r="AX57" s="109"/>
      <c r="AY57" s="96"/>
      <c r="AZ57" s="96"/>
      <c r="BA57" s="96"/>
      <c r="BB57" s="96"/>
      <c r="BC57" s="96"/>
      <c r="BD57" s="96"/>
      <c r="BE57" s="1002"/>
      <c r="BF57" s="109"/>
      <c r="BG57" s="96"/>
      <c r="BH57" s="96"/>
      <c r="BI57" s="96"/>
      <c r="BJ57" s="96"/>
      <c r="BK57" s="96"/>
      <c r="BL57" s="96"/>
      <c r="BM57" s="1002"/>
      <c r="BN57" s="109"/>
      <c r="BO57" s="96"/>
      <c r="BP57" s="96"/>
      <c r="BQ57" s="96"/>
      <c r="BR57" s="96"/>
      <c r="BS57" s="96"/>
      <c r="BT57" s="96"/>
      <c r="BU57" s="1002"/>
      <c r="BV57" s="109"/>
      <c r="BW57" s="96"/>
      <c r="BX57" s="96"/>
      <c r="BY57" s="96"/>
      <c r="BZ57" s="96"/>
      <c r="CA57" s="96"/>
      <c r="CB57" s="96"/>
      <c r="CC57" s="383"/>
    </row>
    <row r="58" spans="1:81" ht="6" customHeight="1">
      <c r="A58" s="1427"/>
      <c r="B58" s="1973"/>
      <c r="C58" s="1974"/>
      <c r="D58" s="1974"/>
      <c r="E58" s="1974"/>
      <c r="F58" s="1974"/>
      <c r="G58" s="1974"/>
      <c r="H58" s="1974"/>
      <c r="I58" s="1975"/>
      <c r="J58" s="369"/>
      <c r="K58" s="1974"/>
      <c r="L58" s="366"/>
      <c r="M58" s="1974"/>
      <c r="N58" s="366"/>
      <c r="O58" s="1974"/>
      <c r="P58" s="366"/>
      <c r="Q58" s="1975"/>
      <c r="R58" s="369"/>
      <c r="S58" s="1974"/>
      <c r="T58" s="366"/>
      <c r="U58" s="1974"/>
      <c r="V58" s="366"/>
      <c r="W58" s="1974"/>
      <c r="X58" s="366"/>
      <c r="Y58" s="1975"/>
      <c r="Z58" s="369"/>
      <c r="AA58" s="1974"/>
      <c r="AB58" s="366"/>
      <c r="AC58" s="1974"/>
      <c r="AD58" s="366"/>
      <c r="AE58" s="1974"/>
      <c r="AF58" s="366"/>
      <c r="AG58" s="1975"/>
      <c r="AH58" s="369"/>
      <c r="AI58" s="1974"/>
      <c r="AJ58" s="366"/>
      <c r="AK58" s="1974"/>
      <c r="AL58" s="366"/>
      <c r="AM58" s="1974"/>
      <c r="AN58" s="366"/>
      <c r="AO58" s="1981"/>
      <c r="AP58" s="359"/>
      <c r="AQ58" s="126"/>
      <c r="AR58" s="126"/>
      <c r="AS58" s="126"/>
      <c r="AT58" s="126"/>
      <c r="AU58" s="126"/>
      <c r="AV58" s="126"/>
      <c r="AW58" s="1003"/>
      <c r="AX58" s="125"/>
      <c r="AY58" s="126"/>
      <c r="AZ58" s="126"/>
      <c r="BA58" s="126"/>
      <c r="BB58" s="126"/>
      <c r="BC58" s="126"/>
      <c r="BD58" s="126"/>
      <c r="BE58" s="1003"/>
      <c r="BF58" s="125"/>
      <c r="BG58" s="126"/>
      <c r="BH58" s="126"/>
      <c r="BI58" s="126"/>
      <c r="BJ58" s="126"/>
      <c r="BK58" s="126"/>
      <c r="BL58" s="126"/>
      <c r="BM58" s="1003"/>
      <c r="BN58" s="125"/>
      <c r="BO58" s="126"/>
      <c r="BP58" s="126"/>
      <c r="BQ58" s="126"/>
      <c r="BR58" s="126"/>
      <c r="BS58" s="126"/>
      <c r="BT58" s="126"/>
      <c r="BU58" s="1003"/>
      <c r="BV58" s="125"/>
      <c r="BW58" s="126"/>
      <c r="BX58" s="126"/>
      <c r="BY58" s="126"/>
      <c r="BZ58" s="126"/>
      <c r="CA58" s="126"/>
      <c r="CB58" s="126"/>
      <c r="CC58" s="384"/>
    </row>
    <row r="59" spans="1:81" ht="15">
      <c r="A59" s="1541" t="s">
        <v>364</v>
      </c>
      <c r="B59" s="1714">
        <f>B26+B43+B56</f>
        <v>1.3308323826984547E-2</v>
      </c>
      <c r="C59" s="1547"/>
      <c r="D59" s="1547">
        <f t="shared" ref="D59:X59" si="5">D26+D43+D56</f>
        <v>0.64044341661322413</v>
      </c>
      <c r="E59" s="1547"/>
      <c r="F59" s="1547">
        <f t="shared" si="5"/>
        <v>1.2250857295836347E-2</v>
      </c>
      <c r="G59" s="1547"/>
      <c r="H59" s="1547">
        <f t="shared" si="5"/>
        <v>1.7417347390205032E-3</v>
      </c>
      <c r="I59" s="1564"/>
      <c r="J59" s="1563">
        <f t="shared" si="5"/>
        <v>9.2349498114203451E-3</v>
      </c>
      <c r="K59" s="1547"/>
      <c r="L59" s="1547">
        <f t="shared" si="5"/>
        <v>0.50858557102237367</v>
      </c>
      <c r="M59" s="1547"/>
      <c r="N59" s="1547">
        <f t="shared" si="5"/>
        <v>1.1443680254188486E-2</v>
      </c>
      <c r="O59" s="1547"/>
      <c r="P59" s="1547">
        <f t="shared" si="5"/>
        <v>1.2036167112552624E-3</v>
      </c>
      <c r="Q59" s="1564"/>
      <c r="R59" s="1563">
        <f t="shared" si="5"/>
        <v>6.6120027522656997E-4</v>
      </c>
      <c r="S59" s="1547"/>
      <c r="T59" s="1547">
        <f t="shared" si="5"/>
        <v>2.1403495839646597E-2</v>
      </c>
      <c r="U59" s="1547"/>
      <c r="V59" s="1547">
        <f t="shared" si="5"/>
        <v>1.3102299962018365E-4</v>
      </c>
      <c r="W59" s="1547"/>
      <c r="X59" s="1547">
        <f t="shared" si="5"/>
        <v>8.7348666413455768E-5</v>
      </c>
      <c r="Y59" s="1564"/>
      <c r="Z59" s="1563">
        <f>Z26+Z43+Z56</f>
        <v>2.4150777530670122E-3</v>
      </c>
      <c r="AA59" s="1547"/>
      <c r="AB59" s="1547">
        <f t="shared" ref="AB59:AP59" si="6">AB26+AB43+AB56</f>
        <v>7.8177684699964944E-2</v>
      </c>
      <c r="AC59" s="1547"/>
      <c r="AD59" s="1547">
        <f t="shared" si="6"/>
        <v>4.7857017514758805E-4</v>
      </c>
      <c r="AE59" s="1547"/>
      <c r="AF59" s="1547">
        <f t="shared" si="6"/>
        <v>3.1904678343172533E-4</v>
      </c>
      <c r="AG59" s="1564"/>
      <c r="AH59" s="1563">
        <f t="shared" si="6"/>
        <v>9.970959872706187E-4</v>
      </c>
      <c r="AI59" s="1547"/>
      <c r="AJ59" s="1547">
        <f t="shared" si="6"/>
        <v>3.227666505123894E-2</v>
      </c>
      <c r="AK59" s="1547"/>
      <c r="AL59" s="1547">
        <f t="shared" si="6"/>
        <v>1.9758386688008912E-4</v>
      </c>
      <c r="AM59" s="1547"/>
      <c r="AN59" s="1547">
        <f t="shared" si="6"/>
        <v>1.3172257792005943E-4</v>
      </c>
      <c r="AO59" s="1568"/>
      <c r="AP59" s="1986">
        <f t="shared" si="6"/>
        <v>1.3308323826984547E-2</v>
      </c>
      <c r="AQ59" s="1548"/>
      <c r="AR59" s="1548">
        <f t="shared" ref="AR59:CB59" si="7">AR26+AR43+AR56</f>
        <v>0.64044341661322413</v>
      </c>
      <c r="AS59" s="1548"/>
      <c r="AT59" s="1548">
        <f t="shared" si="7"/>
        <v>1.2250857295836347E-2</v>
      </c>
      <c r="AU59" s="1548"/>
      <c r="AV59" s="1548">
        <f t="shared" si="7"/>
        <v>1.7417347390205032E-3</v>
      </c>
      <c r="AW59" s="1559"/>
      <c r="AX59" s="1558">
        <f t="shared" si="7"/>
        <v>8.8815704199906084E-3</v>
      </c>
      <c r="AY59" s="1548"/>
      <c r="AZ59" s="1548">
        <f t="shared" si="7"/>
        <v>0.47099133323297016</v>
      </c>
      <c r="BA59" s="1548"/>
      <c r="BB59" s="1548">
        <f t="shared" si="7"/>
        <v>9.8619661844494139E-3</v>
      </c>
      <c r="BC59" s="1548"/>
      <c r="BD59" s="1548">
        <f t="shared" si="7"/>
        <v>1.2011906272079982E-3</v>
      </c>
      <c r="BE59" s="1559"/>
      <c r="BF59" s="1558">
        <f t="shared" si="7"/>
        <v>6.9257486982467111E-4</v>
      </c>
      <c r="BG59" s="1548"/>
      <c r="BH59" s="1548">
        <f t="shared" si="7"/>
        <v>2.2419112484272079E-2</v>
      </c>
      <c r="BI59" s="1548"/>
      <c r="BJ59" s="1548">
        <f t="shared" si="7"/>
        <v>1.3724016807901675E-4</v>
      </c>
      <c r="BK59" s="1548"/>
      <c r="BL59" s="1548">
        <f t="shared" si="7"/>
        <v>9.1493445386011166E-5</v>
      </c>
      <c r="BM59" s="1559"/>
      <c r="BN59" s="1558">
        <f t="shared" si="7"/>
        <v>2.0304788975464335E-3</v>
      </c>
      <c r="BO59" s="1548"/>
      <c r="BP59" s="1548">
        <f t="shared" si="7"/>
        <v>6.5727962108354104E-2</v>
      </c>
      <c r="BQ59" s="1548"/>
      <c r="BR59" s="1548">
        <f t="shared" si="7"/>
        <v>4.0235832589581859E-4</v>
      </c>
      <c r="BS59" s="1548"/>
      <c r="BT59" s="1548">
        <f t="shared" si="7"/>
        <v>2.6823888393054575E-4</v>
      </c>
      <c r="BU59" s="1559"/>
      <c r="BV59" s="1558">
        <f t="shared" si="7"/>
        <v>8.36602040141953E-4</v>
      </c>
      <c r="BW59" s="1548"/>
      <c r="BX59" s="1548">
        <f t="shared" si="7"/>
        <v>2.7081368469609787E-2</v>
      </c>
      <c r="BY59" s="1548"/>
      <c r="BZ59" s="1548">
        <f t="shared" si="7"/>
        <v>1.6578049479819569E-4</v>
      </c>
      <c r="CA59" s="1548"/>
      <c r="CB59" s="1548">
        <f t="shared" si="7"/>
        <v>1.1052032986546379E-4</v>
      </c>
      <c r="CC59" s="1549"/>
    </row>
    <row r="60" spans="1:81" ht="6" customHeight="1" thickBot="1">
      <c r="A60" s="1550"/>
      <c r="B60" s="1976"/>
      <c r="C60" s="1977"/>
      <c r="D60" s="1977"/>
      <c r="E60" s="1977"/>
      <c r="F60" s="1977"/>
      <c r="G60" s="1977"/>
      <c r="H60" s="1977"/>
      <c r="I60" s="1978"/>
      <c r="J60" s="1565"/>
      <c r="K60" s="1977"/>
      <c r="L60" s="1551"/>
      <c r="M60" s="1977"/>
      <c r="N60" s="1551"/>
      <c r="O60" s="1977"/>
      <c r="P60" s="1551"/>
      <c r="Q60" s="1978"/>
      <c r="R60" s="1565"/>
      <c r="S60" s="1977"/>
      <c r="T60" s="1551"/>
      <c r="U60" s="1977"/>
      <c r="V60" s="1551"/>
      <c r="W60" s="1977"/>
      <c r="X60" s="1551"/>
      <c r="Y60" s="1978"/>
      <c r="Z60" s="1565"/>
      <c r="AA60" s="1977"/>
      <c r="AB60" s="1551"/>
      <c r="AC60" s="1977"/>
      <c r="AD60" s="1551"/>
      <c r="AE60" s="1977"/>
      <c r="AF60" s="1551"/>
      <c r="AG60" s="1978"/>
      <c r="AH60" s="1565"/>
      <c r="AI60" s="1977"/>
      <c r="AJ60" s="1551"/>
      <c r="AK60" s="1977"/>
      <c r="AL60" s="1551"/>
      <c r="AM60" s="1977"/>
      <c r="AN60" s="1551"/>
      <c r="AO60" s="1982"/>
      <c r="AP60" s="1987"/>
      <c r="AQ60" s="1552"/>
      <c r="AR60" s="1552"/>
      <c r="AS60" s="1552"/>
      <c r="AT60" s="1552"/>
      <c r="AU60" s="1552"/>
      <c r="AV60" s="1552"/>
      <c r="AW60" s="1561"/>
      <c r="AX60" s="1560"/>
      <c r="AY60" s="1552"/>
      <c r="AZ60" s="1552"/>
      <c r="BA60" s="1552"/>
      <c r="BB60" s="1552"/>
      <c r="BC60" s="1552"/>
      <c r="BD60" s="1552"/>
      <c r="BE60" s="1561"/>
      <c r="BF60" s="1560"/>
      <c r="BG60" s="1552"/>
      <c r="BH60" s="1552"/>
      <c r="BI60" s="1552"/>
      <c r="BJ60" s="1552"/>
      <c r="BK60" s="1552"/>
      <c r="BL60" s="1552"/>
      <c r="BM60" s="1561"/>
      <c r="BN60" s="1560"/>
      <c r="BO60" s="1552"/>
      <c r="BP60" s="1552"/>
      <c r="BQ60" s="1552"/>
      <c r="BR60" s="1552"/>
      <c r="BS60" s="1552"/>
      <c r="BT60" s="1552"/>
      <c r="BU60" s="1561"/>
      <c r="BV60" s="1560"/>
      <c r="BW60" s="1552"/>
      <c r="BX60" s="1552"/>
      <c r="BY60" s="1552"/>
      <c r="BZ60" s="1552"/>
      <c r="CA60" s="1552"/>
      <c r="CB60" s="1552"/>
      <c r="CC60" s="1553"/>
    </row>
    <row r="69" spans="1:1" ht="15.75">
      <c r="A69" s="1402"/>
    </row>
  </sheetData>
  <sheetProtection password="E0BE" sheet="1" objects="1" scenarios="1"/>
  <mergeCells count="59">
    <mergeCell ref="A45:CC45"/>
    <mergeCell ref="B6:C6"/>
    <mergeCell ref="D6:E6"/>
    <mergeCell ref="H6:I6"/>
    <mergeCell ref="F6:G6"/>
    <mergeCell ref="R6:S6"/>
    <mergeCell ref="T6:U6"/>
    <mergeCell ref="V6:W6"/>
    <mergeCell ref="X6:Y6"/>
    <mergeCell ref="Z6:AA6"/>
    <mergeCell ref="AB6:AC6"/>
    <mergeCell ref="AD6:AE6"/>
    <mergeCell ref="AF6:AG6"/>
    <mergeCell ref="AH6:AI6"/>
    <mergeCell ref="J6:K6"/>
    <mergeCell ref="L6:M6"/>
    <mergeCell ref="A28:CC28"/>
    <mergeCell ref="A7:CC7"/>
    <mergeCell ref="AJ6:AK6"/>
    <mergeCell ref="AL6:AM6"/>
    <mergeCell ref="AN6:AO6"/>
    <mergeCell ref="AX6:AY6"/>
    <mergeCell ref="AZ6:BA6"/>
    <mergeCell ref="BB6:BC6"/>
    <mergeCell ref="BD6:BE6"/>
    <mergeCell ref="BF6:BG6"/>
    <mergeCell ref="BH6:BI6"/>
    <mergeCell ref="BJ6:BK6"/>
    <mergeCell ref="BL6:BM6"/>
    <mergeCell ref="BX6:BY6"/>
    <mergeCell ref="AP6:AQ6"/>
    <mergeCell ref="AR6:AS6"/>
    <mergeCell ref="AT6:AU6"/>
    <mergeCell ref="AV6:AW6"/>
    <mergeCell ref="N6:O6"/>
    <mergeCell ref="P6:Q6"/>
    <mergeCell ref="BZ6:CA6"/>
    <mergeCell ref="CB6:CC6"/>
    <mergeCell ref="BV5:CC5"/>
    <mergeCell ref="BN5:BU5"/>
    <mergeCell ref="BN6:BO6"/>
    <mergeCell ref="BP6:BQ6"/>
    <mergeCell ref="BR6:BS6"/>
    <mergeCell ref="BT6:BU6"/>
    <mergeCell ref="BV6:BW6"/>
    <mergeCell ref="B5:I5"/>
    <mergeCell ref="J5:Q5"/>
    <mergeCell ref="A1:CC1"/>
    <mergeCell ref="B3:AO3"/>
    <mergeCell ref="B4:AO4"/>
    <mergeCell ref="AP4:CC4"/>
    <mergeCell ref="AP3:CC3"/>
    <mergeCell ref="A2:CC2"/>
    <mergeCell ref="BF5:BM5"/>
    <mergeCell ref="AX5:BE5"/>
    <mergeCell ref="AP5:AW5"/>
    <mergeCell ref="R5:Y5"/>
    <mergeCell ref="Z5:AG5"/>
    <mergeCell ref="AH5:AO5"/>
  </mergeCells>
  <printOptions horizontalCentered="1"/>
  <pageMargins left="0.7" right="0.7" top="0.75" bottom="0.75" header="0.3" footer="0.3"/>
  <pageSetup scale="32" orientation="landscape" horizontalDpi="1200" verticalDpi="1200" r:id="rId1"/>
  <headerFooter>
    <oddFooter>&amp;L&amp;A&amp;C&amp;F&amp;R&amp;D</oddFooter>
  </headerFooter>
  <colBreaks count="1" manualBreakCount="1">
    <brk id="41" max="1048575" man="1"/>
  </colBreaks>
</worksheet>
</file>

<file path=xl/worksheets/sheet28.xml><?xml version="1.0" encoding="utf-8"?>
<worksheet xmlns="http://schemas.openxmlformats.org/spreadsheetml/2006/main" xmlns:r="http://schemas.openxmlformats.org/officeDocument/2006/relationships">
  <dimension ref="A1:CS69"/>
  <sheetViews>
    <sheetView zoomScale="75" zoomScaleNormal="75" workbookViewId="0">
      <selection activeCell="A22" sqref="A22"/>
    </sheetView>
  </sheetViews>
  <sheetFormatPr defaultRowHeight="12.75"/>
  <cols>
    <col min="1" max="1" width="28.140625" customWidth="1"/>
    <col min="2" max="2" width="12" style="1" customWidth="1"/>
    <col min="3" max="3" width="2.5703125" style="1" customWidth="1"/>
    <col min="4" max="4" width="12" style="1" customWidth="1"/>
    <col min="5" max="5" width="2.7109375" style="1" customWidth="1"/>
    <col min="6" max="6" width="11.85546875" style="1" customWidth="1"/>
    <col min="7" max="7" width="2.7109375" style="1" customWidth="1"/>
    <col min="8" max="8" width="11.85546875" style="1" customWidth="1"/>
    <col min="9" max="9" width="2.7109375" style="1" customWidth="1"/>
    <col min="10" max="10" width="11.85546875" customWidth="1"/>
    <col min="11" max="11" width="2.7109375" style="1" customWidth="1"/>
    <col min="12" max="12" width="11.85546875" customWidth="1"/>
    <col min="13" max="13" width="2.7109375" style="1" customWidth="1"/>
    <col min="14" max="14" width="11.85546875" customWidth="1"/>
    <col min="15" max="15" width="2.7109375" style="1" customWidth="1"/>
    <col min="16" max="16" width="11.85546875" customWidth="1"/>
    <col min="17" max="17" width="2.7109375" style="1" customWidth="1"/>
    <col min="18" max="18" width="11.85546875" customWidth="1"/>
    <col min="19" max="19" width="2.7109375" style="1" customWidth="1"/>
    <col min="20" max="20" width="11.85546875" customWidth="1"/>
    <col min="21" max="21" width="2.7109375" style="1" customWidth="1"/>
    <col min="22" max="22" width="11.85546875" customWidth="1"/>
    <col min="23" max="23" width="2.7109375" style="1" customWidth="1"/>
    <col min="24" max="24" width="11.85546875" customWidth="1"/>
    <col min="25" max="25" width="2.7109375" style="1" customWidth="1"/>
    <col min="26" max="26" width="11.85546875" customWidth="1"/>
    <col min="27" max="27" width="2.7109375" style="1" customWidth="1"/>
    <col min="28" max="28" width="11.85546875" customWidth="1"/>
    <col min="29" max="29" width="2.7109375" style="1" customWidth="1"/>
    <col min="30" max="30" width="11.85546875" customWidth="1"/>
    <col min="31" max="31" width="2.7109375" style="1" customWidth="1"/>
    <col min="32" max="32" width="11.85546875" customWidth="1"/>
    <col min="33" max="33" width="2.7109375" style="1" customWidth="1"/>
    <col min="34" max="34" width="11.85546875" customWidth="1"/>
    <col min="35" max="35" width="2.7109375" style="1" customWidth="1"/>
    <col min="36" max="36" width="11.85546875" customWidth="1"/>
    <col min="37" max="37" width="2.7109375" style="1" customWidth="1"/>
    <col min="38" max="38" width="11.85546875" customWidth="1"/>
    <col min="39" max="39" width="2.7109375" style="1" customWidth="1"/>
    <col min="40" max="40" width="11.85546875" customWidth="1"/>
    <col min="41" max="41" width="2.7109375" style="1" customWidth="1"/>
    <col min="42" max="42" width="11.85546875" customWidth="1"/>
    <col min="43" max="43" width="2.7109375" customWidth="1"/>
    <col min="44" max="44" width="11.85546875" customWidth="1"/>
    <col min="45" max="45" width="2.7109375" customWidth="1"/>
    <col min="46" max="46" width="11.85546875" customWidth="1"/>
    <col min="47" max="47" width="2.7109375" customWidth="1"/>
    <col min="48" max="48" width="11.85546875" customWidth="1"/>
    <col min="49" max="49" width="2.7109375" customWidth="1"/>
    <col min="50" max="50" width="11.85546875" customWidth="1"/>
    <col min="51" max="51" width="2.7109375" customWidth="1"/>
    <col min="52" max="52" width="11.85546875" customWidth="1"/>
    <col min="53" max="53" width="2.7109375" customWidth="1"/>
    <col min="54" max="54" width="11.85546875" customWidth="1"/>
    <col min="55" max="55" width="2.7109375" customWidth="1"/>
    <col min="56" max="56" width="11.85546875" customWidth="1"/>
    <col min="57" max="57" width="2.7109375" customWidth="1"/>
    <col min="58" max="58" width="11.85546875" customWidth="1"/>
    <col min="59" max="59" width="2.7109375" customWidth="1"/>
    <col min="60" max="60" width="11.85546875" customWidth="1"/>
    <col min="61" max="61" width="2.7109375" customWidth="1"/>
    <col min="62" max="62" width="11.85546875" customWidth="1"/>
    <col min="63" max="63" width="2.7109375" customWidth="1"/>
    <col min="64" max="64" width="11.85546875" customWidth="1"/>
    <col min="65" max="65" width="2.7109375" customWidth="1"/>
    <col min="66" max="66" width="11.85546875" customWidth="1"/>
    <col min="67" max="67" width="2.7109375" customWidth="1"/>
    <col min="68" max="68" width="11.85546875" customWidth="1"/>
    <col min="69" max="69" width="2.7109375" customWidth="1"/>
    <col min="70" max="70" width="11.85546875" customWidth="1"/>
    <col min="71" max="71" width="2.7109375" customWidth="1"/>
    <col min="72" max="72" width="11.85546875" customWidth="1"/>
    <col min="73" max="73" width="2.7109375" customWidth="1"/>
    <col min="74" max="74" width="11.85546875" customWidth="1"/>
    <col min="75" max="75" width="2.7109375" customWidth="1"/>
    <col min="76" max="76" width="11.85546875" customWidth="1"/>
    <col min="77" max="77" width="2.7109375" customWidth="1"/>
    <col min="78" max="78" width="11.85546875" customWidth="1"/>
    <col min="79" max="79" width="2.7109375" customWidth="1"/>
    <col min="80" max="80" width="11.85546875" customWidth="1"/>
    <col min="81" max="81" width="2.7109375" customWidth="1"/>
  </cols>
  <sheetData>
    <row r="1" spans="1:9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2"/>
      <c r="AD1" s="4692"/>
      <c r="AE1" s="4692"/>
      <c r="AF1" s="4692"/>
      <c r="AG1" s="4692"/>
      <c r="AH1" s="4692"/>
      <c r="AI1" s="4692"/>
      <c r="AJ1" s="4692"/>
      <c r="AK1" s="4692"/>
      <c r="AL1" s="4692"/>
      <c r="AM1" s="4692"/>
      <c r="AN1" s="4692"/>
      <c r="AO1" s="4692"/>
      <c r="AP1" s="4692"/>
      <c r="AQ1" s="4692"/>
      <c r="AR1" s="4692"/>
      <c r="AS1" s="4692"/>
      <c r="AT1" s="4692"/>
      <c r="AU1" s="4692"/>
      <c r="AV1" s="4692"/>
      <c r="AW1" s="4692"/>
      <c r="AX1" s="4692"/>
      <c r="AY1" s="4692"/>
      <c r="AZ1" s="4692"/>
      <c r="BA1" s="4692"/>
      <c r="BB1" s="4692"/>
      <c r="BC1" s="4692"/>
      <c r="BD1" s="4692"/>
      <c r="BE1" s="4692"/>
      <c r="BF1" s="4692"/>
      <c r="BG1" s="4692"/>
      <c r="BH1" s="4692"/>
      <c r="BI1" s="4692"/>
      <c r="BJ1" s="4692"/>
      <c r="BK1" s="4692"/>
      <c r="BL1" s="4692"/>
      <c r="BM1" s="4692"/>
      <c r="BN1" s="4692"/>
      <c r="BO1" s="4692"/>
      <c r="BP1" s="4692"/>
      <c r="BQ1" s="4692"/>
      <c r="BR1" s="4692"/>
      <c r="BS1" s="4692"/>
      <c r="BT1" s="4692"/>
      <c r="BU1" s="4692"/>
      <c r="BV1" s="4692"/>
      <c r="BW1" s="4692"/>
      <c r="BX1" s="4692"/>
      <c r="BY1" s="4692"/>
      <c r="BZ1" s="4692"/>
      <c r="CA1" s="4692"/>
      <c r="CB1" s="4692"/>
      <c r="CC1" s="4693"/>
      <c r="CD1" s="1706"/>
      <c r="CE1" s="1706"/>
      <c r="CF1" s="1706"/>
      <c r="CG1" s="1706"/>
      <c r="CH1" s="1706"/>
      <c r="CI1" s="1706"/>
      <c r="CJ1" s="1706"/>
      <c r="CK1" s="1706"/>
      <c r="CL1" s="1706"/>
      <c r="CM1" s="1706"/>
      <c r="CN1" s="1706"/>
      <c r="CO1" s="1706"/>
      <c r="CP1" s="1706"/>
      <c r="CQ1" s="1706"/>
      <c r="CR1" s="1706"/>
      <c r="CS1" s="103"/>
    </row>
    <row r="2" spans="1:97" s="3" customFormat="1" ht="30" customHeight="1">
      <c r="A2" s="3967" t="s">
        <v>1267</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8"/>
      <c r="AD2" s="3968"/>
      <c r="AE2" s="3968"/>
      <c r="AF2" s="3968"/>
      <c r="AG2" s="3968"/>
      <c r="AH2" s="3968"/>
      <c r="AI2" s="3968"/>
      <c r="AJ2" s="3968"/>
      <c r="AK2" s="3968"/>
      <c r="AL2" s="3968"/>
      <c r="AM2" s="3968"/>
      <c r="AN2" s="3968"/>
      <c r="AO2" s="3968"/>
      <c r="AP2" s="3968"/>
      <c r="AQ2" s="3968"/>
      <c r="AR2" s="3968"/>
      <c r="AS2" s="3968"/>
      <c r="AT2" s="3968"/>
      <c r="AU2" s="3968"/>
      <c r="AV2" s="3968"/>
      <c r="AW2" s="3968"/>
      <c r="AX2" s="3968"/>
      <c r="AY2" s="3968"/>
      <c r="AZ2" s="3968"/>
      <c r="BA2" s="3968"/>
      <c r="BB2" s="3968"/>
      <c r="BC2" s="3968"/>
      <c r="BD2" s="3968"/>
      <c r="BE2" s="3968"/>
      <c r="BF2" s="3968"/>
      <c r="BG2" s="3968"/>
      <c r="BH2" s="3968"/>
      <c r="BI2" s="3968"/>
      <c r="BJ2" s="3968"/>
      <c r="BK2" s="3968"/>
      <c r="BL2" s="3968"/>
      <c r="BM2" s="3968"/>
      <c r="BN2" s="3968"/>
      <c r="BO2" s="3968"/>
      <c r="BP2" s="3968"/>
      <c r="BQ2" s="3968"/>
      <c r="BR2" s="3968"/>
      <c r="BS2" s="3968"/>
      <c r="BT2" s="3968"/>
      <c r="BU2" s="3968"/>
      <c r="BV2" s="3968"/>
      <c r="BW2" s="3968"/>
      <c r="BX2" s="3968"/>
      <c r="BY2" s="3968"/>
      <c r="BZ2" s="3968"/>
      <c r="CA2" s="3968"/>
      <c r="CB2" s="3968"/>
      <c r="CC2" s="3969"/>
    </row>
    <row r="3" spans="1:97" ht="18">
      <c r="A3" s="1183"/>
      <c r="B3" s="4944" t="str">
        <f>'Chosen Parameters-Part I'!D4</f>
        <v>Scenario 3</v>
      </c>
      <c r="C3" s="4945"/>
      <c r="D3" s="4945"/>
      <c r="E3" s="4945"/>
      <c r="F3" s="4945"/>
      <c r="G3" s="4945"/>
      <c r="H3" s="4945"/>
      <c r="I3" s="4945"/>
      <c r="J3" s="4945"/>
      <c r="K3" s="4945"/>
      <c r="L3" s="4945"/>
      <c r="M3" s="4945"/>
      <c r="N3" s="4945"/>
      <c r="O3" s="4945"/>
      <c r="P3" s="4945"/>
      <c r="Q3" s="4945"/>
      <c r="R3" s="4945"/>
      <c r="S3" s="4945"/>
      <c r="T3" s="4945"/>
      <c r="U3" s="4945"/>
      <c r="V3" s="4945"/>
      <c r="W3" s="4945"/>
      <c r="X3" s="4945"/>
      <c r="Y3" s="4945"/>
      <c r="Z3" s="4945"/>
      <c r="AA3" s="4945"/>
      <c r="AB3" s="4945"/>
      <c r="AC3" s="4945"/>
      <c r="AD3" s="4945"/>
      <c r="AE3" s="4945"/>
      <c r="AF3" s="4945"/>
      <c r="AG3" s="4945"/>
      <c r="AH3" s="4945"/>
      <c r="AI3" s="4945"/>
      <c r="AJ3" s="4945"/>
      <c r="AK3" s="4945"/>
      <c r="AL3" s="4945"/>
      <c r="AM3" s="4945"/>
      <c r="AN3" s="4945"/>
      <c r="AO3" s="4946"/>
      <c r="AP3" s="4947" t="str">
        <f>'Chosen Parameters-Part I'!E4</f>
        <v>Scenario 4</v>
      </c>
      <c r="AQ3" s="4948"/>
      <c r="AR3" s="4948"/>
      <c r="AS3" s="4948"/>
      <c r="AT3" s="4948"/>
      <c r="AU3" s="4948"/>
      <c r="AV3" s="4948"/>
      <c r="AW3" s="4948"/>
      <c r="AX3" s="4948"/>
      <c r="AY3" s="4948"/>
      <c r="AZ3" s="4948"/>
      <c r="BA3" s="4948"/>
      <c r="BB3" s="4948"/>
      <c r="BC3" s="4948"/>
      <c r="BD3" s="4948"/>
      <c r="BE3" s="4948"/>
      <c r="BF3" s="4948"/>
      <c r="BG3" s="4948"/>
      <c r="BH3" s="4948"/>
      <c r="BI3" s="4948"/>
      <c r="BJ3" s="4948"/>
      <c r="BK3" s="4948"/>
      <c r="BL3" s="4948"/>
      <c r="BM3" s="4948"/>
      <c r="BN3" s="4948"/>
      <c r="BO3" s="4948"/>
      <c r="BP3" s="4948"/>
      <c r="BQ3" s="4948"/>
      <c r="BR3" s="4948"/>
      <c r="BS3" s="4948"/>
      <c r="BT3" s="4948"/>
      <c r="BU3" s="4948"/>
      <c r="BV3" s="4948"/>
      <c r="BW3" s="4948"/>
      <c r="BX3" s="4948"/>
      <c r="BY3" s="4948"/>
      <c r="BZ3" s="4948"/>
      <c r="CA3" s="4948"/>
      <c r="CB3" s="4948"/>
      <c r="CC3" s="4949"/>
    </row>
    <row r="4" spans="1:97" ht="18">
      <c r="A4" s="1184"/>
      <c r="B4" s="4950" t="str">
        <f>'Application Setup'!B6</f>
        <v>Intensive Organic Management, Holsteins</v>
      </c>
      <c r="C4" s="4951"/>
      <c r="D4" s="4951"/>
      <c r="E4" s="4951"/>
      <c r="F4" s="4951"/>
      <c r="G4" s="4951"/>
      <c r="H4" s="4951"/>
      <c r="I4" s="4951"/>
      <c r="J4" s="4951"/>
      <c r="K4" s="4951"/>
      <c r="L4" s="4951"/>
      <c r="M4" s="4951"/>
      <c r="N4" s="4951"/>
      <c r="O4" s="4951"/>
      <c r="P4" s="4951"/>
      <c r="Q4" s="4951"/>
      <c r="R4" s="4951"/>
      <c r="S4" s="4951"/>
      <c r="T4" s="4951"/>
      <c r="U4" s="4951"/>
      <c r="V4" s="4951"/>
      <c r="W4" s="4951"/>
      <c r="X4" s="4951"/>
      <c r="Y4" s="4951"/>
      <c r="Z4" s="4951"/>
      <c r="AA4" s="4951"/>
      <c r="AB4" s="4951"/>
      <c r="AC4" s="4951"/>
      <c r="AD4" s="4951"/>
      <c r="AE4" s="4951"/>
      <c r="AF4" s="4951"/>
      <c r="AG4" s="4951"/>
      <c r="AH4" s="4951"/>
      <c r="AI4" s="4951"/>
      <c r="AJ4" s="4951"/>
      <c r="AK4" s="4951"/>
      <c r="AL4" s="4951"/>
      <c r="AM4" s="4951"/>
      <c r="AN4" s="4951"/>
      <c r="AO4" s="4952"/>
      <c r="AP4" s="4953" t="str">
        <f>'Application Setup'!B7</f>
        <v>Pasture-Based Organic, Jersey Cows</v>
      </c>
      <c r="AQ4" s="4954"/>
      <c r="AR4" s="4954"/>
      <c r="AS4" s="4954"/>
      <c r="AT4" s="4954"/>
      <c r="AU4" s="4954"/>
      <c r="AV4" s="4954"/>
      <c r="AW4" s="4954"/>
      <c r="AX4" s="4954"/>
      <c r="AY4" s="4954"/>
      <c r="AZ4" s="4954"/>
      <c r="BA4" s="4954"/>
      <c r="BB4" s="4954"/>
      <c r="BC4" s="4954"/>
      <c r="BD4" s="4954"/>
      <c r="BE4" s="4954"/>
      <c r="BF4" s="4954"/>
      <c r="BG4" s="4954"/>
      <c r="BH4" s="4954"/>
      <c r="BI4" s="4954"/>
      <c r="BJ4" s="4954"/>
      <c r="BK4" s="4954"/>
      <c r="BL4" s="4954"/>
      <c r="BM4" s="4954"/>
      <c r="BN4" s="4954"/>
      <c r="BO4" s="4954"/>
      <c r="BP4" s="4954"/>
      <c r="BQ4" s="4954"/>
      <c r="BR4" s="4954"/>
      <c r="BS4" s="4954"/>
      <c r="BT4" s="4954"/>
      <c r="BU4" s="4954"/>
      <c r="BV4" s="4954"/>
      <c r="BW4" s="4954"/>
      <c r="BX4" s="4954"/>
      <c r="BY4" s="4954"/>
      <c r="BZ4" s="4954"/>
      <c r="CA4" s="4954"/>
      <c r="CB4" s="4954"/>
      <c r="CC4" s="4955"/>
    </row>
    <row r="5" spans="1:97" s="1701" customFormat="1" ht="15.75">
      <c r="A5" s="1715"/>
      <c r="B5" s="4938" t="s">
        <v>1499</v>
      </c>
      <c r="C5" s="4939"/>
      <c r="D5" s="4939"/>
      <c r="E5" s="4939"/>
      <c r="F5" s="4939"/>
      <c r="G5" s="4939"/>
      <c r="H5" s="4939"/>
      <c r="I5" s="4940"/>
      <c r="J5" s="4941" t="s">
        <v>48</v>
      </c>
      <c r="K5" s="4939"/>
      <c r="L5" s="4939"/>
      <c r="M5" s="4939"/>
      <c r="N5" s="4939"/>
      <c r="O5" s="4939"/>
      <c r="P5" s="4939"/>
      <c r="Q5" s="4940"/>
      <c r="R5" s="4941" t="s">
        <v>51</v>
      </c>
      <c r="S5" s="4939"/>
      <c r="T5" s="4939"/>
      <c r="U5" s="4939"/>
      <c r="V5" s="4939"/>
      <c r="W5" s="4939"/>
      <c r="X5" s="4939"/>
      <c r="Y5" s="4940"/>
      <c r="Z5" s="4941" t="s">
        <v>199</v>
      </c>
      <c r="AA5" s="4939"/>
      <c r="AB5" s="4939"/>
      <c r="AC5" s="4939"/>
      <c r="AD5" s="4939"/>
      <c r="AE5" s="4939"/>
      <c r="AF5" s="4939"/>
      <c r="AG5" s="4940"/>
      <c r="AH5" s="4941" t="s">
        <v>710</v>
      </c>
      <c r="AI5" s="4939"/>
      <c r="AJ5" s="4939"/>
      <c r="AK5" s="4939"/>
      <c r="AL5" s="4939"/>
      <c r="AM5" s="4939"/>
      <c r="AN5" s="4939"/>
      <c r="AO5" s="4961"/>
      <c r="AP5" s="4962" t="s">
        <v>1499</v>
      </c>
      <c r="AQ5" s="4957"/>
      <c r="AR5" s="4957"/>
      <c r="AS5" s="4957"/>
      <c r="AT5" s="4957"/>
      <c r="AU5" s="4957"/>
      <c r="AV5" s="4957"/>
      <c r="AW5" s="4958"/>
      <c r="AX5" s="4956" t="s">
        <v>48</v>
      </c>
      <c r="AY5" s="4957"/>
      <c r="AZ5" s="4957"/>
      <c r="BA5" s="4957"/>
      <c r="BB5" s="4957"/>
      <c r="BC5" s="4957"/>
      <c r="BD5" s="4957"/>
      <c r="BE5" s="4958"/>
      <c r="BF5" s="4956" t="s">
        <v>51</v>
      </c>
      <c r="BG5" s="4957"/>
      <c r="BH5" s="4957"/>
      <c r="BI5" s="4957"/>
      <c r="BJ5" s="4957"/>
      <c r="BK5" s="4957"/>
      <c r="BL5" s="4957"/>
      <c r="BM5" s="4958"/>
      <c r="BN5" s="4956" t="s">
        <v>199</v>
      </c>
      <c r="BO5" s="4957"/>
      <c r="BP5" s="4957"/>
      <c r="BQ5" s="4957"/>
      <c r="BR5" s="4957"/>
      <c r="BS5" s="4957"/>
      <c r="BT5" s="4957"/>
      <c r="BU5" s="4958"/>
      <c r="BV5" s="4956" t="s">
        <v>710</v>
      </c>
      <c r="BW5" s="4957"/>
      <c r="BX5" s="4957"/>
      <c r="BY5" s="4957"/>
      <c r="BZ5" s="4957"/>
      <c r="CA5" s="4957"/>
      <c r="CB5" s="4957"/>
      <c r="CC5" s="4960"/>
    </row>
    <row r="6" spans="1:97" s="1717" customFormat="1" ht="45" customHeight="1">
      <c r="A6" s="3127"/>
      <c r="B6" s="4942" t="s">
        <v>524</v>
      </c>
      <c r="C6" s="4367"/>
      <c r="D6" s="4367" t="s">
        <v>523</v>
      </c>
      <c r="E6" s="4367"/>
      <c r="F6" s="4367" t="s">
        <v>525</v>
      </c>
      <c r="G6" s="4367"/>
      <c r="H6" s="4367" t="s">
        <v>526</v>
      </c>
      <c r="I6" s="4943"/>
      <c r="J6" s="4366" t="s">
        <v>524</v>
      </c>
      <c r="K6" s="4367"/>
      <c r="L6" s="4367" t="s">
        <v>523</v>
      </c>
      <c r="M6" s="4367"/>
      <c r="N6" s="4367" t="s">
        <v>525</v>
      </c>
      <c r="O6" s="4367"/>
      <c r="P6" s="4367" t="s">
        <v>526</v>
      </c>
      <c r="Q6" s="4943"/>
      <c r="R6" s="4366" t="s">
        <v>524</v>
      </c>
      <c r="S6" s="4367"/>
      <c r="T6" s="4367" t="s">
        <v>523</v>
      </c>
      <c r="U6" s="4367"/>
      <c r="V6" s="4367" t="s">
        <v>525</v>
      </c>
      <c r="W6" s="4367"/>
      <c r="X6" s="4367" t="s">
        <v>526</v>
      </c>
      <c r="Y6" s="4943"/>
      <c r="Z6" s="4366" t="s">
        <v>524</v>
      </c>
      <c r="AA6" s="4367"/>
      <c r="AB6" s="4367" t="s">
        <v>523</v>
      </c>
      <c r="AC6" s="4367"/>
      <c r="AD6" s="4367" t="s">
        <v>525</v>
      </c>
      <c r="AE6" s="4367"/>
      <c r="AF6" s="4367" t="s">
        <v>526</v>
      </c>
      <c r="AG6" s="4943"/>
      <c r="AH6" s="4366" t="s">
        <v>524</v>
      </c>
      <c r="AI6" s="4367"/>
      <c r="AJ6" s="4367" t="s">
        <v>523</v>
      </c>
      <c r="AK6" s="4367"/>
      <c r="AL6" s="4367" t="s">
        <v>525</v>
      </c>
      <c r="AM6" s="4367"/>
      <c r="AN6" s="4367" t="s">
        <v>526</v>
      </c>
      <c r="AO6" s="4368"/>
      <c r="AP6" s="4963" t="s">
        <v>524</v>
      </c>
      <c r="AQ6" s="4361"/>
      <c r="AR6" s="4361" t="s">
        <v>523</v>
      </c>
      <c r="AS6" s="4361"/>
      <c r="AT6" s="4361" t="s">
        <v>525</v>
      </c>
      <c r="AU6" s="4361"/>
      <c r="AV6" s="4361" t="s">
        <v>526</v>
      </c>
      <c r="AW6" s="4959"/>
      <c r="AX6" s="4360" t="s">
        <v>524</v>
      </c>
      <c r="AY6" s="4361"/>
      <c r="AZ6" s="4361" t="s">
        <v>523</v>
      </c>
      <c r="BA6" s="4361"/>
      <c r="BB6" s="4361" t="s">
        <v>525</v>
      </c>
      <c r="BC6" s="4361"/>
      <c r="BD6" s="4361" t="s">
        <v>526</v>
      </c>
      <c r="BE6" s="4959"/>
      <c r="BF6" s="4360" t="s">
        <v>524</v>
      </c>
      <c r="BG6" s="4361"/>
      <c r="BH6" s="4361" t="s">
        <v>523</v>
      </c>
      <c r="BI6" s="4361"/>
      <c r="BJ6" s="4361" t="s">
        <v>525</v>
      </c>
      <c r="BK6" s="4361"/>
      <c r="BL6" s="4361" t="s">
        <v>526</v>
      </c>
      <c r="BM6" s="4959"/>
      <c r="BN6" s="4360" t="s">
        <v>524</v>
      </c>
      <c r="BO6" s="4361"/>
      <c r="BP6" s="4361" t="s">
        <v>523</v>
      </c>
      <c r="BQ6" s="4361"/>
      <c r="BR6" s="4361" t="s">
        <v>525</v>
      </c>
      <c r="BS6" s="4361"/>
      <c r="BT6" s="4361" t="s">
        <v>526</v>
      </c>
      <c r="BU6" s="4959"/>
      <c r="BV6" s="4360" t="s">
        <v>524</v>
      </c>
      <c r="BW6" s="4361"/>
      <c r="BX6" s="4361" t="s">
        <v>523</v>
      </c>
      <c r="BY6" s="4361"/>
      <c r="BZ6" s="4361" t="s">
        <v>525</v>
      </c>
      <c r="CA6" s="4361"/>
      <c r="CB6" s="4361" t="s">
        <v>526</v>
      </c>
      <c r="CC6" s="4362"/>
      <c r="CD6" s="1716"/>
    </row>
    <row r="7" spans="1:97" ht="20.25" customHeight="1">
      <c r="A7" s="4031" t="s">
        <v>1478</v>
      </c>
      <c r="B7" s="4032"/>
      <c r="C7" s="4032"/>
      <c r="D7" s="4032"/>
      <c r="E7" s="4032"/>
      <c r="F7" s="4032"/>
      <c r="G7" s="4032"/>
      <c r="H7" s="4032"/>
      <c r="I7" s="4032"/>
      <c r="J7" s="4032"/>
      <c r="K7" s="4032"/>
      <c r="L7" s="4032"/>
      <c r="M7" s="4032"/>
      <c r="N7" s="4032"/>
      <c r="O7" s="4032"/>
      <c r="P7" s="4032"/>
      <c r="Q7" s="4032"/>
      <c r="R7" s="4032"/>
      <c r="S7" s="4032"/>
      <c r="T7" s="4032"/>
      <c r="U7" s="4032"/>
      <c r="V7" s="4032"/>
      <c r="W7" s="4032"/>
      <c r="X7" s="4032"/>
      <c r="Y7" s="4032"/>
      <c r="Z7" s="4032"/>
      <c r="AA7" s="4032"/>
      <c r="AB7" s="4032"/>
      <c r="AC7" s="4032"/>
      <c r="AD7" s="4032"/>
      <c r="AE7" s="4032"/>
      <c r="AF7" s="4032"/>
      <c r="AG7" s="4032"/>
      <c r="AH7" s="4032"/>
      <c r="AI7" s="4032"/>
      <c r="AJ7" s="4032"/>
      <c r="AK7" s="4032"/>
      <c r="AL7" s="4032"/>
      <c r="AM7" s="4032"/>
      <c r="AN7" s="4032"/>
      <c r="AO7" s="4032"/>
      <c r="AP7" s="4032"/>
      <c r="AQ7" s="4032"/>
      <c r="AR7" s="4032"/>
      <c r="AS7" s="4032"/>
      <c r="AT7" s="4032"/>
      <c r="AU7" s="4032"/>
      <c r="AV7" s="4032"/>
      <c r="AW7" s="4032"/>
      <c r="AX7" s="4032"/>
      <c r="AY7" s="4032"/>
      <c r="AZ7" s="4032"/>
      <c r="BA7" s="4032"/>
      <c r="BB7" s="4032"/>
      <c r="BC7" s="4032"/>
      <c r="BD7" s="4032"/>
      <c r="BE7" s="4032"/>
      <c r="BF7" s="4032"/>
      <c r="BG7" s="4032"/>
      <c r="BH7" s="4032"/>
      <c r="BI7" s="4032"/>
      <c r="BJ7" s="4032"/>
      <c r="BK7" s="4032"/>
      <c r="BL7" s="4032"/>
      <c r="BM7" s="4032"/>
      <c r="BN7" s="4032"/>
      <c r="BO7" s="4032"/>
      <c r="BP7" s="4032"/>
      <c r="BQ7" s="4032"/>
      <c r="BR7" s="4032"/>
      <c r="BS7" s="4032"/>
      <c r="BT7" s="4032"/>
      <c r="BU7" s="4032"/>
      <c r="BV7" s="4032"/>
      <c r="BW7" s="4032"/>
      <c r="BX7" s="4032"/>
      <c r="BY7" s="4032"/>
      <c r="BZ7" s="4032"/>
      <c r="CA7" s="4032"/>
      <c r="CB7" s="4032"/>
      <c r="CC7" s="4033"/>
    </row>
    <row r="8" spans="1:97" ht="14.25">
      <c r="A8" s="1224" t="s">
        <v>28</v>
      </c>
      <c r="B8" s="2954">
        <f>IFERROR('Step 10b--Required Acres'!D7/'Step 7b--Feedstuff Required'!$E8*'Step 7b--Feedstuff Required'!$Q8/'Step 7b--Feedstuff Required'!$N8,0)</f>
        <v>2.7349615779683279E-3</v>
      </c>
      <c r="C8" s="2955"/>
      <c r="D8" s="2955">
        <f>IF(Options!$AG$24=TRUE,0,B8*'Step 11b--Inputs'!$C8)</f>
        <v>0</v>
      </c>
      <c r="E8" s="2955"/>
      <c r="F8" s="2955">
        <f>IF(Options!$AG$24=TRUE,0,B8*'Step 11b--Inputs'!$F8)</f>
        <v>0</v>
      </c>
      <c r="G8" s="2955"/>
      <c r="H8" s="2955">
        <f>IF(Options!$AG$24=TRUE,0,B8*'Step 11b--Inputs'!$I8)</f>
        <v>0</v>
      </c>
      <c r="I8" s="2956"/>
      <c r="J8" s="2957">
        <f>IFERROR('Step 9b--Daily DMI Rations'!F12/'Step 7b--Feedstuff Required'!$E8*'Step 7b--Feedstuff Required'!$Q8/'Step 7b--Feedstuff Required'!$N8,0)</f>
        <v>1.7343333333333338E-3</v>
      </c>
      <c r="K8" s="2955"/>
      <c r="L8" s="2955">
        <f>IF(Options!$AG$24=TRUE,0,J8*'Step 11b--Inputs'!$C8)</f>
        <v>0</v>
      </c>
      <c r="M8" s="2955"/>
      <c r="N8" s="2955">
        <f>IF(Options!$AG$24=TRUE,0,J8*'Step 11b--Inputs'!$F8)</f>
        <v>0</v>
      </c>
      <c r="O8" s="2955"/>
      <c r="P8" s="2955">
        <f>IF(Options!$AG$24=TRUE,0,J8*'Step 11b--Inputs'!$I8)</f>
        <v>0</v>
      </c>
      <c r="Q8" s="2956"/>
      <c r="R8" s="2957">
        <f>IFERROR('Step 9b--Daily DMI Rations'!L12/'Step 7b--Feedstuff Required'!$E8*'Step 7b--Feedstuff Required'!$Q8/'Step 7b--Feedstuff Required'!$N8,0)</f>
        <v>2.6714704153525003E-4</v>
      </c>
      <c r="S8" s="2955"/>
      <c r="T8" s="2955">
        <f>IF(Options!$AG$24=TRUE,0,R8*'Step 11b--Inputs'!$C8)</f>
        <v>0</v>
      </c>
      <c r="U8" s="2955"/>
      <c r="V8" s="2955">
        <f>IF(Options!$AG$24=TRUE,0,R8*'Step 11b--Inputs'!$F8)</f>
        <v>0</v>
      </c>
      <c r="W8" s="2955"/>
      <c r="X8" s="2955">
        <f>IF(Options!$AG$24=TRUE,0,R8*'Step 11b--Inputs'!$I8)</f>
        <v>0</v>
      </c>
      <c r="Y8" s="2956"/>
      <c r="Z8" s="2957">
        <f>IFERROR('Step 9b--Daily DMI Rations'!R12/'Step 7b--Feedstuff Required'!$E8*'Step 7b--Feedstuff Required'!$Q8/'Step 7b--Feedstuff Required'!$N8,0)</f>
        <v>5.2037663105779675E-4</v>
      </c>
      <c r="AA8" s="2955"/>
      <c r="AB8" s="2955">
        <f>IF(Options!$AG$24=TRUE,0,Z8*'Step 11b--Inputs'!$C8)</f>
        <v>0</v>
      </c>
      <c r="AC8" s="2955"/>
      <c r="AD8" s="2955">
        <f>IF(Options!$AG$24=TRUE,0,Z8*'Step 11b--Inputs'!$F8)</f>
        <v>0</v>
      </c>
      <c r="AE8" s="2955"/>
      <c r="AF8" s="2955">
        <f>IF(Options!$AG$24=TRUE,0,Z8*'Step 11b--Inputs'!$I8)</f>
        <v>0</v>
      </c>
      <c r="AG8" s="2956"/>
      <c r="AH8" s="2957">
        <f>IFERROR('Step 9b--Daily DMI Rations'!X12/'Step 7b--Feedstuff Required'!$E8*'Step 7b--Feedstuff Required'!$Q8/'Step 7b--Feedstuff Required'!$N8,0)</f>
        <v>2.1310457204194776E-4</v>
      </c>
      <c r="AI8" s="2955"/>
      <c r="AJ8" s="2955">
        <f>IF(Options!$AG$24=TRUE,0,AH8*'Step 11b--Inputs'!$C8)</f>
        <v>0</v>
      </c>
      <c r="AK8" s="2955"/>
      <c r="AL8" s="2955">
        <f>IF(Options!$AG$24=TRUE,0,AH8*'Step 11b--Inputs'!$F8)</f>
        <v>0</v>
      </c>
      <c r="AM8" s="2955"/>
      <c r="AN8" s="2955">
        <f>IF(Options!$AG$24=TRUE,0,AH8*'Step 11b--Inputs'!$I8)</f>
        <v>0</v>
      </c>
      <c r="AO8" s="2958"/>
      <c r="AP8" s="2929">
        <f>IFERROR('Step 9b--Daily DMI Rations'!AB12/'Step 7b--Feedstuff Required'!$Z8*'Step 7b--Feedstuff Required'!$AL8/'Step 7b--Feedstuff Required'!$AI8,0)</f>
        <v>2.7349615779683279E-3</v>
      </c>
      <c r="AQ8" s="2930"/>
      <c r="AR8" s="2930">
        <f>IF(Options!$AH$24=TRUE,0,AP8*'Step 11b--Inputs'!$C8)</f>
        <v>0</v>
      </c>
      <c r="AS8" s="2930"/>
      <c r="AT8" s="2930">
        <f>IF(Options!$AH$24=TRUE,0,AP8*'Step 11b--Inputs'!$F8)</f>
        <v>0</v>
      </c>
      <c r="AU8" s="2930"/>
      <c r="AV8" s="2930">
        <f>IF(Options!$AH$24=TRUE,0,AP8*'Step 11b--Inputs'!$I8)</f>
        <v>0</v>
      </c>
      <c r="AW8" s="2931"/>
      <c r="AX8" s="2932">
        <f>IFERROR('Step 9b--Daily DMI Rations'!AG12/'Step 7b--Feedstuff Required'!$Z8*'Step 7b--Feedstuff Required'!$AL8/'Step 7b--Feedstuff Required'!$AI8,0)</f>
        <v>9.0152469135802466E-4</v>
      </c>
      <c r="AY8" s="2930"/>
      <c r="AZ8" s="2930">
        <f>IF(Options!$AH$24=TRUE,0,AX8*'Step 11b--Inputs'!$C8)</f>
        <v>0</v>
      </c>
      <c r="BA8" s="2930"/>
      <c r="BB8" s="2930">
        <f>IF(Options!$AH$24=TRUE,0,AX8*'Step 11b--Inputs'!$F8)</f>
        <v>0</v>
      </c>
      <c r="BC8" s="2930"/>
      <c r="BD8" s="2930">
        <f>IF(Options!$AH$24=TRUE,0,AX8*'Step 11b--Inputs'!$I8)</f>
        <v>0</v>
      </c>
      <c r="BE8" s="2931"/>
      <c r="BF8" s="2932">
        <f>IFERROR('Step 9b--Daily DMI Rations'!AM12/'Step 7b--Feedstuff Required'!$Z8*'Step 7b--Feedstuff Required'!$AL8/'Step 7b--Feedstuff Required'!$AI8,0)</f>
        <v>1.9068582904436257E-4</v>
      </c>
      <c r="BG8" s="2930"/>
      <c r="BH8" s="2930">
        <f>IF(Options!$AH$24=TRUE,0,BF8*'Step 11b--Inputs'!$C8)</f>
        <v>0</v>
      </c>
      <c r="BI8" s="2930"/>
      <c r="BJ8" s="2930">
        <f>IF(Options!$AH$24=TRUE,0,BF8*'Step 11b--Inputs'!$F8)</f>
        <v>0</v>
      </c>
      <c r="BK8" s="2930"/>
      <c r="BL8" s="2930">
        <f>IF(Options!$AH$24=TRUE,0,BF8*'Step 11b--Inputs'!$I8)</f>
        <v>0</v>
      </c>
      <c r="BM8" s="2931"/>
      <c r="BN8" s="2932">
        <f>IFERROR('Step 9b--Daily DMI Rations'!AS12/'Step 7b--Feedstuff Required'!$Z8*'Step 7b--Feedstuff Required'!$AL8/'Step 7b--Feedstuff Required'!$AI8,0)</f>
        <v>2.6838083078654999E-4</v>
      </c>
      <c r="BO8" s="2930"/>
      <c r="BP8" s="2930">
        <f>IF(Options!$AH$24=TRUE,0,BN8*'Step 11b--Inputs'!$C8)</f>
        <v>0</v>
      </c>
      <c r="BQ8" s="2930"/>
      <c r="BR8" s="2930">
        <f>IF(Options!$AH$24=TRUE,0,BN8*'Step 11b--Inputs'!$F8)</f>
        <v>0</v>
      </c>
      <c r="BS8" s="2930"/>
      <c r="BT8" s="2930">
        <f>IF(Options!$AH$24=TRUE,0,BN8*'Step 11b--Inputs'!$I8)</f>
        <v>0</v>
      </c>
      <c r="BU8" s="2931"/>
      <c r="BV8" s="2932">
        <f>IFERROR('Step 9b--Daily DMI Rations'!AY12/'Step 7b--Feedstuff Required'!$Z8*'Step 7b--Feedstuff Required'!$AL8/'Step 7b--Feedstuff Required'!$AI8,0)</f>
        <v>1.1392145876596124E-4</v>
      </c>
      <c r="BW8" s="2930"/>
      <c r="BX8" s="2930">
        <f>IF(Options!$AH$24=TRUE,0,BV8*'Step 11b--Inputs'!$C8)</f>
        <v>0</v>
      </c>
      <c r="BY8" s="2930"/>
      <c r="BZ8" s="2930">
        <f>IF(Options!$AH$24=TRUE,0,BV8*'Step 11b--Inputs'!$F8)</f>
        <v>0</v>
      </c>
      <c r="CA8" s="2930"/>
      <c r="CB8" s="2930">
        <f>IF(Options!$AH$24=TRUE,0,BV8*'Step 11b--Inputs'!$I8)</f>
        <v>0</v>
      </c>
      <c r="CC8" s="2933"/>
      <c r="CD8" s="1530"/>
    </row>
    <row r="9" spans="1:97" ht="3" customHeight="1">
      <c r="A9" s="1224"/>
      <c r="B9" s="2954"/>
      <c r="C9" s="2955"/>
      <c r="D9" s="2955"/>
      <c r="E9" s="2955"/>
      <c r="F9" s="2955"/>
      <c r="G9" s="2955"/>
      <c r="H9" s="2955"/>
      <c r="I9" s="2956"/>
      <c r="J9" s="2957"/>
      <c r="K9" s="2955"/>
      <c r="L9" s="2955"/>
      <c r="M9" s="2955"/>
      <c r="N9" s="2955"/>
      <c r="O9" s="2955"/>
      <c r="P9" s="2955"/>
      <c r="Q9" s="2956"/>
      <c r="R9" s="2957"/>
      <c r="S9" s="2955"/>
      <c r="T9" s="2955"/>
      <c r="U9" s="2955"/>
      <c r="V9" s="2955"/>
      <c r="W9" s="2955"/>
      <c r="X9" s="2955"/>
      <c r="Y9" s="2956"/>
      <c r="Z9" s="2957"/>
      <c r="AA9" s="2955"/>
      <c r="AB9" s="2955"/>
      <c r="AC9" s="2955"/>
      <c r="AD9" s="2955"/>
      <c r="AE9" s="2955"/>
      <c r="AF9" s="2955"/>
      <c r="AG9" s="2956"/>
      <c r="AH9" s="2957"/>
      <c r="AI9" s="2955"/>
      <c r="AJ9" s="2955"/>
      <c r="AK9" s="2955"/>
      <c r="AL9" s="2955"/>
      <c r="AM9" s="2955"/>
      <c r="AN9" s="2955"/>
      <c r="AO9" s="2958"/>
      <c r="AP9" s="2929"/>
      <c r="AQ9" s="2930"/>
      <c r="AR9" s="2930"/>
      <c r="AS9" s="2930"/>
      <c r="AT9" s="2930"/>
      <c r="AU9" s="2930"/>
      <c r="AV9" s="2930"/>
      <c r="AW9" s="2931"/>
      <c r="AX9" s="2932"/>
      <c r="AY9" s="2930"/>
      <c r="AZ9" s="2930"/>
      <c r="BA9" s="2930"/>
      <c r="BB9" s="2930"/>
      <c r="BC9" s="2930"/>
      <c r="BD9" s="2930"/>
      <c r="BE9" s="2931"/>
      <c r="BF9" s="2932"/>
      <c r="BG9" s="2930"/>
      <c r="BH9" s="2930"/>
      <c r="BI9" s="2930"/>
      <c r="BJ9" s="2930"/>
      <c r="BK9" s="2930"/>
      <c r="BL9" s="2930"/>
      <c r="BM9" s="2931"/>
      <c r="BN9" s="2932"/>
      <c r="BO9" s="2930"/>
      <c r="BP9" s="2930"/>
      <c r="BQ9" s="2930"/>
      <c r="BR9" s="2930"/>
      <c r="BS9" s="2930"/>
      <c r="BT9" s="2930"/>
      <c r="BU9" s="2931"/>
      <c r="BV9" s="2932"/>
      <c r="BW9" s="2930"/>
      <c r="BX9" s="2930"/>
      <c r="BY9" s="2930"/>
      <c r="BZ9" s="2930"/>
      <c r="CA9" s="2930"/>
      <c r="CB9" s="2930"/>
      <c r="CC9" s="2933"/>
      <c r="CD9" s="40"/>
    </row>
    <row r="10" spans="1:97" ht="14.25">
      <c r="A10" s="1224" t="s">
        <v>29</v>
      </c>
      <c r="B10" s="2954">
        <f>IFERROR('Step 10b--Required Acres'!D9/'Step 7b--Feedstuff Required'!$E10*'Step 7b--Feedstuff Required'!$Q10/'Step 7b--Feedstuff Required'!$N10,0)</f>
        <v>1.0199062499999998E-3</v>
      </c>
      <c r="C10" s="2955"/>
      <c r="D10" s="2955">
        <f>IF(Options!$AG$24=TRUE,0,B10*'Step 11b--Inputs'!$C10)</f>
        <v>0</v>
      </c>
      <c r="E10" s="2955"/>
      <c r="F10" s="2955">
        <f>IF(Options!$AG$24=TRUE,0,B10*'Step 11b--Inputs'!$F10)</f>
        <v>0</v>
      </c>
      <c r="G10" s="2955"/>
      <c r="H10" s="2955">
        <f>IF(Options!$AG$24=TRUE,0,B10*'Step 11b--Inputs'!$I10)</f>
        <v>0</v>
      </c>
      <c r="I10" s="2956"/>
      <c r="J10" s="2957">
        <f>IFERROR('Step 9b--Daily DMI Rations'!F14/'Step 7b--Feedstuff Required'!$E10*'Step 7b--Feedstuff Required'!$Q10/'Step 7b--Feedstuff Required'!$N10,0)</f>
        <v>1.0199062499999998E-3</v>
      </c>
      <c r="K10" s="2955"/>
      <c r="L10" s="2955">
        <f>IF(Options!$AG$24=TRUE,0,J10*'Step 11b--Inputs'!$C10)</f>
        <v>0</v>
      </c>
      <c r="M10" s="2955"/>
      <c r="N10" s="2955">
        <f>IF(Options!$AG$24=TRUE,0,J10*'Step 11b--Inputs'!$F10)</f>
        <v>0</v>
      </c>
      <c r="O10" s="2955"/>
      <c r="P10" s="2955">
        <f>IF(Options!$AG$24=TRUE,0,J10*'Step 11b--Inputs'!$I10)</f>
        <v>0</v>
      </c>
      <c r="Q10" s="2956"/>
      <c r="R10" s="2957">
        <f>IFERROR('Step 9b--Daily DMI Rations'!L14/'Step 7b--Feedstuff Required'!$E10*'Step 7b--Feedstuff Required'!$Q10/'Step 7b--Feedstuff Required'!$N10,0)</f>
        <v>0</v>
      </c>
      <c r="S10" s="2955"/>
      <c r="T10" s="2955">
        <f>IF(Options!$AG$24=TRUE,0,R10*'Step 11b--Inputs'!$C10)</f>
        <v>0</v>
      </c>
      <c r="U10" s="2955"/>
      <c r="V10" s="2955">
        <f>IF(Options!$AG$24=TRUE,0,R10*'Step 11b--Inputs'!$F10)</f>
        <v>0</v>
      </c>
      <c r="W10" s="2955"/>
      <c r="X10" s="2955">
        <f>IF(Options!$AG$24=TRUE,0,R10*'Step 11b--Inputs'!$I10)</f>
        <v>0</v>
      </c>
      <c r="Y10" s="2956"/>
      <c r="Z10" s="2957">
        <f>IFERROR('Step 9b--Daily DMI Rations'!R14/'Step 7b--Feedstuff Required'!$E10*'Step 7b--Feedstuff Required'!$Q10/'Step 7b--Feedstuff Required'!$N10,0)</f>
        <v>0</v>
      </c>
      <c r="AA10" s="2955"/>
      <c r="AB10" s="2955">
        <f>IF(Options!$AG$24=TRUE,0,Z10*'Step 11b--Inputs'!$C10)</f>
        <v>0</v>
      </c>
      <c r="AC10" s="2955"/>
      <c r="AD10" s="2955">
        <f>IF(Options!$AG$24=TRUE,0,Z10*'Step 11b--Inputs'!$F10)</f>
        <v>0</v>
      </c>
      <c r="AE10" s="2955"/>
      <c r="AF10" s="2955">
        <f>IF(Options!$AG$24=TRUE,0,Z10*'Step 11b--Inputs'!$I10)</f>
        <v>0</v>
      </c>
      <c r="AG10" s="2956"/>
      <c r="AH10" s="2957">
        <f>IFERROR('Step 9b--Daily DMI Rations'!X14/'Step 7b--Feedstuff Required'!$E10*'Step 7b--Feedstuff Required'!$Q10/'Step 7b--Feedstuff Required'!$N10,0)</f>
        <v>0</v>
      </c>
      <c r="AI10" s="2955"/>
      <c r="AJ10" s="2955">
        <f>IF(Options!$AG$24=TRUE,0,AH10*'Step 11b--Inputs'!$C10)</f>
        <v>0</v>
      </c>
      <c r="AK10" s="2955"/>
      <c r="AL10" s="2955">
        <f>IF(Options!$AG$24=TRUE,0,AH10*'Step 11b--Inputs'!$F10)</f>
        <v>0</v>
      </c>
      <c r="AM10" s="2955"/>
      <c r="AN10" s="2955">
        <f>IF(Options!$AG$24=TRUE,0,AH10*'Step 11b--Inputs'!$I10)</f>
        <v>0</v>
      </c>
      <c r="AO10" s="2958"/>
      <c r="AP10" s="2929">
        <f>IFERROR('Step 9b--Daily DMI Rations'!AB14/'Step 7b--Feedstuff Required'!$Z10*'Step 7b--Feedstuff Required'!$AL10/'Step 7b--Feedstuff Required'!$AI10,0)</f>
        <v>1.0199062499999998E-3</v>
      </c>
      <c r="AQ10" s="2930"/>
      <c r="AR10" s="2930">
        <f>IF(Options!$AH$24=TRUE,0,AP10*'Step 11b--Inputs'!$C10)</f>
        <v>0</v>
      </c>
      <c r="AS10" s="2930"/>
      <c r="AT10" s="2930">
        <f>IF(Options!$AH$24=TRUE,0,AP10*'Step 11b--Inputs'!$F10)</f>
        <v>0</v>
      </c>
      <c r="AU10" s="2930"/>
      <c r="AV10" s="2930">
        <f>IF(Options!$AH$24=TRUE,0,AP10*'Step 11b--Inputs'!$I10)</f>
        <v>0</v>
      </c>
      <c r="AW10" s="2931"/>
      <c r="AX10" s="2932">
        <f>IFERROR('Step 9b--Daily DMI Rations'!AG14/'Step 7b--Feedstuff Required'!$Z10*'Step 7b--Feedstuff Required'!$AL10/'Step 7b--Feedstuff Required'!$AI10,0)</f>
        <v>1.4314265624999997E-3</v>
      </c>
      <c r="AY10" s="2930"/>
      <c r="AZ10" s="2930">
        <f>IF(Options!$AH$24=TRUE,0,AX10*'Step 11b--Inputs'!$C10)</f>
        <v>0</v>
      </c>
      <c r="BA10" s="2930"/>
      <c r="BB10" s="2930">
        <f>IF(Options!$AH$24=TRUE,0,AX10*'Step 11b--Inputs'!$F10)</f>
        <v>0</v>
      </c>
      <c r="BC10" s="2930"/>
      <c r="BD10" s="2930">
        <f>IF(Options!$AH$24=TRUE,0,AX10*'Step 11b--Inputs'!$I10)</f>
        <v>0</v>
      </c>
      <c r="BE10" s="2931"/>
      <c r="BF10" s="2932">
        <f>IFERROR('Step 9b--Daily DMI Rations'!AM14/'Step 7b--Feedstuff Required'!$Z10*'Step 7b--Feedstuff Required'!$AL10/'Step 7b--Feedstuff Required'!$AI10,0)</f>
        <v>0</v>
      </c>
      <c r="BG10" s="2930"/>
      <c r="BH10" s="2930">
        <f>IF(Options!$AH$24=TRUE,0,BF10*'Step 11b--Inputs'!$C10)</f>
        <v>0</v>
      </c>
      <c r="BI10" s="2930"/>
      <c r="BJ10" s="2930">
        <f>IF(Options!$AH$24=TRUE,0,BF10*'Step 11b--Inputs'!$F10)</f>
        <v>0</v>
      </c>
      <c r="BK10" s="2930"/>
      <c r="BL10" s="2930">
        <f>IF(Options!$AH$24=TRUE,0,BF10*'Step 11b--Inputs'!$I10)</f>
        <v>0</v>
      </c>
      <c r="BM10" s="2931"/>
      <c r="BN10" s="2932">
        <f>IFERROR('Step 9b--Daily DMI Rations'!AS14/'Step 7b--Feedstuff Required'!$Z10*'Step 7b--Feedstuff Required'!$AL10/'Step 7b--Feedstuff Required'!$AI10,0)</f>
        <v>0</v>
      </c>
      <c r="BO10" s="2930"/>
      <c r="BP10" s="2930">
        <f>IF(Options!$AH$24=TRUE,0,BN10*'Step 11b--Inputs'!$C10)</f>
        <v>0</v>
      </c>
      <c r="BQ10" s="2930"/>
      <c r="BR10" s="2930">
        <f>IF(Options!$AH$24=TRUE,0,BN10*'Step 11b--Inputs'!$F10)</f>
        <v>0</v>
      </c>
      <c r="BS10" s="2930"/>
      <c r="BT10" s="2930">
        <f>IF(Options!$AH$24=TRUE,0,BN10*'Step 11b--Inputs'!$I10)</f>
        <v>0</v>
      </c>
      <c r="BU10" s="2931"/>
      <c r="BV10" s="2932">
        <f>IFERROR('Step 9b--Daily DMI Rations'!AY14/'Step 7b--Feedstuff Required'!$Z10*'Step 7b--Feedstuff Required'!$AL10/'Step 7b--Feedstuff Required'!$AI10,0)</f>
        <v>0</v>
      </c>
      <c r="BW10" s="2930"/>
      <c r="BX10" s="2930">
        <f>IF(Options!$AH$24=TRUE,0,BV10*'Step 11b--Inputs'!$C10)</f>
        <v>0</v>
      </c>
      <c r="BY10" s="2930"/>
      <c r="BZ10" s="2930">
        <f>IF(Options!$AH$24=TRUE,0,BV10*'Step 11b--Inputs'!$F10)</f>
        <v>0</v>
      </c>
      <c r="CA10" s="2930"/>
      <c r="CB10" s="2930">
        <f>IF(Options!$AH$24=TRUE,0,BV10*'Step 11b--Inputs'!$I10)</f>
        <v>0</v>
      </c>
      <c r="CC10" s="2933"/>
      <c r="CD10" s="40"/>
    </row>
    <row r="11" spans="1:97" ht="3" customHeight="1">
      <c r="A11" s="1224"/>
      <c r="B11" s="2954"/>
      <c r="C11" s="2955"/>
      <c r="D11" s="2955"/>
      <c r="E11" s="2955"/>
      <c r="F11" s="2955"/>
      <c r="G11" s="2955"/>
      <c r="H11" s="2955"/>
      <c r="I11" s="2956"/>
      <c r="J11" s="2957"/>
      <c r="K11" s="2955"/>
      <c r="L11" s="2955"/>
      <c r="M11" s="2955"/>
      <c r="N11" s="2955"/>
      <c r="O11" s="2955"/>
      <c r="P11" s="2955"/>
      <c r="Q11" s="2956"/>
      <c r="R11" s="2957"/>
      <c r="S11" s="2955"/>
      <c r="T11" s="2955"/>
      <c r="U11" s="2955"/>
      <c r="V11" s="2955"/>
      <c r="W11" s="2955"/>
      <c r="X11" s="2955"/>
      <c r="Y11" s="2956"/>
      <c r="Z11" s="2957"/>
      <c r="AA11" s="2955"/>
      <c r="AB11" s="2955"/>
      <c r="AC11" s="2955"/>
      <c r="AD11" s="2955"/>
      <c r="AE11" s="2955"/>
      <c r="AF11" s="2955"/>
      <c r="AG11" s="2956"/>
      <c r="AH11" s="2957"/>
      <c r="AI11" s="2955"/>
      <c r="AJ11" s="2955"/>
      <c r="AK11" s="2955"/>
      <c r="AL11" s="2955"/>
      <c r="AM11" s="2955"/>
      <c r="AN11" s="2955"/>
      <c r="AO11" s="2958"/>
      <c r="AP11" s="2929"/>
      <c r="AQ11" s="2930"/>
      <c r="AR11" s="2930"/>
      <c r="AS11" s="2930"/>
      <c r="AT11" s="2930"/>
      <c r="AU11" s="2930"/>
      <c r="AV11" s="2930"/>
      <c r="AW11" s="2931"/>
      <c r="AX11" s="2932"/>
      <c r="AY11" s="2930"/>
      <c r="AZ11" s="2930"/>
      <c r="BA11" s="2930"/>
      <c r="BB11" s="2930"/>
      <c r="BC11" s="2930"/>
      <c r="BD11" s="2930"/>
      <c r="BE11" s="2931"/>
      <c r="BF11" s="2932"/>
      <c r="BG11" s="2930"/>
      <c r="BH11" s="2930"/>
      <c r="BI11" s="2930"/>
      <c r="BJ11" s="2930"/>
      <c r="BK11" s="2930"/>
      <c r="BL11" s="2930"/>
      <c r="BM11" s="2931"/>
      <c r="BN11" s="2932"/>
      <c r="BO11" s="2930"/>
      <c r="BP11" s="2930"/>
      <c r="BQ11" s="2930"/>
      <c r="BR11" s="2930"/>
      <c r="BS11" s="2930"/>
      <c r="BT11" s="2930"/>
      <c r="BU11" s="2931"/>
      <c r="BV11" s="2932"/>
      <c r="BW11" s="2930"/>
      <c r="BX11" s="2930"/>
      <c r="BY11" s="2930"/>
      <c r="BZ11" s="2930"/>
      <c r="CA11" s="2930"/>
      <c r="CB11" s="2930"/>
      <c r="CC11" s="2933"/>
      <c r="CD11" s="40"/>
    </row>
    <row r="12" spans="1:97" ht="14.25">
      <c r="A12" s="1224" t="s">
        <v>3</v>
      </c>
      <c r="B12" s="2954">
        <f>IFERROR('Step 10b--Required Acres'!D11/'Step 7b--Feedstuff Required'!$E12*'Step 7b--Feedstuff Required'!$Q12/'Step 7b--Feedstuff Required'!$N12,0)</f>
        <v>3.5871657754010686E-4</v>
      </c>
      <c r="C12" s="2955"/>
      <c r="D12" s="2955">
        <f>IF(Options!$AG$24=TRUE,0,B12*'Step 11b--Inputs'!$C12)</f>
        <v>0</v>
      </c>
      <c r="E12" s="2955"/>
      <c r="F12" s="2955">
        <f>IF(Options!$AG$24=TRUE,0,B12*'Step 11b--Inputs'!$F12)</f>
        <v>0</v>
      </c>
      <c r="G12" s="2955"/>
      <c r="H12" s="2955">
        <f>IF(Options!$AG$24=TRUE,0,B12*'Step 11b--Inputs'!$I12)</f>
        <v>0</v>
      </c>
      <c r="I12" s="2956"/>
      <c r="J12" s="2957">
        <f>IFERROR('Step 9b--Daily DMI Rations'!F16/'Step 7b--Feedstuff Required'!$E12*'Step 7b--Feedstuff Required'!$Q12/'Step 7b--Feedstuff Required'!$N12,0)</f>
        <v>3.5871657754010686E-4</v>
      </c>
      <c r="K12" s="2955"/>
      <c r="L12" s="2955">
        <f>IF(Options!$AG$24=TRUE,0,J12*'Step 11b--Inputs'!$C12)</f>
        <v>0</v>
      </c>
      <c r="M12" s="2955"/>
      <c r="N12" s="2955">
        <f>IF(Options!$AG$24=TRUE,0,J12*'Step 11b--Inputs'!$F12)</f>
        <v>0</v>
      </c>
      <c r="O12" s="2955"/>
      <c r="P12" s="2955">
        <f>IF(Options!$AG$24=TRUE,0,J12*'Step 11b--Inputs'!$I12)</f>
        <v>0</v>
      </c>
      <c r="Q12" s="2956"/>
      <c r="R12" s="2957">
        <f>IFERROR('Step 9b--Daily DMI Rations'!L16/'Step 7b--Feedstuff Required'!$E12*'Step 7b--Feedstuff Required'!$Q12/'Step 7b--Feedstuff Required'!$N12,0)</f>
        <v>0</v>
      </c>
      <c r="S12" s="2955"/>
      <c r="T12" s="2955">
        <f>IF(Options!$AG$24=TRUE,0,R12*'Step 11b--Inputs'!$C12)</f>
        <v>0</v>
      </c>
      <c r="U12" s="2955"/>
      <c r="V12" s="2955">
        <f>IF(Options!$AG$24=TRUE,0,R12*'Step 11b--Inputs'!$F12)</f>
        <v>0</v>
      </c>
      <c r="W12" s="2955"/>
      <c r="X12" s="2955">
        <f>IF(Options!$AG$24=TRUE,0,R12*'Step 11b--Inputs'!$I12)</f>
        <v>0</v>
      </c>
      <c r="Y12" s="2956"/>
      <c r="Z12" s="2957">
        <f>IFERROR('Step 9b--Daily DMI Rations'!R16/'Step 7b--Feedstuff Required'!$E12*'Step 7b--Feedstuff Required'!$Q12/'Step 7b--Feedstuff Required'!$N12,0)</f>
        <v>0</v>
      </c>
      <c r="AA12" s="2955"/>
      <c r="AB12" s="2955">
        <f>IF(Options!$AG$24=TRUE,0,Z12*'Step 11b--Inputs'!$C12)</f>
        <v>0</v>
      </c>
      <c r="AC12" s="2955"/>
      <c r="AD12" s="2955">
        <f>IF(Options!$AG$24=TRUE,0,Z12*'Step 11b--Inputs'!$F12)</f>
        <v>0</v>
      </c>
      <c r="AE12" s="2955"/>
      <c r="AF12" s="2955">
        <f>IF(Options!$AG$24=TRUE,0,Z12*'Step 11b--Inputs'!$I12)</f>
        <v>0</v>
      </c>
      <c r="AG12" s="2956"/>
      <c r="AH12" s="2957">
        <f>IFERROR('Step 9b--Daily DMI Rations'!X16/'Step 7b--Feedstuff Required'!$E12*'Step 7b--Feedstuff Required'!$Q12/'Step 7b--Feedstuff Required'!$N12,0)</f>
        <v>0</v>
      </c>
      <c r="AI12" s="2955"/>
      <c r="AJ12" s="2955">
        <f>IF(Options!$AG$24=TRUE,0,AH12*'Step 11b--Inputs'!$C12)</f>
        <v>0</v>
      </c>
      <c r="AK12" s="2955"/>
      <c r="AL12" s="2955">
        <f>IF(Options!$AG$24=TRUE,0,AH12*'Step 11b--Inputs'!$F12)</f>
        <v>0</v>
      </c>
      <c r="AM12" s="2955"/>
      <c r="AN12" s="2955">
        <f>IF(Options!$AG$24=TRUE,0,AH12*'Step 11b--Inputs'!$I12)</f>
        <v>0</v>
      </c>
      <c r="AO12" s="2958"/>
      <c r="AP12" s="2929">
        <f>IFERROR('Step 9b--Daily DMI Rations'!AB16/'Step 7b--Feedstuff Required'!$Z12*'Step 7b--Feedstuff Required'!$AL12/'Step 7b--Feedstuff Required'!$AI12,0)</f>
        <v>3.5871657754010686E-4</v>
      </c>
      <c r="AQ12" s="2930"/>
      <c r="AR12" s="2930">
        <f>IF(Options!$AH$24=TRUE,0,AP12*'Step 11b--Inputs'!$C12)</f>
        <v>0</v>
      </c>
      <c r="AS12" s="2930"/>
      <c r="AT12" s="2930">
        <f>IF(Options!$AH$24=TRUE,0,AP12*'Step 11b--Inputs'!$F12)</f>
        <v>0</v>
      </c>
      <c r="AU12" s="2930"/>
      <c r="AV12" s="2930">
        <f>IF(Options!$AH$24=TRUE,0,AP12*'Step 11b--Inputs'!$I12)</f>
        <v>0</v>
      </c>
      <c r="AW12" s="2931"/>
      <c r="AX12" s="2932">
        <f>IFERROR('Step 9b--Daily DMI Rations'!AG16/'Step 7b--Feedstuff Required'!$Z12*'Step 7b--Feedstuff Required'!$AL12/'Step 7b--Feedstuff Required'!$AI12,0)</f>
        <v>1.8509358288770051E-4</v>
      </c>
      <c r="AY12" s="2930"/>
      <c r="AZ12" s="2930">
        <f>IF(Options!$AH$24=TRUE,0,AX12*'Step 11b--Inputs'!$C12)</f>
        <v>0</v>
      </c>
      <c r="BA12" s="2930"/>
      <c r="BB12" s="2930">
        <f>IF(Options!$AH$24=TRUE,0,AX12*'Step 11b--Inputs'!$F12)</f>
        <v>0</v>
      </c>
      <c r="BC12" s="2930"/>
      <c r="BD12" s="2930">
        <f>IF(Options!$AH$24=TRUE,0,AX12*'Step 11b--Inputs'!$I12)</f>
        <v>0</v>
      </c>
      <c r="BE12" s="2931"/>
      <c r="BF12" s="2932">
        <f>IFERROR('Step 9b--Daily DMI Rations'!AM16/'Step 7b--Feedstuff Required'!$Z12*'Step 7b--Feedstuff Required'!$AL12/'Step 7b--Feedstuff Required'!$AI12,0)</f>
        <v>0</v>
      </c>
      <c r="BG12" s="2930"/>
      <c r="BH12" s="2930">
        <f>IF(Options!$AH$24=TRUE,0,BF12*'Step 11b--Inputs'!$C12)</f>
        <v>0</v>
      </c>
      <c r="BI12" s="2930"/>
      <c r="BJ12" s="2930">
        <f>IF(Options!$AH$24=TRUE,0,BF12*'Step 11b--Inputs'!$F12)</f>
        <v>0</v>
      </c>
      <c r="BK12" s="2930"/>
      <c r="BL12" s="2930">
        <f>IF(Options!$AH$24=TRUE,0,BF12*'Step 11b--Inputs'!$I12)</f>
        <v>0</v>
      </c>
      <c r="BM12" s="2931"/>
      <c r="BN12" s="2932">
        <f>IFERROR('Step 9b--Daily DMI Rations'!AS16/'Step 7b--Feedstuff Required'!$Z12*'Step 7b--Feedstuff Required'!$AL12/'Step 7b--Feedstuff Required'!$AI12,0)</f>
        <v>0</v>
      </c>
      <c r="BO12" s="2930"/>
      <c r="BP12" s="2930">
        <f>IF(Options!$AH$24=TRUE,0,BN12*'Step 11b--Inputs'!$C12)</f>
        <v>0</v>
      </c>
      <c r="BQ12" s="2930"/>
      <c r="BR12" s="2930">
        <f>IF(Options!$AH$24=TRUE,0,BN12*'Step 11b--Inputs'!$F12)</f>
        <v>0</v>
      </c>
      <c r="BS12" s="2930"/>
      <c r="BT12" s="2930">
        <f>IF(Options!$AH$24=TRUE,0,BN12*'Step 11b--Inputs'!$I12)</f>
        <v>0</v>
      </c>
      <c r="BU12" s="2931"/>
      <c r="BV12" s="2932">
        <f>IFERROR('Step 9b--Daily DMI Rations'!AY16/'Step 7b--Feedstuff Required'!$Z12*'Step 7b--Feedstuff Required'!$AL12/'Step 7b--Feedstuff Required'!$AI12,0)</f>
        <v>0</v>
      </c>
      <c r="BW12" s="2930"/>
      <c r="BX12" s="2930">
        <f>IF(Options!$AH$24=TRUE,0,BV12*'Step 11b--Inputs'!$C12)</f>
        <v>0</v>
      </c>
      <c r="BY12" s="2930"/>
      <c r="BZ12" s="2930">
        <f>IF(Options!$AH$24=TRUE,0,BV12*'Step 11b--Inputs'!$F12)</f>
        <v>0</v>
      </c>
      <c r="CA12" s="2930"/>
      <c r="CB12" s="2930">
        <f>IF(Options!$AH$24=TRUE,0,BV12*'Step 11b--Inputs'!$I12)</f>
        <v>0</v>
      </c>
      <c r="CC12" s="2933"/>
      <c r="CD12" s="40"/>
    </row>
    <row r="13" spans="1:97" ht="3" customHeight="1">
      <c r="A13" s="1224"/>
      <c r="B13" s="2954"/>
      <c r="C13" s="2955"/>
      <c r="D13" s="2955"/>
      <c r="E13" s="2955"/>
      <c r="F13" s="2955"/>
      <c r="G13" s="2955"/>
      <c r="H13" s="2955"/>
      <c r="I13" s="2956"/>
      <c r="J13" s="2957"/>
      <c r="K13" s="2955"/>
      <c r="L13" s="2955"/>
      <c r="M13" s="2955"/>
      <c r="N13" s="2955"/>
      <c r="O13" s="2955"/>
      <c r="P13" s="2955"/>
      <c r="Q13" s="2956"/>
      <c r="R13" s="2957"/>
      <c r="S13" s="2955"/>
      <c r="T13" s="2955"/>
      <c r="U13" s="2955"/>
      <c r="V13" s="2955"/>
      <c r="W13" s="2955"/>
      <c r="X13" s="2955"/>
      <c r="Y13" s="2956"/>
      <c r="Z13" s="2957"/>
      <c r="AA13" s="2955"/>
      <c r="AB13" s="2955"/>
      <c r="AC13" s="2955"/>
      <c r="AD13" s="2955"/>
      <c r="AE13" s="2955"/>
      <c r="AF13" s="2955"/>
      <c r="AG13" s="2956"/>
      <c r="AH13" s="2957"/>
      <c r="AI13" s="2955"/>
      <c r="AJ13" s="2955"/>
      <c r="AK13" s="2955"/>
      <c r="AL13" s="2955"/>
      <c r="AM13" s="2955"/>
      <c r="AN13" s="2955"/>
      <c r="AO13" s="2958"/>
      <c r="AP13" s="2929"/>
      <c r="AQ13" s="2930"/>
      <c r="AR13" s="2930"/>
      <c r="AS13" s="2930"/>
      <c r="AT13" s="2930"/>
      <c r="AU13" s="2930"/>
      <c r="AV13" s="2930"/>
      <c r="AW13" s="2931"/>
      <c r="AX13" s="2932"/>
      <c r="AY13" s="2930"/>
      <c r="AZ13" s="2930"/>
      <c r="BA13" s="2930"/>
      <c r="BB13" s="2930"/>
      <c r="BC13" s="2930"/>
      <c r="BD13" s="2930"/>
      <c r="BE13" s="2931"/>
      <c r="BF13" s="2932"/>
      <c r="BG13" s="2930"/>
      <c r="BH13" s="2930"/>
      <c r="BI13" s="2930"/>
      <c r="BJ13" s="2930"/>
      <c r="BK13" s="2930"/>
      <c r="BL13" s="2930"/>
      <c r="BM13" s="2931"/>
      <c r="BN13" s="2932"/>
      <c r="BO13" s="2930"/>
      <c r="BP13" s="2930"/>
      <c r="BQ13" s="2930"/>
      <c r="BR13" s="2930"/>
      <c r="BS13" s="2930"/>
      <c r="BT13" s="2930"/>
      <c r="BU13" s="2931"/>
      <c r="BV13" s="2932"/>
      <c r="BW13" s="2930"/>
      <c r="BX13" s="2930"/>
      <c r="BY13" s="2930"/>
      <c r="BZ13" s="2930"/>
      <c r="CA13" s="2930"/>
      <c r="CB13" s="2930"/>
      <c r="CC13" s="2933"/>
      <c r="CD13" s="40"/>
    </row>
    <row r="14" spans="1:97" ht="14.25">
      <c r="A14" s="1224" t="s">
        <v>30</v>
      </c>
      <c r="B14" s="2954">
        <f>IFERROR('Step 10b--Required Acres'!D13/'Step 7b--Feedstuff Required'!$E14*'Step 7b--Feedstuff Required'!$Q14/'Step 7b--Feedstuff Required'!$N14,0)</f>
        <v>1.2210975249005622E-3</v>
      </c>
      <c r="C14" s="2955"/>
      <c r="D14" s="2955">
        <f>IF(Options!$AG$24=TRUE,0,B14*'Step 11b--Inputs'!$C14)</f>
        <v>0</v>
      </c>
      <c r="E14" s="2955"/>
      <c r="F14" s="2955">
        <f>IF(Options!$AG$24=TRUE,0,B14*'Step 11b--Inputs'!$F14)</f>
        <v>0</v>
      </c>
      <c r="G14" s="2955"/>
      <c r="H14" s="2955">
        <f>IF(Options!$AG$24=TRUE,0,B14*'Step 11b--Inputs'!$I14)</f>
        <v>0</v>
      </c>
      <c r="I14" s="2956"/>
      <c r="J14" s="2957">
        <f>IFERROR('Step 9b--Daily DMI Rations'!F18/'Step 7b--Feedstuff Required'!$E14*'Step 7b--Feedstuff Required'!$Q14/'Step 7b--Feedstuff Required'!$N14,0)</f>
        <v>7.7081481481481489E-4</v>
      </c>
      <c r="K14" s="2955"/>
      <c r="L14" s="2955">
        <f>IF(Options!$AG$24=TRUE,0,J14*'Step 11b--Inputs'!$C14)</f>
        <v>0</v>
      </c>
      <c r="M14" s="2955"/>
      <c r="N14" s="2955">
        <f>IF(Options!$AG$24=TRUE,0,J14*'Step 11b--Inputs'!$F14)</f>
        <v>0</v>
      </c>
      <c r="O14" s="2955"/>
      <c r="P14" s="2955">
        <f>IF(Options!$AG$24=TRUE,0,J14*'Step 11b--Inputs'!$I14)</f>
        <v>0</v>
      </c>
      <c r="Q14" s="2956"/>
      <c r="R14" s="2957">
        <f>IFERROR('Step 9b--Daily DMI Rations'!L18/'Step 7b--Feedstuff Required'!$E14*'Step 7b--Feedstuff Required'!$Q14/'Step 7b--Feedstuff Required'!$N14,0)</f>
        <v>1.202161686908625E-4</v>
      </c>
      <c r="S14" s="2955"/>
      <c r="T14" s="2955">
        <f>IF(Options!$AG$24=TRUE,0,R14*'Step 11b--Inputs'!$C14)</f>
        <v>0</v>
      </c>
      <c r="U14" s="2955"/>
      <c r="V14" s="2955">
        <f>IF(Options!$AG$24=TRUE,0,R14*'Step 11b--Inputs'!$F14)</f>
        <v>0</v>
      </c>
      <c r="W14" s="2955"/>
      <c r="X14" s="2955">
        <f>IF(Options!$AG$24=TRUE,0,R14*'Step 11b--Inputs'!$I14)</f>
        <v>0</v>
      </c>
      <c r="Y14" s="2956"/>
      <c r="Z14" s="2957">
        <f>IFERROR('Step 9b--Daily DMI Rations'!R18/'Step 7b--Feedstuff Required'!$E14*'Step 7b--Feedstuff Required'!$Q14/'Step 7b--Feedstuff Required'!$N14,0)</f>
        <v>2.3416948397600852E-4</v>
      </c>
      <c r="AA14" s="2955"/>
      <c r="AB14" s="2955">
        <f>IF(Options!$AG$24=TRUE,0,Z14*'Step 11b--Inputs'!$C14)</f>
        <v>0</v>
      </c>
      <c r="AC14" s="2955"/>
      <c r="AD14" s="2955">
        <f>IF(Options!$AG$24=TRUE,0,Z14*'Step 11b--Inputs'!$F14)</f>
        <v>0</v>
      </c>
      <c r="AE14" s="2955"/>
      <c r="AF14" s="2955">
        <f>IF(Options!$AG$24=TRUE,0,Z14*'Step 11b--Inputs'!$I14)</f>
        <v>0</v>
      </c>
      <c r="AG14" s="2956"/>
      <c r="AH14" s="2957">
        <f>IFERROR('Step 9b--Daily DMI Rations'!X18/'Step 7b--Feedstuff Required'!$E14*'Step 7b--Feedstuff Required'!$Q14/'Step 7b--Feedstuff Required'!$N14,0)</f>
        <v>9.5897057418876477E-5</v>
      </c>
      <c r="AI14" s="2955"/>
      <c r="AJ14" s="2955">
        <f>IF(Options!$AG$24=TRUE,0,AH14*'Step 11b--Inputs'!$C14)</f>
        <v>0</v>
      </c>
      <c r="AK14" s="2955"/>
      <c r="AL14" s="2955">
        <f>IF(Options!$AG$24=TRUE,0,AH14*'Step 11b--Inputs'!$F14)</f>
        <v>0</v>
      </c>
      <c r="AM14" s="2955"/>
      <c r="AN14" s="2955">
        <f>IF(Options!$AG$24=TRUE,0,AH14*'Step 11b--Inputs'!$I14)</f>
        <v>0</v>
      </c>
      <c r="AO14" s="2958"/>
      <c r="AP14" s="2929">
        <f>IFERROR('Step 9b--Daily DMI Rations'!AB18/'Step 7b--Feedstuff Required'!$Z14*'Step 7b--Feedstuff Required'!$AL14/'Step 7b--Feedstuff Required'!$AI14,0)</f>
        <v>1.2210975249005622E-3</v>
      </c>
      <c r="AQ14" s="2930"/>
      <c r="AR14" s="2930">
        <f>IF(Options!$AH$24=TRUE,0,AP14*'Step 11b--Inputs'!$C14)</f>
        <v>0</v>
      </c>
      <c r="AS14" s="2930"/>
      <c r="AT14" s="2930">
        <f>IF(Options!$AH$24=TRUE,0,AP14*'Step 11b--Inputs'!$F14)</f>
        <v>0</v>
      </c>
      <c r="AU14" s="2930"/>
      <c r="AV14" s="2930">
        <f>IF(Options!$AH$24=TRUE,0,AP14*'Step 11b--Inputs'!$I14)</f>
        <v>0</v>
      </c>
      <c r="AW14" s="2931"/>
      <c r="AX14" s="2932">
        <f>IFERROR('Step 9b--Daily DMI Rations'!AG18/'Step 7b--Feedstuff Required'!$Z14*'Step 7b--Feedstuff Required'!$AL14/'Step 7b--Feedstuff Required'!$AI14,0)</f>
        <v>6.3637037037037037E-4</v>
      </c>
      <c r="AY14" s="2930"/>
      <c r="AZ14" s="2930">
        <f>IF(Options!$AH$24=TRUE,0,AX14*'Step 11b--Inputs'!$C14)</f>
        <v>0</v>
      </c>
      <c r="BA14" s="2930"/>
      <c r="BB14" s="2930">
        <f>IF(Options!$AH$24=TRUE,0,AX14*'Step 11b--Inputs'!$F14)</f>
        <v>0</v>
      </c>
      <c r="BC14" s="2930"/>
      <c r="BD14" s="2930">
        <f>IF(Options!$AH$24=TRUE,0,AX14*'Step 11b--Inputs'!$I14)</f>
        <v>0</v>
      </c>
      <c r="BE14" s="2931"/>
      <c r="BF14" s="2932">
        <f>IFERROR('Step 9b--Daily DMI Rations'!AM18/'Step 7b--Feedstuff Required'!$Z14*'Step 7b--Feedstuff Required'!$AL14/'Step 7b--Feedstuff Required'!$AI14,0)</f>
        <v>8.5808623069963139E-5</v>
      </c>
      <c r="BG14" s="2930"/>
      <c r="BH14" s="2930">
        <f>IF(Options!$AH$24=TRUE,0,BF14*'Step 11b--Inputs'!$C14)</f>
        <v>0</v>
      </c>
      <c r="BI14" s="2930"/>
      <c r="BJ14" s="2930">
        <f>IF(Options!$AH$24=TRUE,0,BF14*'Step 11b--Inputs'!$F14)</f>
        <v>0</v>
      </c>
      <c r="BK14" s="2930"/>
      <c r="BL14" s="2930">
        <f>IF(Options!$AH$24=TRUE,0,BF14*'Step 11b--Inputs'!$I14)</f>
        <v>0</v>
      </c>
      <c r="BM14" s="2931"/>
      <c r="BN14" s="2932">
        <f>IFERROR('Step 9b--Daily DMI Rations'!AS18/'Step 7b--Feedstuff Required'!$Z14*'Step 7b--Feedstuff Required'!$AL14/'Step 7b--Feedstuff Required'!$AI14,0)</f>
        <v>1.2077137385394751E-4</v>
      </c>
      <c r="BO14" s="2930"/>
      <c r="BP14" s="2930">
        <f>IF(Options!$AH$24=TRUE,0,BN14*'Step 11b--Inputs'!$C14)</f>
        <v>0</v>
      </c>
      <c r="BQ14" s="2930"/>
      <c r="BR14" s="2930">
        <f>IF(Options!$AH$24=TRUE,0,BN14*'Step 11b--Inputs'!$F14)</f>
        <v>0</v>
      </c>
      <c r="BS14" s="2930"/>
      <c r="BT14" s="2930">
        <f>IF(Options!$AH$24=TRUE,0,BN14*'Step 11b--Inputs'!$I14)</f>
        <v>0</v>
      </c>
      <c r="BU14" s="2931"/>
      <c r="BV14" s="2932">
        <f>IFERROR('Step 9b--Daily DMI Rations'!AY18/'Step 7b--Feedstuff Required'!$Z14*'Step 7b--Feedstuff Required'!$AL14/'Step 7b--Feedstuff Required'!$AI14,0)</f>
        <v>5.126465644468255E-5</v>
      </c>
      <c r="BW14" s="2930"/>
      <c r="BX14" s="2930">
        <f>IF(Options!$AH$24=TRUE,0,BV14*'Step 11b--Inputs'!$C14)</f>
        <v>0</v>
      </c>
      <c r="BY14" s="2930"/>
      <c r="BZ14" s="2930">
        <f>IF(Options!$AH$24=TRUE,0,BV14*'Step 11b--Inputs'!$F14)</f>
        <v>0</v>
      </c>
      <c r="CA14" s="2930"/>
      <c r="CB14" s="2930">
        <f>IF(Options!$AH$24=TRUE,0,BV14*'Step 11b--Inputs'!$I14)</f>
        <v>0</v>
      </c>
      <c r="CC14" s="2933"/>
      <c r="CD14" s="40"/>
    </row>
    <row r="15" spans="1:97" ht="3" customHeight="1">
      <c r="A15" s="1224"/>
      <c r="B15" s="2954"/>
      <c r="C15" s="2955"/>
      <c r="D15" s="2955"/>
      <c r="E15" s="2955"/>
      <c r="F15" s="2955"/>
      <c r="G15" s="2955"/>
      <c r="H15" s="2955"/>
      <c r="I15" s="2956"/>
      <c r="J15" s="2957"/>
      <c r="K15" s="2955"/>
      <c r="L15" s="2955"/>
      <c r="M15" s="2955"/>
      <c r="N15" s="2955"/>
      <c r="O15" s="2955"/>
      <c r="P15" s="2955"/>
      <c r="Q15" s="2956"/>
      <c r="R15" s="2957"/>
      <c r="S15" s="2955"/>
      <c r="T15" s="2955"/>
      <c r="U15" s="2955"/>
      <c r="V15" s="2955"/>
      <c r="W15" s="2955"/>
      <c r="X15" s="2955"/>
      <c r="Y15" s="2956"/>
      <c r="Z15" s="2957"/>
      <c r="AA15" s="2955"/>
      <c r="AB15" s="2955"/>
      <c r="AC15" s="2955"/>
      <c r="AD15" s="2955"/>
      <c r="AE15" s="2955"/>
      <c r="AF15" s="2955"/>
      <c r="AG15" s="2956"/>
      <c r="AH15" s="2957"/>
      <c r="AI15" s="2955"/>
      <c r="AJ15" s="2955"/>
      <c r="AK15" s="2955"/>
      <c r="AL15" s="2955"/>
      <c r="AM15" s="2955"/>
      <c r="AN15" s="2955"/>
      <c r="AO15" s="2958"/>
      <c r="AP15" s="2929"/>
      <c r="AQ15" s="2930"/>
      <c r="AR15" s="2930"/>
      <c r="AS15" s="2930"/>
      <c r="AT15" s="2930"/>
      <c r="AU15" s="2930"/>
      <c r="AV15" s="2930"/>
      <c r="AW15" s="2931"/>
      <c r="AX15" s="2932"/>
      <c r="AY15" s="2930"/>
      <c r="AZ15" s="2930"/>
      <c r="BA15" s="2930"/>
      <c r="BB15" s="2930"/>
      <c r="BC15" s="2930"/>
      <c r="BD15" s="2930"/>
      <c r="BE15" s="2931"/>
      <c r="BF15" s="2932"/>
      <c r="BG15" s="2930"/>
      <c r="BH15" s="2930"/>
      <c r="BI15" s="2930"/>
      <c r="BJ15" s="2930"/>
      <c r="BK15" s="2930"/>
      <c r="BL15" s="2930"/>
      <c r="BM15" s="2931"/>
      <c r="BN15" s="2932"/>
      <c r="BO15" s="2930"/>
      <c r="BP15" s="2930"/>
      <c r="BQ15" s="2930"/>
      <c r="BR15" s="2930"/>
      <c r="BS15" s="2930"/>
      <c r="BT15" s="2930"/>
      <c r="BU15" s="2931"/>
      <c r="BV15" s="2932"/>
      <c r="BW15" s="2930"/>
      <c r="BX15" s="2930"/>
      <c r="BY15" s="2930"/>
      <c r="BZ15" s="2930"/>
      <c r="CA15" s="2930"/>
      <c r="CB15" s="2930"/>
      <c r="CC15" s="2933"/>
    </row>
    <row r="16" spans="1:97" ht="14.25">
      <c r="A16" s="1224" t="s">
        <v>19</v>
      </c>
      <c r="B16" s="2954">
        <f>IFERROR('Step 10b--Required Acres'!D15/'Step 7b--Feedstuff Required'!$E16*'Step 7b--Feedstuff Required'!$Q16/'Step 7b--Feedstuff Required'!$N16,0)</f>
        <v>3.6926503010328415E-3</v>
      </c>
      <c r="C16" s="2955"/>
      <c r="D16" s="2955">
        <f>IF(Options!$AG$24=TRUE,0,B16*'Step 11b--Inputs'!$C16)</f>
        <v>0</v>
      </c>
      <c r="E16" s="2955"/>
      <c r="F16" s="2955">
        <f>IF(Options!$AG$24=TRUE,0,B16*'Step 11b--Inputs'!$F16)</f>
        <v>0</v>
      </c>
      <c r="G16" s="2955"/>
      <c r="H16" s="2955">
        <f>IF(Options!$AG$24=TRUE,0,B16*'Step 11b--Inputs'!$I16)</f>
        <v>0</v>
      </c>
      <c r="I16" s="2956"/>
      <c r="J16" s="2957">
        <f>IFERROR('Step 9b--Daily DMI Rations'!F20/'Step 7b--Feedstuff Required'!$E16*'Step 7b--Feedstuff Required'!$Q16/'Step 7b--Feedstuff Required'!$N16,0)</f>
        <v>2.8154761904761903E-3</v>
      </c>
      <c r="K16" s="2955"/>
      <c r="L16" s="2955">
        <f>IF(Options!$AG$24=TRUE,0,J16*'Step 11b--Inputs'!$C16)</f>
        <v>0</v>
      </c>
      <c r="M16" s="2955"/>
      <c r="N16" s="2955">
        <f>IF(Options!$AG$24=TRUE,0,J16*'Step 11b--Inputs'!$F16)</f>
        <v>0</v>
      </c>
      <c r="O16" s="2955"/>
      <c r="P16" s="2955">
        <f>IF(Options!$AG$24=TRUE,0,J16*'Step 11b--Inputs'!$I16)</f>
        <v>0</v>
      </c>
      <c r="Q16" s="2956"/>
      <c r="R16" s="2957">
        <f>IFERROR('Step 9b--Daily DMI Rations'!L20/'Step 7b--Feedstuff Required'!$E16*'Step 7b--Feedstuff Required'!$Q16/'Step 7b--Feedstuff Required'!$N16,0)</f>
        <v>2.3418734160557633E-4</v>
      </c>
      <c r="S16" s="2955"/>
      <c r="T16" s="2955">
        <f>IF(Options!$AG$24=TRUE,0,R16*'Step 11b--Inputs'!$C16)</f>
        <v>0</v>
      </c>
      <c r="U16" s="2955"/>
      <c r="V16" s="2955">
        <f>IF(Options!$AG$24=TRUE,0,R16*'Step 11b--Inputs'!$F16)</f>
        <v>0</v>
      </c>
      <c r="W16" s="2955"/>
      <c r="X16" s="2955">
        <f>IF(Options!$AG$24=TRUE,0,R16*'Step 11b--Inputs'!$I16)</f>
        <v>0</v>
      </c>
      <c r="Y16" s="2956"/>
      <c r="Z16" s="2957">
        <f>IFERROR('Step 9b--Daily DMI Rations'!R20/'Step 7b--Feedstuff Required'!$E16*'Step 7b--Feedstuff Required'!$Q16/'Step 7b--Feedstuff Required'!$N16,0)</f>
        <v>4.5617431943378286E-4</v>
      </c>
      <c r="AA16" s="2955"/>
      <c r="AB16" s="2955">
        <f>IF(Options!$AG$24=TRUE,0,Z16*'Step 11b--Inputs'!$C16)</f>
        <v>0</v>
      </c>
      <c r="AC16" s="2955"/>
      <c r="AD16" s="2955">
        <f>IF(Options!$AG$24=TRUE,0,Z16*'Step 11b--Inputs'!$F16)</f>
        <v>0</v>
      </c>
      <c r="AE16" s="2955"/>
      <c r="AF16" s="2955">
        <f>IF(Options!$AG$24=TRUE,0,Z16*'Step 11b--Inputs'!$I16)</f>
        <v>0</v>
      </c>
      <c r="AG16" s="2956"/>
      <c r="AH16" s="2957">
        <f>IFERROR('Step 9b--Daily DMI Rations'!X20/'Step 7b--Feedstuff Required'!$E16*'Step 7b--Feedstuff Required'!$Q16/'Step 7b--Feedstuff Required'!$N16,0)</f>
        <v>1.8681244951729184E-4</v>
      </c>
      <c r="AI16" s="2955"/>
      <c r="AJ16" s="2955">
        <f>IF(Options!$AG$24=TRUE,0,AH16*'Step 11b--Inputs'!$C16)</f>
        <v>0</v>
      </c>
      <c r="AK16" s="2955"/>
      <c r="AL16" s="2955">
        <f>IF(Options!$AG$24=TRUE,0,AH16*'Step 11b--Inputs'!$F16)</f>
        <v>0</v>
      </c>
      <c r="AM16" s="2955"/>
      <c r="AN16" s="2955">
        <f>IF(Options!$AG$24=TRUE,0,AH16*'Step 11b--Inputs'!$I16)</f>
        <v>0</v>
      </c>
      <c r="AO16" s="2958"/>
      <c r="AP16" s="2929">
        <f>IFERROR('Step 9b--Daily DMI Rations'!AB20/'Step 7b--Feedstuff Required'!$Z16*'Step 7b--Feedstuff Required'!$AL16/'Step 7b--Feedstuff Required'!$AI16,0)</f>
        <v>3.6926503010328415E-3</v>
      </c>
      <c r="AQ16" s="2930"/>
      <c r="AR16" s="2930">
        <f>IF(Options!$AH$24=TRUE,0,AP16*'Step 11b--Inputs'!$C16)</f>
        <v>0</v>
      </c>
      <c r="AS16" s="2930"/>
      <c r="AT16" s="2930">
        <f>IF(Options!$AH$24=TRUE,0,AP16*'Step 11b--Inputs'!$F16)</f>
        <v>0</v>
      </c>
      <c r="AU16" s="2930"/>
      <c r="AV16" s="2930">
        <f>IF(Options!$AH$24=TRUE,0,AP16*'Step 11b--Inputs'!$I16)</f>
        <v>0</v>
      </c>
      <c r="AW16" s="2931"/>
      <c r="AX16" s="2932">
        <f>IFERROR('Step 9b--Daily DMI Rations'!AG20/'Step 7b--Feedstuff Required'!$Z16*'Step 7b--Feedstuff Required'!$AL16/'Step 7b--Feedstuff Required'!$AI16,0)</f>
        <v>3.2541666666666665E-3</v>
      </c>
      <c r="AY16" s="2930"/>
      <c r="AZ16" s="2930">
        <f>IF(Options!$AH$24=TRUE,0,AX16*'Step 11b--Inputs'!$C16)</f>
        <v>0</v>
      </c>
      <c r="BA16" s="2930"/>
      <c r="BB16" s="2930">
        <f>IF(Options!$AH$24=TRUE,0,AX16*'Step 11b--Inputs'!$F16)</f>
        <v>0</v>
      </c>
      <c r="BC16" s="2930"/>
      <c r="BD16" s="2930">
        <f>IF(Options!$AH$24=TRUE,0,AX16*'Step 11b--Inputs'!$I16)</f>
        <v>0</v>
      </c>
      <c r="BE16" s="2931"/>
      <c r="BF16" s="2932">
        <f>IFERROR('Step 9b--Daily DMI Rations'!AM20/'Step 7b--Feedstuff Required'!$Z16*'Step 7b--Feedstuff Required'!$AL16/'Step 7b--Feedstuff Required'!$AI16,0)</f>
        <v>1.6715965533109704E-4</v>
      </c>
      <c r="BG16" s="2930"/>
      <c r="BH16" s="2930">
        <f>IF(Options!$AH$24=TRUE,0,BF16*'Step 11b--Inputs'!$C16)</f>
        <v>0</v>
      </c>
      <c r="BI16" s="2930"/>
      <c r="BJ16" s="2930">
        <f>IF(Options!$AH$24=TRUE,0,BF16*'Step 11b--Inputs'!$F16)</f>
        <v>0</v>
      </c>
      <c r="BK16" s="2930"/>
      <c r="BL16" s="2930">
        <f>IF(Options!$AH$24=TRUE,0,BF16*'Step 11b--Inputs'!$I16)</f>
        <v>0</v>
      </c>
      <c r="BM16" s="2931"/>
      <c r="BN16" s="2932">
        <f>IFERROR('Step 9b--Daily DMI Rations'!AS20/'Step 7b--Feedstuff Required'!$Z16*'Step 7b--Feedstuff Required'!$AL16/'Step 7b--Feedstuff Required'!$AI16,0)</f>
        <v>2.3526891010509254E-4</v>
      </c>
      <c r="BO16" s="2930"/>
      <c r="BP16" s="2930">
        <f>IF(Options!$AH$24=TRUE,0,BN16*'Step 11b--Inputs'!$C16)</f>
        <v>0</v>
      </c>
      <c r="BQ16" s="2930"/>
      <c r="BR16" s="2930">
        <f>IF(Options!$AH$24=TRUE,0,BN16*'Step 11b--Inputs'!$F16)</f>
        <v>0</v>
      </c>
      <c r="BS16" s="2930"/>
      <c r="BT16" s="2930">
        <f>IF(Options!$AH$24=TRUE,0,BN16*'Step 11b--Inputs'!$I16)</f>
        <v>0</v>
      </c>
      <c r="BU16" s="2931"/>
      <c r="BV16" s="2932">
        <f>IFERROR('Step 9b--Daily DMI Rations'!AY20/'Step 7b--Feedstuff Required'!$Z16*'Step 7b--Feedstuff Required'!$AL16/'Step 7b--Feedstuff Required'!$AI16,0)</f>
        <v>9.986621385327772E-5</v>
      </c>
      <c r="BW16" s="2930"/>
      <c r="BX16" s="2930">
        <f>IF(Options!$AH$24=TRUE,0,BV16*'Step 11b--Inputs'!$C16)</f>
        <v>0</v>
      </c>
      <c r="BY16" s="2930"/>
      <c r="BZ16" s="2930">
        <f>IF(Options!$AH$24=TRUE,0,BV16*'Step 11b--Inputs'!$F16)</f>
        <v>0</v>
      </c>
      <c r="CA16" s="2930"/>
      <c r="CB16" s="2930">
        <f>IF(Options!$AH$24=TRUE,0,BV16*'Step 11b--Inputs'!$I16)</f>
        <v>0</v>
      </c>
      <c r="CC16" s="2933"/>
    </row>
    <row r="17" spans="1:81" ht="3" customHeight="1">
      <c r="A17" s="1224"/>
      <c r="B17" s="2954"/>
      <c r="C17" s="2955"/>
      <c r="D17" s="2955"/>
      <c r="E17" s="2955"/>
      <c r="F17" s="2955"/>
      <c r="G17" s="2955"/>
      <c r="H17" s="2955"/>
      <c r="I17" s="2956"/>
      <c r="J17" s="2957"/>
      <c r="K17" s="2955"/>
      <c r="L17" s="2955"/>
      <c r="M17" s="2955"/>
      <c r="N17" s="2955"/>
      <c r="O17" s="2955"/>
      <c r="P17" s="2955"/>
      <c r="Q17" s="2956"/>
      <c r="R17" s="2957"/>
      <c r="S17" s="2955"/>
      <c r="T17" s="2955"/>
      <c r="U17" s="2955"/>
      <c r="V17" s="2955"/>
      <c r="W17" s="2955"/>
      <c r="X17" s="2955"/>
      <c r="Y17" s="2956"/>
      <c r="Z17" s="2957"/>
      <c r="AA17" s="2955"/>
      <c r="AB17" s="2955"/>
      <c r="AC17" s="2955"/>
      <c r="AD17" s="2955"/>
      <c r="AE17" s="2955"/>
      <c r="AF17" s="2955"/>
      <c r="AG17" s="2956"/>
      <c r="AH17" s="2957"/>
      <c r="AI17" s="2955"/>
      <c r="AJ17" s="2955"/>
      <c r="AK17" s="2955"/>
      <c r="AL17" s="2955"/>
      <c r="AM17" s="2955"/>
      <c r="AN17" s="2955"/>
      <c r="AO17" s="2958"/>
      <c r="AP17" s="2929"/>
      <c r="AQ17" s="2930"/>
      <c r="AR17" s="2930"/>
      <c r="AS17" s="2930"/>
      <c r="AT17" s="2930"/>
      <c r="AU17" s="2930"/>
      <c r="AV17" s="2930"/>
      <c r="AW17" s="2931"/>
      <c r="AX17" s="2932"/>
      <c r="AY17" s="2930"/>
      <c r="AZ17" s="2930"/>
      <c r="BA17" s="2930"/>
      <c r="BB17" s="2930"/>
      <c r="BC17" s="2930"/>
      <c r="BD17" s="2930"/>
      <c r="BE17" s="2931"/>
      <c r="BF17" s="2932"/>
      <c r="BG17" s="2930"/>
      <c r="BH17" s="2930"/>
      <c r="BI17" s="2930"/>
      <c r="BJ17" s="2930"/>
      <c r="BK17" s="2930"/>
      <c r="BL17" s="2930"/>
      <c r="BM17" s="2931"/>
      <c r="BN17" s="2932"/>
      <c r="BO17" s="2930"/>
      <c r="BP17" s="2930"/>
      <c r="BQ17" s="2930"/>
      <c r="BR17" s="2930"/>
      <c r="BS17" s="2930"/>
      <c r="BT17" s="2930"/>
      <c r="BU17" s="2931"/>
      <c r="BV17" s="2932"/>
      <c r="BW17" s="2930"/>
      <c r="BX17" s="2930"/>
      <c r="BY17" s="2930"/>
      <c r="BZ17" s="2930"/>
      <c r="CA17" s="2930"/>
      <c r="CB17" s="2930"/>
      <c r="CC17" s="2933"/>
    </row>
    <row r="18" spans="1:81" ht="14.25">
      <c r="A18" s="1224" t="s">
        <v>31</v>
      </c>
      <c r="B18" s="2954">
        <f>IFERROR('Step 10b--Required Acres'!D17/'Step 7b--Feedstuff Required'!$E18*'Step 7b--Feedstuff Required'!$Q18/'Step 7b--Feedstuff Required'!$N18,0)</f>
        <v>1.2340725854362304E-3</v>
      </c>
      <c r="C18" s="2955"/>
      <c r="D18" s="2955">
        <f>IF(Options!$AG$24=TRUE,0,B18*'Step 11b--Inputs'!$C18)</f>
        <v>0</v>
      </c>
      <c r="E18" s="2955"/>
      <c r="F18" s="2955">
        <f>IF(Options!$AG$24=TRUE,0,B18*'Step 11b--Inputs'!$F18)</f>
        <v>0</v>
      </c>
      <c r="G18" s="2955"/>
      <c r="H18" s="2955">
        <f>IF(Options!$AG$24=TRUE,0,B18*'Step 11b--Inputs'!$I18)</f>
        <v>0</v>
      </c>
      <c r="I18" s="2956"/>
      <c r="J18" s="2957">
        <f>IFERROR('Step 9b--Daily DMI Rations'!F22/'Step 7b--Feedstuff Required'!$E18*'Step 7b--Feedstuff Required'!$Q18/'Step 7b--Feedstuff Required'!$N18,0)</f>
        <v>6.9373333333333335E-4</v>
      </c>
      <c r="K18" s="2955"/>
      <c r="L18" s="2955">
        <f>IF(Options!$AG$24=TRUE,0,J18*'Step 11b--Inputs'!$C18)</f>
        <v>0</v>
      </c>
      <c r="M18" s="2955"/>
      <c r="N18" s="2955">
        <f>IF(Options!$AG$24=TRUE,0,J18*'Step 11b--Inputs'!$F18)</f>
        <v>0</v>
      </c>
      <c r="O18" s="2955"/>
      <c r="P18" s="2955">
        <f>IF(Options!$AG$24=TRUE,0,J18*'Step 11b--Inputs'!$I18)</f>
        <v>0</v>
      </c>
      <c r="Q18" s="2956"/>
      <c r="R18" s="2957">
        <f>IFERROR('Step 9b--Daily DMI Rations'!L22/'Step 7b--Feedstuff Required'!$E18*'Step 7b--Feedstuff Required'!$Q18/'Step 7b--Feedstuff Required'!$N18,0)</f>
        <v>1.4425940242903502E-4</v>
      </c>
      <c r="S18" s="2955"/>
      <c r="T18" s="2955">
        <f>IF(Options!$AG$24=TRUE,0,R18*'Step 11b--Inputs'!$C18)</f>
        <v>0</v>
      </c>
      <c r="U18" s="2955"/>
      <c r="V18" s="2955">
        <f>IF(Options!$AG$24=TRUE,0,R18*'Step 11b--Inputs'!$F18)</f>
        <v>0</v>
      </c>
      <c r="W18" s="2955"/>
      <c r="X18" s="2955">
        <f>IF(Options!$AG$24=TRUE,0,R18*'Step 11b--Inputs'!$I18)</f>
        <v>0</v>
      </c>
      <c r="Y18" s="2956"/>
      <c r="Z18" s="2957">
        <f>IFERROR('Step 9b--Daily DMI Rations'!R22/'Step 7b--Feedstuff Required'!$E18*'Step 7b--Feedstuff Required'!$Q18/'Step 7b--Feedstuff Required'!$N18,0)</f>
        <v>2.8100338077121034E-4</v>
      </c>
      <c r="AA18" s="2955"/>
      <c r="AB18" s="2955">
        <f>IF(Options!$AG$24=TRUE,0,Z18*'Step 11b--Inputs'!$C18)</f>
        <v>0</v>
      </c>
      <c r="AC18" s="2955"/>
      <c r="AD18" s="2955">
        <f>IF(Options!$AG$24=TRUE,0,Z18*'Step 11b--Inputs'!$F18)</f>
        <v>0</v>
      </c>
      <c r="AE18" s="2955"/>
      <c r="AF18" s="2955">
        <f>IF(Options!$AG$24=TRUE,0,Z18*'Step 11b--Inputs'!$I18)</f>
        <v>0</v>
      </c>
      <c r="AG18" s="2956"/>
      <c r="AH18" s="2957">
        <f>IFERROR('Step 9b--Daily DMI Rations'!X22/'Step 7b--Feedstuff Required'!$E18*'Step 7b--Feedstuff Required'!$Q18/'Step 7b--Feedstuff Required'!$N18,0)</f>
        <v>1.1507646890265179E-4</v>
      </c>
      <c r="AI18" s="2955"/>
      <c r="AJ18" s="2955">
        <f>IF(Options!$AG$24=TRUE,0,AH18*'Step 11b--Inputs'!$C18)</f>
        <v>0</v>
      </c>
      <c r="AK18" s="2955"/>
      <c r="AL18" s="2955">
        <f>IF(Options!$AG$24=TRUE,0,AH18*'Step 11b--Inputs'!$F18)</f>
        <v>0</v>
      </c>
      <c r="AM18" s="2955"/>
      <c r="AN18" s="2955">
        <f>IF(Options!$AG$24=TRUE,0,AH18*'Step 11b--Inputs'!$I18)</f>
        <v>0</v>
      </c>
      <c r="AO18" s="2958"/>
      <c r="AP18" s="2929">
        <f>IFERROR('Step 9b--Daily DMI Rations'!AB22/'Step 7b--Feedstuff Required'!$Z18*'Step 7b--Feedstuff Required'!$AL18/'Step 7b--Feedstuff Required'!$AI18,0)</f>
        <v>1.2340725854362304E-3</v>
      </c>
      <c r="AQ18" s="2930"/>
      <c r="AR18" s="2930">
        <f>IF(Options!$AH$24=TRUE,0,AP18*'Step 11b--Inputs'!$C18)</f>
        <v>0</v>
      </c>
      <c r="AS18" s="2930"/>
      <c r="AT18" s="2930">
        <f>IF(Options!$AH$24=TRUE,0,AP18*'Step 11b--Inputs'!$F18)</f>
        <v>0</v>
      </c>
      <c r="AU18" s="2930"/>
      <c r="AV18" s="2930">
        <f>IF(Options!$AH$24=TRUE,0,AP18*'Step 11b--Inputs'!$I18)</f>
        <v>0</v>
      </c>
      <c r="AW18" s="2931"/>
      <c r="AX18" s="2932">
        <f>IFERROR('Step 9b--Daily DMI Rations'!AG22/'Step 7b--Feedstuff Required'!$Z18*'Step 7b--Feedstuff Required'!$AL18/'Step 7b--Feedstuff Required'!$AI18,0)</f>
        <v>4.2954999999999995E-4</v>
      </c>
      <c r="AY18" s="2930"/>
      <c r="AZ18" s="2930">
        <f>IF(Options!$AH$24=TRUE,0,AX18*'Step 11b--Inputs'!$C18)</f>
        <v>0</v>
      </c>
      <c r="BA18" s="2930"/>
      <c r="BB18" s="2930">
        <f>IF(Options!$AH$24=TRUE,0,AX18*'Step 11b--Inputs'!$F18)</f>
        <v>0</v>
      </c>
      <c r="BC18" s="2930"/>
      <c r="BD18" s="2930">
        <f>IF(Options!$AH$24=TRUE,0,AX18*'Step 11b--Inputs'!$I18)</f>
        <v>0</v>
      </c>
      <c r="BE18" s="2931"/>
      <c r="BF18" s="2932">
        <f>IFERROR('Step 9b--Daily DMI Rations'!AM22/'Step 7b--Feedstuff Required'!$Z18*'Step 7b--Feedstuff Required'!$AL18/'Step 7b--Feedstuff Required'!$AI18,0)</f>
        <v>1.0297034768395582E-4</v>
      </c>
      <c r="BG18" s="2930"/>
      <c r="BH18" s="2930">
        <f>IF(Options!$AH$24=TRUE,0,BF18*'Step 11b--Inputs'!$C18)</f>
        <v>0</v>
      </c>
      <c r="BI18" s="2930"/>
      <c r="BJ18" s="2930">
        <f>IF(Options!$AH$24=TRUE,0,BF18*'Step 11b--Inputs'!$F18)</f>
        <v>0</v>
      </c>
      <c r="BK18" s="2930"/>
      <c r="BL18" s="2930">
        <f>IF(Options!$AH$24=TRUE,0,BF18*'Step 11b--Inputs'!$I18)</f>
        <v>0</v>
      </c>
      <c r="BM18" s="2931"/>
      <c r="BN18" s="2932">
        <f>IFERROR('Step 9b--Daily DMI Rations'!AS22/'Step 7b--Feedstuff Required'!$Z18*'Step 7b--Feedstuff Required'!$AL18/'Step 7b--Feedstuff Required'!$AI18,0)</f>
        <v>1.4492564862473702E-4</v>
      </c>
      <c r="BO18" s="2930"/>
      <c r="BP18" s="2930">
        <f>IF(Options!$AH$24=TRUE,0,BN18*'Step 11b--Inputs'!$C18)</f>
        <v>0</v>
      </c>
      <c r="BQ18" s="2930"/>
      <c r="BR18" s="2930">
        <f>IF(Options!$AH$24=TRUE,0,BN18*'Step 11b--Inputs'!$F18)</f>
        <v>0</v>
      </c>
      <c r="BS18" s="2930"/>
      <c r="BT18" s="2930">
        <f>IF(Options!$AH$24=TRUE,0,BN18*'Step 11b--Inputs'!$I18)</f>
        <v>0</v>
      </c>
      <c r="BU18" s="2931"/>
      <c r="BV18" s="2932">
        <f>IFERROR('Step 9b--Daily DMI Rations'!AY22/'Step 7b--Feedstuff Required'!$Z18*'Step 7b--Feedstuff Required'!$AL18/'Step 7b--Feedstuff Required'!$AI18,0)</f>
        <v>6.1517587733619071E-5</v>
      </c>
      <c r="BW18" s="2930"/>
      <c r="BX18" s="2930">
        <f>IF(Options!$AH$24=TRUE,0,BV18*'Step 11b--Inputs'!$C18)</f>
        <v>0</v>
      </c>
      <c r="BY18" s="2930"/>
      <c r="BZ18" s="2930">
        <f>IF(Options!$AH$24=TRUE,0,BV18*'Step 11b--Inputs'!$F18)</f>
        <v>0</v>
      </c>
      <c r="CA18" s="2930"/>
      <c r="CB18" s="2930">
        <f>IF(Options!$AH$24=TRUE,0,BV18*'Step 11b--Inputs'!$I18)</f>
        <v>0</v>
      </c>
      <c r="CC18" s="2933"/>
    </row>
    <row r="19" spans="1:81" ht="3" customHeight="1">
      <c r="A19" s="1224"/>
      <c r="B19" s="2954"/>
      <c r="C19" s="2955"/>
      <c r="D19" s="2955"/>
      <c r="E19" s="2955"/>
      <c r="F19" s="2955"/>
      <c r="G19" s="2955"/>
      <c r="H19" s="2955"/>
      <c r="I19" s="2956"/>
      <c r="J19" s="2957"/>
      <c r="K19" s="2955"/>
      <c r="L19" s="2955"/>
      <c r="M19" s="2955"/>
      <c r="N19" s="2955"/>
      <c r="O19" s="2955"/>
      <c r="P19" s="2955"/>
      <c r="Q19" s="2956"/>
      <c r="R19" s="2957"/>
      <c r="S19" s="2955"/>
      <c r="T19" s="2955"/>
      <c r="U19" s="2955"/>
      <c r="V19" s="2955"/>
      <c r="W19" s="2955"/>
      <c r="X19" s="2955"/>
      <c r="Y19" s="2956"/>
      <c r="Z19" s="2957"/>
      <c r="AA19" s="2955"/>
      <c r="AB19" s="2955"/>
      <c r="AC19" s="2955"/>
      <c r="AD19" s="2955"/>
      <c r="AE19" s="2955"/>
      <c r="AF19" s="2955"/>
      <c r="AG19" s="2956"/>
      <c r="AH19" s="2957"/>
      <c r="AI19" s="2955"/>
      <c r="AJ19" s="2955"/>
      <c r="AK19" s="2955"/>
      <c r="AL19" s="2955"/>
      <c r="AM19" s="2955"/>
      <c r="AN19" s="2955"/>
      <c r="AO19" s="2958"/>
      <c r="AP19" s="2929"/>
      <c r="AQ19" s="2930"/>
      <c r="AR19" s="2930"/>
      <c r="AS19" s="2930"/>
      <c r="AT19" s="2930"/>
      <c r="AU19" s="2930"/>
      <c r="AV19" s="2930"/>
      <c r="AW19" s="2931"/>
      <c r="AX19" s="2932"/>
      <c r="AY19" s="2930"/>
      <c r="AZ19" s="2930"/>
      <c r="BA19" s="2930"/>
      <c r="BB19" s="2930"/>
      <c r="BC19" s="2930"/>
      <c r="BD19" s="2930"/>
      <c r="BE19" s="2931"/>
      <c r="BF19" s="2932"/>
      <c r="BG19" s="2930"/>
      <c r="BH19" s="2930"/>
      <c r="BI19" s="2930"/>
      <c r="BJ19" s="2930"/>
      <c r="BK19" s="2930"/>
      <c r="BL19" s="2930"/>
      <c r="BM19" s="2931"/>
      <c r="BN19" s="2932"/>
      <c r="BO19" s="2930"/>
      <c r="BP19" s="2930"/>
      <c r="BQ19" s="2930"/>
      <c r="BR19" s="2930"/>
      <c r="BS19" s="2930"/>
      <c r="BT19" s="2930"/>
      <c r="BU19" s="2931"/>
      <c r="BV19" s="2932"/>
      <c r="BW19" s="2930"/>
      <c r="BX19" s="2930"/>
      <c r="BY19" s="2930"/>
      <c r="BZ19" s="2930"/>
      <c r="CA19" s="2930"/>
      <c r="CB19" s="2930"/>
      <c r="CC19" s="2933"/>
    </row>
    <row r="20" spans="1:81" ht="14.25">
      <c r="A20" s="1225" t="str">
        <f>IF('Step 7a--Feedstuff Required'!B20="[add forage crop here]"," ",'Step 7a--Feedstuff Required'!B20)</f>
        <v xml:space="preserve"> </v>
      </c>
      <c r="B20" s="2954">
        <f>IFERROR('Step 10b--Required Acres'!D19/'Step 7b--Feedstuff Required'!$E20*'Step 7b--Feedstuff Required'!$Q20/'Step 7b--Feedstuff Required'!$N20,0)</f>
        <v>0</v>
      </c>
      <c r="C20" s="2955"/>
      <c r="D20" s="2955">
        <f>IF(Options!$AG$24=TRUE,0,B20*'Step 11b--Inputs'!$C20)</f>
        <v>0</v>
      </c>
      <c r="E20" s="2955"/>
      <c r="F20" s="2955">
        <f>IF(Options!$AG$24=TRUE,0,B20*'Step 11b--Inputs'!$F20)</f>
        <v>0</v>
      </c>
      <c r="G20" s="2955"/>
      <c r="H20" s="2955">
        <f>IF(Options!$AG$24=TRUE,0,B20*'Step 11b--Inputs'!$I20)</f>
        <v>0</v>
      </c>
      <c r="I20" s="2956"/>
      <c r="J20" s="2957">
        <f>IFERROR('Step 9b--Daily DMI Rations'!F24/'Step 7b--Feedstuff Required'!$E20*'Step 7b--Feedstuff Required'!$Q20/'Step 7b--Feedstuff Required'!$N20,0)</f>
        <v>0</v>
      </c>
      <c r="K20" s="2955"/>
      <c r="L20" s="2955">
        <f>IF(Options!$AG$24=TRUE,0,J20*'Step 11b--Inputs'!$C20)</f>
        <v>0</v>
      </c>
      <c r="M20" s="2955"/>
      <c r="N20" s="2955">
        <f>IF(Options!$AG$24=TRUE,0,J20*'Step 11b--Inputs'!$F20)</f>
        <v>0</v>
      </c>
      <c r="O20" s="2955"/>
      <c r="P20" s="2955">
        <f>IF(Options!$AG$24=TRUE,0,J20*'Step 11b--Inputs'!$I20)</f>
        <v>0</v>
      </c>
      <c r="Q20" s="2956"/>
      <c r="R20" s="2957">
        <f>IFERROR('Step 9b--Daily DMI Rations'!L24/'Step 7b--Feedstuff Required'!$E20*'Step 7b--Feedstuff Required'!$Q20/'Step 7b--Feedstuff Required'!$N20,0)</f>
        <v>0</v>
      </c>
      <c r="S20" s="2955"/>
      <c r="T20" s="2955">
        <f>IF(Options!$AG$24=TRUE,0,R20*'Step 11b--Inputs'!$C20)</f>
        <v>0</v>
      </c>
      <c r="U20" s="2955"/>
      <c r="V20" s="2955">
        <f>IF(Options!$AG$24=TRUE,0,R20*'Step 11b--Inputs'!$F20)</f>
        <v>0</v>
      </c>
      <c r="W20" s="2955"/>
      <c r="X20" s="2955">
        <f>IF(Options!$AG$24=TRUE,0,R20*'Step 11b--Inputs'!$I20)</f>
        <v>0</v>
      </c>
      <c r="Y20" s="2956"/>
      <c r="Z20" s="2957">
        <f>IFERROR('Step 9b--Daily DMI Rations'!R24/'Step 7b--Feedstuff Required'!$E20*'Step 7b--Feedstuff Required'!$Q20/'Step 7b--Feedstuff Required'!$N20,0)</f>
        <v>0</v>
      </c>
      <c r="AA20" s="2955"/>
      <c r="AB20" s="2955">
        <f>IF(Options!$AG$24=TRUE,0,Z20*'Step 11b--Inputs'!$C20)</f>
        <v>0</v>
      </c>
      <c r="AC20" s="2955"/>
      <c r="AD20" s="2955">
        <f>IF(Options!$AG$24=TRUE,0,Z20*'Step 11b--Inputs'!$F20)</f>
        <v>0</v>
      </c>
      <c r="AE20" s="2955"/>
      <c r="AF20" s="2955">
        <f>IF(Options!$AG$24=TRUE,0,Z20*'Step 11b--Inputs'!$I20)</f>
        <v>0</v>
      </c>
      <c r="AG20" s="2956"/>
      <c r="AH20" s="2957">
        <f>IFERROR('Step 9b--Daily DMI Rations'!X24/'Step 7b--Feedstuff Required'!$E20*'Step 7b--Feedstuff Required'!$Q20/'Step 7b--Feedstuff Required'!$N20,0)</f>
        <v>0</v>
      </c>
      <c r="AI20" s="2955"/>
      <c r="AJ20" s="2955">
        <f>IF(Options!$AG$24=TRUE,0,AH20*'Step 11b--Inputs'!$C20)</f>
        <v>0</v>
      </c>
      <c r="AK20" s="2955"/>
      <c r="AL20" s="2955">
        <f>IF(Options!$AG$24=TRUE,0,AH20*'Step 11b--Inputs'!$F20)</f>
        <v>0</v>
      </c>
      <c r="AM20" s="2955"/>
      <c r="AN20" s="2955">
        <f>IF(Options!$AG$24=TRUE,0,AH20*'Step 11b--Inputs'!$I20)</f>
        <v>0</v>
      </c>
      <c r="AO20" s="2958"/>
      <c r="AP20" s="2929">
        <f>IFERROR('Step 9b--Daily DMI Rations'!AB24/'Step 7b--Feedstuff Required'!$Z20*'Step 7b--Feedstuff Required'!$AL20/'Step 7b--Feedstuff Required'!$AI20,0)</f>
        <v>0</v>
      </c>
      <c r="AQ20" s="2930"/>
      <c r="AR20" s="2930">
        <f>IF(Options!$AH$24=TRUE,0,AP20*'Step 11b--Inputs'!$C20)</f>
        <v>0</v>
      </c>
      <c r="AS20" s="2930"/>
      <c r="AT20" s="2930">
        <f>IF(Options!$AH$24=TRUE,0,AP20*'Step 11b--Inputs'!$F20)</f>
        <v>0</v>
      </c>
      <c r="AU20" s="2930"/>
      <c r="AV20" s="2930">
        <f>IF(Options!$AH$24=TRUE,0,AP20*'Step 11b--Inputs'!$I20)</f>
        <v>0</v>
      </c>
      <c r="AW20" s="2931"/>
      <c r="AX20" s="2932">
        <f>IFERROR('Step 9b--Daily DMI Rations'!AG24/'Step 7b--Feedstuff Required'!$Z20*'Step 7b--Feedstuff Required'!$AL20/'Step 7b--Feedstuff Required'!$AI20,0)</f>
        <v>0</v>
      </c>
      <c r="AY20" s="2930"/>
      <c r="AZ20" s="2930">
        <f>IF(Options!$AH$24=TRUE,0,AX20*'Step 11b--Inputs'!$C20)</f>
        <v>0</v>
      </c>
      <c r="BA20" s="2930"/>
      <c r="BB20" s="2930">
        <f>IF(Options!$AH$24=TRUE,0,AX20*'Step 11b--Inputs'!$F20)</f>
        <v>0</v>
      </c>
      <c r="BC20" s="2930"/>
      <c r="BD20" s="2930">
        <f>IF(Options!$AH$24=TRUE,0,AX20*'Step 11b--Inputs'!$I20)</f>
        <v>0</v>
      </c>
      <c r="BE20" s="2931"/>
      <c r="BF20" s="2932">
        <f>IFERROR('Step 9b--Daily DMI Rations'!AM24/'Step 7b--Feedstuff Required'!$Z20*'Step 7b--Feedstuff Required'!$AL20/'Step 7b--Feedstuff Required'!$AI20,0)</f>
        <v>0</v>
      </c>
      <c r="BG20" s="2930"/>
      <c r="BH20" s="2930">
        <f>IF(Options!$AH$24=TRUE,0,BF20*'Step 11b--Inputs'!$C20)</f>
        <v>0</v>
      </c>
      <c r="BI20" s="2930"/>
      <c r="BJ20" s="2930">
        <f>IF(Options!$AH$24=TRUE,0,BF20*'Step 11b--Inputs'!$F20)</f>
        <v>0</v>
      </c>
      <c r="BK20" s="2930"/>
      <c r="BL20" s="2930">
        <f>IF(Options!$AH$24=TRUE,0,BF20*'Step 11b--Inputs'!$I20)</f>
        <v>0</v>
      </c>
      <c r="BM20" s="2931"/>
      <c r="BN20" s="2932">
        <f>IFERROR('Step 9b--Daily DMI Rations'!AS24/'Step 7b--Feedstuff Required'!$Z20*'Step 7b--Feedstuff Required'!$AL20/'Step 7b--Feedstuff Required'!$AI20,0)</f>
        <v>0</v>
      </c>
      <c r="BO20" s="2930"/>
      <c r="BP20" s="2930">
        <f>IF(Options!$AH$24=TRUE,0,BN20*'Step 11b--Inputs'!$C20)</f>
        <v>0</v>
      </c>
      <c r="BQ20" s="2930"/>
      <c r="BR20" s="2930">
        <f>IF(Options!$AH$24=TRUE,0,BN20*'Step 11b--Inputs'!$F20)</f>
        <v>0</v>
      </c>
      <c r="BS20" s="2930"/>
      <c r="BT20" s="2930">
        <f>IF(Options!$AH$24=TRUE,0,BN20*'Step 11b--Inputs'!$I20)</f>
        <v>0</v>
      </c>
      <c r="BU20" s="2931"/>
      <c r="BV20" s="2932">
        <f>IFERROR('Step 9b--Daily DMI Rations'!AY24/'Step 7b--Feedstuff Required'!$Z20*'Step 7b--Feedstuff Required'!$AL20/'Step 7b--Feedstuff Required'!$AI20,0)</f>
        <v>0</v>
      </c>
      <c r="BW20" s="2930"/>
      <c r="BX20" s="2930">
        <f>IF(Options!$AH$24=TRUE,0,BV20*'Step 11b--Inputs'!$C20)</f>
        <v>0</v>
      </c>
      <c r="BY20" s="2930"/>
      <c r="BZ20" s="2930">
        <f>IF(Options!$AH$24=TRUE,0,BV20*'Step 11b--Inputs'!$F20)</f>
        <v>0</v>
      </c>
      <c r="CA20" s="2930"/>
      <c r="CB20" s="2930">
        <f>IF(Options!$AH$24=TRUE,0,BV20*'Step 11b--Inputs'!$I20)</f>
        <v>0</v>
      </c>
      <c r="CC20" s="2933"/>
    </row>
    <row r="21" spans="1:81" ht="3" customHeight="1">
      <c r="A21" s="1224"/>
      <c r="B21" s="2954"/>
      <c r="C21" s="2955"/>
      <c r="D21" s="2955"/>
      <c r="E21" s="2955"/>
      <c r="F21" s="2955"/>
      <c r="G21" s="2955"/>
      <c r="H21" s="2955"/>
      <c r="I21" s="2956"/>
      <c r="J21" s="2957"/>
      <c r="K21" s="2955"/>
      <c r="L21" s="2955"/>
      <c r="M21" s="2955"/>
      <c r="N21" s="2955"/>
      <c r="O21" s="2955"/>
      <c r="P21" s="2955"/>
      <c r="Q21" s="2956"/>
      <c r="R21" s="2957"/>
      <c r="S21" s="2955"/>
      <c r="T21" s="2955"/>
      <c r="U21" s="2955"/>
      <c r="V21" s="2955"/>
      <c r="W21" s="2955"/>
      <c r="X21" s="2955"/>
      <c r="Y21" s="2956"/>
      <c r="Z21" s="2957"/>
      <c r="AA21" s="2955"/>
      <c r="AB21" s="2955"/>
      <c r="AC21" s="2955"/>
      <c r="AD21" s="2955"/>
      <c r="AE21" s="2955"/>
      <c r="AF21" s="2955"/>
      <c r="AG21" s="2956"/>
      <c r="AH21" s="2957"/>
      <c r="AI21" s="2955"/>
      <c r="AJ21" s="2955"/>
      <c r="AK21" s="2955"/>
      <c r="AL21" s="2955"/>
      <c r="AM21" s="2955"/>
      <c r="AN21" s="2955"/>
      <c r="AO21" s="2958"/>
      <c r="AP21" s="2929"/>
      <c r="AQ21" s="2930"/>
      <c r="AR21" s="2930"/>
      <c r="AS21" s="2930"/>
      <c r="AT21" s="2930"/>
      <c r="AU21" s="2930"/>
      <c r="AV21" s="2930"/>
      <c r="AW21" s="2931"/>
      <c r="AX21" s="2932"/>
      <c r="AY21" s="2930"/>
      <c r="AZ21" s="2930"/>
      <c r="BA21" s="2930"/>
      <c r="BB21" s="2930"/>
      <c r="BC21" s="2930"/>
      <c r="BD21" s="2930"/>
      <c r="BE21" s="2931"/>
      <c r="BF21" s="2932"/>
      <c r="BG21" s="2930"/>
      <c r="BH21" s="2930"/>
      <c r="BI21" s="2930"/>
      <c r="BJ21" s="2930"/>
      <c r="BK21" s="2930"/>
      <c r="BL21" s="2930"/>
      <c r="BM21" s="2931"/>
      <c r="BN21" s="2932"/>
      <c r="BO21" s="2930"/>
      <c r="BP21" s="2930"/>
      <c r="BQ21" s="2930"/>
      <c r="BR21" s="2930"/>
      <c r="BS21" s="2930"/>
      <c r="BT21" s="2930"/>
      <c r="BU21" s="2931"/>
      <c r="BV21" s="2932"/>
      <c r="BW21" s="2930"/>
      <c r="BX21" s="2930"/>
      <c r="BY21" s="2930"/>
      <c r="BZ21" s="2930"/>
      <c r="CA21" s="2930"/>
      <c r="CB21" s="2930"/>
      <c r="CC21" s="2933"/>
    </row>
    <row r="22" spans="1:81" ht="14.25">
      <c r="A22" s="1225" t="str">
        <f>IF('Step 7a--Feedstuff Required'!B22="[add forage crop here]"," ",'Step 7a--Feedstuff Required'!B22)</f>
        <v xml:space="preserve"> </v>
      </c>
      <c r="B22" s="2954">
        <f>IFERROR('Step 10b--Required Acres'!D21/'Step 7b--Feedstuff Required'!$E22*'Step 7b--Feedstuff Required'!$Q22/'Step 7b--Feedstuff Required'!$N22,0)</f>
        <v>0</v>
      </c>
      <c r="C22" s="2955"/>
      <c r="D22" s="2955">
        <f>IF(Options!$AG$24=TRUE,0,B22*'Step 11b--Inputs'!$C22)</f>
        <v>0</v>
      </c>
      <c r="E22" s="2955"/>
      <c r="F22" s="2955">
        <f>IF(Options!$AG$24=TRUE,0,B22*'Step 11b--Inputs'!$F22)</f>
        <v>0</v>
      </c>
      <c r="G22" s="2955"/>
      <c r="H22" s="2955">
        <f>IF(Options!$AG$24=TRUE,0,B22*'Step 11b--Inputs'!$I22)</f>
        <v>0</v>
      </c>
      <c r="I22" s="2956"/>
      <c r="J22" s="2957">
        <f>IFERROR('Step 9b--Daily DMI Rations'!F26/'Step 7b--Feedstuff Required'!$E22*'Step 7b--Feedstuff Required'!$Q22/'Step 7b--Feedstuff Required'!$N22,0)</f>
        <v>0</v>
      </c>
      <c r="K22" s="2955"/>
      <c r="L22" s="2955">
        <f>IF(Options!$AG$24=TRUE,0,J22*'Step 11b--Inputs'!$C22)</f>
        <v>0</v>
      </c>
      <c r="M22" s="2955"/>
      <c r="N22" s="2955">
        <f>IF(Options!$AG$24=TRUE,0,J22*'Step 11b--Inputs'!$F22)</f>
        <v>0</v>
      </c>
      <c r="O22" s="2955"/>
      <c r="P22" s="2955">
        <f>IF(Options!$AG$24=TRUE,0,J22*'Step 11b--Inputs'!$I22)</f>
        <v>0</v>
      </c>
      <c r="Q22" s="2956"/>
      <c r="R22" s="2957">
        <f>IFERROR('Step 9b--Daily DMI Rations'!L26/'Step 7b--Feedstuff Required'!$E22*'Step 7b--Feedstuff Required'!$Q22/'Step 7b--Feedstuff Required'!$N22,0)</f>
        <v>0</v>
      </c>
      <c r="S22" s="2955"/>
      <c r="T22" s="2955">
        <f>IF(Options!$AG$24=TRUE,0,R22*'Step 11b--Inputs'!$C22)</f>
        <v>0</v>
      </c>
      <c r="U22" s="2955"/>
      <c r="V22" s="2955">
        <f>IF(Options!$AG$24=TRUE,0,R22*'Step 11b--Inputs'!$F22)</f>
        <v>0</v>
      </c>
      <c r="W22" s="2955"/>
      <c r="X22" s="2955">
        <f>IF(Options!$AG$24=TRUE,0,R22*'Step 11b--Inputs'!$I22)</f>
        <v>0</v>
      </c>
      <c r="Y22" s="2956"/>
      <c r="Z22" s="2957">
        <f>IFERROR('Step 9b--Daily DMI Rations'!R26/'Step 7b--Feedstuff Required'!$E22*'Step 7b--Feedstuff Required'!$Q22/'Step 7b--Feedstuff Required'!$N22,0)</f>
        <v>0</v>
      </c>
      <c r="AA22" s="2955"/>
      <c r="AB22" s="2955">
        <f>IF(Options!$AG$24=TRUE,0,Z22*'Step 11b--Inputs'!$C22)</f>
        <v>0</v>
      </c>
      <c r="AC22" s="2955"/>
      <c r="AD22" s="2955">
        <f>IF(Options!$AG$24=TRUE,0,Z22*'Step 11b--Inputs'!$F22)</f>
        <v>0</v>
      </c>
      <c r="AE22" s="2955"/>
      <c r="AF22" s="2955">
        <f>IF(Options!$AG$24=TRUE,0,Z22*'Step 11b--Inputs'!$I22)</f>
        <v>0</v>
      </c>
      <c r="AG22" s="2956"/>
      <c r="AH22" s="2957">
        <f>IFERROR('Step 9b--Daily DMI Rations'!X26/'Step 7b--Feedstuff Required'!$E22*'Step 7b--Feedstuff Required'!$Q22/'Step 7b--Feedstuff Required'!$N22,0)</f>
        <v>0</v>
      </c>
      <c r="AI22" s="2955"/>
      <c r="AJ22" s="2955">
        <f>IF(Options!$AG$24=TRUE,0,AH22*'Step 11b--Inputs'!$C22)</f>
        <v>0</v>
      </c>
      <c r="AK22" s="2955"/>
      <c r="AL22" s="2955">
        <f>IF(Options!$AG$24=TRUE,0,AH22*'Step 11b--Inputs'!$F22)</f>
        <v>0</v>
      </c>
      <c r="AM22" s="2955"/>
      <c r="AN22" s="2955">
        <f>IF(Options!$AG$24=TRUE,0,AH22*'Step 11b--Inputs'!$I22)</f>
        <v>0</v>
      </c>
      <c r="AO22" s="2958"/>
      <c r="AP22" s="2929">
        <f>IFERROR('Step 9b--Daily DMI Rations'!AB26/'Step 7b--Feedstuff Required'!$Z22*'Step 7b--Feedstuff Required'!$AL22/'Step 7b--Feedstuff Required'!$AI22,0)</f>
        <v>0</v>
      </c>
      <c r="AQ22" s="2930"/>
      <c r="AR22" s="2930">
        <f>IF(Options!$AH$24=TRUE,0,AP22*'Step 11b--Inputs'!$C22)</f>
        <v>0</v>
      </c>
      <c r="AS22" s="2930"/>
      <c r="AT22" s="2930">
        <f>IF(Options!$AH$24=TRUE,0,AP22*'Step 11b--Inputs'!$F22)</f>
        <v>0</v>
      </c>
      <c r="AU22" s="2930"/>
      <c r="AV22" s="2930">
        <f>IF(Options!$AH$24=TRUE,0,AP22*'Step 11b--Inputs'!$I22)</f>
        <v>0</v>
      </c>
      <c r="AW22" s="2931"/>
      <c r="AX22" s="2932">
        <f>IFERROR('Step 9b--Daily DMI Rations'!AG26/'Step 7b--Feedstuff Required'!$Z22*'Step 7b--Feedstuff Required'!$AL22/'Step 7b--Feedstuff Required'!$AI22,0)</f>
        <v>0</v>
      </c>
      <c r="AY22" s="2930"/>
      <c r="AZ22" s="2930">
        <f>IF(Options!$AH$24=TRUE,0,AX22*'Step 11b--Inputs'!$C22)</f>
        <v>0</v>
      </c>
      <c r="BA22" s="2930"/>
      <c r="BB22" s="2930">
        <f>IF(Options!$AH$24=TRUE,0,AX22*'Step 11b--Inputs'!$F22)</f>
        <v>0</v>
      </c>
      <c r="BC22" s="2930"/>
      <c r="BD22" s="2930">
        <f>IF(Options!$AH$24=TRUE,0,AX22*'Step 11b--Inputs'!$I22)</f>
        <v>0</v>
      </c>
      <c r="BE22" s="2931"/>
      <c r="BF22" s="2932">
        <f>IFERROR('Step 9b--Daily DMI Rations'!AM26/'Step 7b--Feedstuff Required'!$Z22*'Step 7b--Feedstuff Required'!$AL22/'Step 7b--Feedstuff Required'!$AI22,0)</f>
        <v>0</v>
      </c>
      <c r="BG22" s="2930"/>
      <c r="BH22" s="2930">
        <f>IF(Options!$AH$24=TRUE,0,BF22*'Step 11b--Inputs'!$C22)</f>
        <v>0</v>
      </c>
      <c r="BI22" s="2930"/>
      <c r="BJ22" s="2930">
        <f>IF(Options!$AH$24=TRUE,0,BF22*'Step 11b--Inputs'!$F22)</f>
        <v>0</v>
      </c>
      <c r="BK22" s="2930"/>
      <c r="BL22" s="2930">
        <f>IF(Options!$AH$24=TRUE,0,BF22*'Step 11b--Inputs'!$I22)</f>
        <v>0</v>
      </c>
      <c r="BM22" s="2931"/>
      <c r="BN22" s="2932">
        <f>IFERROR('Step 9b--Daily DMI Rations'!AS26/'Step 7b--Feedstuff Required'!$Z22*'Step 7b--Feedstuff Required'!$AL22/'Step 7b--Feedstuff Required'!$AI22,0)</f>
        <v>0</v>
      </c>
      <c r="BO22" s="2930"/>
      <c r="BP22" s="2930">
        <f>IF(Options!$AH$24=TRUE,0,BN22*'Step 11b--Inputs'!$C22)</f>
        <v>0</v>
      </c>
      <c r="BQ22" s="2930"/>
      <c r="BR22" s="2930">
        <f>IF(Options!$AH$24=TRUE,0,BN22*'Step 11b--Inputs'!$F22)</f>
        <v>0</v>
      </c>
      <c r="BS22" s="2930"/>
      <c r="BT22" s="2930">
        <f>IF(Options!$AH$24=TRUE,0,BN22*'Step 11b--Inputs'!$I22)</f>
        <v>0</v>
      </c>
      <c r="BU22" s="2931"/>
      <c r="BV22" s="2932">
        <f>IFERROR('Step 9b--Daily DMI Rations'!AY26/'Step 7b--Feedstuff Required'!$Z22*'Step 7b--Feedstuff Required'!$AL22/'Step 7b--Feedstuff Required'!$AI22,0)</f>
        <v>0</v>
      </c>
      <c r="BW22" s="2930"/>
      <c r="BX22" s="2930">
        <f>IF(Options!$AH$24=TRUE,0,BV22*'Step 11b--Inputs'!$C22)</f>
        <v>0</v>
      </c>
      <c r="BY22" s="2930"/>
      <c r="BZ22" s="2930">
        <f>IF(Options!$AH$24=TRUE,0,BV22*'Step 11b--Inputs'!$F22)</f>
        <v>0</v>
      </c>
      <c r="CA22" s="2930"/>
      <c r="CB22" s="2930">
        <f>IF(Options!$AH$24=TRUE,0,BV22*'Step 11b--Inputs'!$I22)</f>
        <v>0</v>
      </c>
      <c r="CC22" s="2933"/>
    </row>
    <row r="23" spans="1:81" ht="3" customHeight="1">
      <c r="A23" s="1224"/>
      <c r="B23" s="2954"/>
      <c r="C23" s="2955"/>
      <c r="D23" s="2955"/>
      <c r="E23" s="2955"/>
      <c r="F23" s="2955"/>
      <c r="G23" s="2955"/>
      <c r="H23" s="2955"/>
      <c r="I23" s="2956"/>
      <c r="J23" s="2957"/>
      <c r="K23" s="2955"/>
      <c r="L23" s="2955"/>
      <c r="M23" s="2955"/>
      <c r="N23" s="2955"/>
      <c r="O23" s="2955"/>
      <c r="P23" s="2955"/>
      <c r="Q23" s="2956"/>
      <c r="R23" s="2957"/>
      <c r="S23" s="2955"/>
      <c r="T23" s="2955"/>
      <c r="U23" s="2955"/>
      <c r="V23" s="2955"/>
      <c r="W23" s="2955"/>
      <c r="X23" s="2955"/>
      <c r="Y23" s="2956"/>
      <c r="Z23" s="2957"/>
      <c r="AA23" s="2955"/>
      <c r="AB23" s="2955"/>
      <c r="AC23" s="2955"/>
      <c r="AD23" s="2955"/>
      <c r="AE23" s="2955"/>
      <c r="AF23" s="2955"/>
      <c r="AG23" s="2956"/>
      <c r="AH23" s="2957"/>
      <c r="AI23" s="2955"/>
      <c r="AJ23" s="2955"/>
      <c r="AK23" s="2955"/>
      <c r="AL23" s="2955"/>
      <c r="AM23" s="2955"/>
      <c r="AN23" s="2955"/>
      <c r="AO23" s="2958"/>
      <c r="AP23" s="2929"/>
      <c r="AQ23" s="2930"/>
      <c r="AR23" s="2930"/>
      <c r="AS23" s="2930"/>
      <c r="AT23" s="2930"/>
      <c r="AU23" s="2930"/>
      <c r="AV23" s="2930"/>
      <c r="AW23" s="2931"/>
      <c r="AX23" s="2932"/>
      <c r="AY23" s="2930"/>
      <c r="AZ23" s="2930"/>
      <c r="BA23" s="2930"/>
      <c r="BB23" s="2930"/>
      <c r="BC23" s="2930"/>
      <c r="BD23" s="2930"/>
      <c r="BE23" s="2931"/>
      <c r="BF23" s="2932"/>
      <c r="BG23" s="2930"/>
      <c r="BH23" s="2930"/>
      <c r="BI23" s="2930"/>
      <c r="BJ23" s="2930"/>
      <c r="BK23" s="2930"/>
      <c r="BL23" s="2930"/>
      <c r="BM23" s="2931"/>
      <c r="BN23" s="2932"/>
      <c r="BO23" s="2930"/>
      <c r="BP23" s="2930"/>
      <c r="BQ23" s="2930"/>
      <c r="BR23" s="2930"/>
      <c r="BS23" s="2930"/>
      <c r="BT23" s="2930"/>
      <c r="BU23" s="2931"/>
      <c r="BV23" s="2932"/>
      <c r="BW23" s="2930"/>
      <c r="BX23" s="2930"/>
      <c r="BY23" s="2930"/>
      <c r="BZ23" s="2930"/>
      <c r="CA23" s="2930"/>
      <c r="CB23" s="2930"/>
      <c r="CC23" s="2933"/>
    </row>
    <row r="24" spans="1:81" ht="14.25">
      <c r="A24" s="1225" t="str">
        <f>IF('Step 7a--Feedstuff Required'!B24="[add forage crop here]"," ",'Step 7a--Feedstuff Required'!B24)</f>
        <v xml:space="preserve"> </v>
      </c>
      <c r="B24" s="2954">
        <f>IFERROR('Step 10b--Required Acres'!D23/'Step 7b--Feedstuff Required'!$E24*'Step 7b--Feedstuff Required'!$Q24/'Step 7b--Feedstuff Required'!$N24,0)</f>
        <v>0</v>
      </c>
      <c r="C24" s="2955"/>
      <c r="D24" s="2955">
        <f>IF(Options!$AG$24=TRUE,0,B24*'Step 11b--Inputs'!$C24)</f>
        <v>0</v>
      </c>
      <c r="E24" s="2955"/>
      <c r="F24" s="2955">
        <f>IF(Options!$AG$24=TRUE,0,B24*'Step 11b--Inputs'!$F24)</f>
        <v>0</v>
      </c>
      <c r="G24" s="2955"/>
      <c r="H24" s="2955">
        <f>IF(Options!$AG$24=TRUE,0,B24*'Step 11b--Inputs'!$I24)</f>
        <v>0</v>
      </c>
      <c r="I24" s="2956"/>
      <c r="J24" s="2957">
        <f>IFERROR('Step 9b--Daily DMI Rations'!F28/'Step 7b--Feedstuff Required'!$E24*'Step 7b--Feedstuff Required'!$Q24/'Step 7b--Feedstuff Required'!$N24,0)</f>
        <v>0</v>
      </c>
      <c r="K24" s="2955"/>
      <c r="L24" s="2955">
        <f>IF(Options!$AG$24=TRUE,0,J24*'Step 11b--Inputs'!$C24)</f>
        <v>0</v>
      </c>
      <c r="M24" s="2955"/>
      <c r="N24" s="2955">
        <f>IF(Options!$AG$24=TRUE,0,J24*'Step 11b--Inputs'!$F24)</f>
        <v>0</v>
      </c>
      <c r="O24" s="2955"/>
      <c r="P24" s="2955">
        <f>IF(Options!$AG$24=TRUE,0,J24*'Step 11b--Inputs'!$I24)</f>
        <v>0</v>
      </c>
      <c r="Q24" s="2956"/>
      <c r="R24" s="2957">
        <f>IFERROR('Step 9b--Daily DMI Rations'!L28/'Step 7b--Feedstuff Required'!$E24*'Step 7b--Feedstuff Required'!$Q24/'Step 7b--Feedstuff Required'!$N24,0)</f>
        <v>0</v>
      </c>
      <c r="S24" s="2955"/>
      <c r="T24" s="2955">
        <f>IF(Options!$AG$24=TRUE,0,R24*'Step 11b--Inputs'!$C24)</f>
        <v>0</v>
      </c>
      <c r="U24" s="2955"/>
      <c r="V24" s="2955">
        <f>IF(Options!$AG$24=TRUE,0,R24*'Step 11b--Inputs'!$F24)</f>
        <v>0</v>
      </c>
      <c r="W24" s="2955"/>
      <c r="X24" s="2955">
        <f>IF(Options!$AG$24=TRUE,0,R24*'Step 11b--Inputs'!$I24)</f>
        <v>0</v>
      </c>
      <c r="Y24" s="2956"/>
      <c r="Z24" s="2957">
        <f>IFERROR('Step 9b--Daily DMI Rations'!R28/'Step 7b--Feedstuff Required'!$E24*'Step 7b--Feedstuff Required'!$Q24/'Step 7b--Feedstuff Required'!$N24,0)</f>
        <v>0</v>
      </c>
      <c r="AA24" s="2955"/>
      <c r="AB24" s="2955">
        <f>IF(Options!$AG$24=TRUE,0,Z24*'Step 11b--Inputs'!$C24)</f>
        <v>0</v>
      </c>
      <c r="AC24" s="2955"/>
      <c r="AD24" s="2955">
        <f>IF(Options!$AG$24=TRUE,0,Z24*'Step 11b--Inputs'!$F24)</f>
        <v>0</v>
      </c>
      <c r="AE24" s="2955"/>
      <c r="AF24" s="2955">
        <f>IF(Options!$AG$24=TRUE,0,Z24*'Step 11b--Inputs'!$I24)</f>
        <v>0</v>
      </c>
      <c r="AG24" s="2956"/>
      <c r="AH24" s="2957">
        <f>IFERROR('Step 9b--Daily DMI Rations'!X28/'Step 7b--Feedstuff Required'!$E24*'Step 7b--Feedstuff Required'!$Q24/'Step 7b--Feedstuff Required'!$N24,0)</f>
        <v>0</v>
      </c>
      <c r="AI24" s="2955"/>
      <c r="AJ24" s="2955">
        <f>IF(Options!$AG$24=TRUE,0,AH24*'Step 11b--Inputs'!$C24)</f>
        <v>0</v>
      </c>
      <c r="AK24" s="2955"/>
      <c r="AL24" s="2955">
        <f>IF(Options!$AG$24=TRUE,0,AH24*'Step 11b--Inputs'!$F24)</f>
        <v>0</v>
      </c>
      <c r="AM24" s="2955"/>
      <c r="AN24" s="2955">
        <f>IF(Options!$AG$24=TRUE,0,AH24*'Step 11b--Inputs'!$I24)</f>
        <v>0</v>
      </c>
      <c r="AO24" s="2958"/>
      <c r="AP24" s="2929">
        <f>IFERROR('Step 9b--Daily DMI Rations'!AB28/'Step 7b--Feedstuff Required'!$Z24*'Step 7b--Feedstuff Required'!$AL24/'Step 7b--Feedstuff Required'!$AI24,0)</f>
        <v>0</v>
      </c>
      <c r="AQ24" s="2930"/>
      <c r="AR24" s="2930">
        <f>IF(Options!$AH$24=TRUE,0,AP24*'Step 11b--Inputs'!$C24)</f>
        <v>0</v>
      </c>
      <c r="AS24" s="2930"/>
      <c r="AT24" s="2930">
        <f>IF(Options!$AH$24=TRUE,0,AP24*'Step 11b--Inputs'!$F24)</f>
        <v>0</v>
      </c>
      <c r="AU24" s="2930"/>
      <c r="AV24" s="2930">
        <f>IF(Options!$AH$24=TRUE,0,AP24*'Step 11b--Inputs'!$I24)</f>
        <v>0</v>
      </c>
      <c r="AW24" s="2931"/>
      <c r="AX24" s="2932">
        <f>IFERROR('Step 9b--Daily DMI Rations'!AG28/'Step 7b--Feedstuff Required'!$Z24*'Step 7b--Feedstuff Required'!$AL24/'Step 7b--Feedstuff Required'!$AI24,0)</f>
        <v>0</v>
      </c>
      <c r="AY24" s="2930"/>
      <c r="AZ24" s="2930">
        <f>IF(Options!$AH$24=TRUE,0,AX24*'Step 11b--Inputs'!$C24)</f>
        <v>0</v>
      </c>
      <c r="BA24" s="2930"/>
      <c r="BB24" s="2930">
        <f>IF(Options!$AH$24=TRUE,0,AX24*'Step 11b--Inputs'!$F24)</f>
        <v>0</v>
      </c>
      <c r="BC24" s="2930"/>
      <c r="BD24" s="2930">
        <f>IF(Options!$AH$24=TRUE,0,AX24*'Step 11b--Inputs'!$I24)</f>
        <v>0</v>
      </c>
      <c r="BE24" s="2931"/>
      <c r="BF24" s="2932">
        <f>IFERROR('Step 9b--Daily DMI Rations'!AM28/'Step 7b--Feedstuff Required'!$Z24*'Step 7b--Feedstuff Required'!$AL24/'Step 7b--Feedstuff Required'!$AI24,0)</f>
        <v>0</v>
      </c>
      <c r="BG24" s="2930"/>
      <c r="BH24" s="2930">
        <f>IF(Options!$AH$24=TRUE,0,BF24*'Step 11b--Inputs'!$C24)</f>
        <v>0</v>
      </c>
      <c r="BI24" s="2930"/>
      <c r="BJ24" s="2930">
        <f>IF(Options!$AH$24=TRUE,0,BF24*'Step 11b--Inputs'!$F24)</f>
        <v>0</v>
      </c>
      <c r="BK24" s="2930"/>
      <c r="BL24" s="2930">
        <f>IF(Options!$AH$24=TRUE,0,BF24*'Step 11b--Inputs'!$I24)</f>
        <v>0</v>
      </c>
      <c r="BM24" s="2931"/>
      <c r="BN24" s="2932">
        <f>IFERROR('Step 9b--Daily DMI Rations'!AS28/'Step 7b--Feedstuff Required'!$Z24*'Step 7b--Feedstuff Required'!$AL24/'Step 7b--Feedstuff Required'!$AI24,0)</f>
        <v>0</v>
      </c>
      <c r="BO24" s="2930"/>
      <c r="BP24" s="2930">
        <f>IF(Options!$AH$24=TRUE,0,BN24*'Step 11b--Inputs'!$C24)</f>
        <v>0</v>
      </c>
      <c r="BQ24" s="2930"/>
      <c r="BR24" s="2930">
        <f>IF(Options!$AH$24=TRUE,0,BN24*'Step 11b--Inputs'!$F24)</f>
        <v>0</v>
      </c>
      <c r="BS24" s="2930"/>
      <c r="BT24" s="2930">
        <f>IF(Options!$AH$24=TRUE,0,BN24*'Step 11b--Inputs'!$I24)</f>
        <v>0</v>
      </c>
      <c r="BU24" s="2931"/>
      <c r="BV24" s="2932">
        <f>IFERROR('Step 9b--Daily DMI Rations'!AY28/'Step 7b--Feedstuff Required'!$Z24*'Step 7b--Feedstuff Required'!$AL24/'Step 7b--Feedstuff Required'!$AI24,0)</f>
        <v>0</v>
      </c>
      <c r="BW24" s="2930"/>
      <c r="BX24" s="2930">
        <f>IF(Options!$AH$24=TRUE,0,BV24*'Step 11b--Inputs'!$C24)</f>
        <v>0</v>
      </c>
      <c r="BY24" s="2930"/>
      <c r="BZ24" s="2930">
        <f>IF(Options!$AH$24=TRUE,0,BV24*'Step 11b--Inputs'!$F24)</f>
        <v>0</v>
      </c>
      <c r="CA24" s="2930"/>
      <c r="CB24" s="2930">
        <f>IF(Options!$AH$24=TRUE,0,BV24*'Step 11b--Inputs'!$I24)</f>
        <v>0</v>
      </c>
      <c r="CC24" s="2933"/>
    </row>
    <row r="25" spans="1:81" ht="3" customHeight="1">
      <c r="A25" s="1224"/>
      <c r="B25" s="2954"/>
      <c r="C25" s="2955"/>
      <c r="D25" s="2955"/>
      <c r="E25" s="2955"/>
      <c r="F25" s="2955"/>
      <c r="G25" s="2955"/>
      <c r="H25" s="2955"/>
      <c r="I25" s="2956"/>
      <c r="J25" s="2957"/>
      <c r="K25" s="2955"/>
      <c r="L25" s="2955"/>
      <c r="M25" s="2955"/>
      <c r="N25" s="2955"/>
      <c r="O25" s="2955"/>
      <c r="P25" s="2955"/>
      <c r="Q25" s="2956"/>
      <c r="R25" s="2957"/>
      <c r="S25" s="2955"/>
      <c r="T25" s="2955"/>
      <c r="U25" s="2955"/>
      <c r="V25" s="2955"/>
      <c r="W25" s="2955"/>
      <c r="X25" s="2955"/>
      <c r="Y25" s="2956"/>
      <c r="Z25" s="2957"/>
      <c r="AA25" s="2955"/>
      <c r="AB25" s="2955"/>
      <c r="AC25" s="2955"/>
      <c r="AD25" s="2955"/>
      <c r="AE25" s="2955"/>
      <c r="AF25" s="2955"/>
      <c r="AG25" s="2956"/>
      <c r="AH25" s="2957"/>
      <c r="AI25" s="2955"/>
      <c r="AJ25" s="2955"/>
      <c r="AK25" s="2955"/>
      <c r="AL25" s="2955"/>
      <c r="AM25" s="2955"/>
      <c r="AN25" s="2955"/>
      <c r="AO25" s="2958"/>
      <c r="AP25" s="2929"/>
      <c r="AQ25" s="2930"/>
      <c r="AR25" s="2930"/>
      <c r="AS25" s="2930"/>
      <c r="AT25" s="2930"/>
      <c r="AU25" s="2930"/>
      <c r="AV25" s="2930"/>
      <c r="AW25" s="2931"/>
      <c r="AX25" s="2932"/>
      <c r="AY25" s="2930"/>
      <c r="AZ25" s="2930"/>
      <c r="BA25" s="2930"/>
      <c r="BB25" s="2930"/>
      <c r="BC25" s="2930"/>
      <c r="BD25" s="2930"/>
      <c r="BE25" s="2931"/>
      <c r="BF25" s="2932"/>
      <c r="BG25" s="2930"/>
      <c r="BH25" s="2930"/>
      <c r="BI25" s="2930"/>
      <c r="BJ25" s="2930"/>
      <c r="BK25" s="2930"/>
      <c r="BL25" s="2930"/>
      <c r="BM25" s="2931"/>
      <c r="BN25" s="2932"/>
      <c r="BO25" s="2930"/>
      <c r="BP25" s="2930"/>
      <c r="BQ25" s="2930"/>
      <c r="BR25" s="2930"/>
      <c r="BS25" s="2930"/>
      <c r="BT25" s="2930"/>
      <c r="BU25" s="2931"/>
      <c r="BV25" s="2932"/>
      <c r="BW25" s="2930"/>
      <c r="BX25" s="2930"/>
      <c r="BY25" s="2930"/>
      <c r="BZ25" s="2930"/>
      <c r="CA25" s="2930"/>
      <c r="CB25" s="2930"/>
      <c r="CC25" s="2933"/>
    </row>
    <row r="26" spans="1:81" s="20" customFormat="1" ht="15">
      <c r="A26" s="3774" t="s">
        <v>1481</v>
      </c>
      <c r="B26" s="2959">
        <f>SUM(B8:B24)</f>
        <v>1.0261404816878069E-2</v>
      </c>
      <c r="C26" s="2960"/>
      <c r="D26" s="2960">
        <f t="shared" ref="D26:CB26" si="0">SUM(D8:D24)</f>
        <v>0</v>
      </c>
      <c r="E26" s="2960"/>
      <c r="F26" s="2960">
        <f t="shared" si="0"/>
        <v>0</v>
      </c>
      <c r="G26" s="2960"/>
      <c r="H26" s="2960">
        <f t="shared" si="0"/>
        <v>0</v>
      </c>
      <c r="I26" s="2961"/>
      <c r="J26" s="2962">
        <f t="shared" si="0"/>
        <v>7.3929804994977786E-3</v>
      </c>
      <c r="K26" s="2960"/>
      <c r="L26" s="2960">
        <f t="shared" si="0"/>
        <v>0</v>
      </c>
      <c r="M26" s="2960"/>
      <c r="N26" s="2960">
        <f t="shared" si="0"/>
        <v>0</v>
      </c>
      <c r="O26" s="2960"/>
      <c r="P26" s="2960">
        <f t="shared" si="0"/>
        <v>0</v>
      </c>
      <c r="Q26" s="2961"/>
      <c r="R26" s="2962">
        <f t="shared" si="0"/>
        <v>7.6580995426072393E-4</v>
      </c>
      <c r="S26" s="2960"/>
      <c r="T26" s="2960">
        <f t="shared" si="0"/>
        <v>0</v>
      </c>
      <c r="U26" s="2960"/>
      <c r="V26" s="2960">
        <f t="shared" si="0"/>
        <v>0</v>
      </c>
      <c r="W26" s="2960"/>
      <c r="X26" s="2960">
        <f t="shared" si="0"/>
        <v>0</v>
      </c>
      <c r="Y26" s="2961"/>
      <c r="Z26" s="2962">
        <f t="shared" si="0"/>
        <v>1.4917238152387983E-3</v>
      </c>
      <c r="AA26" s="2960"/>
      <c r="AB26" s="2960">
        <f t="shared" si="0"/>
        <v>0</v>
      </c>
      <c r="AC26" s="2960"/>
      <c r="AD26" s="2960">
        <f t="shared" si="0"/>
        <v>0</v>
      </c>
      <c r="AE26" s="2960"/>
      <c r="AF26" s="2960">
        <f t="shared" si="0"/>
        <v>0</v>
      </c>
      <c r="AG26" s="2961"/>
      <c r="AH26" s="2962">
        <f t="shared" si="0"/>
        <v>6.1089054788076788E-4</v>
      </c>
      <c r="AI26" s="2960"/>
      <c r="AJ26" s="2960">
        <f t="shared" si="0"/>
        <v>0</v>
      </c>
      <c r="AK26" s="2960"/>
      <c r="AL26" s="2960">
        <f t="shared" si="0"/>
        <v>0</v>
      </c>
      <c r="AM26" s="2960"/>
      <c r="AN26" s="2960">
        <f t="shared" si="0"/>
        <v>0</v>
      </c>
      <c r="AO26" s="2963"/>
      <c r="AP26" s="2934">
        <f t="shared" si="0"/>
        <v>1.0261404816878069E-2</v>
      </c>
      <c r="AQ26" s="2935"/>
      <c r="AR26" s="2935">
        <f t="shared" si="0"/>
        <v>0</v>
      </c>
      <c r="AS26" s="2935"/>
      <c r="AT26" s="2935">
        <f t="shared" si="0"/>
        <v>0</v>
      </c>
      <c r="AU26" s="2935"/>
      <c r="AV26" s="2935">
        <f t="shared" si="0"/>
        <v>0</v>
      </c>
      <c r="AW26" s="2936"/>
      <c r="AX26" s="2937">
        <f t="shared" si="0"/>
        <v>6.8381318737827613E-3</v>
      </c>
      <c r="AY26" s="2935"/>
      <c r="AZ26" s="2935">
        <f t="shared" si="0"/>
        <v>0</v>
      </c>
      <c r="BA26" s="2935"/>
      <c r="BB26" s="2935">
        <f t="shared" si="0"/>
        <v>0</v>
      </c>
      <c r="BC26" s="2935"/>
      <c r="BD26" s="2935">
        <f t="shared" si="0"/>
        <v>0</v>
      </c>
      <c r="BE26" s="2936"/>
      <c r="BF26" s="2937">
        <f t="shared" si="0"/>
        <v>5.4662445512937852E-4</v>
      </c>
      <c r="BG26" s="2935"/>
      <c r="BH26" s="2935">
        <f t="shared" si="0"/>
        <v>0</v>
      </c>
      <c r="BI26" s="2935"/>
      <c r="BJ26" s="2935">
        <f t="shared" si="0"/>
        <v>0</v>
      </c>
      <c r="BK26" s="2935"/>
      <c r="BL26" s="2935">
        <f t="shared" si="0"/>
        <v>0</v>
      </c>
      <c r="BM26" s="2936"/>
      <c r="BN26" s="2937">
        <f t="shared" si="0"/>
        <v>7.6934676337032698E-4</v>
      </c>
      <c r="BO26" s="2935"/>
      <c r="BP26" s="2935">
        <f t="shared" si="0"/>
        <v>0</v>
      </c>
      <c r="BQ26" s="2935"/>
      <c r="BR26" s="2935">
        <f t="shared" si="0"/>
        <v>0</v>
      </c>
      <c r="BS26" s="2935"/>
      <c r="BT26" s="2935">
        <f t="shared" si="0"/>
        <v>0</v>
      </c>
      <c r="BU26" s="2936"/>
      <c r="BV26" s="2937">
        <f t="shared" si="0"/>
        <v>3.2656991679754058E-4</v>
      </c>
      <c r="BW26" s="2935"/>
      <c r="BX26" s="2935">
        <f t="shared" si="0"/>
        <v>0</v>
      </c>
      <c r="BY26" s="2935"/>
      <c r="BZ26" s="2935">
        <f t="shared" si="0"/>
        <v>0</v>
      </c>
      <c r="CA26" s="2935"/>
      <c r="CB26" s="2935">
        <f t="shared" si="0"/>
        <v>0</v>
      </c>
      <c r="CC26" s="2938"/>
    </row>
    <row r="27" spans="1:81" ht="8.25" customHeight="1">
      <c r="A27" s="787"/>
      <c r="B27" s="2954"/>
      <c r="C27" s="2955"/>
      <c r="D27" s="2955"/>
      <c r="E27" s="2955"/>
      <c r="F27" s="2955"/>
      <c r="G27" s="2955"/>
      <c r="H27" s="2955"/>
      <c r="I27" s="2956"/>
      <c r="J27" s="2957"/>
      <c r="K27" s="2955"/>
      <c r="L27" s="2955"/>
      <c r="M27" s="2955"/>
      <c r="N27" s="2955"/>
      <c r="O27" s="2955"/>
      <c r="P27" s="2955"/>
      <c r="Q27" s="2956"/>
      <c r="R27" s="2957"/>
      <c r="S27" s="2955"/>
      <c r="T27" s="2955"/>
      <c r="U27" s="2955"/>
      <c r="V27" s="2955"/>
      <c r="W27" s="2955"/>
      <c r="X27" s="2955"/>
      <c r="Y27" s="2956"/>
      <c r="Z27" s="2957"/>
      <c r="AA27" s="2955"/>
      <c r="AB27" s="2955"/>
      <c r="AC27" s="2955"/>
      <c r="AD27" s="2955"/>
      <c r="AE27" s="2955"/>
      <c r="AF27" s="2955"/>
      <c r="AG27" s="2956"/>
      <c r="AH27" s="2957"/>
      <c r="AI27" s="2955"/>
      <c r="AJ27" s="2955"/>
      <c r="AK27" s="2955"/>
      <c r="AL27" s="2955"/>
      <c r="AM27" s="2955"/>
      <c r="AN27" s="2955"/>
      <c r="AO27" s="2958"/>
      <c r="AP27" s="2929"/>
      <c r="AQ27" s="2930"/>
      <c r="AR27" s="2930"/>
      <c r="AS27" s="2930"/>
      <c r="AT27" s="2930"/>
      <c r="AU27" s="2930"/>
      <c r="AV27" s="2930"/>
      <c r="AW27" s="2931"/>
      <c r="AX27" s="2932"/>
      <c r="AY27" s="2930"/>
      <c r="AZ27" s="2930"/>
      <c r="BA27" s="2930"/>
      <c r="BB27" s="2930"/>
      <c r="BC27" s="2930"/>
      <c r="BD27" s="2930"/>
      <c r="BE27" s="2931"/>
      <c r="BF27" s="2932"/>
      <c r="BG27" s="2930"/>
      <c r="BH27" s="2930"/>
      <c r="BI27" s="2930"/>
      <c r="BJ27" s="2930"/>
      <c r="BK27" s="2930"/>
      <c r="BL27" s="2930"/>
      <c r="BM27" s="2931"/>
      <c r="BN27" s="2932"/>
      <c r="BO27" s="2930"/>
      <c r="BP27" s="2930"/>
      <c r="BQ27" s="2930"/>
      <c r="BR27" s="2930"/>
      <c r="BS27" s="2930"/>
      <c r="BT27" s="2930"/>
      <c r="BU27" s="2931"/>
      <c r="BV27" s="2932"/>
      <c r="BW27" s="2930"/>
      <c r="BX27" s="2930"/>
      <c r="BY27" s="2930"/>
      <c r="BZ27" s="2930"/>
      <c r="CA27" s="2930"/>
      <c r="CB27" s="2930"/>
      <c r="CC27" s="2933"/>
    </row>
    <row r="28" spans="1:81" ht="20.25" customHeight="1">
      <c r="A28" s="4031" t="s">
        <v>1479</v>
      </c>
      <c r="B28" s="4032"/>
      <c r="C28" s="4032"/>
      <c r="D28" s="4032"/>
      <c r="E28" s="4032"/>
      <c r="F28" s="4032"/>
      <c r="G28" s="4032"/>
      <c r="H28" s="4032"/>
      <c r="I28" s="4032"/>
      <c r="J28" s="4032"/>
      <c r="K28" s="4032"/>
      <c r="L28" s="4032"/>
      <c r="M28" s="4032"/>
      <c r="N28" s="4032"/>
      <c r="O28" s="4032"/>
      <c r="P28" s="4032"/>
      <c r="Q28" s="4032"/>
      <c r="R28" s="4032"/>
      <c r="S28" s="4032"/>
      <c r="T28" s="4032"/>
      <c r="U28" s="4032"/>
      <c r="V28" s="4032"/>
      <c r="W28" s="4032"/>
      <c r="X28" s="4032"/>
      <c r="Y28" s="4032"/>
      <c r="Z28" s="4032"/>
      <c r="AA28" s="4032"/>
      <c r="AB28" s="4032"/>
      <c r="AC28" s="4032"/>
      <c r="AD28" s="4032"/>
      <c r="AE28" s="4032"/>
      <c r="AF28" s="4032"/>
      <c r="AG28" s="4032"/>
      <c r="AH28" s="4032"/>
      <c r="AI28" s="4032"/>
      <c r="AJ28" s="4032"/>
      <c r="AK28" s="4032"/>
      <c r="AL28" s="4032"/>
      <c r="AM28" s="4032"/>
      <c r="AN28" s="4032"/>
      <c r="AO28" s="4032"/>
      <c r="AP28" s="4032"/>
      <c r="AQ28" s="4032"/>
      <c r="AR28" s="4032"/>
      <c r="AS28" s="4032"/>
      <c r="AT28" s="4032"/>
      <c r="AU28" s="4032"/>
      <c r="AV28" s="4032"/>
      <c r="AW28" s="4032"/>
      <c r="AX28" s="4032"/>
      <c r="AY28" s="4032"/>
      <c r="AZ28" s="4032"/>
      <c r="BA28" s="4032"/>
      <c r="BB28" s="4032"/>
      <c r="BC28" s="4032"/>
      <c r="BD28" s="4032"/>
      <c r="BE28" s="4032"/>
      <c r="BF28" s="4032"/>
      <c r="BG28" s="4032"/>
      <c r="BH28" s="4032"/>
      <c r="BI28" s="4032"/>
      <c r="BJ28" s="4032"/>
      <c r="BK28" s="4032"/>
      <c r="BL28" s="4032"/>
      <c r="BM28" s="4032"/>
      <c r="BN28" s="4032"/>
      <c r="BO28" s="4032"/>
      <c r="BP28" s="4032"/>
      <c r="BQ28" s="4032"/>
      <c r="BR28" s="4032"/>
      <c r="BS28" s="4032"/>
      <c r="BT28" s="4032"/>
      <c r="BU28" s="4032"/>
      <c r="BV28" s="4032"/>
      <c r="BW28" s="4032"/>
      <c r="BX28" s="4032"/>
      <c r="BY28" s="4032"/>
      <c r="BZ28" s="4032"/>
      <c r="CA28" s="4032"/>
      <c r="CB28" s="4032"/>
      <c r="CC28" s="4033"/>
    </row>
    <row r="29" spans="1:81" ht="14.25">
      <c r="A29" s="1224" t="s">
        <v>33</v>
      </c>
      <c r="B29" s="2954">
        <f>IFERROR('Step 10b--Required Acres'!D28/'Step 7b--Feedstuff Required'!$E30*'Step 7b--Feedstuff Required'!$Q30/'Step 7b--Feedstuff Required'!$N30,0)</f>
        <v>6.7355889724310782E-4</v>
      </c>
      <c r="C29" s="2955"/>
      <c r="D29" s="2955">
        <f>IF(Options!$AG$24=TRUE,0,B29*'Step 11b--Inputs'!$C30)</f>
        <v>0</v>
      </c>
      <c r="E29" s="2955"/>
      <c r="F29" s="2955">
        <f>IF(Options!$AG$24=TRUE,0,B29*'Step 11b--Inputs'!$F30)</f>
        <v>0</v>
      </c>
      <c r="G29" s="2955"/>
      <c r="H29" s="2955">
        <f>IF(Options!$AG$24=TRUE,0,B29*'Step 11b--Inputs'!$I30)</f>
        <v>0</v>
      </c>
      <c r="I29" s="2956"/>
      <c r="J29" s="2957">
        <f>IFERROR('Step 9b--Daily DMI Rations'!F34/'Step 7b--Feedstuff Required'!$E30*'Step 7b--Feedstuff Required'!$Q30/'Step 7b--Feedstuff Required'!$N30,0)</f>
        <v>6.7355889724310782E-4</v>
      </c>
      <c r="K29" s="2955"/>
      <c r="L29" s="2955">
        <f>IF(Options!$AG$24=TRUE,0,J29*'Step 11b--Inputs'!$C30)</f>
        <v>0</v>
      </c>
      <c r="M29" s="2955"/>
      <c r="N29" s="2955">
        <f>IF(Options!$AG$24=TRUE,0,J29*'Step 11b--Inputs'!$F30)</f>
        <v>0</v>
      </c>
      <c r="O29" s="2955"/>
      <c r="P29" s="2955">
        <f>IF(Options!$AG$24=TRUE,0,J29*'Step 11b--Inputs'!$I30)</f>
        <v>0</v>
      </c>
      <c r="Q29" s="2956"/>
      <c r="R29" s="2957">
        <f>IFERROR('Step 9b--Daily DMI Rations'!L34/'Step 7b--Feedstuff Required'!$E30*'Step 7b--Feedstuff Required'!$Q30/'Step 7b--Feedstuff Required'!$N30,0)</f>
        <v>0</v>
      </c>
      <c r="S29" s="2955"/>
      <c r="T29" s="2955">
        <f>IF(Options!$AG$24=TRUE,0,R29*'Step 11b--Inputs'!$C30)</f>
        <v>0</v>
      </c>
      <c r="U29" s="2955"/>
      <c r="V29" s="2955">
        <f>IF(Options!$AG$24=TRUE,0,R29*'Step 11b--Inputs'!$F30)</f>
        <v>0</v>
      </c>
      <c r="W29" s="2955"/>
      <c r="X29" s="2955">
        <f>IF(Options!$AG$24=TRUE,0,R29*'Step 11b--Inputs'!$I30)</f>
        <v>0</v>
      </c>
      <c r="Y29" s="2956"/>
      <c r="Z29" s="2957">
        <f>IFERROR('Step 9b--Daily DMI Rations'!R34/'Step 7b--Feedstuff Required'!$E30*'Step 7b--Feedstuff Required'!$Q30/'Step 7b--Feedstuff Required'!$N30,0)</f>
        <v>0</v>
      </c>
      <c r="AA29" s="2955"/>
      <c r="AB29" s="2955">
        <f>IF(Options!$AG$24=TRUE,0,Z29*'Step 11b--Inputs'!$C30)</f>
        <v>0</v>
      </c>
      <c r="AC29" s="2955"/>
      <c r="AD29" s="2955">
        <f>IF(Options!$AG$24=TRUE,0,Z29*'Step 11b--Inputs'!$F30)</f>
        <v>0</v>
      </c>
      <c r="AE29" s="2955"/>
      <c r="AF29" s="2955">
        <f>IF(Options!$AG$24=TRUE,0,Z29*'Step 11b--Inputs'!$I30)</f>
        <v>0</v>
      </c>
      <c r="AG29" s="2956"/>
      <c r="AH29" s="2957">
        <f>IFERROR('Step 9b--Daily DMI Rations'!X34/'Step 7b--Feedstuff Required'!$E30*'Step 7b--Feedstuff Required'!$Q30/'Step 7b--Feedstuff Required'!$N30,0)</f>
        <v>0</v>
      </c>
      <c r="AI29" s="2955"/>
      <c r="AJ29" s="2955">
        <f>IF(Options!$AG$24=TRUE,0,AH29*'Step 11b--Inputs'!$C30)</f>
        <v>0</v>
      </c>
      <c r="AK29" s="2955"/>
      <c r="AL29" s="2955">
        <f>IF(Options!$AG$24=TRUE,0,AH29*'Step 11b--Inputs'!$F30)</f>
        <v>0</v>
      </c>
      <c r="AM29" s="2955"/>
      <c r="AN29" s="2955">
        <f>IF(Options!$AG$24=TRUE,0,AH29*'Step 11b--Inputs'!$I30)</f>
        <v>0</v>
      </c>
      <c r="AO29" s="2958"/>
      <c r="AP29" s="2929">
        <f>IFERROR('Step 9b--Daily DMI Rations'!AB34/'Step 7b--Feedstuff Required'!$Z30*'Step 7b--Feedstuff Required'!$AL30/'Step 7b--Feedstuff Required'!$AI30,0)</f>
        <v>6.7355889724310782E-4</v>
      </c>
      <c r="AQ29" s="2930"/>
      <c r="AR29" s="2930">
        <f>IF(Options!$AH$24=TRUE,0,AP29*'Step 11b--Inputs'!$C30)</f>
        <v>0</v>
      </c>
      <c r="AS29" s="2930"/>
      <c r="AT29" s="2930">
        <f>IF(Options!$AH$24=TRUE,0,AP29*'Step 11b--Inputs'!$F30)</f>
        <v>0</v>
      </c>
      <c r="AU29" s="2930"/>
      <c r="AV29" s="2930">
        <f>IF(Options!$AH$24=TRUE,0,AP29*'Step 11b--Inputs'!$I30)</f>
        <v>0</v>
      </c>
      <c r="AW29" s="2931"/>
      <c r="AX29" s="2932">
        <f>IFERROR('Step 9b--Daily DMI Rations'!AG34/'Step 7b--Feedstuff Required'!$Z30*'Step 7b--Feedstuff Required'!$AL30/'Step 7b--Feedstuff Required'!$AI30,0)</f>
        <v>5.5607769423558903E-4</v>
      </c>
      <c r="AY29" s="2930"/>
      <c r="AZ29" s="2930">
        <f>IF(Options!$AH$24=TRUE,0,AX29*'Step 11b--Inputs'!$C30)</f>
        <v>0</v>
      </c>
      <c r="BA29" s="2930"/>
      <c r="BB29" s="2930">
        <f>IF(Options!$AH$24=TRUE,0,AX29*'Step 11b--Inputs'!$F30)</f>
        <v>0</v>
      </c>
      <c r="BC29" s="2930"/>
      <c r="BD29" s="2930">
        <f>IF(Options!$AH$24=TRUE,0,AX29*'Step 11b--Inputs'!$I30)</f>
        <v>0</v>
      </c>
      <c r="BE29" s="2931"/>
      <c r="BF29" s="2932">
        <f>IFERROR('Step 9b--Daily DMI Rations'!AM34/'Step 7b--Feedstuff Required'!$Z30*'Step 7b--Feedstuff Required'!$AL30/'Step 7b--Feedstuff Required'!$AI30,0)</f>
        <v>0</v>
      </c>
      <c r="BG29" s="2930"/>
      <c r="BH29" s="2930">
        <f>IF(Options!$AH$24=TRUE,0,BF29*'Step 11b--Inputs'!$C30)</f>
        <v>0</v>
      </c>
      <c r="BI29" s="2930"/>
      <c r="BJ29" s="2930">
        <f>IF(Options!$AH$24=TRUE,0,BF29*'Step 11b--Inputs'!$F30)</f>
        <v>0</v>
      </c>
      <c r="BK29" s="2930"/>
      <c r="BL29" s="2930">
        <f>IF(Options!$AH$24=TRUE,0,BF29*'Step 11b--Inputs'!$I30)</f>
        <v>0</v>
      </c>
      <c r="BM29" s="2931"/>
      <c r="BN29" s="2932">
        <f>IFERROR('Step 9b--Daily DMI Rations'!AS34/'Step 7b--Feedstuff Required'!$Z30*'Step 7b--Feedstuff Required'!$AL30/'Step 7b--Feedstuff Required'!$AI30,0)</f>
        <v>0</v>
      </c>
      <c r="BO29" s="2930"/>
      <c r="BP29" s="2930">
        <f>IF(Options!$AH$24=TRUE,0,BN29*'Step 11b--Inputs'!$C30)</f>
        <v>0</v>
      </c>
      <c r="BQ29" s="2930"/>
      <c r="BR29" s="2930">
        <f>IF(Options!$AH$24=TRUE,0,BN29*'Step 11b--Inputs'!$F30)</f>
        <v>0</v>
      </c>
      <c r="BS29" s="2930"/>
      <c r="BT29" s="2930">
        <f>IF(Options!$AH$24=TRUE,0,BN29*'Step 11b--Inputs'!$I30)</f>
        <v>0</v>
      </c>
      <c r="BU29" s="2931"/>
      <c r="BV29" s="2932">
        <f>IFERROR('Step 9b--Daily DMI Rations'!AY34/'Step 7b--Feedstuff Required'!$Z30*'Step 7b--Feedstuff Required'!$AL30/'Step 7b--Feedstuff Required'!$AI30,0)</f>
        <v>0</v>
      </c>
      <c r="BW29" s="2930"/>
      <c r="BX29" s="2930">
        <f>IF(Options!$AH$24=TRUE,0,BV29*'Step 11b--Inputs'!$C30)</f>
        <v>0</v>
      </c>
      <c r="BY29" s="2930"/>
      <c r="BZ29" s="2930">
        <f>IF(Options!$AH$24=TRUE,0,BV29*'Step 11b--Inputs'!$F30)</f>
        <v>0</v>
      </c>
      <c r="CA29" s="2930"/>
      <c r="CB29" s="2930">
        <f>IF(Options!$AH$24=TRUE,0,BV29*'Step 11b--Inputs'!$I30)</f>
        <v>0</v>
      </c>
      <c r="CC29" s="2933"/>
    </row>
    <row r="30" spans="1:81" ht="3" customHeight="1">
      <c r="A30" s="1224"/>
      <c r="B30" s="2954"/>
      <c r="C30" s="2955"/>
      <c r="D30" s="2955"/>
      <c r="E30" s="2955"/>
      <c r="F30" s="2955"/>
      <c r="G30" s="2955"/>
      <c r="H30" s="2955"/>
      <c r="I30" s="2956"/>
      <c r="J30" s="2957"/>
      <c r="K30" s="2955"/>
      <c r="L30" s="2955"/>
      <c r="M30" s="2955"/>
      <c r="N30" s="2955"/>
      <c r="O30" s="2955"/>
      <c r="P30" s="2955"/>
      <c r="Q30" s="2956"/>
      <c r="R30" s="2957"/>
      <c r="S30" s="2955"/>
      <c r="T30" s="2955"/>
      <c r="U30" s="2955"/>
      <c r="V30" s="2955"/>
      <c r="W30" s="2955"/>
      <c r="X30" s="2955"/>
      <c r="Y30" s="2956"/>
      <c r="Z30" s="2957"/>
      <c r="AA30" s="2955"/>
      <c r="AB30" s="2955"/>
      <c r="AC30" s="2955"/>
      <c r="AD30" s="2955"/>
      <c r="AE30" s="2955"/>
      <c r="AF30" s="2955"/>
      <c r="AG30" s="2956"/>
      <c r="AH30" s="2957"/>
      <c r="AI30" s="2955"/>
      <c r="AJ30" s="2955"/>
      <c r="AK30" s="2955"/>
      <c r="AL30" s="2955"/>
      <c r="AM30" s="2955"/>
      <c r="AN30" s="2955"/>
      <c r="AO30" s="2958"/>
      <c r="AP30" s="2929"/>
      <c r="AQ30" s="2930"/>
      <c r="AR30" s="2930"/>
      <c r="AS30" s="2930"/>
      <c r="AT30" s="2930"/>
      <c r="AU30" s="2930"/>
      <c r="AV30" s="2930"/>
      <c r="AW30" s="2931"/>
      <c r="AX30" s="2932"/>
      <c r="AY30" s="2930"/>
      <c r="AZ30" s="2930"/>
      <c r="BA30" s="2930"/>
      <c r="BB30" s="2930"/>
      <c r="BC30" s="2930"/>
      <c r="BD30" s="2930"/>
      <c r="BE30" s="2931"/>
      <c r="BF30" s="2932"/>
      <c r="BG30" s="2930"/>
      <c r="BH30" s="2930"/>
      <c r="BI30" s="2930"/>
      <c r="BJ30" s="2930"/>
      <c r="BK30" s="2930"/>
      <c r="BL30" s="2930"/>
      <c r="BM30" s="2931"/>
      <c r="BN30" s="2932"/>
      <c r="BO30" s="2930"/>
      <c r="BP30" s="2930"/>
      <c r="BQ30" s="2930"/>
      <c r="BR30" s="2930"/>
      <c r="BS30" s="2930"/>
      <c r="BT30" s="2930"/>
      <c r="BU30" s="2931"/>
      <c r="BV30" s="2932"/>
      <c r="BW30" s="2930"/>
      <c r="BX30" s="2930"/>
      <c r="BY30" s="2930"/>
      <c r="BZ30" s="2930"/>
      <c r="CA30" s="2930"/>
      <c r="CB30" s="2930"/>
      <c r="CC30" s="2933"/>
    </row>
    <row r="31" spans="1:81" ht="14.25">
      <c r="A31" s="1224" t="s">
        <v>22</v>
      </c>
      <c r="B31" s="2954">
        <f>IFERROR('Step 10b--Required Acres'!D30/'Step 7b--Feedstuff Required'!$E32*'Step 7b--Feedstuff Required'!$Q32/'Step 7b--Feedstuff Required'!$N32,0)</f>
        <v>3.8030660377358491E-4</v>
      </c>
      <c r="C31" s="2955"/>
      <c r="D31" s="2955">
        <f>IF(Options!$AG$24=TRUE,0,B31*'Step 11b--Inputs'!$C32)</f>
        <v>0</v>
      </c>
      <c r="E31" s="2955"/>
      <c r="F31" s="2955">
        <f>IF(Options!$AG$24=TRUE,0,B31*'Step 11b--Inputs'!$F32)</f>
        <v>0</v>
      </c>
      <c r="G31" s="2955"/>
      <c r="H31" s="2955">
        <f>IF(Options!$AG$24=TRUE,0,B31*'Step 11b--Inputs'!$I32)</f>
        <v>0</v>
      </c>
      <c r="I31" s="2956"/>
      <c r="J31" s="2957">
        <f>IFERROR('Step 9b--Daily DMI Rations'!F36/'Step 7b--Feedstuff Required'!$E32*'Step 7b--Feedstuff Required'!$Q32/'Step 7b--Feedstuff Required'!$N32,0)</f>
        <v>3.8030660377358491E-4</v>
      </c>
      <c r="K31" s="2955"/>
      <c r="L31" s="2955">
        <f>IF(Options!$AG$24=TRUE,0,J31*'Step 11b--Inputs'!$C32)</f>
        <v>0</v>
      </c>
      <c r="M31" s="2955"/>
      <c r="N31" s="2955">
        <f>IF(Options!$AG$24=TRUE,0,J31*'Step 11b--Inputs'!$F32)</f>
        <v>0</v>
      </c>
      <c r="O31" s="2955"/>
      <c r="P31" s="2955">
        <f>IF(Options!$AG$24=TRUE,0,J31*'Step 11b--Inputs'!$I32)</f>
        <v>0</v>
      </c>
      <c r="Q31" s="2956"/>
      <c r="R31" s="2957">
        <f>IFERROR('Step 9b--Daily DMI Rations'!L36/'Step 7b--Feedstuff Required'!$E32*'Step 7b--Feedstuff Required'!$Q32/'Step 7b--Feedstuff Required'!$N32,0)</f>
        <v>0</v>
      </c>
      <c r="S31" s="2955"/>
      <c r="T31" s="2955">
        <f>IF(Options!$AG$24=TRUE,0,R31*'Step 11b--Inputs'!$C32)</f>
        <v>0</v>
      </c>
      <c r="U31" s="2955"/>
      <c r="V31" s="2955">
        <f>IF(Options!$AG$24=TRUE,0,R31*'Step 11b--Inputs'!$F32)</f>
        <v>0</v>
      </c>
      <c r="W31" s="2955"/>
      <c r="X31" s="2955">
        <f>IF(Options!$AG$24=TRUE,0,R31*'Step 11b--Inputs'!$I32)</f>
        <v>0</v>
      </c>
      <c r="Y31" s="2956"/>
      <c r="Z31" s="2957">
        <f>IFERROR('Step 9b--Daily DMI Rations'!R36/'Step 7b--Feedstuff Required'!$E32*'Step 7b--Feedstuff Required'!$Q32/'Step 7b--Feedstuff Required'!$N32,0)</f>
        <v>0</v>
      </c>
      <c r="AA31" s="2955"/>
      <c r="AB31" s="2955">
        <f>IF(Options!$AG$24=TRUE,0,Z31*'Step 11b--Inputs'!$C32)</f>
        <v>0</v>
      </c>
      <c r="AC31" s="2955"/>
      <c r="AD31" s="2955">
        <f>IF(Options!$AG$24=TRUE,0,Z31*'Step 11b--Inputs'!$F32)</f>
        <v>0</v>
      </c>
      <c r="AE31" s="2955"/>
      <c r="AF31" s="2955">
        <f>IF(Options!$AG$24=TRUE,0,Z31*'Step 11b--Inputs'!$I32)</f>
        <v>0</v>
      </c>
      <c r="AG31" s="2956"/>
      <c r="AH31" s="2957">
        <f>IFERROR('Step 9b--Daily DMI Rations'!X36/'Step 7b--Feedstuff Required'!$E32*'Step 7b--Feedstuff Required'!$Q32/'Step 7b--Feedstuff Required'!$N32,0)</f>
        <v>0</v>
      </c>
      <c r="AI31" s="2955"/>
      <c r="AJ31" s="2955">
        <f>IF(Options!$AG$24=TRUE,0,AH31*'Step 11b--Inputs'!$C32)</f>
        <v>0</v>
      </c>
      <c r="AK31" s="2955"/>
      <c r="AL31" s="2955">
        <f>IF(Options!$AG$24=TRUE,0,AH31*'Step 11b--Inputs'!$F32)</f>
        <v>0</v>
      </c>
      <c r="AM31" s="2955"/>
      <c r="AN31" s="2955">
        <f>IF(Options!$AG$24=TRUE,0,AH31*'Step 11b--Inputs'!$I32)</f>
        <v>0</v>
      </c>
      <c r="AO31" s="2958"/>
      <c r="AP31" s="2929">
        <f>IFERROR('Step 9b--Daily DMI Rations'!AB36/'Step 7b--Feedstuff Required'!$Z32*'Step 7b--Feedstuff Required'!$AL32/'Step 7b--Feedstuff Required'!$AI32,0)</f>
        <v>3.8030660377358491E-4</v>
      </c>
      <c r="AQ31" s="2930"/>
      <c r="AR31" s="2930">
        <f>IF(Options!$AH$24=TRUE,0,AP31*'Step 11b--Inputs'!$C32)</f>
        <v>0</v>
      </c>
      <c r="AS31" s="2930"/>
      <c r="AT31" s="2930">
        <f>IF(Options!$AH$24=TRUE,0,AP31*'Step 11b--Inputs'!$F32)</f>
        <v>0</v>
      </c>
      <c r="AU31" s="2930"/>
      <c r="AV31" s="2930">
        <f>IF(Options!$AH$24=TRUE,0,AP31*'Step 11b--Inputs'!$I32)</f>
        <v>0</v>
      </c>
      <c r="AW31" s="2931"/>
      <c r="AX31" s="2932">
        <f>IFERROR('Step 9b--Daily DMI Rations'!AG36/'Step 7b--Feedstuff Required'!$Z32*'Step 7b--Feedstuff Required'!$AL32/'Step 7b--Feedstuff Required'!$AI32,0)</f>
        <v>3.6107016509433958E-4</v>
      </c>
      <c r="AY31" s="2930"/>
      <c r="AZ31" s="2930">
        <f>IF(Options!$AH$24=TRUE,0,AX31*'Step 11b--Inputs'!$C32)</f>
        <v>0</v>
      </c>
      <c r="BA31" s="2930"/>
      <c r="BB31" s="2930">
        <f>IF(Options!$AH$24=TRUE,0,AX31*'Step 11b--Inputs'!$F32)</f>
        <v>0</v>
      </c>
      <c r="BC31" s="2930"/>
      <c r="BD31" s="2930">
        <f>IF(Options!$AH$24=TRUE,0,AX31*'Step 11b--Inputs'!$I32)</f>
        <v>0</v>
      </c>
      <c r="BE31" s="2931"/>
      <c r="BF31" s="2932">
        <f>IFERROR('Step 9b--Daily DMI Rations'!AM36/'Step 7b--Feedstuff Required'!$Z32*'Step 7b--Feedstuff Required'!$AL32/'Step 7b--Feedstuff Required'!$AI32,0)</f>
        <v>0</v>
      </c>
      <c r="BG31" s="2930"/>
      <c r="BH31" s="2930">
        <f>IF(Options!$AH$24=TRUE,0,BF31*'Step 11b--Inputs'!$C32)</f>
        <v>0</v>
      </c>
      <c r="BI31" s="2930"/>
      <c r="BJ31" s="2930">
        <f>IF(Options!$AH$24=TRUE,0,BF31*'Step 11b--Inputs'!$F32)</f>
        <v>0</v>
      </c>
      <c r="BK31" s="2930"/>
      <c r="BL31" s="2930">
        <f>IF(Options!$AH$24=TRUE,0,BF31*'Step 11b--Inputs'!$I32)</f>
        <v>0</v>
      </c>
      <c r="BM31" s="2931"/>
      <c r="BN31" s="2932">
        <f>IFERROR('Step 9b--Daily DMI Rations'!AS36/'Step 7b--Feedstuff Required'!$Z32*'Step 7b--Feedstuff Required'!$AL32/'Step 7b--Feedstuff Required'!$AI32,0)</f>
        <v>0</v>
      </c>
      <c r="BO31" s="2930"/>
      <c r="BP31" s="2930">
        <f>IF(Options!$AH$24=TRUE,0,BN31*'Step 11b--Inputs'!$C32)</f>
        <v>0</v>
      </c>
      <c r="BQ31" s="2930"/>
      <c r="BR31" s="2930">
        <f>IF(Options!$AH$24=TRUE,0,BN31*'Step 11b--Inputs'!$F32)</f>
        <v>0</v>
      </c>
      <c r="BS31" s="2930"/>
      <c r="BT31" s="2930">
        <f>IF(Options!$AH$24=TRUE,0,BN31*'Step 11b--Inputs'!$I32)</f>
        <v>0</v>
      </c>
      <c r="BU31" s="2931"/>
      <c r="BV31" s="2932">
        <f>IFERROR('Step 9b--Daily DMI Rations'!AY36/'Step 7b--Feedstuff Required'!$Z32*'Step 7b--Feedstuff Required'!$AL32/'Step 7b--Feedstuff Required'!$AI32,0)</f>
        <v>0</v>
      </c>
      <c r="BW31" s="2930"/>
      <c r="BX31" s="2930">
        <f>IF(Options!$AH$24=TRUE,0,BV31*'Step 11b--Inputs'!$C32)</f>
        <v>0</v>
      </c>
      <c r="BY31" s="2930"/>
      <c r="BZ31" s="2930">
        <f>IF(Options!$AH$24=TRUE,0,BV31*'Step 11b--Inputs'!$F32)</f>
        <v>0</v>
      </c>
      <c r="CA31" s="2930"/>
      <c r="CB31" s="2930">
        <f>IF(Options!$AH$24=TRUE,0,BV31*'Step 11b--Inputs'!$I32)</f>
        <v>0</v>
      </c>
      <c r="CC31" s="2933"/>
    </row>
    <row r="32" spans="1:81" ht="3" customHeight="1">
      <c r="A32" s="1224"/>
      <c r="B32" s="2954"/>
      <c r="C32" s="2955"/>
      <c r="D32" s="2955"/>
      <c r="E32" s="2955"/>
      <c r="F32" s="2955"/>
      <c r="G32" s="2955"/>
      <c r="H32" s="2955"/>
      <c r="I32" s="2956"/>
      <c r="J32" s="2957"/>
      <c r="K32" s="2955"/>
      <c r="L32" s="2955"/>
      <c r="M32" s="2955"/>
      <c r="N32" s="2955"/>
      <c r="O32" s="2955"/>
      <c r="P32" s="2955"/>
      <c r="Q32" s="2956"/>
      <c r="R32" s="2957"/>
      <c r="S32" s="2955"/>
      <c r="T32" s="2955"/>
      <c r="U32" s="2955"/>
      <c r="V32" s="2955"/>
      <c r="W32" s="2955"/>
      <c r="X32" s="2955"/>
      <c r="Y32" s="2956"/>
      <c r="Z32" s="2957"/>
      <c r="AA32" s="2955"/>
      <c r="AB32" s="2955"/>
      <c r="AC32" s="2955"/>
      <c r="AD32" s="2955"/>
      <c r="AE32" s="2955"/>
      <c r="AF32" s="2955"/>
      <c r="AG32" s="2956"/>
      <c r="AH32" s="2957"/>
      <c r="AI32" s="2955"/>
      <c r="AJ32" s="2955"/>
      <c r="AK32" s="2955"/>
      <c r="AL32" s="2955"/>
      <c r="AM32" s="2955"/>
      <c r="AN32" s="2955"/>
      <c r="AO32" s="2958"/>
      <c r="AP32" s="2929"/>
      <c r="AQ32" s="2930"/>
      <c r="AR32" s="2930"/>
      <c r="AS32" s="2930"/>
      <c r="AT32" s="2930"/>
      <c r="AU32" s="2930"/>
      <c r="AV32" s="2930"/>
      <c r="AW32" s="2931"/>
      <c r="AX32" s="2932"/>
      <c r="AY32" s="2930"/>
      <c r="AZ32" s="2930"/>
      <c r="BA32" s="2930"/>
      <c r="BB32" s="2930"/>
      <c r="BC32" s="2930"/>
      <c r="BD32" s="2930"/>
      <c r="BE32" s="2931"/>
      <c r="BF32" s="2932"/>
      <c r="BG32" s="2930"/>
      <c r="BH32" s="2930"/>
      <c r="BI32" s="2930"/>
      <c r="BJ32" s="2930"/>
      <c r="BK32" s="2930"/>
      <c r="BL32" s="2930"/>
      <c r="BM32" s="2931"/>
      <c r="BN32" s="2932"/>
      <c r="BO32" s="2930"/>
      <c r="BP32" s="2930"/>
      <c r="BQ32" s="2930"/>
      <c r="BR32" s="2930"/>
      <c r="BS32" s="2930"/>
      <c r="BT32" s="2930"/>
      <c r="BU32" s="2931"/>
      <c r="BV32" s="2932"/>
      <c r="BW32" s="2930"/>
      <c r="BX32" s="2930"/>
      <c r="BY32" s="2930"/>
      <c r="BZ32" s="2930"/>
      <c r="CA32" s="2930"/>
      <c r="CB32" s="2930"/>
      <c r="CC32" s="2933"/>
    </row>
    <row r="33" spans="1:81" ht="14.25">
      <c r="A33" s="1224" t="s">
        <v>25</v>
      </c>
      <c r="B33" s="2954">
        <f>IFERROR('Step 10b--Required Acres'!D32/'Step 7b--Feedstuff Required'!$E34*'Step 7b--Feedstuff Required'!$Q34/'Step 7b--Feedstuff Required'!$N34,0)</f>
        <v>5.6493851189949574E-4</v>
      </c>
      <c r="C33" s="2955"/>
      <c r="D33" s="2955">
        <f>IF(Options!$AG$24=TRUE,0,B33*'Step 11b--Inputs'!$C34)</f>
        <v>0</v>
      </c>
      <c r="E33" s="2955"/>
      <c r="F33" s="2955">
        <f>IF(Options!$AG$24=TRUE,0,B33*'Step 11b--Inputs'!$F34)</f>
        <v>0</v>
      </c>
      <c r="G33" s="2955"/>
      <c r="H33" s="2955">
        <f>IF(Options!$AG$24=TRUE,0,B33*'Step 11b--Inputs'!$I34)</f>
        <v>0</v>
      </c>
      <c r="I33" s="2956"/>
      <c r="J33" s="2957">
        <f>IFERROR('Step 9b--Daily DMI Rations'!F38/'Step 7b--Feedstuff Required'!$E34*'Step 7b--Feedstuff Required'!$Q34/'Step 7b--Feedstuff Required'!$N34,0)</f>
        <v>5.6493851189949574E-4</v>
      </c>
      <c r="K33" s="2955"/>
      <c r="L33" s="2955">
        <f>IF(Options!$AG$24=TRUE,0,J33*'Step 11b--Inputs'!$C34)</f>
        <v>0</v>
      </c>
      <c r="M33" s="2955"/>
      <c r="N33" s="2955">
        <f>IF(Options!$AG$24=TRUE,0,J33*'Step 11b--Inputs'!$F34)</f>
        <v>0</v>
      </c>
      <c r="O33" s="2955"/>
      <c r="P33" s="2955">
        <f>IF(Options!$AG$24=TRUE,0,J33*'Step 11b--Inputs'!$I34)</f>
        <v>0</v>
      </c>
      <c r="Q33" s="2956"/>
      <c r="R33" s="2957">
        <f>IFERROR('Step 9b--Daily DMI Rations'!L38/'Step 7b--Feedstuff Required'!$E34*'Step 7b--Feedstuff Required'!$Q34/'Step 7b--Feedstuff Required'!$N34,0)</f>
        <v>0</v>
      </c>
      <c r="S33" s="2955"/>
      <c r="T33" s="2955">
        <f>IF(Options!$AG$24=TRUE,0,R33*'Step 11b--Inputs'!$C34)</f>
        <v>0</v>
      </c>
      <c r="U33" s="2955"/>
      <c r="V33" s="2955">
        <f>IF(Options!$AG$24=TRUE,0,R33*'Step 11b--Inputs'!$F34)</f>
        <v>0</v>
      </c>
      <c r="W33" s="2955"/>
      <c r="X33" s="2955">
        <f>IF(Options!$AG$24=TRUE,0,R33*'Step 11b--Inputs'!$I34)</f>
        <v>0</v>
      </c>
      <c r="Y33" s="2956"/>
      <c r="Z33" s="2957">
        <f>IFERROR('Step 9b--Daily DMI Rations'!R38/'Step 7b--Feedstuff Required'!$E34*'Step 7b--Feedstuff Required'!$Q34/'Step 7b--Feedstuff Required'!$N34,0)</f>
        <v>0</v>
      </c>
      <c r="AA33" s="2955"/>
      <c r="AB33" s="2955">
        <f>IF(Options!$AG$24=TRUE,0,Z33*'Step 11b--Inputs'!$C34)</f>
        <v>0</v>
      </c>
      <c r="AC33" s="2955"/>
      <c r="AD33" s="2955">
        <f>IF(Options!$AG$24=TRUE,0,Z33*'Step 11b--Inputs'!$F34)</f>
        <v>0</v>
      </c>
      <c r="AE33" s="2955"/>
      <c r="AF33" s="2955">
        <f>IF(Options!$AG$24=TRUE,0,Z33*'Step 11b--Inputs'!$I34)</f>
        <v>0</v>
      </c>
      <c r="AG33" s="2956"/>
      <c r="AH33" s="2957">
        <f>IFERROR('Step 9b--Daily DMI Rations'!X38/'Step 7b--Feedstuff Required'!$E34*'Step 7b--Feedstuff Required'!$Q34/'Step 7b--Feedstuff Required'!$N34,0)</f>
        <v>0</v>
      </c>
      <c r="AI33" s="2955"/>
      <c r="AJ33" s="2955">
        <f>IF(Options!$AG$24=TRUE,0,AH33*'Step 11b--Inputs'!$C34)</f>
        <v>0</v>
      </c>
      <c r="AK33" s="2955"/>
      <c r="AL33" s="2955">
        <f>IF(Options!$AG$24=TRUE,0,AH33*'Step 11b--Inputs'!$F34)</f>
        <v>0</v>
      </c>
      <c r="AM33" s="2955"/>
      <c r="AN33" s="2955">
        <f>IF(Options!$AG$24=TRUE,0,AH33*'Step 11b--Inputs'!$I34)</f>
        <v>0</v>
      </c>
      <c r="AO33" s="2958"/>
      <c r="AP33" s="2929">
        <f>IFERROR('Step 9b--Daily DMI Rations'!AB38/'Step 7b--Feedstuff Required'!$Z34*'Step 7b--Feedstuff Required'!$AL34/'Step 7b--Feedstuff Required'!$AI34,0)</f>
        <v>5.6493851189949574E-4</v>
      </c>
      <c r="AQ33" s="2930"/>
      <c r="AR33" s="2930">
        <f>IF(Options!$AH$24=TRUE,0,AP33*'Step 11b--Inputs'!$C34)</f>
        <v>0</v>
      </c>
      <c r="AS33" s="2930"/>
      <c r="AT33" s="2930">
        <f>IF(Options!$AH$24=TRUE,0,AP33*'Step 11b--Inputs'!$F34)</f>
        <v>0</v>
      </c>
      <c r="AU33" s="2930"/>
      <c r="AV33" s="2930">
        <f>IF(Options!$AH$24=TRUE,0,AP33*'Step 11b--Inputs'!$I34)</f>
        <v>0</v>
      </c>
      <c r="AW33" s="2931"/>
      <c r="AX33" s="2932">
        <f>IFERROR('Step 9b--Daily DMI Rations'!AG38/'Step 7b--Feedstuff Required'!$Z34*'Step 7b--Feedstuff Required'!$AL34/'Step 7b--Feedstuff Required'!$AI34,0)</f>
        <v>5.5968326992833755E-4</v>
      </c>
      <c r="AY33" s="2930"/>
      <c r="AZ33" s="2930">
        <f>IF(Options!$AH$24=TRUE,0,AX33*'Step 11b--Inputs'!$C34)</f>
        <v>0</v>
      </c>
      <c r="BA33" s="2930"/>
      <c r="BB33" s="2930">
        <f>IF(Options!$AH$24=TRUE,0,AX33*'Step 11b--Inputs'!$F34)</f>
        <v>0</v>
      </c>
      <c r="BC33" s="2930"/>
      <c r="BD33" s="2930">
        <f>IF(Options!$AH$24=TRUE,0,AX33*'Step 11b--Inputs'!$I34)</f>
        <v>0</v>
      </c>
      <c r="BE33" s="2931"/>
      <c r="BF33" s="2932">
        <f>IFERROR('Step 9b--Daily DMI Rations'!AM38/'Step 7b--Feedstuff Required'!$Z34*'Step 7b--Feedstuff Required'!$AL34/'Step 7b--Feedstuff Required'!$AI34,0)</f>
        <v>0</v>
      </c>
      <c r="BG33" s="2930"/>
      <c r="BH33" s="2930">
        <f>IF(Options!$AH$24=TRUE,0,BF33*'Step 11b--Inputs'!$C34)</f>
        <v>0</v>
      </c>
      <c r="BI33" s="2930"/>
      <c r="BJ33" s="2930">
        <f>IF(Options!$AH$24=TRUE,0,BF33*'Step 11b--Inputs'!$F34)</f>
        <v>0</v>
      </c>
      <c r="BK33" s="2930"/>
      <c r="BL33" s="2930">
        <f>IF(Options!$AH$24=TRUE,0,BF33*'Step 11b--Inputs'!$I34)</f>
        <v>0</v>
      </c>
      <c r="BM33" s="2931"/>
      <c r="BN33" s="2932">
        <f>IFERROR('Step 9b--Daily DMI Rations'!AS38/'Step 7b--Feedstuff Required'!$Z34*'Step 7b--Feedstuff Required'!$AL34/'Step 7b--Feedstuff Required'!$AI34,0)</f>
        <v>0</v>
      </c>
      <c r="BO33" s="2930"/>
      <c r="BP33" s="2930">
        <f>IF(Options!$AH$24=TRUE,0,BN33*'Step 11b--Inputs'!$C34)</f>
        <v>0</v>
      </c>
      <c r="BQ33" s="2930"/>
      <c r="BR33" s="2930">
        <f>IF(Options!$AH$24=TRUE,0,BN33*'Step 11b--Inputs'!$F34)</f>
        <v>0</v>
      </c>
      <c r="BS33" s="2930"/>
      <c r="BT33" s="2930">
        <f>IF(Options!$AH$24=TRUE,0,BN33*'Step 11b--Inputs'!$I34)</f>
        <v>0</v>
      </c>
      <c r="BU33" s="2931"/>
      <c r="BV33" s="2932">
        <f>IFERROR('Step 9b--Daily DMI Rations'!AY38/'Step 7b--Feedstuff Required'!$Z34*'Step 7b--Feedstuff Required'!$AL34/'Step 7b--Feedstuff Required'!$AI34,0)</f>
        <v>0</v>
      </c>
      <c r="BW33" s="2930"/>
      <c r="BX33" s="2930">
        <f>IF(Options!$AH$24=TRUE,0,BV33*'Step 11b--Inputs'!$C34)</f>
        <v>0</v>
      </c>
      <c r="BY33" s="2930"/>
      <c r="BZ33" s="2930">
        <f>IF(Options!$AH$24=TRUE,0,BV33*'Step 11b--Inputs'!$F34)</f>
        <v>0</v>
      </c>
      <c r="CA33" s="2930"/>
      <c r="CB33" s="2930">
        <f>IF(Options!$AH$24=TRUE,0,BV33*'Step 11b--Inputs'!$I34)</f>
        <v>0</v>
      </c>
      <c r="CC33" s="2933"/>
    </row>
    <row r="34" spans="1:81" ht="3" customHeight="1">
      <c r="A34" s="1224"/>
      <c r="B34" s="2954"/>
      <c r="C34" s="2955"/>
      <c r="D34" s="2955"/>
      <c r="E34" s="2955"/>
      <c r="F34" s="2955"/>
      <c r="G34" s="2955"/>
      <c r="H34" s="2955"/>
      <c r="I34" s="2956"/>
      <c r="J34" s="2957"/>
      <c r="K34" s="2955"/>
      <c r="L34" s="2955"/>
      <c r="M34" s="2955"/>
      <c r="N34" s="2955"/>
      <c r="O34" s="2955"/>
      <c r="P34" s="2955"/>
      <c r="Q34" s="2956"/>
      <c r="R34" s="2957"/>
      <c r="S34" s="2955"/>
      <c r="T34" s="2955"/>
      <c r="U34" s="2955"/>
      <c r="V34" s="2955"/>
      <c r="W34" s="2955"/>
      <c r="X34" s="2955"/>
      <c r="Y34" s="2956"/>
      <c r="Z34" s="2957"/>
      <c r="AA34" s="2955"/>
      <c r="AB34" s="2955"/>
      <c r="AC34" s="2955"/>
      <c r="AD34" s="2955"/>
      <c r="AE34" s="2955"/>
      <c r="AF34" s="2955"/>
      <c r="AG34" s="2956"/>
      <c r="AH34" s="2957"/>
      <c r="AI34" s="2955"/>
      <c r="AJ34" s="2955"/>
      <c r="AK34" s="2955"/>
      <c r="AL34" s="2955"/>
      <c r="AM34" s="2955"/>
      <c r="AN34" s="2955"/>
      <c r="AO34" s="2958"/>
      <c r="AP34" s="2929"/>
      <c r="AQ34" s="2930"/>
      <c r="AR34" s="2930"/>
      <c r="AS34" s="2930"/>
      <c r="AT34" s="2930"/>
      <c r="AU34" s="2930"/>
      <c r="AV34" s="2930"/>
      <c r="AW34" s="2931"/>
      <c r="AX34" s="2932"/>
      <c r="AY34" s="2930"/>
      <c r="AZ34" s="2930"/>
      <c r="BA34" s="2930"/>
      <c r="BB34" s="2930"/>
      <c r="BC34" s="2930"/>
      <c r="BD34" s="2930"/>
      <c r="BE34" s="2931"/>
      <c r="BF34" s="2932"/>
      <c r="BG34" s="2930"/>
      <c r="BH34" s="2930"/>
      <c r="BI34" s="2930"/>
      <c r="BJ34" s="2930"/>
      <c r="BK34" s="2930"/>
      <c r="BL34" s="2930"/>
      <c r="BM34" s="2931"/>
      <c r="BN34" s="2932"/>
      <c r="BO34" s="2930"/>
      <c r="BP34" s="2930"/>
      <c r="BQ34" s="2930"/>
      <c r="BR34" s="2930"/>
      <c r="BS34" s="2930"/>
      <c r="BT34" s="2930"/>
      <c r="BU34" s="2931"/>
      <c r="BV34" s="2932"/>
      <c r="BW34" s="2930"/>
      <c r="BX34" s="2930"/>
      <c r="BY34" s="2930"/>
      <c r="BZ34" s="2930"/>
      <c r="CA34" s="2930"/>
      <c r="CB34" s="2930"/>
      <c r="CC34" s="2933"/>
    </row>
    <row r="35" spans="1:81" ht="14.25">
      <c r="A35" s="1224" t="s">
        <v>27</v>
      </c>
      <c r="B35" s="2954">
        <f>IFERROR('Step 10b--Required Acres'!D34/'Step 7b--Feedstuff Required'!$E36*'Step 7b--Feedstuff Required'!$Q36/'Step 7b--Feedstuff Required'!$N36,0)</f>
        <v>0</v>
      </c>
      <c r="C35" s="2955"/>
      <c r="D35" s="2955">
        <f>IF(Options!$AG$24=TRUE,0,B35*'Step 11b--Inputs'!$C36)</f>
        <v>0</v>
      </c>
      <c r="E35" s="2955"/>
      <c r="F35" s="2955">
        <f>IF(Options!$AG$24=TRUE,0,B35*'Step 11b--Inputs'!$F36)</f>
        <v>0</v>
      </c>
      <c r="G35" s="2955"/>
      <c r="H35" s="2955">
        <f>IF(Options!$AG$24=TRUE,0,B35*'Step 11b--Inputs'!$I36)</f>
        <v>0</v>
      </c>
      <c r="I35" s="2956"/>
      <c r="J35" s="2957">
        <f>IFERROR('Step 9b--Daily DMI Rations'!F40/'Step 7b--Feedstuff Required'!$E36*'Step 7b--Feedstuff Required'!$Q36/'Step 7b--Feedstuff Required'!$N36,0)</f>
        <v>0</v>
      </c>
      <c r="K35" s="2955"/>
      <c r="L35" s="2955">
        <f>IF(Options!$AG$24=TRUE,0,J35*'Step 11b--Inputs'!$C36)</f>
        <v>0</v>
      </c>
      <c r="M35" s="2955"/>
      <c r="N35" s="2955">
        <f>IF(Options!$AG$24=TRUE,0,J35*'Step 11b--Inputs'!$F36)</f>
        <v>0</v>
      </c>
      <c r="O35" s="2955"/>
      <c r="P35" s="2955">
        <f>IF(Options!$AG$24=TRUE,0,J35*'Step 11b--Inputs'!$I36)</f>
        <v>0</v>
      </c>
      <c r="Q35" s="2956"/>
      <c r="R35" s="2957">
        <f>IFERROR('Step 9b--Daily DMI Rations'!L40/'Step 7b--Feedstuff Required'!$E36*'Step 7b--Feedstuff Required'!$Q36/'Step 7b--Feedstuff Required'!$N36,0)</f>
        <v>0</v>
      </c>
      <c r="S35" s="2955"/>
      <c r="T35" s="2955">
        <f>IF(Options!$AG$24=TRUE,0,R35*'Step 11b--Inputs'!$C36)</f>
        <v>0</v>
      </c>
      <c r="U35" s="2955"/>
      <c r="V35" s="2955">
        <f>IF(Options!$AG$24=TRUE,0,R35*'Step 11b--Inputs'!$F36)</f>
        <v>0</v>
      </c>
      <c r="W35" s="2955"/>
      <c r="X35" s="2955">
        <f>IF(Options!$AG$24=TRUE,0,R35*'Step 11b--Inputs'!$I36)</f>
        <v>0</v>
      </c>
      <c r="Y35" s="2956"/>
      <c r="Z35" s="2957">
        <f>IFERROR('Step 9b--Daily DMI Rations'!R40/'Step 7b--Feedstuff Required'!$E36*'Step 7b--Feedstuff Required'!$Q36/'Step 7b--Feedstuff Required'!$N36,0)</f>
        <v>0</v>
      </c>
      <c r="AA35" s="2955"/>
      <c r="AB35" s="2955">
        <f>IF(Options!$AG$24=TRUE,0,Z35*'Step 11b--Inputs'!$C36)</f>
        <v>0</v>
      </c>
      <c r="AC35" s="2955"/>
      <c r="AD35" s="2955">
        <f>IF(Options!$AG$24=TRUE,0,Z35*'Step 11b--Inputs'!$F36)</f>
        <v>0</v>
      </c>
      <c r="AE35" s="2955"/>
      <c r="AF35" s="2955">
        <f>IF(Options!$AG$24=TRUE,0,Z35*'Step 11b--Inputs'!$I36)</f>
        <v>0</v>
      </c>
      <c r="AG35" s="2956"/>
      <c r="AH35" s="2957">
        <f>IFERROR('Step 9b--Daily DMI Rations'!X40/'Step 7b--Feedstuff Required'!$E36*'Step 7b--Feedstuff Required'!$Q36/'Step 7b--Feedstuff Required'!$N36,0)</f>
        <v>0</v>
      </c>
      <c r="AI35" s="2955"/>
      <c r="AJ35" s="2955">
        <f>IF(Options!$AG$24=TRUE,0,AH35*'Step 11b--Inputs'!$C36)</f>
        <v>0</v>
      </c>
      <c r="AK35" s="2955"/>
      <c r="AL35" s="2955">
        <f>IF(Options!$AG$24=TRUE,0,AH35*'Step 11b--Inputs'!$F36)</f>
        <v>0</v>
      </c>
      <c r="AM35" s="2955"/>
      <c r="AN35" s="2955">
        <f>IF(Options!$AG$24=TRUE,0,AH35*'Step 11b--Inputs'!$I36)</f>
        <v>0</v>
      </c>
      <c r="AO35" s="2958"/>
      <c r="AP35" s="2929">
        <f>IFERROR('Step 9b--Daily DMI Rations'!AB40/'Step 7b--Feedstuff Required'!$Z36*'Step 7b--Feedstuff Required'!$AL36/'Step 7b--Feedstuff Required'!$AI36,0)</f>
        <v>0</v>
      </c>
      <c r="AQ35" s="2930"/>
      <c r="AR35" s="2930">
        <f>IF(Options!$AH$24=TRUE,0,AP35*'Step 11b--Inputs'!$C36)</f>
        <v>0</v>
      </c>
      <c r="AS35" s="2930"/>
      <c r="AT35" s="2930">
        <f>IF(Options!$AH$24=TRUE,0,AP35*'Step 11b--Inputs'!$F36)</f>
        <v>0</v>
      </c>
      <c r="AU35" s="2930"/>
      <c r="AV35" s="2930">
        <f>IF(Options!$AH$24=TRUE,0,AP35*'Step 11b--Inputs'!$I36)</f>
        <v>0</v>
      </c>
      <c r="AW35" s="2931"/>
      <c r="AX35" s="2932">
        <f>IFERROR('Step 9b--Daily DMI Rations'!AG40/'Step 7b--Feedstuff Required'!$Z36*'Step 7b--Feedstuff Required'!$AL36/'Step 7b--Feedstuff Required'!$AI36,0)</f>
        <v>0</v>
      </c>
      <c r="AY35" s="2930"/>
      <c r="AZ35" s="2930">
        <f>IF(Options!$AH$24=TRUE,0,AX35*'Step 11b--Inputs'!$C36)</f>
        <v>0</v>
      </c>
      <c r="BA35" s="2930"/>
      <c r="BB35" s="2930">
        <f>IF(Options!$AH$24=TRUE,0,AX35*'Step 11b--Inputs'!$F36)</f>
        <v>0</v>
      </c>
      <c r="BC35" s="2930"/>
      <c r="BD35" s="2930">
        <f>IF(Options!$AH$24=TRUE,0,AX35*'Step 11b--Inputs'!$I36)</f>
        <v>0</v>
      </c>
      <c r="BE35" s="2931"/>
      <c r="BF35" s="2932">
        <f>IFERROR('Step 9b--Daily DMI Rations'!AM40/'Step 7b--Feedstuff Required'!$Z36*'Step 7b--Feedstuff Required'!$AL36/'Step 7b--Feedstuff Required'!$AI36,0)</f>
        <v>0</v>
      </c>
      <c r="BG35" s="2930"/>
      <c r="BH35" s="2930">
        <f>IF(Options!$AH$24=TRUE,0,BF35*'Step 11b--Inputs'!$C36)</f>
        <v>0</v>
      </c>
      <c r="BI35" s="2930"/>
      <c r="BJ35" s="2930">
        <f>IF(Options!$AH$24=TRUE,0,BF35*'Step 11b--Inputs'!$F36)</f>
        <v>0</v>
      </c>
      <c r="BK35" s="2930"/>
      <c r="BL35" s="2930">
        <f>IF(Options!$AH$24=TRUE,0,BF35*'Step 11b--Inputs'!$I36)</f>
        <v>0</v>
      </c>
      <c r="BM35" s="2931"/>
      <c r="BN35" s="2932">
        <f>IFERROR('Step 9b--Daily DMI Rations'!AS40/'Step 7b--Feedstuff Required'!$Z36*'Step 7b--Feedstuff Required'!$AL36/'Step 7b--Feedstuff Required'!$AI36,0)</f>
        <v>0</v>
      </c>
      <c r="BO35" s="2930"/>
      <c r="BP35" s="2930">
        <f>IF(Options!$AH$24=TRUE,0,BN35*'Step 11b--Inputs'!$C36)</f>
        <v>0</v>
      </c>
      <c r="BQ35" s="2930"/>
      <c r="BR35" s="2930">
        <f>IF(Options!$AH$24=TRUE,0,BN35*'Step 11b--Inputs'!$F36)</f>
        <v>0</v>
      </c>
      <c r="BS35" s="2930"/>
      <c r="BT35" s="2930">
        <f>IF(Options!$AH$24=TRUE,0,BN35*'Step 11b--Inputs'!$I36)</f>
        <v>0</v>
      </c>
      <c r="BU35" s="2931"/>
      <c r="BV35" s="2932">
        <f>IFERROR('Step 9b--Daily DMI Rations'!AY40/'Step 7b--Feedstuff Required'!$Z36*'Step 7b--Feedstuff Required'!$AL36/'Step 7b--Feedstuff Required'!$AI36,0)</f>
        <v>0</v>
      </c>
      <c r="BW35" s="2930"/>
      <c r="BX35" s="2930">
        <f>IF(Options!$AH$24=TRUE,0,BV35*'Step 11b--Inputs'!$C36)</f>
        <v>0</v>
      </c>
      <c r="BY35" s="2930"/>
      <c r="BZ35" s="2930">
        <f>IF(Options!$AH$24=TRUE,0,BV35*'Step 11b--Inputs'!$F36)</f>
        <v>0</v>
      </c>
      <c r="CA35" s="2930"/>
      <c r="CB35" s="2930">
        <f>IF(Options!$AH$24=TRUE,0,BV35*'Step 11b--Inputs'!$I36)</f>
        <v>0</v>
      </c>
      <c r="CC35" s="2933"/>
    </row>
    <row r="36" spans="1:81" ht="3" customHeight="1">
      <c r="A36" s="1224"/>
      <c r="B36" s="2954"/>
      <c r="C36" s="2955"/>
      <c r="D36" s="2955"/>
      <c r="E36" s="2955"/>
      <c r="F36" s="2955"/>
      <c r="G36" s="2955"/>
      <c r="H36" s="2955"/>
      <c r="I36" s="2956"/>
      <c r="J36" s="2957"/>
      <c r="K36" s="2955"/>
      <c r="L36" s="2955"/>
      <c r="M36" s="2955"/>
      <c r="N36" s="2955"/>
      <c r="O36" s="2955"/>
      <c r="P36" s="2955"/>
      <c r="Q36" s="2956"/>
      <c r="R36" s="2957"/>
      <c r="S36" s="2955"/>
      <c r="T36" s="2955"/>
      <c r="U36" s="2955"/>
      <c r="V36" s="2955"/>
      <c r="W36" s="2955"/>
      <c r="X36" s="2955"/>
      <c r="Y36" s="2956"/>
      <c r="Z36" s="2957"/>
      <c r="AA36" s="2955"/>
      <c r="AB36" s="2955"/>
      <c r="AC36" s="2955"/>
      <c r="AD36" s="2955"/>
      <c r="AE36" s="2955"/>
      <c r="AF36" s="2955"/>
      <c r="AG36" s="2956"/>
      <c r="AH36" s="2957"/>
      <c r="AI36" s="2955"/>
      <c r="AJ36" s="2955"/>
      <c r="AK36" s="2955"/>
      <c r="AL36" s="2955"/>
      <c r="AM36" s="2955"/>
      <c r="AN36" s="2955"/>
      <c r="AO36" s="2958"/>
      <c r="AP36" s="2929"/>
      <c r="AQ36" s="2930"/>
      <c r="AR36" s="2930"/>
      <c r="AS36" s="2930"/>
      <c r="AT36" s="2930"/>
      <c r="AU36" s="2930"/>
      <c r="AV36" s="2930"/>
      <c r="AW36" s="2931"/>
      <c r="AX36" s="2932"/>
      <c r="AY36" s="2930"/>
      <c r="AZ36" s="2930"/>
      <c r="BA36" s="2930"/>
      <c r="BB36" s="2930"/>
      <c r="BC36" s="2930"/>
      <c r="BD36" s="2930"/>
      <c r="BE36" s="2931"/>
      <c r="BF36" s="2932"/>
      <c r="BG36" s="2930"/>
      <c r="BH36" s="2930"/>
      <c r="BI36" s="2930"/>
      <c r="BJ36" s="2930"/>
      <c r="BK36" s="2930"/>
      <c r="BL36" s="2930"/>
      <c r="BM36" s="2931"/>
      <c r="BN36" s="2932"/>
      <c r="BO36" s="2930"/>
      <c r="BP36" s="2930"/>
      <c r="BQ36" s="2930"/>
      <c r="BR36" s="2930"/>
      <c r="BS36" s="2930"/>
      <c r="BT36" s="2930"/>
      <c r="BU36" s="2931"/>
      <c r="BV36" s="2932"/>
      <c r="BW36" s="2930"/>
      <c r="BX36" s="2930"/>
      <c r="BY36" s="2930"/>
      <c r="BZ36" s="2930"/>
      <c r="CA36" s="2930"/>
      <c r="CB36" s="2930"/>
      <c r="CC36" s="2933"/>
    </row>
    <row r="37" spans="1:81" ht="14.25">
      <c r="A37" s="1225" t="str">
        <f>IF('Step 7a--Feedstuff Required'!B38="[add grain crop here]"," ",'Step 7a--Feedstuff Required'!B38)</f>
        <v xml:space="preserve"> </v>
      </c>
      <c r="B37" s="2954">
        <f>IFERROR('Step 10b--Required Acres'!D36/'Step 7b--Feedstuff Required'!$E38*'Step 7b--Feedstuff Required'!$Q38/'Step 7b--Feedstuff Required'!$N38,0)</f>
        <v>0</v>
      </c>
      <c r="C37" s="2955"/>
      <c r="D37" s="2955">
        <f>IF(Options!$AG$24=TRUE,0,B37*'Step 11b--Inputs'!$C38)</f>
        <v>0</v>
      </c>
      <c r="E37" s="2955"/>
      <c r="F37" s="2955">
        <f>IF(Options!$AG$24=TRUE,0,B37*'Step 11b--Inputs'!$F38)</f>
        <v>0</v>
      </c>
      <c r="G37" s="2955"/>
      <c r="H37" s="2955">
        <f>IF(Options!$AG$24=TRUE,0,B37*'Step 11b--Inputs'!$I38)</f>
        <v>0</v>
      </c>
      <c r="I37" s="2956"/>
      <c r="J37" s="2957">
        <f>IFERROR('Step 9b--Daily DMI Rations'!F42/'Step 7b--Feedstuff Required'!$E38*'Step 7b--Feedstuff Required'!$Q38/'Step 7b--Feedstuff Required'!$N38,0)</f>
        <v>0</v>
      </c>
      <c r="K37" s="2955"/>
      <c r="L37" s="2955">
        <f>IF(Options!$AG$24=TRUE,0,J37*'Step 11b--Inputs'!$C38)</f>
        <v>0</v>
      </c>
      <c r="M37" s="2955"/>
      <c r="N37" s="2955">
        <f>IF(Options!$AG$24=TRUE,0,J37*'Step 11b--Inputs'!$F38)</f>
        <v>0</v>
      </c>
      <c r="O37" s="2955"/>
      <c r="P37" s="2955">
        <f>IF(Options!$AG$24=TRUE,0,J37*'Step 11b--Inputs'!$I38)</f>
        <v>0</v>
      </c>
      <c r="Q37" s="2956"/>
      <c r="R37" s="2957">
        <f>IFERROR('Step 9b--Daily DMI Rations'!L42/'Step 7b--Feedstuff Required'!$E38*'Step 7b--Feedstuff Required'!$Q38/'Step 7b--Feedstuff Required'!$N38,0)</f>
        <v>0</v>
      </c>
      <c r="S37" s="2955"/>
      <c r="T37" s="2955">
        <f>IF(Options!$AG$24=TRUE,0,R37*'Step 11b--Inputs'!$C38)</f>
        <v>0</v>
      </c>
      <c r="U37" s="2955"/>
      <c r="V37" s="2955">
        <f>IF(Options!$AG$24=TRUE,0,R37*'Step 11b--Inputs'!$F38)</f>
        <v>0</v>
      </c>
      <c r="W37" s="2955"/>
      <c r="X37" s="2955">
        <f>IF(Options!$AG$24=TRUE,0,R37*'Step 11b--Inputs'!$I38)</f>
        <v>0</v>
      </c>
      <c r="Y37" s="2956"/>
      <c r="Z37" s="2957">
        <f>IFERROR('Step 9b--Daily DMI Rations'!R42/'Step 7b--Feedstuff Required'!$E38*'Step 7b--Feedstuff Required'!$Q38/'Step 7b--Feedstuff Required'!$N38,0)</f>
        <v>0</v>
      </c>
      <c r="AA37" s="2955"/>
      <c r="AB37" s="2955">
        <f>IF(Options!$AG$24=TRUE,0,Z37*'Step 11b--Inputs'!$C38)</f>
        <v>0</v>
      </c>
      <c r="AC37" s="2955"/>
      <c r="AD37" s="2955">
        <f>IF(Options!$AG$24=TRUE,0,Z37*'Step 11b--Inputs'!$F38)</f>
        <v>0</v>
      </c>
      <c r="AE37" s="2955"/>
      <c r="AF37" s="2955">
        <f>IF(Options!$AG$24=TRUE,0,Z37*'Step 11b--Inputs'!$I38)</f>
        <v>0</v>
      </c>
      <c r="AG37" s="2956"/>
      <c r="AH37" s="2957">
        <f>IFERROR('Step 9b--Daily DMI Rations'!X42/'Step 7b--Feedstuff Required'!$E38*'Step 7b--Feedstuff Required'!$Q38/'Step 7b--Feedstuff Required'!$N38,0)</f>
        <v>0</v>
      </c>
      <c r="AI37" s="2955"/>
      <c r="AJ37" s="2955">
        <f>IF(Options!$AG$24=TRUE,0,AH37*'Step 11b--Inputs'!$C38)</f>
        <v>0</v>
      </c>
      <c r="AK37" s="2955"/>
      <c r="AL37" s="2955">
        <f>IF(Options!$AG$24=TRUE,0,AH37*'Step 11b--Inputs'!$F38)</f>
        <v>0</v>
      </c>
      <c r="AM37" s="2955"/>
      <c r="AN37" s="2955">
        <f>IF(Options!$AG$24=TRUE,0,AH37*'Step 11b--Inputs'!$I38)</f>
        <v>0</v>
      </c>
      <c r="AO37" s="2958"/>
      <c r="AP37" s="2929">
        <f>IFERROR('Step 9b--Daily DMI Rations'!AB42/'Step 7b--Feedstuff Required'!$Z38*'Step 7b--Feedstuff Required'!$AL38/'Step 7b--Feedstuff Required'!$AI38,0)</f>
        <v>0</v>
      </c>
      <c r="AQ37" s="2930"/>
      <c r="AR37" s="2930">
        <f>IF(Options!$AH$24=TRUE,0,AP37*'Step 11b--Inputs'!$C38)</f>
        <v>0</v>
      </c>
      <c r="AS37" s="2930"/>
      <c r="AT37" s="2930">
        <f>IF(Options!$AH$24=TRUE,0,AP37*'Step 11b--Inputs'!$F38)</f>
        <v>0</v>
      </c>
      <c r="AU37" s="2930"/>
      <c r="AV37" s="2930">
        <f>IF(Options!$AH$24=TRUE,0,AP37*'Step 11b--Inputs'!$I38)</f>
        <v>0</v>
      </c>
      <c r="AW37" s="2931"/>
      <c r="AX37" s="2932">
        <f>IFERROR('Step 9b--Daily DMI Rations'!AG42/'Step 7b--Feedstuff Required'!$Z38*'Step 7b--Feedstuff Required'!$AL38/'Step 7b--Feedstuff Required'!$AI38,0)</f>
        <v>0</v>
      </c>
      <c r="AY37" s="2930"/>
      <c r="AZ37" s="2930">
        <f>IF(Options!$AH$24=TRUE,0,AX37*'Step 11b--Inputs'!$C38)</f>
        <v>0</v>
      </c>
      <c r="BA37" s="2930"/>
      <c r="BB37" s="2930">
        <f>IF(Options!$AH$24=TRUE,0,AX37*'Step 11b--Inputs'!$F38)</f>
        <v>0</v>
      </c>
      <c r="BC37" s="2930"/>
      <c r="BD37" s="2930">
        <f>IF(Options!$AH$24=TRUE,0,AX37*'Step 11b--Inputs'!$I38)</f>
        <v>0</v>
      </c>
      <c r="BE37" s="2931"/>
      <c r="BF37" s="2932">
        <f>IFERROR('Step 9b--Daily DMI Rations'!AM42/'Step 7b--Feedstuff Required'!$Z38*'Step 7b--Feedstuff Required'!$AL38/'Step 7b--Feedstuff Required'!$AI38,0)</f>
        <v>0</v>
      </c>
      <c r="BG37" s="2930"/>
      <c r="BH37" s="2930">
        <f>IF(Options!$AH$24=TRUE,0,BF37*'Step 11b--Inputs'!$C38)</f>
        <v>0</v>
      </c>
      <c r="BI37" s="2930"/>
      <c r="BJ37" s="2930">
        <f>IF(Options!$AH$24=TRUE,0,BF37*'Step 11b--Inputs'!$F38)</f>
        <v>0</v>
      </c>
      <c r="BK37" s="2930"/>
      <c r="BL37" s="2930">
        <f>IF(Options!$AH$24=TRUE,0,BF37*'Step 11b--Inputs'!$I38)</f>
        <v>0</v>
      </c>
      <c r="BM37" s="2931"/>
      <c r="BN37" s="2932">
        <f>IFERROR('Step 9b--Daily DMI Rations'!AS42/'Step 7b--Feedstuff Required'!$Z38*'Step 7b--Feedstuff Required'!$AL38/'Step 7b--Feedstuff Required'!$AI38,0)</f>
        <v>0</v>
      </c>
      <c r="BO37" s="2930"/>
      <c r="BP37" s="2930">
        <f>IF(Options!$AH$24=TRUE,0,BN37*'Step 11b--Inputs'!$C38)</f>
        <v>0</v>
      </c>
      <c r="BQ37" s="2930"/>
      <c r="BR37" s="2930">
        <f>IF(Options!$AH$24=TRUE,0,BN37*'Step 11b--Inputs'!$F38)</f>
        <v>0</v>
      </c>
      <c r="BS37" s="2930"/>
      <c r="BT37" s="2930">
        <f>IF(Options!$AH$24=TRUE,0,BN37*'Step 11b--Inputs'!$I38)</f>
        <v>0</v>
      </c>
      <c r="BU37" s="2931"/>
      <c r="BV37" s="2932">
        <f>IFERROR('Step 9b--Daily DMI Rations'!AY42/'Step 7b--Feedstuff Required'!$Z38*'Step 7b--Feedstuff Required'!$AL38/'Step 7b--Feedstuff Required'!$AI38,0)</f>
        <v>0</v>
      </c>
      <c r="BW37" s="2930"/>
      <c r="BX37" s="2930">
        <f>IF(Options!$AH$24=TRUE,0,BV37*'Step 11b--Inputs'!$C38)</f>
        <v>0</v>
      </c>
      <c r="BY37" s="2930"/>
      <c r="BZ37" s="2930">
        <f>IF(Options!$AH$24=TRUE,0,BV37*'Step 11b--Inputs'!$F38)</f>
        <v>0</v>
      </c>
      <c r="CA37" s="2930"/>
      <c r="CB37" s="2930">
        <f>IF(Options!$AH$24=TRUE,0,BV37*'Step 11b--Inputs'!$I38)</f>
        <v>0</v>
      </c>
      <c r="CC37" s="2933"/>
    </row>
    <row r="38" spans="1:81" ht="3" customHeight="1">
      <c r="A38" s="1224"/>
      <c r="B38" s="2954"/>
      <c r="C38" s="2955"/>
      <c r="D38" s="2955"/>
      <c r="E38" s="2955"/>
      <c r="F38" s="2955"/>
      <c r="G38" s="2955"/>
      <c r="H38" s="2955"/>
      <c r="I38" s="2956"/>
      <c r="J38" s="2957"/>
      <c r="K38" s="2955"/>
      <c r="L38" s="2955"/>
      <c r="M38" s="2955"/>
      <c r="N38" s="2955"/>
      <c r="O38" s="2955"/>
      <c r="P38" s="2955"/>
      <c r="Q38" s="2956"/>
      <c r="R38" s="2957"/>
      <c r="S38" s="2955"/>
      <c r="T38" s="2955"/>
      <c r="U38" s="2955"/>
      <c r="V38" s="2955"/>
      <c r="W38" s="2955"/>
      <c r="X38" s="2955"/>
      <c r="Y38" s="2956"/>
      <c r="Z38" s="2957"/>
      <c r="AA38" s="2955"/>
      <c r="AB38" s="2955"/>
      <c r="AC38" s="2955"/>
      <c r="AD38" s="2955"/>
      <c r="AE38" s="2955"/>
      <c r="AF38" s="2955"/>
      <c r="AG38" s="2956"/>
      <c r="AH38" s="2957"/>
      <c r="AI38" s="2955"/>
      <c r="AJ38" s="2955"/>
      <c r="AK38" s="2955"/>
      <c r="AL38" s="2955"/>
      <c r="AM38" s="2955"/>
      <c r="AN38" s="2955"/>
      <c r="AO38" s="2958"/>
      <c r="AP38" s="2929"/>
      <c r="AQ38" s="2930"/>
      <c r="AR38" s="2930"/>
      <c r="AS38" s="2930"/>
      <c r="AT38" s="2930"/>
      <c r="AU38" s="2930"/>
      <c r="AV38" s="2930"/>
      <c r="AW38" s="2931"/>
      <c r="AX38" s="2932"/>
      <c r="AY38" s="2930"/>
      <c r="AZ38" s="2930"/>
      <c r="BA38" s="2930"/>
      <c r="BB38" s="2930"/>
      <c r="BC38" s="2930"/>
      <c r="BD38" s="2930"/>
      <c r="BE38" s="2931"/>
      <c r="BF38" s="2932"/>
      <c r="BG38" s="2930"/>
      <c r="BH38" s="2930"/>
      <c r="BI38" s="2930"/>
      <c r="BJ38" s="2930"/>
      <c r="BK38" s="2930"/>
      <c r="BL38" s="2930"/>
      <c r="BM38" s="2931"/>
      <c r="BN38" s="2932"/>
      <c r="BO38" s="2930"/>
      <c r="BP38" s="2930"/>
      <c r="BQ38" s="2930"/>
      <c r="BR38" s="2930"/>
      <c r="BS38" s="2930"/>
      <c r="BT38" s="2930"/>
      <c r="BU38" s="2931"/>
      <c r="BV38" s="2932"/>
      <c r="BW38" s="2930"/>
      <c r="BX38" s="2930"/>
      <c r="BY38" s="2930"/>
      <c r="BZ38" s="2930"/>
      <c r="CA38" s="2930"/>
      <c r="CB38" s="2930"/>
      <c r="CC38" s="2933"/>
    </row>
    <row r="39" spans="1:81" ht="14.25">
      <c r="A39" s="1225" t="str">
        <f>IF('Step 7a--Feedstuff Required'!B40="[add grain crop here]"," ",'Step 7a--Feedstuff Required'!B40)</f>
        <v xml:space="preserve"> </v>
      </c>
      <c r="B39" s="2954">
        <f>IFERROR('Step 10b--Required Acres'!D38/'Step 7b--Feedstuff Required'!$E40*'Step 7b--Feedstuff Required'!$Q40/'Step 7b--Feedstuff Required'!$N40,0)</f>
        <v>0</v>
      </c>
      <c r="C39" s="2955"/>
      <c r="D39" s="2955">
        <f>IF(Options!$AG$24=TRUE,0,B39*'Step 11b--Inputs'!$C40)</f>
        <v>0</v>
      </c>
      <c r="E39" s="2955"/>
      <c r="F39" s="2955">
        <f>IF(Options!$AG$24=TRUE,0,B39*'Step 11b--Inputs'!$F40)</f>
        <v>0</v>
      </c>
      <c r="G39" s="2955"/>
      <c r="H39" s="2955">
        <f>IF(Options!$AG$24=TRUE,0,B39*'Step 11b--Inputs'!$I40)</f>
        <v>0</v>
      </c>
      <c r="I39" s="2956"/>
      <c r="J39" s="2957">
        <f>IFERROR('Step 9b--Daily DMI Rations'!F44/'Step 7b--Feedstuff Required'!$E40*'Step 7b--Feedstuff Required'!$Q40/'Step 7b--Feedstuff Required'!$N40,0)</f>
        <v>0</v>
      </c>
      <c r="K39" s="2955"/>
      <c r="L39" s="2955">
        <f>IF(Options!$AG$24=TRUE,0,J39*'Step 11b--Inputs'!$C40)</f>
        <v>0</v>
      </c>
      <c r="M39" s="2955"/>
      <c r="N39" s="2955">
        <f>IF(Options!$AG$24=TRUE,0,J39*'Step 11b--Inputs'!$F40)</f>
        <v>0</v>
      </c>
      <c r="O39" s="2955"/>
      <c r="P39" s="2955">
        <f>IF(Options!$AG$24=TRUE,0,J39*'Step 11b--Inputs'!$I40)</f>
        <v>0</v>
      </c>
      <c r="Q39" s="2956"/>
      <c r="R39" s="2957">
        <f>IFERROR('Step 9b--Daily DMI Rations'!L44/'Step 7b--Feedstuff Required'!$E40*'Step 7b--Feedstuff Required'!$Q40/'Step 7b--Feedstuff Required'!$N40,0)</f>
        <v>0</v>
      </c>
      <c r="S39" s="2955"/>
      <c r="T39" s="2955">
        <f>IF(Options!$AG$24=TRUE,0,R39*'Step 11b--Inputs'!$C40)</f>
        <v>0</v>
      </c>
      <c r="U39" s="2955"/>
      <c r="V39" s="2955">
        <f>IF(Options!$AG$24=TRUE,0,R39*'Step 11b--Inputs'!$F40)</f>
        <v>0</v>
      </c>
      <c r="W39" s="2955"/>
      <c r="X39" s="2955">
        <f>IF(Options!$AG$24=TRUE,0,R39*'Step 11b--Inputs'!$I40)</f>
        <v>0</v>
      </c>
      <c r="Y39" s="2956"/>
      <c r="Z39" s="2957">
        <f>IFERROR('Step 9b--Daily DMI Rations'!R44/'Step 7b--Feedstuff Required'!$E40*'Step 7b--Feedstuff Required'!$Q40/'Step 7b--Feedstuff Required'!$N40,0)</f>
        <v>0</v>
      </c>
      <c r="AA39" s="2955"/>
      <c r="AB39" s="2955">
        <f>IF(Options!$AG$24=TRUE,0,Z39*'Step 11b--Inputs'!$C40)</f>
        <v>0</v>
      </c>
      <c r="AC39" s="2955"/>
      <c r="AD39" s="2955">
        <f>IF(Options!$AG$24=TRUE,0,Z39*'Step 11b--Inputs'!$F40)</f>
        <v>0</v>
      </c>
      <c r="AE39" s="2955"/>
      <c r="AF39" s="2955">
        <f>IF(Options!$AG$24=TRUE,0,Z39*'Step 11b--Inputs'!$I40)</f>
        <v>0</v>
      </c>
      <c r="AG39" s="2956"/>
      <c r="AH39" s="2957">
        <f>IFERROR('Step 9b--Daily DMI Rations'!X44/'Step 7b--Feedstuff Required'!$E40*'Step 7b--Feedstuff Required'!$Q40/'Step 7b--Feedstuff Required'!$N40,0)</f>
        <v>0</v>
      </c>
      <c r="AI39" s="2955"/>
      <c r="AJ39" s="2955">
        <f>IF(Options!$AG$24=TRUE,0,AH39*'Step 11b--Inputs'!$C40)</f>
        <v>0</v>
      </c>
      <c r="AK39" s="2955"/>
      <c r="AL39" s="2955">
        <f>IF(Options!$AG$24=TRUE,0,AH39*'Step 11b--Inputs'!$F40)</f>
        <v>0</v>
      </c>
      <c r="AM39" s="2955"/>
      <c r="AN39" s="2955">
        <f>IF(Options!$AG$24=TRUE,0,AH39*'Step 11b--Inputs'!$I40)</f>
        <v>0</v>
      </c>
      <c r="AO39" s="2958"/>
      <c r="AP39" s="2929">
        <f>IFERROR('Step 9b--Daily DMI Rations'!AB44/'Step 7b--Feedstuff Required'!$Z40*'Step 7b--Feedstuff Required'!$AL40/'Step 7b--Feedstuff Required'!$AI40,0)</f>
        <v>0</v>
      </c>
      <c r="AQ39" s="2930"/>
      <c r="AR39" s="2930">
        <f>IF(Options!$AH$24=TRUE,0,AP39*'Step 11b--Inputs'!$C40)</f>
        <v>0</v>
      </c>
      <c r="AS39" s="2930"/>
      <c r="AT39" s="2930">
        <f>IF(Options!$AH$24=TRUE,0,AP39*'Step 11b--Inputs'!$F40)</f>
        <v>0</v>
      </c>
      <c r="AU39" s="2930"/>
      <c r="AV39" s="2930">
        <f>IF(Options!$AH$24=TRUE,0,AP39*'Step 11b--Inputs'!$I40)</f>
        <v>0</v>
      </c>
      <c r="AW39" s="2931"/>
      <c r="AX39" s="2932">
        <f>IFERROR('Step 9b--Daily DMI Rations'!AG44/'Step 7b--Feedstuff Required'!$Z40*'Step 7b--Feedstuff Required'!$AL40/'Step 7b--Feedstuff Required'!$AI40,0)</f>
        <v>0</v>
      </c>
      <c r="AY39" s="2930"/>
      <c r="AZ39" s="2930">
        <f>IF(Options!$AH$24=TRUE,0,AX39*'Step 11b--Inputs'!$C40)</f>
        <v>0</v>
      </c>
      <c r="BA39" s="2930"/>
      <c r="BB39" s="2930">
        <f>IF(Options!$AH$24=TRUE,0,AX39*'Step 11b--Inputs'!$F40)</f>
        <v>0</v>
      </c>
      <c r="BC39" s="2930"/>
      <c r="BD39" s="2930">
        <f>IF(Options!$AH$24=TRUE,0,AX39*'Step 11b--Inputs'!$I40)</f>
        <v>0</v>
      </c>
      <c r="BE39" s="2931"/>
      <c r="BF39" s="2932">
        <f>IFERROR('Step 9b--Daily DMI Rations'!AM44/'Step 7b--Feedstuff Required'!$Z40*'Step 7b--Feedstuff Required'!$AL40/'Step 7b--Feedstuff Required'!$AI40,0)</f>
        <v>0</v>
      </c>
      <c r="BG39" s="2930"/>
      <c r="BH39" s="2930">
        <f>IF(Options!$AH$24=TRUE,0,BF39*'Step 11b--Inputs'!$C40)</f>
        <v>0</v>
      </c>
      <c r="BI39" s="2930"/>
      <c r="BJ39" s="2930">
        <f>IF(Options!$AH$24=TRUE,0,BF39*'Step 11b--Inputs'!$F40)</f>
        <v>0</v>
      </c>
      <c r="BK39" s="2930"/>
      <c r="BL39" s="2930">
        <f>IF(Options!$AH$24=TRUE,0,BF39*'Step 11b--Inputs'!$I40)</f>
        <v>0</v>
      </c>
      <c r="BM39" s="2931"/>
      <c r="BN39" s="2932">
        <f>IFERROR('Step 9b--Daily DMI Rations'!AS44/'Step 7b--Feedstuff Required'!$Z40*'Step 7b--Feedstuff Required'!$AL40/'Step 7b--Feedstuff Required'!$AI40,0)</f>
        <v>0</v>
      </c>
      <c r="BO39" s="2930"/>
      <c r="BP39" s="2930">
        <f>IF(Options!$AH$24=TRUE,0,BN39*'Step 11b--Inputs'!$C40)</f>
        <v>0</v>
      </c>
      <c r="BQ39" s="2930"/>
      <c r="BR39" s="2930">
        <f>IF(Options!$AH$24=TRUE,0,BN39*'Step 11b--Inputs'!$F40)</f>
        <v>0</v>
      </c>
      <c r="BS39" s="2930"/>
      <c r="BT39" s="2930">
        <f>IF(Options!$AH$24=TRUE,0,BN39*'Step 11b--Inputs'!$I40)</f>
        <v>0</v>
      </c>
      <c r="BU39" s="2931"/>
      <c r="BV39" s="2932">
        <f>IFERROR('Step 9b--Daily DMI Rations'!AY44/'Step 7b--Feedstuff Required'!$Z40*'Step 7b--Feedstuff Required'!$AL40/'Step 7b--Feedstuff Required'!$AI40,0)</f>
        <v>0</v>
      </c>
      <c r="BW39" s="2930"/>
      <c r="BX39" s="2930">
        <f>IF(Options!$AH$24=TRUE,0,BV39*'Step 11b--Inputs'!$C40)</f>
        <v>0</v>
      </c>
      <c r="BY39" s="2930"/>
      <c r="BZ39" s="2930">
        <f>IF(Options!$AH$24=TRUE,0,BV39*'Step 11b--Inputs'!$F40)</f>
        <v>0</v>
      </c>
      <c r="CA39" s="2930"/>
      <c r="CB39" s="2930">
        <f>IF(Options!$AH$24=TRUE,0,BV39*'Step 11b--Inputs'!$I40)</f>
        <v>0</v>
      </c>
      <c r="CC39" s="2933"/>
    </row>
    <row r="40" spans="1:81" ht="3" customHeight="1">
      <c r="A40" s="1224"/>
      <c r="B40" s="2954"/>
      <c r="C40" s="2955"/>
      <c r="D40" s="2955"/>
      <c r="E40" s="2955"/>
      <c r="F40" s="2955"/>
      <c r="G40" s="2955"/>
      <c r="H40" s="2955"/>
      <c r="I40" s="2956"/>
      <c r="J40" s="2957"/>
      <c r="K40" s="2955"/>
      <c r="L40" s="2955"/>
      <c r="M40" s="2955"/>
      <c r="N40" s="2955"/>
      <c r="O40" s="2955"/>
      <c r="P40" s="2955"/>
      <c r="Q40" s="2956"/>
      <c r="R40" s="2957"/>
      <c r="S40" s="2955"/>
      <c r="T40" s="2955"/>
      <c r="U40" s="2955"/>
      <c r="V40" s="2955"/>
      <c r="W40" s="2955"/>
      <c r="X40" s="2955"/>
      <c r="Y40" s="2956"/>
      <c r="Z40" s="2957"/>
      <c r="AA40" s="2955"/>
      <c r="AB40" s="2955"/>
      <c r="AC40" s="2955"/>
      <c r="AD40" s="2955"/>
      <c r="AE40" s="2955"/>
      <c r="AF40" s="2955"/>
      <c r="AG40" s="2956"/>
      <c r="AH40" s="2957"/>
      <c r="AI40" s="2955"/>
      <c r="AJ40" s="2955"/>
      <c r="AK40" s="2955"/>
      <c r="AL40" s="2955"/>
      <c r="AM40" s="2955"/>
      <c r="AN40" s="2955"/>
      <c r="AO40" s="2958"/>
      <c r="AP40" s="2929"/>
      <c r="AQ40" s="2930"/>
      <c r="AR40" s="2930"/>
      <c r="AS40" s="2930"/>
      <c r="AT40" s="2930"/>
      <c r="AU40" s="2930"/>
      <c r="AV40" s="2930"/>
      <c r="AW40" s="2931"/>
      <c r="AX40" s="2932"/>
      <c r="AY40" s="2930"/>
      <c r="AZ40" s="2930"/>
      <c r="BA40" s="2930"/>
      <c r="BB40" s="2930"/>
      <c r="BC40" s="2930"/>
      <c r="BD40" s="2930"/>
      <c r="BE40" s="2931"/>
      <c r="BF40" s="2932"/>
      <c r="BG40" s="2930"/>
      <c r="BH40" s="2930"/>
      <c r="BI40" s="2930"/>
      <c r="BJ40" s="2930"/>
      <c r="BK40" s="2930"/>
      <c r="BL40" s="2930"/>
      <c r="BM40" s="2931"/>
      <c r="BN40" s="2932"/>
      <c r="BO40" s="2930"/>
      <c r="BP40" s="2930"/>
      <c r="BQ40" s="2930"/>
      <c r="BR40" s="2930"/>
      <c r="BS40" s="2930"/>
      <c r="BT40" s="2930"/>
      <c r="BU40" s="2931"/>
      <c r="BV40" s="2932"/>
      <c r="BW40" s="2930"/>
      <c r="BX40" s="2930"/>
      <c r="BY40" s="2930"/>
      <c r="BZ40" s="2930"/>
      <c r="CA40" s="2930"/>
      <c r="CB40" s="2930"/>
      <c r="CC40" s="2933"/>
    </row>
    <row r="41" spans="1:81" ht="14.25">
      <c r="A41" s="1225" t="str">
        <f>IF('Step 7a--Feedstuff Required'!B42="[add grain crop here]"," ",'Step 7a--Feedstuff Required'!B42)</f>
        <v xml:space="preserve"> </v>
      </c>
      <c r="B41" s="2954">
        <f>IFERROR('Step 10b--Required Acres'!D40/'Step 7b--Feedstuff Required'!$E42*'Step 7b--Feedstuff Required'!$Q42/'Step 7b--Feedstuff Required'!$N42,0)</f>
        <v>0</v>
      </c>
      <c r="C41" s="2955"/>
      <c r="D41" s="2955">
        <f>IF(Options!$AG$24=TRUE,0,B41*'Step 11b--Inputs'!$C42)</f>
        <v>0</v>
      </c>
      <c r="E41" s="2955"/>
      <c r="F41" s="2955">
        <f>IF(Options!$AG$24=TRUE,0,B41*'Step 11b--Inputs'!$F42)</f>
        <v>0</v>
      </c>
      <c r="G41" s="2955"/>
      <c r="H41" s="2955">
        <f>IF(Options!$AG$24=TRUE,0,B41*'Step 11b--Inputs'!$I42)</f>
        <v>0</v>
      </c>
      <c r="I41" s="2956"/>
      <c r="J41" s="2957">
        <f>IFERROR('Step 9b--Daily DMI Rations'!F46/'Step 7b--Feedstuff Required'!$E42*'Step 7b--Feedstuff Required'!$Q42/'Step 7b--Feedstuff Required'!$N42,0)</f>
        <v>0</v>
      </c>
      <c r="K41" s="2955"/>
      <c r="L41" s="2955">
        <f>IF(Options!$AG$24=TRUE,0,J41*'Step 11b--Inputs'!$C42)</f>
        <v>0</v>
      </c>
      <c r="M41" s="2955"/>
      <c r="N41" s="2955">
        <f>IF(Options!$AG$24=TRUE,0,J41*'Step 11b--Inputs'!$F42)</f>
        <v>0</v>
      </c>
      <c r="O41" s="2955"/>
      <c r="P41" s="2955">
        <f>IF(Options!$AG$24=TRUE,0,J41*'Step 11b--Inputs'!$I42)</f>
        <v>0</v>
      </c>
      <c r="Q41" s="2956"/>
      <c r="R41" s="2957">
        <f>IFERROR('Step 9b--Daily DMI Rations'!L46/'Step 7b--Feedstuff Required'!$E42*'Step 7b--Feedstuff Required'!$Q42/'Step 7b--Feedstuff Required'!$N42,0)</f>
        <v>0</v>
      </c>
      <c r="S41" s="2955"/>
      <c r="T41" s="2955">
        <f>IF(Options!$AG$24=TRUE,0,R41*'Step 11b--Inputs'!$C42)</f>
        <v>0</v>
      </c>
      <c r="U41" s="2955"/>
      <c r="V41" s="2955">
        <f>IF(Options!$AG$24=TRUE,0,R41*'Step 11b--Inputs'!$F42)</f>
        <v>0</v>
      </c>
      <c r="W41" s="2955"/>
      <c r="X41" s="2955">
        <f>IF(Options!$AG$24=TRUE,0,R41*'Step 11b--Inputs'!$I42)</f>
        <v>0</v>
      </c>
      <c r="Y41" s="2956"/>
      <c r="Z41" s="2957">
        <f>IFERROR('Step 9b--Daily DMI Rations'!R46/'Step 7b--Feedstuff Required'!$E42*'Step 7b--Feedstuff Required'!$Q42/'Step 7b--Feedstuff Required'!$N42,0)</f>
        <v>0</v>
      </c>
      <c r="AA41" s="2955"/>
      <c r="AB41" s="2955">
        <f>IF(Options!$AG$24=TRUE,0,Z41*'Step 11b--Inputs'!$C42)</f>
        <v>0</v>
      </c>
      <c r="AC41" s="2955"/>
      <c r="AD41" s="2955">
        <f>IF(Options!$AG$24=TRUE,0,Z41*'Step 11b--Inputs'!$F42)</f>
        <v>0</v>
      </c>
      <c r="AE41" s="2955"/>
      <c r="AF41" s="2955">
        <f>IF(Options!$AG$24=TRUE,0,Z41*'Step 11b--Inputs'!$I42)</f>
        <v>0</v>
      </c>
      <c r="AG41" s="2956"/>
      <c r="AH41" s="2957">
        <f>IFERROR('Step 9b--Daily DMI Rations'!X46/'Step 7b--Feedstuff Required'!$E42*'Step 7b--Feedstuff Required'!$Q42/'Step 7b--Feedstuff Required'!$N42,0)</f>
        <v>0</v>
      </c>
      <c r="AI41" s="2955"/>
      <c r="AJ41" s="2955">
        <f>IF(Options!$AG$24=TRUE,0,AH41*'Step 11b--Inputs'!$C42)</f>
        <v>0</v>
      </c>
      <c r="AK41" s="2955"/>
      <c r="AL41" s="2955">
        <f>IF(Options!$AG$24=TRUE,0,AH41*'Step 11b--Inputs'!$F42)</f>
        <v>0</v>
      </c>
      <c r="AM41" s="2955"/>
      <c r="AN41" s="2955">
        <f>IF(Options!$AG$24=TRUE,0,AH41*'Step 11b--Inputs'!$I42)</f>
        <v>0</v>
      </c>
      <c r="AO41" s="2958"/>
      <c r="AP41" s="2929">
        <f>IFERROR('Step 9b--Daily DMI Rations'!AB46/'Step 7b--Feedstuff Required'!$Z42*'Step 7b--Feedstuff Required'!$AL42/'Step 7b--Feedstuff Required'!$AI42,0)</f>
        <v>0</v>
      </c>
      <c r="AQ41" s="2930"/>
      <c r="AR41" s="2930">
        <f>IF(Options!$AH$24=TRUE,0,AP41*'Step 11b--Inputs'!$C42)</f>
        <v>0</v>
      </c>
      <c r="AS41" s="2930"/>
      <c r="AT41" s="2930">
        <f>IF(Options!$AH$24=TRUE,0,AP41*'Step 11b--Inputs'!$F42)</f>
        <v>0</v>
      </c>
      <c r="AU41" s="2930"/>
      <c r="AV41" s="2930">
        <f>IF(Options!$AH$24=TRUE,0,AP41*'Step 11b--Inputs'!$I42)</f>
        <v>0</v>
      </c>
      <c r="AW41" s="2931"/>
      <c r="AX41" s="2932">
        <f>IFERROR('Step 9b--Daily DMI Rations'!AG46/'Step 7b--Feedstuff Required'!$Z42*'Step 7b--Feedstuff Required'!$AL42/'Step 7b--Feedstuff Required'!$AI42,0)</f>
        <v>0</v>
      </c>
      <c r="AY41" s="2930"/>
      <c r="AZ41" s="2930">
        <f>IF(Options!$AH$24=TRUE,0,AX41*'Step 11b--Inputs'!$C42)</f>
        <v>0</v>
      </c>
      <c r="BA41" s="2930"/>
      <c r="BB41" s="2930">
        <f>IF(Options!$AH$24=TRUE,0,AX41*'Step 11b--Inputs'!$F42)</f>
        <v>0</v>
      </c>
      <c r="BC41" s="2930"/>
      <c r="BD41" s="2930">
        <f>IF(Options!$AH$24=TRUE,0,AX41*'Step 11b--Inputs'!$I42)</f>
        <v>0</v>
      </c>
      <c r="BE41" s="2931"/>
      <c r="BF41" s="2932">
        <f>IFERROR('Step 9b--Daily DMI Rations'!AM46/'Step 7b--Feedstuff Required'!$Z42*'Step 7b--Feedstuff Required'!$AL42/'Step 7b--Feedstuff Required'!$AI42,0)</f>
        <v>0</v>
      </c>
      <c r="BG41" s="2930"/>
      <c r="BH41" s="2930">
        <f>IF(Options!$AH$24=TRUE,0,BF41*'Step 11b--Inputs'!$C42)</f>
        <v>0</v>
      </c>
      <c r="BI41" s="2930"/>
      <c r="BJ41" s="2930">
        <f>IF(Options!$AH$24=TRUE,0,BF41*'Step 11b--Inputs'!$F42)</f>
        <v>0</v>
      </c>
      <c r="BK41" s="2930"/>
      <c r="BL41" s="2930">
        <f>IF(Options!$AH$24=TRUE,0,BF41*'Step 11b--Inputs'!$I42)</f>
        <v>0</v>
      </c>
      <c r="BM41" s="2931"/>
      <c r="BN41" s="2932">
        <f>IFERROR('Step 9b--Daily DMI Rations'!AS46/'Step 7b--Feedstuff Required'!$Z42*'Step 7b--Feedstuff Required'!$AL42/'Step 7b--Feedstuff Required'!$AI42,0)</f>
        <v>0</v>
      </c>
      <c r="BO41" s="2930"/>
      <c r="BP41" s="2930">
        <f>IF(Options!$AH$24=TRUE,0,BN41*'Step 11b--Inputs'!$C42)</f>
        <v>0</v>
      </c>
      <c r="BQ41" s="2930"/>
      <c r="BR41" s="2930">
        <f>IF(Options!$AH$24=TRUE,0,BN41*'Step 11b--Inputs'!$F42)</f>
        <v>0</v>
      </c>
      <c r="BS41" s="2930"/>
      <c r="BT41" s="2930">
        <f>IF(Options!$AH$24=TRUE,0,BN41*'Step 11b--Inputs'!$I42)</f>
        <v>0</v>
      </c>
      <c r="BU41" s="2931"/>
      <c r="BV41" s="2932">
        <f>IFERROR('Step 9b--Daily DMI Rations'!AY46/'Step 7b--Feedstuff Required'!$Z42*'Step 7b--Feedstuff Required'!$AL42/'Step 7b--Feedstuff Required'!$AI42,0)</f>
        <v>0</v>
      </c>
      <c r="BW41" s="2930"/>
      <c r="BX41" s="2930">
        <f>IF(Options!$AH$24=TRUE,0,BV41*'Step 11b--Inputs'!$C42)</f>
        <v>0</v>
      </c>
      <c r="BY41" s="2930"/>
      <c r="BZ41" s="2930">
        <f>IF(Options!$AH$24=TRUE,0,BV41*'Step 11b--Inputs'!$F42)</f>
        <v>0</v>
      </c>
      <c r="CA41" s="2930"/>
      <c r="CB41" s="2930">
        <f>IF(Options!$AH$24=TRUE,0,BV41*'Step 11b--Inputs'!$I42)</f>
        <v>0</v>
      </c>
      <c r="CC41" s="2933"/>
    </row>
    <row r="42" spans="1:81" ht="3" customHeight="1">
      <c r="A42" s="1224"/>
      <c r="B42" s="2954"/>
      <c r="C42" s="2955"/>
      <c r="D42" s="2955"/>
      <c r="E42" s="2955"/>
      <c r="F42" s="2955"/>
      <c r="G42" s="2955"/>
      <c r="H42" s="2955"/>
      <c r="I42" s="2956"/>
      <c r="J42" s="2957"/>
      <c r="K42" s="2955"/>
      <c r="L42" s="2955"/>
      <c r="M42" s="2955"/>
      <c r="N42" s="2955"/>
      <c r="O42" s="2955"/>
      <c r="P42" s="2955"/>
      <c r="Q42" s="2956"/>
      <c r="R42" s="2957"/>
      <c r="S42" s="2955"/>
      <c r="T42" s="2955"/>
      <c r="U42" s="2955"/>
      <c r="V42" s="2955"/>
      <c r="W42" s="2955"/>
      <c r="X42" s="2955"/>
      <c r="Y42" s="2956"/>
      <c r="Z42" s="2957"/>
      <c r="AA42" s="2955"/>
      <c r="AB42" s="2955"/>
      <c r="AC42" s="2955"/>
      <c r="AD42" s="2955"/>
      <c r="AE42" s="2955"/>
      <c r="AF42" s="2955"/>
      <c r="AG42" s="2956"/>
      <c r="AH42" s="2957"/>
      <c r="AI42" s="2955"/>
      <c r="AJ42" s="2955"/>
      <c r="AK42" s="2955"/>
      <c r="AL42" s="2955"/>
      <c r="AM42" s="2955"/>
      <c r="AN42" s="2955"/>
      <c r="AO42" s="2958"/>
      <c r="AP42" s="2929"/>
      <c r="AQ42" s="2930"/>
      <c r="AR42" s="2930"/>
      <c r="AS42" s="2930"/>
      <c r="AT42" s="2930"/>
      <c r="AU42" s="2930"/>
      <c r="AV42" s="2930"/>
      <c r="AW42" s="2931"/>
      <c r="AX42" s="2932"/>
      <c r="AY42" s="2930"/>
      <c r="AZ42" s="2930"/>
      <c r="BA42" s="2930"/>
      <c r="BB42" s="2930"/>
      <c r="BC42" s="2930"/>
      <c r="BD42" s="2930"/>
      <c r="BE42" s="2931"/>
      <c r="BF42" s="2932"/>
      <c r="BG42" s="2930"/>
      <c r="BH42" s="2930"/>
      <c r="BI42" s="2930"/>
      <c r="BJ42" s="2930"/>
      <c r="BK42" s="2930"/>
      <c r="BL42" s="2930"/>
      <c r="BM42" s="2931"/>
      <c r="BN42" s="2932"/>
      <c r="BO42" s="2930"/>
      <c r="BP42" s="2930"/>
      <c r="BQ42" s="2930"/>
      <c r="BR42" s="2930"/>
      <c r="BS42" s="2930"/>
      <c r="BT42" s="2930"/>
      <c r="BU42" s="2931"/>
      <c r="BV42" s="2932"/>
      <c r="BW42" s="2930"/>
      <c r="BX42" s="2930"/>
      <c r="BY42" s="2930"/>
      <c r="BZ42" s="2930"/>
      <c r="CA42" s="2930"/>
      <c r="CB42" s="2930"/>
      <c r="CC42" s="2933"/>
    </row>
    <row r="43" spans="1:81" ht="15">
      <c r="A43" s="3774" t="s">
        <v>1482</v>
      </c>
      <c r="B43" s="2959">
        <f>SUM(B29:B42)</f>
        <v>1.6188040129161885E-3</v>
      </c>
      <c r="C43" s="2960"/>
      <c r="D43" s="2960">
        <f t="shared" ref="D43:CB43" si="1">SUM(D29:D42)</f>
        <v>0</v>
      </c>
      <c r="E43" s="2960"/>
      <c r="F43" s="2960">
        <f t="shared" si="1"/>
        <v>0</v>
      </c>
      <c r="G43" s="2960"/>
      <c r="H43" s="2960">
        <f t="shared" si="1"/>
        <v>0</v>
      </c>
      <c r="I43" s="2961"/>
      <c r="J43" s="2962">
        <f t="shared" si="1"/>
        <v>1.6188040129161885E-3</v>
      </c>
      <c r="K43" s="2960"/>
      <c r="L43" s="2960">
        <f t="shared" si="1"/>
        <v>0</v>
      </c>
      <c r="M43" s="2960"/>
      <c r="N43" s="2960">
        <f t="shared" si="1"/>
        <v>0</v>
      </c>
      <c r="O43" s="2960"/>
      <c r="P43" s="2960">
        <f t="shared" si="1"/>
        <v>0</v>
      </c>
      <c r="Q43" s="2961"/>
      <c r="R43" s="2962">
        <f t="shared" si="1"/>
        <v>0</v>
      </c>
      <c r="S43" s="2960"/>
      <c r="T43" s="2960">
        <f t="shared" si="1"/>
        <v>0</v>
      </c>
      <c r="U43" s="2960"/>
      <c r="V43" s="2960">
        <f t="shared" si="1"/>
        <v>0</v>
      </c>
      <c r="W43" s="2960"/>
      <c r="X43" s="2960">
        <f t="shared" si="1"/>
        <v>0</v>
      </c>
      <c r="Y43" s="2961"/>
      <c r="Z43" s="2962">
        <f t="shared" si="1"/>
        <v>0</v>
      </c>
      <c r="AA43" s="2960"/>
      <c r="AB43" s="2960">
        <f t="shared" si="1"/>
        <v>0</v>
      </c>
      <c r="AC43" s="2960"/>
      <c r="AD43" s="2960">
        <f t="shared" si="1"/>
        <v>0</v>
      </c>
      <c r="AE43" s="2960"/>
      <c r="AF43" s="2960">
        <f t="shared" si="1"/>
        <v>0</v>
      </c>
      <c r="AG43" s="2961"/>
      <c r="AH43" s="2962">
        <f t="shared" si="1"/>
        <v>0</v>
      </c>
      <c r="AI43" s="2960"/>
      <c r="AJ43" s="2960">
        <f t="shared" si="1"/>
        <v>0</v>
      </c>
      <c r="AK43" s="2960"/>
      <c r="AL43" s="2960">
        <f t="shared" si="1"/>
        <v>0</v>
      </c>
      <c r="AM43" s="2960"/>
      <c r="AN43" s="2960">
        <f t="shared" si="1"/>
        <v>0</v>
      </c>
      <c r="AO43" s="2963"/>
      <c r="AP43" s="2934">
        <f t="shared" si="1"/>
        <v>1.6188040129161885E-3</v>
      </c>
      <c r="AQ43" s="2935"/>
      <c r="AR43" s="2935">
        <f t="shared" si="1"/>
        <v>0</v>
      </c>
      <c r="AS43" s="2935"/>
      <c r="AT43" s="2935">
        <f t="shared" si="1"/>
        <v>0</v>
      </c>
      <c r="AU43" s="2935"/>
      <c r="AV43" s="2935">
        <f t="shared" si="1"/>
        <v>0</v>
      </c>
      <c r="AW43" s="2936"/>
      <c r="AX43" s="2937">
        <f t="shared" si="1"/>
        <v>1.476831129258266E-3</v>
      </c>
      <c r="AY43" s="2935"/>
      <c r="AZ43" s="2935">
        <f t="shared" si="1"/>
        <v>0</v>
      </c>
      <c r="BA43" s="2935"/>
      <c r="BB43" s="2935">
        <f t="shared" si="1"/>
        <v>0</v>
      </c>
      <c r="BC43" s="2935"/>
      <c r="BD43" s="2935">
        <f t="shared" si="1"/>
        <v>0</v>
      </c>
      <c r="BE43" s="2936"/>
      <c r="BF43" s="2937">
        <f t="shared" si="1"/>
        <v>0</v>
      </c>
      <c r="BG43" s="2935"/>
      <c r="BH43" s="2935">
        <f t="shared" si="1"/>
        <v>0</v>
      </c>
      <c r="BI43" s="2935"/>
      <c r="BJ43" s="2935">
        <f t="shared" si="1"/>
        <v>0</v>
      </c>
      <c r="BK43" s="2935"/>
      <c r="BL43" s="2935">
        <f t="shared" si="1"/>
        <v>0</v>
      </c>
      <c r="BM43" s="2936"/>
      <c r="BN43" s="2937">
        <f t="shared" si="1"/>
        <v>0</v>
      </c>
      <c r="BO43" s="2935"/>
      <c r="BP43" s="2935">
        <f t="shared" si="1"/>
        <v>0</v>
      </c>
      <c r="BQ43" s="2935"/>
      <c r="BR43" s="2935">
        <f t="shared" si="1"/>
        <v>0</v>
      </c>
      <c r="BS43" s="2935"/>
      <c r="BT43" s="2935">
        <f t="shared" si="1"/>
        <v>0</v>
      </c>
      <c r="BU43" s="2936"/>
      <c r="BV43" s="2937">
        <f t="shared" si="1"/>
        <v>0</v>
      </c>
      <c r="BW43" s="2935"/>
      <c r="BX43" s="2935">
        <f t="shared" si="1"/>
        <v>0</v>
      </c>
      <c r="BY43" s="2935"/>
      <c r="BZ43" s="2935">
        <f t="shared" si="1"/>
        <v>0</v>
      </c>
      <c r="CA43" s="2935"/>
      <c r="CB43" s="2935">
        <f t="shared" si="1"/>
        <v>0</v>
      </c>
      <c r="CC43" s="2938"/>
    </row>
    <row r="44" spans="1:81" ht="14.25">
      <c r="A44" s="787"/>
      <c r="B44" s="2954"/>
      <c r="C44" s="2955"/>
      <c r="D44" s="2955"/>
      <c r="E44" s="2955"/>
      <c r="F44" s="2955"/>
      <c r="G44" s="2955"/>
      <c r="H44" s="2955"/>
      <c r="I44" s="2956"/>
      <c r="J44" s="2957"/>
      <c r="K44" s="2955"/>
      <c r="L44" s="2955"/>
      <c r="M44" s="2955"/>
      <c r="N44" s="2955"/>
      <c r="O44" s="2955"/>
      <c r="P44" s="2955"/>
      <c r="Q44" s="2956"/>
      <c r="R44" s="2957"/>
      <c r="S44" s="2955"/>
      <c r="T44" s="2955"/>
      <c r="U44" s="2955"/>
      <c r="V44" s="2955"/>
      <c r="W44" s="2955"/>
      <c r="X44" s="2955"/>
      <c r="Y44" s="2956"/>
      <c r="Z44" s="2957"/>
      <c r="AA44" s="2955"/>
      <c r="AB44" s="2955"/>
      <c r="AC44" s="2955"/>
      <c r="AD44" s="2955"/>
      <c r="AE44" s="2955"/>
      <c r="AF44" s="2955"/>
      <c r="AG44" s="2956"/>
      <c r="AH44" s="2957"/>
      <c r="AI44" s="2955"/>
      <c r="AJ44" s="2955"/>
      <c r="AK44" s="2955"/>
      <c r="AL44" s="2955"/>
      <c r="AM44" s="2955"/>
      <c r="AN44" s="2955"/>
      <c r="AO44" s="2958"/>
      <c r="AP44" s="2929"/>
      <c r="AQ44" s="2930"/>
      <c r="AR44" s="2930"/>
      <c r="AS44" s="2930"/>
      <c r="AT44" s="2930"/>
      <c r="AU44" s="2930"/>
      <c r="AV44" s="2930"/>
      <c r="AW44" s="2931"/>
      <c r="AX44" s="2932"/>
      <c r="AY44" s="2930"/>
      <c r="AZ44" s="2930"/>
      <c r="BA44" s="2930"/>
      <c r="BB44" s="2930"/>
      <c r="BC44" s="2930"/>
      <c r="BD44" s="2930"/>
      <c r="BE44" s="2931"/>
      <c r="BF44" s="2932"/>
      <c r="BG44" s="2930"/>
      <c r="BH44" s="2930"/>
      <c r="BI44" s="2930"/>
      <c r="BJ44" s="2930"/>
      <c r="BK44" s="2930"/>
      <c r="BL44" s="2930"/>
      <c r="BM44" s="2931"/>
      <c r="BN44" s="2932"/>
      <c r="BO44" s="2930"/>
      <c r="BP44" s="2930"/>
      <c r="BQ44" s="2930"/>
      <c r="BR44" s="2930"/>
      <c r="BS44" s="2930"/>
      <c r="BT44" s="2930"/>
      <c r="BU44" s="2931"/>
      <c r="BV44" s="2932"/>
      <c r="BW44" s="2930"/>
      <c r="BX44" s="2930"/>
      <c r="BY44" s="2930"/>
      <c r="BZ44" s="2930"/>
      <c r="CA44" s="2930"/>
      <c r="CB44" s="2930"/>
      <c r="CC44" s="2933"/>
    </row>
    <row r="45" spans="1:81" ht="20.25" customHeight="1">
      <c r="A45" s="4031" t="s">
        <v>1480</v>
      </c>
      <c r="B45" s="4032"/>
      <c r="C45" s="4032"/>
      <c r="D45" s="4032"/>
      <c r="E45" s="4032"/>
      <c r="F45" s="4032"/>
      <c r="G45" s="4032"/>
      <c r="H45" s="4032"/>
      <c r="I45" s="4032"/>
      <c r="J45" s="4032"/>
      <c r="K45" s="4032"/>
      <c r="L45" s="4032"/>
      <c r="M45" s="4032"/>
      <c r="N45" s="4032"/>
      <c r="O45" s="4032"/>
      <c r="P45" s="4032"/>
      <c r="Q45" s="4032"/>
      <c r="R45" s="4032"/>
      <c r="S45" s="4032"/>
      <c r="T45" s="4032"/>
      <c r="U45" s="4032"/>
      <c r="V45" s="4032"/>
      <c r="W45" s="4032"/>
      <c r="X45" s="4032"/>
      <c r="Y45" s="4032"/>
      <c r="Z45" s="4032"/>
      <c r="AA45" s="4032"/>
      <c r="AB45" s="4032"/>
      <c r="AC45" s="4032"/>
      <c r="AD45" s="4032"/>
      <c r="AE45" s="4032"/>
      <c r="AF45" s="4032"/>
      <c r="AG45" s="4032"/>
      <c r="AH45" s="4032"/>
      <c r="AI45" s="4032"/>
      <c r="AJ45" s="4032"/>
      <c r="AK45" s="4032"/>
      <c r="AL45" s="4032"/>
      <c r="AM45" s="4032"/>
      <c r="AN45" s="4032"/>
      <c r="AO45" s="4032"/>
      <c r="AP45" s="4032"/>
      <c r="AQ45" s="4032"/>
      <c r="AR45" s="4032"/>
      <c r="AS45" s="4032"/>
      <c r="AT45" s="4032"/>
      <c r="AU45" s="4032"/>
      <c r="AV45" s="4032"/>
      <c r="AW45" s="4032"/>
      <c r="AX45" s="4032"/>
      <c r="AY45" s="4032"/>
      <c r="AZ45" s="4032"/>
      <c r="BA45" s="4032"/>
      <c r="BB45" s="4032"/>
      <c r="BC45" s="4032"/>
      <c r="BD45" s="4032"/>
      <c r="BE45" s="4032"/>
      <c r="BF45" s="4032"/>
      <c r="BG45" s="4032"/>
      <c r="BH45" s="4032"/>
      <c r="BI45" s="4032"/>
      <c r="BJ45" s="4032"/>
      <c r="BK45" s="4032"/>
      <c r="BL45" s="4032"/>
      <c r="BM45" s="4032"/>
      <c r="BN45" s="4032"/>
      <c r="BO45" s="4032"/>
      <c r="BP45" s="4032"/>
      <c r="BQ45" s="4032"/>
      <c r="BR45" s="4032"/>
      <c r="BS45" s="4032"/>
      <c r="BT45" s="4032"/>
      <c r="BU45" s="4032"/>
      <c r="BV45" s="4032"/>
      <c r="BW45" s="4032"/>
      <c r="BX45" s="4032"/>
      <c r="BY45" s="4032"/>
      <c r="BZ45" s="4032"/>
      <c r="CA45" s="4032"/>
      <c r="CB45" s="4032"/>
      <c r="CC45" s="4033"/>
    </row>
    <row r="46" spans="1:81" ht="14.25">
      <c r="A46" s="1224" t="s">
        <v>7</v>
      </c>
      <c r="B46" s="2954">
        <f>IFERROR('Step 10b--Required Acres'!D45/'Step 7b--Feedstuff Required'!$E48*'Step 7b--Feedstuff Required'!$Q48/'Step 7b--Feedstuff Required'!$N48,0)</f>
        <v>1.2165637860082304E-3</v>
      </c>
      <c r="C46" s="2955"/>
      <c r="D46" s="2955">
        <f>IF(Options!$AG$24=TRUE,0,B46*'Step 11b--Inputs'!$C48)</f>
        <v>0</v>
      </c>
      <c r="E46" s="2955"/>
      <c r="F46" s="2955">
        <f>IF(Options!$AG$24=TRUE,0,B46*'Step 11b--Inputs'!$F48)</f>
        <v>0</v>
      </c>
      <c r="G46" s="2955"/>
      <c r="H46" s="2955">
        <f>IF(Options!$AG$24=TRUE,0,B46*'Step 11b--Inputs'!$I48)</f>
        <v>0</v>
      </c>
      <c r="I46" s="2956"/>
      <c r="J46" s="2957">
        <f>IFERROR('Step 9b--Daily DMI Rations'!F52/'Step 7b--Feedstuff Required'!$E48*'Step 7b--Feedstuff Required'!$Q48/'Step 7b--Feedstuff Required'!$N48,0)</f>
        <v>1.2165637860082304E-3</v>
      </c>
      <c r="K46" s="2955"/>
      <c r="L46" s="2955">
        <f>IF(Options!$AG$24=TRUE,0,J46*'Step 11b--Inputs'!$C48)</f>
        <v>0</v>
      </c>
      <c r="M46" s="2955"/>
      <c r="N46" s="2955">
        <f>IF(Options!$AG$24=TRUE,0,J46*'Step 11b--Inputs'!$F48)</f>
        <v>0</v>
      </c>
      <c r="O46" s="2955"/>
      <c r="P46" s="2955">
        <f>IF(Options!$AG$24=TRUE,0,J46*'Step 11b--Inputs'!$I48)</f>
        <v>0</v>
      </c>
      <c r="Q46" s="2956"/>
      <c r="R46" s="2957">
        <f>IFERROR('Step 9b--Daily DMI Rations'!L52/'Step 7b--Feedstuff Required'!$E48*'Step 7b--Feedstuff Required'!$Q48/'Step 7b--Feedstuff Required'!$N48,0)</f>
        <v>0</v>
      </c>
      <c r="S46" s="2955"/>
      <c r="T46" s="2955">
        <f>IF(Options!$AG$24=TRUE,0,R46*'Step 11b--Inputs'!$C48)</f>
        <v>0</v>
      </c>
      <c r="U46" s="2955"/>
      <c r="V46" s="2955">
        <f>IF(Options!$AG$24=TRUE,0,R46*'Step 11b--Inputs'!$F48)</f>
        <v>0</v>
      </c>
      <c r="W46" s="2955"/>
      <c r="X46" s="2955">
        <f>IF(Options!$AG$24=TRUE,0,R46*'Step 11b--Inputs'!$I48)</f>
        <v>0</v>
      </c>
      <c r="Y46" s="2956"/>
      <c r="Z46" s="2957">
        <f>IFERROR('Step 9b--Daily DMI Rations'!R52/'Step 7b--Feedstuff Required'!$E48*'Step 7b--Feedstuff Required'!$Q48/'Step 7b--Feedstuff Required'!$N48,0)</f>
        <v>0</v>
      </c>
      <c r="AA46" s="2955"/>
      <c r="AB46" s="2955">
        <f>IF(Options!$AG$24=TRUE,0,Z46*'Step 11b--Inputs'!$C48)</f>
        <v>0</v>
      </c>
      <c r="AC46" s="2955"/>
      <c r="AD46" s="2955">
        <f>IF(Options!$AG$24=TRUE,0,Z46*'Step 11b--Inputs'!$F48)</f>
        <v>0</v>
      </c>
      <c r="AE46" s="2955"/>
      <c r="AF46" s="2955">
        <f>IF(Options!$AG$24=TRUE,0,Z46*'Step 11b--Inputs'!$I48)</f>
        <v>0</v>
      </c>
      <c r="AG46" s="2956"/>
      <c r="AH46" s="2957">
        <f>IFERROR('Step 9b--Daily DMI Rations'!X52/'Step 7b--Feedstuff Required'!$E48*'Step 7b--Feedstuff Required'!$Q48/'Step 7b--Feedstuff Required'!$N48,0)</f>
        <v>0</v>
      </c>
      <c r="AI46" s="2955"/>
      <c r="AJ46" s="2955">
        <f>IF(Options!$AG$24=TRUE,0,AH46*'Step 11b--Inputs'!$C48)</f>
        <v>0</v>
      </c>
      <c r="AK46" s="2955"/>
      <c r="AL46" s="2955">
        <f>IF(Options!$AG$24=TRUE,0,AH46*'Step 11b--Inputs'!$F48)</f>
        <v>0</v>
      </c>
      <c r="AM46" s="2955"/>
      <c r="AN46" s="2955">
        <f>IF(Options!$AG$24=TRUE,0,AH46*'Step 11b--Inputs'!$I48)</f>
        <v>0</v>
      </c>
      <c r="AO46" s="2958"/>
      <c r="AP46" s="2929">
        <f>IFERROR('Step 9b--Daily DMI Rations'!AB52/'Step 7b--Feedstuff Required'!$Z48*'Step 7b--Feedstuff Required'!$AL48/'Step 7b--Feedstuff Required'!$AI48,0)</f>
        <v>1.2165637860082304E-3</v>
      </c>
      <c r="AQ46" s="2930"/>
      <c r="AR46" s="2930">
        <f>IF(Options!$AH$24=TRUE,0,AP46*'Step 11b--Inputs'!$C48)</f>
        <v>0</v>
      </c>
      <c r="AS46" s="2930"/>
      <c r="AT46" s="2930">
        <f>IF(Options!$AH$24=TRUE,0,AP46*'Step 11b--Inputs'!$F48)</f>
        <v>0</v>
      </c>
      <c r="AU46" s="2930"/>
      <c r="AV46" s="2930">
        <f>IF(Options!$AH$24=TRUE,0,AP46*'Step 11b--Inputs'!$I48)</f>
        <v>0</v>
      </c>
      <c r="AW46" s="2931"/>
      <c r="AX46" s="2932">
        <f>IFERROR('Step 9b--Daily DMI Rations'!AG52/'Step 7b--Feedstuff Required'!$Z48*'Step 7b--Feedstuff Required'!$AL48/'Step 7b--Feedstuff Required'!$AI48,0)</f>
        <v>4.0174897119341562E-4</v>
      </c>
      <c r="AY46" s="2930"/>
      <c r="AZ46" s="2930">
        <f>IF(Options!$AH$24=TRUE,0,AX46*'Step 11b--Inputs'!$C48)</f>
        <v>0</v>
      </c>
      <c r="BA46" s="2930"/>
      <c r="BB46" s="2930">
        <f>IF(Options!$AH$24=TRUE,0,AX46*'Step 11b--Inputs'!$F48)</f>
        <v>0</v>
      </c>
      <c r="BC46" s="2930"/>
      <c r="BD46" s="2930">
        <f>IF(Options!$AH$24=TRUE,0,AX46*'Step 11b--Inputs'!$I48)</f>
        <v>0</v>
      </c>
      <c r="BE46" s="2931"/>
      <c r="BF46" s="2932">
        <f>IFERROR('Step 9b--Daily DMI Rations'!AM52/'Step 7b--Feedstuff Required'!$Z48*'Step 7b--Feedstuff Required'!$AL48/'Step 7b--Feedstuff Required'!$AI48,0)</f>
        <v>0</v>
      </c>
      <c r="BG46" s="2930"/>
      <c r="BH46" s="2930">
        <f>IF(Options!$AH$24=TRUE,0,BF46*'Step 11b--Inputs'!$C48)</f>
        <v>0</v>
      </c>
      <c r="BI46" s="2930"/>
      <c r="BJ46" s="2930">
        <f>IF(Options!$AH$24=TRUE,0,BF46*'Step 11b--Inputs'!$F48)</f>
        <v>0</v>
      </c>
      <c r="BK46" s="2930"/>
      <c r="BL46" s="2930">
        <f>IF(Options!$AH$24=TRUE,0,BF46*'Step 11b--Inputs'!$I48)</f>
        <v>0</v>
      </c>
      <c r="BM46" s="2931"/>
      <c r="BN46" s="2932">
        <f>IFERROR('Step 9b--Daily DMI Rations'!AS52/'Step 7b--Feedstuff Required'!$Z48*'Step 7b--Feedstuff Required'!$AL48/'Step 7b--Feedstuff Required'!$AI48,0)</f>
        <v>0</v>
      </c>
      <c r="BO46" s="2930"/>
      <c r="BP46" s="2930">
        <f>IF(Options!$AH$24=TRUE,0,BN46*'Step 11b--Inputs'!$C48)</f>
        <v>0</v>
      </c>
      <c r="BQ46" s="2930"/>
      <c r="BR46" s="2930">
        <f>IF(Options!$AH$24=TRUE,0,BN46*'Step 11b--Inputs'!$F48)</f>
        <v>0</v>
      </c>
      <c r="BS46" s="2930"/>
      <c r="BT46" s="2930">
        <f>IF(Options!$AH$24=TRUE,0,BN46*'Step 11b--Inputs'!$I48)</f>
        <v>0</v>
      </c>
      <c r="BU46" s="2931"/>
      <c r="BV46" s="2932">
        <f>IFERROR('Step 9b--Daily DMI Rations'!AY52/'Step 7b--Feedstuff Required'!$Z48*'Step 7b--Feedstuff Required'!$AL48/'Step 7b--Feedstuff Required'!$AI48,0)</f>
        <v>0</v>
      </c>
      <c r="BW46" s="2930"/>
      <c r="BX46" s="2930">
        <f>IF(Options!$AH$24=TRUE,0,BV46*'Step 11b--Inputs'!$C48)</f>
        <v>0</v>
      </c>
      <c r="BY46" s="2930"/>
      <c r="BZ46" s="2930">
        <f>IF(Options!$AH$24=TRUE,0,BV46*'Step 11b--Inputs'!$F48)</f>
        <v>0</v>
      </c>
      <c r="CA46" s="2930"/>
      <c r="CB46" s="2930">
        <f>IF(Options!$AH$24=TRUE,0,BV46*'Step 11b--Inputs'!$I48)</f>
        <v>0</v>
      </c>
      <c r="CC46" s="2933"/>
    </row>
    <row r="47" spans="1:81" ht="3" customHeight="1">
      <c r="A47" s="1367"/>
      <c r="B47" s="2954"/>
      <c r="C47" s="2955"/>
      <c r="D47" s="2955"/>
      <c r="E47" s="2955"/>
      <c r="F47" s="2955"/>
      <c r="G47" s="2955"/>
      <c r="H47" s="2955"/>
      <c r="I47" s="2956"/>
      <c r="J47" s="2957"/>
      <c r="K47" s="2955"/>
      <c r="L47" s="2955"/>
      <c r="M47" s="2955"/>
      <c r="N47" s="2955"/>
      <c r="O47" s="2955"/>
      <c r="P47" s="2955"/>
      <c r="Q47" s="2956"/>
      <c r="R47" s="2957"/>
      <c r="S47" s="2955"/>
      <c r="T47" s="2955"/>
      <c r="U47" s="2955"/>
      <c r="V47" s="2955"/>
      <c r="W47" s="2955"/>
      <c r="X47" s="2955"/>
      <c r="Y47" s="2956"/>
      <c r="Z47" s="2957"/>
      <c r="AA47" s="2955"/>
      <c r="AB47" s="2955"/>
      <c r="AC47" s="2955"/>
      <c r="AD47" s="2955"/>
      <c r="AE47" s="2955"/>
      <c r="AF47" s="2955"/>
      <c r="AG47" s="2956"/>
      <c r="AH47" s="2957"/>
      <c r="AI47" s="2955"/>
      <c r="AJ47" s="2955"/>
      <c r="AK47" s="2955"/>
      <c r="AL47" s="2955"/>
      <c r="AM47" s="2955"/>
      <c r="AN47" s="2955"/>
      <c r="AO47" s="2958"/>
      <c r="AP47" s="2929"/>
      <c r="AQ47" s="2930"/>
      <c r="AR47" s="2930"/>
      <c r="AS47" s="2930"/>
      <c r="AT47" s="2930"/>
      <c r="AU47" s="2930"/>
      <c r="AV47" s="2930"/>
      <c r="AW47" s="2931"/>
      <c r="AX47" s="2932"/>
      <c r="AY47" s="2930"/>
      <c r="AZ47" s="2930"/>
      <c r="BA47" s="2930"/>
      <c r="BB47" s="2930"/>
      <c r="BC47" s="2930"/>
      <c r="BD47" s="2930"/>
      <c r="BE47" s="2931"/>
      <c r="BF47" s="2932"/>
      <c r="BG47" s="2930"/>
      <c r="BH47" s="2930"/>
      <c r="BI47" s="2930"/>
      <c r="BJ47" s="2930"/>
      <c r="BK47" s="2930"/>
      <c r="BL47" s="2930"/>
      <c r="BM47" s="2931"/>
      <c r="BN47" s="2932"/>
      <c r="BO47" s="2930"/>
      <c r="BP47" s="2930"/>
      <c r="BQ47" s="2930"/>
      <c r="BR47" s="2930"/>
      <c r="BS47" s="2930"/>
      <c r="BT47" s="2930"/>
      <c r="BU47" s="2931"/>
      <c r="BV47" s="2932"/>
      <c r="BW47" s="2930"/>
      <c r="BX47" s="2930"/>
      <c r="BY47" s="2930"/>
      <c r="BZ47" s="2930"/>
      <c r="CA47" s="2930"/>
      <c r="CB47" s="2930"/>
      <c r="CC47" s="2933"/>
    </row>
    <row r="48" spans="1:81" ht="14.25">
      <c r="A48" s="1224" t="s">
        <v>8</v>
      </c>
      <c r="B48" s="2954">
        <f>IFERROR('Step 10b--Required Acres'!D47/'Step 7b--Feedstuff Required'!$E50*'Step 7b--Feedstuff Required'!$Q50/'Step 7b--Feedstuff Required'!$N50,0)</f>
        <v>0</v>
      </c>
      <c r="C48" s="2955"/>
      <c r="D48" s="2955">
        <f>IF(Options!$AG$24=TRUE,0,B48*'Step 11b--Inputs'!$C50)</f>
        <v>0</v>
      </c>
      <c r="E48" s="2955"/>
      <c r="F48" s="2955">
        <f>IF(Options!$AG$24=TRUE,0,B48*'Step 11b--Inputs'!$F50)</f>
        <v>0</v>
      </c>
      <c r="G48" s="2955"/>
      <c r="H48" s="2955">
        <f>IF(Options!$AG$24=TRUE,0,B48*'Step 11b--Inputs'!$I50)</f>
        <v>0</v>
      </c>
      <c r="I48" s="2956"/>
      <c r="J48" s="2957">
        <f>IFERROR('Step 9b--Daily DMI Rations'!F54/'Step 7b--Feedstuff Required'!$E50*'Step 7b--Feedstuff Required'!$Q50/'Step 7b--Feedstuff Required'!$N50,0)</f>
        <v>0</v>
      </c>
      <c r="K48" s="2955"/>
      <c r="L48" s="2955">
        <f>IF(Options!$AG$24=TRUE,0,J48*'Step 11b--Inputs'!$C50)</f>
        <v>0</v>
      </c>
      <c r="M48" s="2955"/>
      <c r="N48" s="2955">
        <f>IF(Options!$AG$24=TRUE,0,J48*'Step 11b--Inputs'!$F50)</f>
        <v>0</v>
      </c>
      <c r="O48" s="2955"/>
      <c r="P48" s="2955">
        <f>IF(Options!$AG$24=TRUE,0,J48*'Step 11b--Inputs'!$I50)</f>
        <v>0</v>
      </c>
      <c r="Q48" s="2956"/>
      <c r="R48" s="2957">
        <f>IFERROR('Step 9b--Daily DMI Rations'!L54/'Step 7b--Feedstuff Required'!$E50*'Step 7b--Feedstuff Required'!$Q50/'Step 7b--Feedstuff Required'!$N50,0)</f>
        <v>0</v>
      </c>
      <c r="S48" s="2955"/>
      <c r="T48" s="2955">
        <f>IF(Options!$AG$24=TRUE,0,R48*'Step 11b--Inputs'!$C50)</f>
        <v>0</v>
      </c>
      <c r="U48" s="2955"/>
      <c r="V48" s="2955">
        <f>IF(Options!$AG$24=TRUE,0,R48*'Step 11b--Inputs'!$F50)</f>
        <v>0</v>
      </c>
      <c r="W48" s="2955"/>
      <c r="X48" s="2955">
        <f>IF(Options!$AG$24=TRUE,0,R48*'Step 11b--Inputs'!$I50)</f>
        <v>0</v>
      </c>
      <c r="Y48" s="2956"/>
      <c r="Z48" s="2957">
        <f>IFERROR('Step 9b--Daily DMI Rations'!R54/'Step 7b--Feedstuff Required'!$E50*'Step 7b--Feedstuff Required'!$Q50/'Step 7b--Feedstuff Required'!$N50,0)</f>
        <v>0</v>
      </c>
      <c r="AA48" s="2955"/>
      <c r="AB48" s="2955">
        <f>IF(Options!$AG$24=TRUE,0,Z48*'Step 11b--Inputs'!$C50)</f>
        <v>0</v>
      </c>
      <c r="AC48" s="2955"/>
      <c r="AD48" s="2955">
        <f>IF(Options!$AG$24=TRUE,0,Z48*'Step 11b--Inputs'!$F50)</f>
        <v>0</v>
      </c>
      <c r="AE48" s="2955"/>
      <c r="AF48" s="2955">
        <f>IF(Options!$AG$24=TRUE,0,Z48*'Step 11b--Inputs'!$I50)</f>
        <v>0</v>
      </c>
      <c r="AG48" s="2956"/>
      <c r="AH48" s="2957">
        <f>IFERROR('Step 9b--Daily DMI Rations'!X54/'Step 7b--Feedstuff Required'!$E50*'Step 7b--Feedstuff Required'!$Q50/'Step 7b--Feedstuff Required'!$N50,0)</f>
        <v>0</v>
      </c>
      <c r="AI48" s="2955"/>
      <c r="AJ48" s="2955">
        <f>IF(Options!$AG$24=TRUE,0,AH48*'Step 11b--Inputs'!$C50)</f>
        <v>0</v>
      </c>
      <c r="AK48" s="2955"/>
      <c r="AL48" s="2955">
        <f>IF(Options!$AG$24=TRUE,0,AH48*'Step 11b--Inputs'!$F50)</f>
        <v>0</v>
      </c>
      <c r="AM48" s="2955"/>
      <c r="AN48" s="2955">
        <f>IF(Options!$AG$24=TRUE,0,AH48*'Step 11b--Inputs'!$I50)</f>
        <v>0</v>
      </c>
      <c r="AO48" s="2958"/>
      <c r="AP48" s="2929">
        <f>IFERROR('Step 9b--Daily DMI Rations'!AB54/'Step 7b--Feedstuff Required'!$Z50*'Step 7b--Feedstuff Required'!$AL50/'Step 7b--Feedstuff Required'!$AI50,0)</f>
        <v>0</v>
      </c>
      <c r="AQ48" s="2930"/>
      <c r="AR48" s="2930">
        <f>IF(Options!$AH$24=TRUE,0,AP48*'Step 11b--Inputs'!$C50)</f>
        <v>0</v>
      </c>
      <c r="AS48" s="2930"/>
      <c r="AT48" s="2930">
        <f>IF(Options!$AH$24=TRUE,0,AP48*'Step 11b--Inputs'!$F50)</f>
        <v>0</v>
      </c>
      <c r="AU48" s="2930"/>
      <c r="AV48" s="2930">
        <f>IF(Options!$AH$24=TRUE,0,AP48*'Step 11b--Inputs'!$I50)</f>
        <v>0</v>
      </c>
      <c r="AW48" s="2931"/>
      <c r="AX48" s="2932">
        <f>IFERROR('Step 9b--Daily DMI Rations'!AG54/'Step 7b--Feedstuff Required'!$Z50*'Step 7b--Feedstuff Required'!$AL50/'Step 7b--Feedstuff Required'!$AI50,0)</f>
        <v>0</v>
      </c>
      <c r="AY48" s="2930"/>
      <c r="AZ48" s="2930">
        <f>IF(Options!$AH$24=TRUE,0,AX48*'Step 11b--Inputs'!$C50)</f>
        <v>0</v>
      </c>
      <c r="BA48" s="2930"/>
      <c r="BB48" s="2930">
        <f>IF(Options!$AH$24=TRUE,0,AX48*'Step 11b--Inputs'!$F50)</f>
        <v>0</v>
      </c>
      <c r="BC48" s="2930"/>
      <c r="BD48" s="2930">
        <f>IF(Options!$AH$24=TRUE,0,AX48*'Step 11b--Inputs'!$I50)</f>
        <v>0</v>
      </c>
      <c r="BE48" s="2931"/>
      <c r="BF48" s="2932">
        <f>IFERROR('Step 9b--Daily DMI Rations'!AM54/'Step 7b--Feedstuff Required'!$Z50*'Step 7b--Feedstuff Required'!$AL50/'Step 7b--Feedstuff Required'!$AI50,0)</f>
        <v>0</v>
      </c>
      <c r="BG48" s="2930"/>
      <c r="BH48" s="2930">
        <f>IF(Options!$AH$24=TRUE,0,BF48*'Step 11b--Inputs'!$C50)</f>
        <v>0</v>
      </c>
      <c r="BI48" s="2930"/>
      <c r="BJ48" s="2930">
        <f>IF(Options!$AH$24=TRUE,0,BF48*'Step 11b--Inputs'!$F50)</f>
        <v>0</v>
      </c>
      <c r="BK48" s="2930"/>
      <c r="BL48" s="2930">
        <f>IF(Options!$AH$24=TRUE,0,BF48*'Step 11b--Inputs'!$I50)</f>
        <v>0</v>
      </c>
      <c r="BM48" s="2931"/>
      <c r="BN48" s="2932">
        <f>IFERROR('Step 9b--Daily DMI Rations'!AS54/'Step 7b--Feedstuff Required'!$Z50*'Step 7b--Feedstuff Required'!$AL50/'Step 7b--Feedstuff Required'!$AI50,0)</f>
        <v>0</v>
      </c>
      <c r="BO48" s="2930"/>
      <c r="BP48" s="2930">
        <f>IF(Options!$AH$24=TRUE,0,BN48*'Step 11b--Inputs'!$C50)</f>
        <v>0</v>
      </c>
      <c r="BQ48" s="2930"/>
      <c r="BR48" s="2930">
        <f>IF(Options!$AH$24=TRUE,0,BN48*'Step 11b--Inputs'!$F50)</f>
        <v>0</v>
      </c>
      <c r="BS48" s="2930"/>
      <c r="BT48" s="2930">
        <f>IF(Options!$AH$24=TRUE,0,BN48*'Step 11b--Inputs'!$I50)</f>
        <v>0</v>
      </c>
      <c r="BU48" s="2931"/>
      <c r="BV48" s="2932">
        <f>IFERROR('Step 9b--Daily DMI Rations'!AY54/'Step 7b--Feedstuff Required'!$Z50*'Step 7b--Feedstuff Required'!$AL50/'Step 7b--Feedstuff Required'!$AI50,0)</f>
        <v>0</v>
      </c>
      <c r="BW48" s="2930"/>
      <c r="BX48" s="2930">
        <f>IF(Options!$AH$24=TRUE,0,BV48*'Step 11b--Inputs'!$C50)</f>
        <v>0</v>
      </c>
      <c r="BY48" s="2930"/>
      <c r="BZ48" s="2930">
        <f>IF(Options!$AH$24=TRUE,0,BV48*'Step 11b--Inputs'!$F50)</f>
        <v>0</v>
      </c>
      <c r="CA48" s="2930"/>
      <c r="CB48" s="2930">
        <f>IF(Options!$AH$24=TRUE,0,BV48*'Step 11b--Inputs'!$I50)</f>
        <v>0</v>
      </c>
      <c r="CC48" s="2933"/>
    </row>
    <row r="49" spans="1:81" ht="3" customHeight="1">
      <c r="A49" s="1367"/>
      <c r="B49" s="2954"/>
      <c r="C49" s="2955"/>
      <c r="D49" s="2955"/>
      <c r="E49" s="2955"/>
      <c r="F49" s="2955"/>
      <c r="G49" s="2955"/>
      <c r="H49" s="2955"/>
      <c r="I49" s="2956"/>
      <c r="J49" s="2957"/>
      <c r="K49" s="2955"/>
      <c r="L49" s="2955"/>
      <c r="M49" s="2955"/>
      <c r="N49" s="2955"/>
      <c r="O49" s="2955"/>
      <c r="P49" s="2955"/>
      <c r="Q49" s="2956"/>
      <c r="R49" s="2957"/>
      <c r="S49" s="2955"/>
      <c r="T49" s="2955"/>
      <c r="U49" s="2955"/>
      <c r="V49" s="2955"/>
      <c r="W49" s="2955"/>
      <c r="X49" s="2955"/>
      <c r="Y49" s="2956"/>
      <c r="Z49" s="2957"/>
      <c r="AA49" s="2955"/>
      <c r="AB49" s="2955"/>
      <c r="AC49" s="2955"/>
      <c r="AD49" s="2955"/>
      <c r="AE49" s="2955"/>
      <c r="AF49" s="2955"/>
      <c r="AG49" s="2956"/>
      <c r="AH49" s="2957"/>
      <c r="AI49" s="2955"/>
      <c r="AJ49" s="2955"/>
      <c r="AK49" s="2955"/>
      <c r="AL49" s="2955"/>
      <c r="AM49" s="2955"/>
      <c r="AN49" s="2955"/>
      <c r="AO49" s="2958"/>
      <c r="AP49" s="2929"/>
      <c r="AQ49" s="2930"/>
      <c r="AR49" s="2930"/>
      <c r="AS49" s="2930"/>
      <c r="AT49" s="2930"/>
      <c r="AU49" s="2930"/>
      <c r="AV49" s="2930"/>
      <c r="AW49" s="2931"/>
      <c r="AX49" s="2932"/>
      <c r="AY49" s="2930"/>
      <c r="AZ49" s="2930"/>
      <c r="BA49" s="2930"/>
      <c r="BB49" s="2930"/>
      <c r="BC49" s="2930"/>
      <c r="BD49" s="2930"/>
      <c r="BE49" s="2931"/>
      <c r="BF49" s="2932"/>
      <c r="BG49" s="2930"/>
      <c r="BH49" s="2930"/>
      <c r="BI49" s="2930"/>
      <c r="BJ49" s="2930"/>
      <c r="BK49" s="2930"/>
      <c r="BL49" s="2930"/>
      <c r="BM49" s="2931"/>
      <c r="BN49" s="2932"/>
      <c r="BO49" s="2930"/>
      <c r="BP49" s="2930"/>
      <c r="BQ49" s="2930"/>
      <c r="BR49" s="2930"/>
      <c r="BS49" s="2930"/>
      <c r="BT49" s="2930"/>
      <c r="BU49" s="2931"/>
      <c r="BV49" s="2932"/>
      <c r="BW49" s="2930"/>
      <c r="BX49" s="2930"/>
      <c r="BY49" s="2930"/>
      <c r="BZ49" s="2930"/>
      <c r="CA49" s="2930"/>
      <c r="CB49" s="2930"/>
      <c r="CC49" s="2933"/>
    </row>
    <row r="50" spans="1:81" ht="14.25">
      <c r="A50" s="1225" t="str">
        <f>IF('Step 7a--Feedstuff Required'!B52="[add protein source here]"," ",'Step 7a--Feedstuff Required'!B52)</f>
        <v xml:space="preserve"> </v>
      </c>
      <c r="B50" s="2954">
        <f>IFERROR('Step 10b--Required Acres'!D49/'Step 7b--Feedstuff Required'!$E52*'Step 7b--Feedstuff Required'!$Q52/'Step 7b--Feedstuff Required'!$N52,0)</f>
        <v>0</v>
      </c>
      <c r="C50" s="2955"/>
      <c r="D50" s="2955">
        <f>IF(Options!$AG$24=TRUE,0,B50*'Step 11b--Inputs'!$C52)</f>
        <v>0</v>
      </c>
      <c r="E50" s="2955"/>
      <c r="F50" s="2955">
        <f>IF(Options!$AG$24=TRUE,0,B50*'Step 11b--Inputs'!$F52)</f>
        <v>0</v>
      </c>
      <c r="G50" s="2955"/>
      <c r="H50" s="2955">
        <f>IF(Options!$AG$24=TRUE,0,B50*'Step 11b--Inputs'!$I52)</f>
        <v>0</v>
      </c>
      <c r="I50" s="2956"/>
      <c r="J50" s="2957">
        <f>IFERROR('Step 9b--Daily DMI Rations'!F56/'Step 7b--Feedstuff Required'!$E52*'Step 7b--Feedstuff Required'!$Q52/'Step 7b--Feedstuff Required'!$N52,0)</f>
        <v>0</v>
      </c>
      <c r="K50" s="2955"/>
      <c r="L50" s="2955">
        <f>IF(Options!$AG$24=TRUE,0,J50*'Step 11b--Inputs'!$C52)</f>
        <v>0</v>
      </c>
      <c r="M50" s="2955"/>
      <c r="N50" s="2955">
        <f>IF(Options!$AG$24=TRUE,0,J50*'Step 11b--Inputs'!$F52)</f>
        <v>0</v>
      </c>
      <c r="O50" s="2955"/>
      <c r="P50" s="2955">
        <f>IF(Options!$AG$24=TRUE,0,J50*'Step 11b--Inputs'!$I52)</f>
        <v>0</v>
      </c>
      <c r="Q50" s="2956"/>
      <c r="R50" s="2957">
        <f>IFERROR('Step 9b--Daily DMI Rations'!L56/'Step 7b--Feedstuff Required'!$E52*'Step 7b--Feedstuff Required'!$Q52/'Step 7b--Feedstuff Required'!$N52,0)</f>
        <v>0</v>
      </c>
      <c r="S50" s="2955"/>
      <c r="T50" s="2955">
        <f>IF(Options!$AG$24=TRUE,0,R50*'Step 11b--Inputs'!$C52)</f>
        <v>0</v>
      </c>
      <c r="U50" s="2955"/>
      <c r="V50" s="2955">
        <f>IF(Options!$AG$24=TRUE,0,R50*'Step 11b--Inputs'!$F52)</f>
        <v>0</v>
      </c>
      <c r="W50" s="2955"/>
      <c r="X50" s="2955">
        <f>IF(Options!$AG$24=TRUE,0,R50*'Step 11b--Inputs'!$I52)</f>
        <v>0</v>
      </c>
      <c r="Y50" s="2956"/>
      <c r="Z50" s="2957">
        <f>IFERROR('Step 9b--Daily DMI Rations'!R56/'Step 7b--Feedstuff Required'!$E52*'Step 7b--Feedstuff Required'!$Q52/'Step 7b--Feedstuff Required'!$N52,0)</f>
        <v>0</v>
      </c>
      <c r="AA50" s="2955"/>
      <c r="AB50" s="2955">
        <f>IF(Options!$AG$24=TRUE,0,Z50*'Step 11b--Inputs'!$C52)</f>
        <v>0</v>
      </c>
      <c r="AC50" s="2955"/>
      <c r="AD50" s="2955">
        <f>IF(Options!$AG$24=TRUE,0,Z50*'Step 11b--Inputs'!$F52)</f>
        <v>0</v>
      </c>
      <c r="AE50" s="2955"/>
      <c r="AF50" s="2955">
        <f>IF(Options!$AG$24=TRUE,0,Z50*'Step 11b--Inputs'!$I52)</f>
        <v>0</v>
      </c>
      <c r="AG50" s="2956"/>
      <c r="AH50" s="2957">
        <f>IFERROR('Step 9b--Daily DMI Rations'!X56/'Step 7b--Feedstuff Required'!$E52*'Step 7b--Feedstuff Required'!$Q52/'Step 7b--Feedstuff Required'!$N52,0)</f>
        <v>0</v>
      </c>
      <c r="AI50" s="2955"/>
      <c r="AJ50" s="2955">
        <f>IF(Options!$AG$24=TRUE,0,AH50*'Step 11b--Inputs'!$C52)</f>
        <v>0</v>
      </c>
      <c r="AK50" s="2955"/>
      <c r="AL50" s="2955">
        <f>IF(Options!$AG$24=TRUE,0,AH50*'Step 11b--Inputs'!$F52)</f>
        <v>0</v>
      </c>
      <c r="AM50" s="2955"/>
      <c r="AN50" s="2955">
        <f>IF(Options!$AG$24=TRUE,0,AH50*'Step 11b--Inputs'!$I52)</f>
        <v>0</v>
      </c>
      <c r="AO50" s="2958"/>
      <c r="AP50" s="2929">
        <f>IFERROR('Step 9b--Daily DMI Rations'!AB56/'Step 7b--Feedstuff Required'!$Z52*'Step 7b--Feedstuff Required'!$AL52/'Step 7b--Feedstuff Required'!$AI52,0)</f>
        <v>0</v>
      </c>
      <c r="AQ50" s="2930"/>
      <c r="AR50" s="2930">
        <f>IF(Options!$AH$24=TRUE,0,AP50*'Step 11b--Inputs'!$C52)</f>
        <v>0</v>
      </c>
      <c r="AS50" s="2930"/>
      <c r="AT50" s="2930">
        <f>IF(Options!$AH$24=TRUE,0,AP50*'Step 11b--Inputs'!$F52)</f>
        <v>0</v>
      </c>
      <c r="AU50" s="2930"/>
      <c r="AV50" s="2930">
        <f>IF(Options!$AH$24=TRUE,0,AP50*'Step 11b--Inputs'!$I52)</f>
        <v>0</v>
      </c>
      <c r="AW50" s="2931"/>
      <c r="AX50" s="2932">
        <f>IFERROR('Step 9b--Daily DMI Rations'!AG56/'Step 7b--Feedstuff Required'!$Z52*'Step 7b--Feedstuff Required'!$AL52/'Step 7b--Feedstuff Required'!$AI52,0)</f>
        <v>0</v>
      </c>
      <c r="AY50" s="2930"/>
      <c r="AZ50" s="2930">
        <f>IF(Options!$AH$24=TRUE,0,AX50*'Step 11b--Inputs'!$C52)</f>
        <v>0</v>
      </c>
      <c r="BA50" s="2930"/>
      <c r="BB50" s="2930">
        <f>IF(Options!$AH$24=TRUE,0,AX50*'Step 11b--Inputs'!$F52)</f>
        <v>0</v>
      </c>
      <c r="BC50" s="2930"/>
      <c r="BD50" s="2930">
        <f>IF(Options!$AH$24=TRUE,0,AX50*'Step 11b--Inputs'!$I52)</f>
        <v>0</v>
      </c>
      <c r="BE50" s="2931"/>
      <c r="BF50" s="2932">
        <f>IFERROR('Step 9b--Daily DMI Rations'!AM56/'Step 7b--Feedstuff Required'!$Z52*'Step 7b--Feedstuff Required'!$AL52/'Step 7b--Feedstuff Required'!$AI52,0)</f>
        <v>0</v>
      </c>
      <c r="BG50" s="2930"/>
      <c r="BH50" s="2930">
        <f>IF(Options!$AH$24=TRUE,0,BF50*'Step 11b--Inputs'!$C52)</f>
        <v>0</v>
      </c>
      <c r="BI50" s="2930"/>
      <c r="BJ50" s="2930">
        <f>IF(Options!$AH$24=TRUE,0,BF50*'Step 11b--Inputs'!$F52)</f>
        <v>0</v>
      </c>
      <c r="BK50" s="2930"/>
      <c r="BL50" s="2930">
        <f>IF(Options!$AH$24=TRUE,0,BF50*'Step 11b--Inputs'!$I52)</f>
        <v>0</v>
      </c>
      <c r="BM50" s="2931"/>
      <c r="BN50" s="2932">
        <f>IFERROR('Step 9b--Daily DMI Rations'!AS56/'Step 7b--Feedstuff Required'!$Z52*'Step 7b--Feedstuff Required'!$AL52/'Step 7b--Feedstuff Required'!$AI52,0)</f>
        <v>0</v>
      </c>
      <c r="BO50" s="2930"/>
      <c r="BP50" s="2930">
        <f>IF(Options!$AH$24=TRUE,0,BN50*'Step 11b--Inputs'!$C52)</f>
        <v>0</v>
      </c>
      <c r="BQ50" s="2930"/>
      <c r="BR50" s="2930">
        <f>IF(Options!$AH$24=TRUE,0,BN50*'Step 11b--Inputs'!$F52)</f>
        <v>0</v>
      </c>
      <c r="BS50" s="2930"/>
      <c r="BT50" s="2930">
        <f>IF(Options!$AH$24=TRUE,0,BN50*'Step 11b--Inputs'!$I52)</f>
        <v>0</v>
      </c>
      <c r="BU50" s="2931"/>
      <c r="BV50" s="2932">
        <f>IFERROR('Step 9b--Daily DMI Rations'!AY56/'Step 7b--Feedstuff Required'!$Z52*'Step 7b--Feedstuff Required'!$AL52/'Step 7b--Feedstuff Required'!$AI52,0)</f>
        <v>0</v>
      </c>
      <c r="BW50" s="2930"/>
      <c r="BX50" s="2930">
        <f>IF(Options!$AH$24=TRUE,0,BV50*'Step 11b--Inputs'!$C52)</f>
        <v>0</v>
      </c>
      <c r="BY50" s="2930"/>
      <c r="BZ50" s="2930">
        <f>IF(Options!$AH$24=TRUE,0,BV50*'Step 11b--Inputs'!$F52)</f>
        <v>0</v>
      </c>
      <c r="CA50" s="2930"/>
      <c r="CB50" s="2930">
        <f>IF(Options!$AH$24=TRUE,0,BV50*'Step 11b--Inputs'!$I52)</f>
        <v>0</v>
      </c>
      <c r="CC50" s="2933"/>
    </row>
    <row r="51" spans="1:81" ht="3" customHeight="1">
      <c r="A51" s="1224"/>
      <c r="B51" s="2954"/>
      <c r="C51" s="2955"/>
      <c r="D51" s="2955"/>
      <c r="E51" s="2955"/>
      <c r="F51" s="2955"/>
      <c r="G51" s="2955"/>
      <c r="H51" s="2955"/>
      <c r="I51" s="2956"/>
      <c r="J51" s="2957"/>
      <c r="K51" s="2955"/>
      <c r="L51" s="2955"/>
      <c r="M51" s="2955"/>
      <c r="N51" s="2955"/>
      <c r="O51" s="2955"/>
      <c r="P51" s="2955"/>
      <c r="Q51" s="2956"/>
      <c r="R51" s="2957"/>
      <c r="S51" s="2955"/>
      <c r="T51" s="2955"/>
      <c r="U51" s="2955"/>
      <c r="V51" s="2955"/>
      <c r="W51" s="2955"/>
      <c r="X51" s="2955"/>
      <c r="Y51" s="2956"/>
      <c r="Z51" s="2957"/>
      <c r="AA51" s="2955"/>
      <c r="AB51" s="2955"/>
      <c r="AC51" s="2955"/>
      <c r="AD51" s="2955"/>
      <c r="AE51" s="2955"/>
      <c r="AF51" s="2955"/>
      <c r="AG51" s="2956"/>
      <c r="AH51" s="2957"/>
      <c r="AI51" s="2955"/>
      <c r="AJ51" s="2955"/>
      <c r="AK51" s="2955"/>
      <c r="AL51" s="2955"/>
      <c r="AM51" s="2955"/>
      <c r="AN51" s="2955"/>
      <c r="AO51" s="2958"/>
      <c r="AP51" s="2929"/>
      <c r="AQ51" s="2930"/>
      <c r="AR51" s="2930"/>
      <c r="AS51" s="2930"/>
      <c r="AT51" s="2930"/>
      <c r="AU51" s="2930"/>
      <c r="AV51" s="2930"/>
      <c r="AW51" s="2931"/>
      <c r="AX51" s="2932"/>
      <c r="AY51" s="2930"/>
      <c r="AZ51" s="2930"/>
      <c r="BA51" s="2930"/>
      <c r="BB51" s="2930"/>
      <c r="BC51" s="2930"/>
      <c r="BD51" s="2930"/>
      <c r="BE51" s="2931"/>
      <c r="BF51" s="2932"/>
      <c r="BG51" s="2930"/>
      <c r="BH51" s="2930"/>
      <c r="BI51" s="2930"/>
      <c r="BJ51" s="2930"/>
      <c r="BK51" s="2930"/>
      <c r="BL51" s="2930"/>
      <c r="BM51" s="2931"/>
      <c r="BN51" s="2932"/>
      <c r="BO51" s="2930"/>
      <c r="BP51" s="2930"/>
      <c r="BQ51" s="2930"/>
      <c r="BR51" s="2930"/>
      <c r="BS51" s="2930"/>
      <c r="BT51" s="2930"/>
      <c r="BU51" s="2931"/>
      <c r="BV51" s="2932"/>
      <c r="BW51" s="2930"/>
      <c r="BX51" s="2930"/>
      <c r="BY51" s="2930"/>
      <c r="BZ51" s="2930"/>
      <c r="CA51" s="2930"/>
      <c r="CB51" s="2930"/>
      <c r="CC51" s="2933"/>
    </row>
    <row r="52" spans="1:81" ht="14.25">
      <c r="A52" s="1225" t="str">
        <f>IF('Step 7a--Feedstuff Required'!B54="[add protein source here]"," ",'Step 7a--Feedstuff Required'!B54)</f>
        <v xml:space="preserve"> </v>
      </c>
      <c r="B52" s="2954">
        <f>IFERROR('Step 10b--Required Acres'!D51/'Step 7b--Feedstuff Required'!$E54*'Step 7b--Feedstuff Required'!$Q54/'Step 7b--Feedstuff Required'!$N54,0)</f>
        <v>0</v>
      </c>
      <c r="C52" s="2955"/>
      <c r="D52" s="2955">
        <f>IF(Options!$AG$24=TRUE,0,B52*'Step 11b--Inputs'!$C54)</f>
        <v>0</v>
      </c>
      <c r="E52" s="2955"/>
      <c r="F52" s="2955">
        <f>IF(Options!$AG$24=TRUE,0,B52*'Step 11b--Inputs'!$F54)</f>
        <v>0</v>
      </c>
      <c r="G52" s="2955"/>
      <c r="H52" s="2955">
        <f>IF(Options!$AG$24=TRUE,0,B52*'Step 11b--Inputs'!$I54)</f>
        <v>0</v>
      </c>
      <c r="I52" s="2956"/>
      <c r="J52" s="2957">
        <f>IFERROR('Step 9b--Daily DMI Rations'!F58/'Step 7b--Feedstuff Required'!$E54*'Step 7b--Feedstuff Required'!$Q54/'Step 7b--Feedstuff Required'!$N54,0)</f>
        <v>0</v>
      </c>
      <c r="K52" s="2955"/>
      <c r="L52" s="2955">
        <f>IF(Options!$AG$24=TRUE,0,J52*'Step 11b--Inputs'!$C54)</f>
        <v>0</v>
      </c>
      <c r="M52" s="2955"/>
      <c r="N52" s="2955">
        <f>IF(Options!$AG$24=TRUE,0,J52*'Step 11b--Inputs'!$F54)</f>
        <v>0</v>
      </c>
      <c r="O52" s="2955"/>
      <c r="P52" s="2955">
        <f>IF(Options!$AG$24=TRUE,0,J52*'Step 11b--Inputs'!$I54)</f>
        <v>0</v>
      </c>
      <c r="Q52" s="2956"/>
      <c r="R52" s="2957">
        <f>IFERROR('Step 9b--Daily DMI Rations'!L58/'Step 7b--Feedstuff Required'!$E54*'Step 7b--Feedstuff Required'!$Q54/'Step 7b--Feedstuff Required'!$N54,0)</f>
        <v>0</v>
      </c>
      <c r="S52" s="2955"/>
      <c r="T52" s="2955">
        <f>IF(Options!$AG$24=TRUE,0,R52*'Step 11b--Inputs'!$C54)</f>
        <v>0</v>
      </c>
      <c r="U52" s="2955"/>
      <c r="V52" s="2955">
        <f>IF(Options!$AG$24=TRUE,0,R52*'Step 11b--Inputs'!$F54)</f>
        <v>0</v>
      </c>
      <c r="W52" s="2955"/>
      <c r="X52" s="2955">
        <f>IF(Options!$AG$24=TRUE,0,R52*'Step 11b--Inputs'!$I54)</f>
        <v>0</v>
      </c>
      <c r="Y52" s="2956"/>
      <c r="Z52" s="2957">
        <f>IFERROR('Step 9b--Daily DMI Rations'!R58/'Step 7b--Feedstuff Required'!$E54*'Step 7b--Feedstuff Required'!$Q54/'Step 7b--Feedstuff Required'!$N54,0)</f>
        <v>0</v>
      </c>
      <c r="AA52" s="2955"/>
      <c r="AB52" s="2955">
        <f>IF(Options!$AG$24=TRUE,0,Z52*'Step 11b--Inputs'!$C54)</f>
        <v>0</v>
      </c>
      <c r="AC52" s="2955"/>
      <c r="AD52" s="2955">
        <f>IF(Options!$AG$24=TRUE,0,Z52*'Step 11b--Inputs'!$F54)</f>
        <v>0</v>
      </c>
      <c r="AE52" s="2955"/>
      <c r="AF52" s="2955">
        <f>IF(Options!$AG$24=TRUE,0,Z52*'Step 11b--Inputs'!$I54)</f>
        <v>0</v>
      </c>
      <c r="AG52" s="2956"/>
      <c r="AH52" s="2957">
        <f>IFERROR('Step 9b--Daily DMI Rations'!X58/'Step 7b--Feedstuff Required'!$E54*'Step 7b--Feedstuff Required'!$Q54/'Step 7b--Feedstuff Required'!$N54,0)</f>
        <v>0</v>
      </c>
      <c r="AI52" s="2955"/>
      <c r="AJ52" s="2955">
        <f>IF(Options!$AG$24=TRUE,0,AH52*'Step 11b--Inputs'!$C54)</f>
        <v>0</v>
      </c>
      <c r="AK52" s="2955"/>
      <c r="AL52" s="2955">
        <f>IF(Options!$AG$24=TRUE,0,AH52*'Step 11b--Inputs'!$F54)</f>
        <v>0</v>
      </c>
      <c r="AM52" s="2955"/>
      <c r="AN52" s="2955">
        <f>IF(Options!$AG$24=TRUE,0,AH52*'Step 11b--Inputs'!$I54)</f>
        <v>0</v>
      </c>
      <c r="AO52" s="2958"/>
      <c r="AP52" s="2929">
        <f>IFERROR('Step 9b--Daily DMI Rations'!AB58/'Step 7b--Feedstuff Required'!$Z54*'Step 7b--Feedstuff Required'!$AL54/'Step 7b--Feedstuff Required'!$AI54,0)</f>
        <v>0</v>
      </c>
      <c r="AQ52" s="2930"/>
      <c r="AR52" s="2930">
        <f>IF(Options!$AH$24=TRUE,0,AP52*'Step 11b--Inputs'!$C54)</f>
        <v>0</v>
      </c>
      <c r="AS52" s="2930"/>
      <c r="AT52" s="2930">
        <f>IF(Options!$AH$24=TRUE,0,AP52*'Step 11b--Inputs'!$F54)</f>
        <v>0</v>
      </c>
      <c r="AU52" s="2930"/>
      <c r="AV52" s="2930">
        <f>IF(Options!$AH$24=TRUE,0,AP52*'Step 11b--Inputs'!$I54)</f>
        <v>0</v>
      </c>
      <c r="AW52" s="2931"/>
      <c r="AX52" s="2932">
        <f>IFERROR('Step 9b--Daily DMI Rations'!AG58/'Step 7b--Feedstuff Required'!$Z54*'Step 7b--Feedstuff Required'!$AL54/'Step 7b--Feedstuff Required'!$AI54,0)</f>
        <v>0</v>
      </c>
      <c r="AY52" s="2930"/>
      <c r="AZ52" s="2930">
        <f>IF(Options!$AH$24=TRUE,0,AX52*'Step 11b--Inputs'!$C54)</f>
        <v>0</v>
      </c>
      <c r="BA52" s="2930"/>
      <c r="BB52" s="2930">
        <f>IF(Options!$AH$24=TRUE,0,AX52*'Step 11b--Inputs'!$F54)</f>
        <v>0</v>
      </c>
      <c r="BC52" s="2930"/>
      <c r="BD52" s="2930">
        <f>IF(Options!$AH$24=TRUE,0,AX52*'Step 11b--Inputs'!$I54)</f>
        <v>0</v>
      </c>
      <c r="BE52" s="2931"/>
      <c r="BF52" s="2932">
        <f>IFERROR('Step 9b--Daily DMI Rations'!AM58/'Step 7b--Feedstuff Required'!$Z54*'Step 7b--Feedstuff Required'!$AL54/'Step 7b--Feedstuff Required'!$AI54,0)</f>
        <v>0</v>
      </c>
      <c r="BG52" s="2930"/>
      <c r="BH52" s="2930">
        <f>IF(Options!$AH$24=TRUE,0,BF52*'Step 11b--Inputs'!$C54)</f>
        <v>0</v>
      </c>
      <c r="BI52" s="2930"/>
      <c r="BJ52" s="2930">
        <f>IF(Options!$AH$24=TRUE,0,BF52*'Step 11b--Inputs'!$F54)</f>
        <v>0</v>
      </c>
      <c r="BK52" s="2930"/>
      <c r="BL52" s="2930">
        <f>IF(Options!$AH$24=TRUE,0,BF52*'Step 11b--Inputs'!$I54)</f>
        <v>0</v>
      </c>
      <c r="BM52" s="2931"/>
      <c r="BN52" s="2932">
        <f>IFERROR('Step 9b--Daily DMI Rations'!AS58/'Step 7b--Feedstuff Required'!$Z54*'Step 7b--Feedstuff Required'!$AL54/'Step 7b--Feedstuff Required'!$AI54,0)</f>
        <v>0</v>
      </c>
      <c r="BO52" s="2930"/>
      <c r="BP52" s="2930">
        <f>IF(Options!$AH$24=TRUE,0,BN52*'Step 11b--Inputs'!$C54)</f>
        <v>0</v>
      </c>
      <c r="BQ52" s="2930"/>
      <c r="BR52" s="2930">
        <f>IF(Options!$AH$24=TRUE,0,BN52*'Step 11b--Inputs'!$F54)</f>
        <v>0</v>
      </c>
      <c r="BS52" s="2930"/>
      <c r="BT52" s="2930">
        <f>IF(Options!$AH$24=TRUE,0,BN52*'Step 11b--Inputs'!$I54)</f>
        <v>0</v>
      </c>
      <c r="BU52" s="2931"/>
      <c r="BV52" s="2932">
        <f>IFERROR('Step 9b--Daily DMI Rations'!AY58/'Step 7b--Feedstuff Required'!$Z54*'Step 7b--Feedstuff Required'!$AL54/'Step 7b--Feedstuff Required'!$AI54,0)</f>
        <v>0</v>
      </c>
      <c r="BW52" s="2930"/>
      <c r="BX52" s="2930">
        <f>IF(Options!$AH$24=TRUE,0,BV52*'Step 11b--Inputs'!$C54)</f>
        <v>0</v>
      </c>
      <c r="BY52" s="2930"/>
      <c r="BZ52" s="2930">
        <f>IF(Options!$AH$24=TRUE,0,BV52*'Step 11b--Inputs'!$F54)</f>
        <v>0</v>
      </c>
      <c r="CA52" s="2930"/>
      <c r="CB52" s="2930">
        <f>IF(Options!$AH$24=TRUE,0,BV52*'Step 11b--Inputs'!$I54)</f>
        <v>0</v>
      </c>
      <c r="CC52" s="2933"/>
    </row>
    <row r="53" spans="1:81" ht="3" customHeight="1">
      <c r="A53" s="1224"/>
      <c r="B53" s="2954"/>
      <c r="C53" s="2955"/>
      <c r="D53" s="2955"/>
      <c r="E53" s="2955"/>
      <c r="F53" s="2955"/>
      <c r="G53" s="2955"/>
      <c r="H53" s="2955"/>
      <c r="I53" s="2956"/>
      <c r="J53" s="2957"/>
      <c r="K53" s="2955"/>
      <c r="L53" s="2955"/>
      <c r="M53" s="2955"/>
      <c r="N53" s="2955"/>
      <c r="O53" s="2955"/>
      <c r="P53" s="2955"/>
      <c r="Q53" s="2956"/>
      <c r="R53" s="2957"/>
      <c r="S53" s="2955"/>
      <c r="T53" s="2955"/>
      <c r="U53" s="2955"/>
      <c r="V53" s="2955"/>
      <c r="W53" s="2955"/>
      <c r="X53" s="2955"/>
      <c r="Y53" s="2956"/>
      <c r="Z53" s="2957"/>
      <c r="AA53" s="2955"/>
      <c r="AB53" s="2955"/>
      <c r="AC53" s="2955"/>
      <c r="AD53" s="2955"/>
      <c r="AE53" s="2955"/>
      <c r="AF53" s="2955"/>
      <c r="AG53" s="2956"/>
      <c r="AH53" s="2957"/>
      <c r="AI53" s="2955"/>
      <c r="AJ53" s="2955"/>
      <c r="AK53" s="2955"/>
      <c r="AL53" s="2955"/>
      <c r="AM53" s="2955"/>
      <c r="AN53" s="2955"/>
      <c r="AO53" s="2958"/>
      <c r="AP53" s="2929"/>
      <c r="AQ53" s="2930"/>
      <c r="AR53" s="2930"/>
      <c r="AS53" s="2930"/>
      <c r="AT53" s="2930"/>
      <c r="AU53" s="2930"/>
      <c r="AV53" s="2930"/>
      <c r="AW53" s="2931"/>
      <c r="AX53" s="2932"/>
      <c r="AY53" s="2930"/>
      <c r="AZ53" s="2930"/>
      <c r="BA53" s="2930"/>
      <c r="BB53" s="2930"/>
      <c r="BC53" s="2930"/>
      <c r="BD53" s="2930"/>
      <c r="BE53" s="2931"/>
      <c r="BF53" s="2932"/>
      <c r="BG53" s="2930"/>
      <c r="BH53" s="2930"/>
      <c r="BI53" s="2930"/>
      <c r="BJ53" s="2930"/>
      <c r="BK53" s="2930"/>
      <c r="BL53" s="2930"/>
      <c r="BM53" s="2931"/>
      <c r="BN53" s="2932"/>
      <c r="BO53" s="2930"/>
      <c r="BP53" s="2930"/>
      <c r="BQ53" s="2930"/>
      <c r="BR53" s="2930"/>
      <c r="BS53" s="2930"/>
      <c r="BT53" s="2930"/>
      <c r="BU53" s="2931"/>
      <c r="BV53" s="2932"/>
      <c r="BW53" s="2930"/>
      <c r="BX53" s="2930"/>
      <c r="BY53" s="2930"/>
      <c r="BZ53" s="2930"/>
      <c r="CA53" s="2930"/>
      <c r="CB53" s="2930"/>
      <c r="CC53" s="2933"/>
    </row>
    <row r="54" spans="1:81" ht="14.25">
      <c r="A54" s="1225" t="str">
        <f>IF('Step 7a--Feedstuff Required'!B56="[add protein source here]"," ",'Step 7a--Feedstuff Required'!B56)</f>
        <v xml:space="preserve"> </v>
      </c>
      <c r="B54" s="2954">
        <f>IFERROR('Step 10b--Required Acres'!D53/'Step 7b--Feedstuff Required'!$E56*'Step 7b--Feedstuff Required'!$Q56/'Step 7b--Feedstuff Required'!$N56,0)</f>
        <v>0</v>
      </c>
      <c r="C54" s="2955"/>
      <c r="D54" s="2955">
        <f>IF(Options!$AG$24=TRUE,0,B54*'Step 11b--Inputs'!$C56)</f>
        <v>0</v>
      </c>
      <c r="E54" s="2955"/>
      <c r="F54" s="2955">
        <f>IF(Options!$AG$24=TRUE,0,B54*'Step 11b--Inputs'!$F56)</f>
        <v>0</v>
      </c>
      <c r="G54" s="2955"/>
      <c r="H54" s="2955">
        <f>IF(Options!$AG$24=TRUE,0,B54*'Step 11b--Inputs'!$I56)</f>
        <v>0</v>
      </c>
      <c r="I54" s="2956"/>
      <c r="J54" s="2957">
        <f>IFERROR('Step 9b--Daily DMI Rations'!F60/'Step 7b--Feedstuff Required'!$E56*'Step 7b--Feedstuff Required'!$Q56/'Step 7b--Feedstuff Required'!$N56,0)</f>
        <v>0</v>
      </c>
      <c r="K54" s="2955"/>
      <c r="L54" s="2955">
        <f>IF(Options!$AG$24=TRUE,0,J54*'Step 11b--Inputs'!$C56)</f>
        <v>0</v>
      </c>
      <c r="M54" s="2955"/>
      <c r="N54" s="2955">
        <f>IF(Options!$AG$24=TRUE,0,J54*'Step 11b--Inputs'!$F56)</f>
        <v>0</v>
      </c>
      <c r="O54" s="2955"/>
      <c r="P54" s="2955">
        <f>IF(Options!$AG$24=TRUE,0,J54*'Step 11b--Inputs'!$I56)</f>
        <v>0</v>
      </c>
      <c r="Q54" s="2956"/>
      <c r="R54" s="2957">
        <f>IFERROR('Step 9b--Daily DMI Rations'!L60/'Step 7b--Feedstuff Required'!$E56*'Step 7b--Feedstuff Required'!$Q56/'Step 7b--Feedstuff Required'!$N56,0)</f>
        <v>0</v>
      </c>
      <c r="S54" s="2955"/>
      <c r="T54" s="2955">
        <f>IF(Options!$AG$24=TRUE,0,R54*'Step 11b--Inputs'!$C56)</f>
        <v>0</v>
      </c>
      <c r="U54" s="2955"/>
      <c r="V54" s="2955">
        <f>IF(Options!$AG$24=TRUE,0,R54*'Step 11b--Inputs'!$F56)</f>
        <v>0</v>
      </c>
      <c r="W54" s="2955"/>
      <c r="X54" s="2955">
        <f>IF(Options!$AG$24=TRUE,0,R54*'Step 11b--Inputs'!$I56)</f>
        <v>0</v>
      </c>
      <c r="Y54" s="2956"/>
      <c r="Z54" s="2957">
        <f>IFERROR('Step 9b--Daily DMI Rations'!R60/'Step 7b--Feedstuff Required'!$E56*'Step 7b--Feedstuff Required'!$Q56/'Step 7b--Feedstuff Required'!$N56,0)</f>
        <v>0</v>
      </c>
      <c r="AA54" s="2955"/>
      <c r="AB54" s="2955">
        <f>IF(Options!$AG$24=TRUE,0,Z54*'Step 11b--Inputs'!$C56)</f>
        <v>0</v>
      </c>
      <c r="AC54" s="2955"/>
      <c r="AD54" s="2955">
        <f>IF(Options!$AG$24=TRUE,0,Z54*'Step 11b--Inputs'!$F56)</f>
        <v>0</v>
      </c>
      <c r="AE54" s="2955"/>
      <c r="AF54" s="2955">
        <f>IF(Options!$AG$24=TRUE,0,Z54*'Step 11b--Inputs'!$I56)</f>
        <v>0</v>
      </c>
      <c r="AG54" s="2956"/>
      <c r="AH54" s="2957">
        <f>IFERROR('Step 9b--Daily DMI Rations'!X60/'Step 7b--Feedstuff Required'!$E56*'Step 7b--Feedstuff Required'!$Q56/'Step 7b--Feedstuff Required'!$N56,0)</f>
        <v>0</v>
      </c>
      <c r="AI54" s="2955"/>
      <c r="AJ54" s="2955">
        <f>IF(Options!$AG$24=TRUE,0,AH54*'Step 11b--Inputs'!$C56)</f>
        <v>0</v>
      </c>
      <c r="AK54" s="2955"/>
      <c r="AL54" s="2955">
        <f>IF(Options!$AG$24=TRUE,0,AH54*'Step 11b--Inputs'!$F56)</f>
        <v>0</v>
      </c>
      <c r="AM54" s="2955"/>
      <c r="AN54" s="2955">
        <f>IF(Options!$AG$24=TRUE,0,AH54*'Step 11b--Inputs'!$I56)</f>
        <v>0</v>
      </c>
      <c r="AO54" s="2958"/>
      <c r="AP54" s="2929">
        <f>IFERROR('Step 9b--Daily DMI Rations'!AB60/'Step 7b--Feedstuff Required'!$Z56*'Step 7b--Feedstuff Required'!$AL56/'Step 7b--Feedstuff Required'!$AI56,0)</f>
        <v>0</v>
      </c>
      <c r="AQ54" s="2930"/>
      <c r="AR54" s="2930">
        <f>IF(Options!$AH$24=TRUE,0,AP54*'Step 11b--Inputs'!$C56)</f>
        <v>0</v>
      </c>
      <c r="AS54" s="2930"/>
      <c r="AT54" s="2930">
        <f>IF(Options!$AH$24=TRUE,0,AP54*'Step 11b--Inputs'!$F56)</f>
        <v>0</v>
      </c>
      <c r="AU54" s="2930"/>
      <c r="AV54" s="2930">
        <f>IF(Options!$AH$24=TRUE,0,AP54*'Step 11b--Inputs'!$I56)</f>
        <v>0</v>
      </c>
      <c r="AW54" s="2931"/>
      <c r="AX54" s="2932">
        <f>IFERROR('Step 9b--Daily DMI Rations'!AG60/'Step 7b--Feedstuff Required'!$Z56*'Step 7b--Feedstuff Required'!$AL56/'Step 7b--Feedstuff Required'!$AI56,0)</f>
        <v>0</v>
      </c>
      <c r="AY54" s="2930"/>
      <c r="AZ54" s="2930">
        <f>IF(Options!$AH$24=TRUE,0,AX54*'Step 11b--Inputs'!$C56)</f>
        <v>0</v>
      </c>
      <c r="BA54" s="2930"/>
      <c r="BB54" s="2930">
        <f>IF(Options!$AH$24=TRUE,0,AX54*'Step 11b--Inputs'!$F56)</f>
        <v>0</v>
      </c>
      <c r="BC54" s="2930"/>
      <c r="BD54" s="2930">
        <f>IF(Options!$AH$24=TRUE,0,AX54*'Step 11b--Inputs'!$I56)</f>
        <v>0</v>
      </c>
      <c r="BE54" s="2931"/>
      <c r="BF54" s="2932">
        <f>IFERROR('Step 9b--Daily DMI Rations'!AM60/'Step 7b--Feedstuff Required'!$Z56*'Step 7b--Feedstuff Required'!$AL56/'Step 7b--Feedstuff Required'!$AI56,0)</f>
        <v>0</v>
      </c>
      <c r="BG54" s="2930"/>
      <c r="BH54" s="2930">
        <f>IF(Options!$AH$24=TRUE,0,BF54*'Step 11b--Inputs'!$C56)</f>
        <v>0</v>
      </c>
      <c r="BI54" s="2930"/>
      <c r="BJ54" s="2930">
        <f>IF(Options!$AH$24=TRUE,0,BF54*'Step 11b--Inputs'!$F56)</f>
        <v>0</v>
      </c>
      <c r="BK54" s="2930"/>
      <c r="BL54" s="2930">
        <f>IF(Options!$AH$24=TRUE,0,BF54*'Step 11b--Inputs'!$I56)</f>
        <v>0</v>
      </c>
      <c r="BM54" s="2931"/>
      <c r="BN54" s="2932">
        <f>IFERROR('Step 9b--Daily DMI Rations'!AS60/'Step 7b--Feedstuff Required'!$Z56*'Step 7b--Feedstuff Required'!$AL56/'Step 7b--Feedstuff Required'!$AI56,0)</f>
        <v>0</v>
      </c>
      <c r="BO54" s="2930"/>
      <c r="BP54" s="2930">
        <f>IF(Options!$AH$24=TRUE,0,BN54*'Step 11b--Inputs'!$C56)</f>
        <v>0</v>
      </c>
      <c r="BQ54" s="2930"/>
      <c r="BR54" s="2930">
        <f>IF(Options!$AH$24=TRUE,0,BN54*'Step 11b--Inputs'!$F56)</f>
        <v>0</v>
      </c>
      <c r="BS54" s="2930"/>
      <c r="BT54" s="2930">
        <f>IF(Options!$AH$24=TRUE,0,BN54*'Step 11b--Inputs'!$I56)</f>
        <v>0</v>
      </c>
      <c r="BU54" s="2931"/>
      <c r="BV54" s="2932">
        <f>IFERROR('Step 9b--Daily DMI Rations'!AY60/'Step 7b--Feedstuff Required'!$Z56*'Step 7b--Feedstuff Required'!$AL56/'Step 7b--Feedstuff Required'!$AI56,0)</f>
        <v>0</v>
      </c>
      <c r="BW54" s="2930"/>
      <c r="BX54" s="2930">
        <f>IF(Options!$AH$24=TRUE,0,BV54*'Step 11b--Inputs'!$C56)</f>
        <v>0</v>
      </c>
      <c r="BY54" s="2930"/>
      <c r="BZ54" s="2930">
        <f>IF(Options!$AH$24=TRUE,0,BV54*'Step 11b--Inputs'!$F56)</f>
        <v>0</v>
      </c>
      <c r="CA54" s="2930"/>
      <c r="CB54" s="2930">
        <f>IF(Options!$AH$24=TRUE,0,BV54*'Step 11b--Inputs'!$I56)</f>
        <v>0</v>
      </c>
      <c r="CC54" s="2933"/>
    </row>
    <row r="55" spans="1:81" ht="3" customHeight="1">
      <c r="A55" s="1224"/>
      <c r="B55" s="2964"/>
      <c r="C55" s="2792"/>
      <c r="D55" s="2792"/>
      <c r="E55" s="2792"/>
      <c r="F55" s="2792"/>
      <c r="G55" s="2792"/>
      <c r="H55" s="2792"/>
      <c r="I55" s="2965"/>
      <c r="J55" s="603"/>
      <c r="K55" s="2792"/>
      <c r="L55" s="494"/>
      <c r="M55" s="2792"/>
      <c r="N55" s="494"/>
      <c r="O55" s="2792"/>
      <c r="P55" s="494"/>
      <c r="Q55" s="2965"/>
      <c r="R55" s="603"/>
      <c r="S55" s="2792"/>
      <c r="T55" s="494"/>
      <c r="U55" s="2792"/>
      <c r="V55" s="494"/>
      <c r="W55" s="2792"/>
      <c r="X55" s="494"/>
      <c r="Y55" s="2965"/>
      <c r="Z55" s="603"/>
      <c r="AA55" s="2792"/>
      <c r="AB55" s="494"/>
      <c r="AC55" s="2792"/>
      <c r="AD55" s="494"/>
      <c r="AE55" s="2792"/>
      <c r="AF55" s="494"/>
      <c r="AG55" s="2965"/>
      <c r="AH55" s="603"/>
      <c r="AI55" s="2792"/>
      <c r="AJ55" s="494"/>
      <c r="AK55" s="2792"/>
      <c r="AL55" s="494"/>
      <c r="AM55" s="2792"/>
      <c r="AN55" s="494"/>
      <c r="AO55" s="2966"/>
      <c r="AP55" s="607"/>
      <c r="AQ55" s="496"/>
      <c r="AR55" s="496"/>
      <c r="AS55" s="496"/>
      <c r="AT55" s="496"/>
      <c r="AU55" s="496"/>
      <c r="AV55" s="496"/>
      <c r="AW55" s="1025"/>
      <c r="AX55" s="611"/>
      <c r="AY55" s="496"/>
      <c r="AZ55" s="496"/>
      <c r="BA55" s="496"/>
      <c r="BB55" s="496"/>
      <c r="BC55" s="496"/>
      <c r="BD55" s="496"/>
      <c r="BE55" s="1025"/>
      <c r="BF55" s="611"/>
      <c r="BG55" s="496"/>
      <c r="BH55" s="496"/>
      <c r="BI55" s="496"/>
      <c r="BJ55" s="496"/>
      <c r="BK55" s="496"/>
      <c r="BL55" s="496"/>
      <c r="BM55" s="1025"/>
      <c r="BN55" s="611"/>
      <c r="BO55" s="496"/>
      <c r="BP55" s="496"/>
      <c r="BQ55" s="496"/>
      <c r="BR55" s="496"/>
      <c r="BS55" s="496"/>
      <c r="BT55" s="496"/>
      <c r="BU55" s="1025"/>
      <c r="BV55" s="611"/>
      <c r="BW55" s="496"/>
      <c r="BX55" s="496"/>
      <c r="BY55" s="496"/>
      <c r="BZ55" s="496"/>
      <c r="CA55" s="496"/>
      <c r="CB55" s="496"/>
      <c r="CC55" s="497"/>
    </row>
    <row r="56" spans="1:81" ht="15">
      <c r="A56" s="3774" t="s">
        <v>1483</v>
      </c>
      <c r="B56" s="2967">
        <f>SUM(B46:B54)</f>
        <v>1.2165637860082304E-3</v>
      </c>
      <c r="C56" s="2968"/>
      <c r="D56" s="2968">
        <f t="shared" ref="D56:X56" si="2">SUM(D46:D54)</f>
        <v>0</v>
      </c>
      <c r="E56" s="2968"/>
      <c r="F56" s="2968">
        <f t="shared" si="2"/>
        <v>0</v>
      </c>
      <c r="G56" s="2968"/>
      <c r="H56" s="2968">
        <f t="shared" si="2"/>
        <v>0</v>
      </c>
      <c r="I56" s="2969"/>
      <c r="J56" s="2970">
        <f t="shared" si="2"/>
        <v>1.2165637860082304E-3</v>
      </c>
      <c r="K56" s="2968"/>
      <c r="L56" s="2971">
        <f t="shared" si="2"/>
        <v>0</v>
      </c>
      <c r="M56" s="2968"/>
      <c r="N56" s="2971">
        <f t="shared" si="2"/>
        <v>0</v>
      </c>
      <c r="O56" s="2968"/>
      <c r="P56" s="2971">
        <f t="shared" si="2"/>
        <v>0</v>
      </c>
      <c r="Q56" s="2969"/>
      <c r="R56" s="2970">
        <f t="shared" si="2"/>
        <v>0</v>
      </c>
      <c r="S56" s="2968"/>
      <c r="T56" s="2971">
        <f t="shared" si="2"/>
        <v>0</v>
      </c>
      <c r="U56" s="2968"/>
      <c r="V56" s="2971">
        <f t="shared" si="2"/>
        <v>0</v>
      </c>
      <c r="W56" s="2968"/>
      <c r="X56" s="2971">
        <f t="shared" si="2"/>
        <v>0</v>
      </c>
      <c r="Y56" s="2969"/>
      <c r="Z56" s="2970">
        <f>SUM(Z46:Z54)</f>
        <v>0</v>
      </c>
      <c r="AA56" s="2968"/>
      <c r="AB56" s="2971">
        <f t="shared" ref="AB56:AP56" si="3">SUM(AB46:AB54)</f>
        <v>0</v>
      </c>
      <c r="AC56" s="2968"/>
      <c r="AD56" s="2971">
        <f t="shared" si="3"/>
        <v>0</v>
      </c>
      <c r="AE56" s="2968"/>
      <c r="AF56" s="2971">
        <f t="shared" si="3"/>
        <v>0</v>
      </c>
      <c r="AG56" s="2969"/>
      <c r="AH56" s="2970">
        <f t="shared" si="3"/>
        <v>0</v>
      </c>
      <c r="AI56" s="2968"/>
      <c r="AJ56" s="2971">
        <f t="shared" si="3"/>
        <v>0</v>
      </c>
      <c r="AK56" s="2968"/>
      <c r="AL56" s="2971">
        <f t="shared" si="3"/>
        <v>0</v>
      </c>
      <c r="AM56" s="2968"/>
      <c r="AN56" s="2971">
        <f t="shared" si="3"/>
        <v>0</v>
      </c>
      <c r="AO56" s="2972"/>
      <c r="AP56" s="2939">
        <f t="shared" si="3"/>
        <v>1.2165637860082304E-3</v>
      </c>
      <c r="AQ56" s="2940"/>
      <c r="AR56" s="2940">
        <f t="shared" ref="AR56:CB56" si="4">SUM(AR46:AR54)</f>
        <v>0</v>
      </c>
      <c r="AS56" s="2940"/>
      <c r="AT56" s="2940">
        <f t="shared" si="4"/>
        <v>0</v>
      </c>
      <c r="AU56" s="2940"/>
      <c r="AV56" s="2940">
        <f t="shared" si="4"/>
        <v>0</v>
      </c>
      <c r="AW56" s="2941"/>
      <c r="AX56" s="2942">
        <f t="shared" si="4"/>
        <v>4.0174897119341562E-4</v>
      </c>
      <c r="AY56" s="2940"/>
      <c r="AZ56" s="2940">
        <f t="shared" si="4"/>
        <v>0</v>
      </c>
      <c r="BA56" s="2940"/>
      <c r="BB56" s="2940">
        <f t="shared" si="4"/>
        <v>0</v>
      </c>
      <c r="BC56" s="2940"/>
      <c r="BD56" s="2940">
        <f t="shared" si="4"/>
        <v>0</v>
      </c>
      <c r="BE56" s="2941"/>
      <c r="BF56" s="2942">
        <f t="shared" si="4"/>
        <v>0</v>
      </c>
      <c r="BG56" s="2940"/>
      <c r="BH56" s="2940">
        <f t="shared" si="4"/>
        <v>0</v>
      </c>
      <c r="BI56" s="2940"/>
      <c r="BJ56" s="2940">
        <f t="shared" si="4"/>
        <v>0</v>
      </c>
      <c r="BK56" s="2940"/>
      <c r="BL56" s="2940">
        <f t="shared" si="4"/>
        <v>0</v>
      </c>
      <c r="BM56" s="2941"/>
      <c r="BN56" s="2942">
        <f t="shared" si="4"/>
        <v>0</v>
      </c>
      <c r="BO56" s="2940"/>
      <c r="BP56" s="2940">
        <f t="shared" si="4"/>
        <v>0</v>
      </c>
      <c r="BQ56" s="2940"/>
      <c r="BR56" s="2940">
        <f t="shared" si="4"/>
        <v>0</v>
      </c>
      <c r="BS56" s="2940"/>
      <c r="BT56" s="2940">
        <f t="shared" si="4"/>
        <v>0</v>
      </c>
      <c r="BU56" s="2941"/>
      <c r="BV56" s="2942">
        <f t="shared" si="4"/>
        <v>0</v>
      </c>
      <c r="BW56" s="2940"/>
      <c r="BX56" s="2940">
        <f t="shared" si="4"/>
        <v>0</v>
      </c>
      <c r="BY56" s="2940"/>
      <c r="BZ56" s="2940">
        <f t="shared" si="4"/>
        <v>0</v>
      </c>
      <c r="CA56" s="2940"/>
      <c r="CB56" s="2940">
        <f t="shared" si="4"/>
        <v>0</v>
      </c>
      <c r="CC56" s="2943"/>
    </row>
    <row r="57" spans="1:81" ht="3" customHeight="1">
      <c r="A57" s="2799"/>
      <c r="B57" s="2964"/>
      <c r="C57" s="2792"/>
      <c r="D57" s="2792"/>
      <c r="E57" s="2792"/>
      <c r="F57" s="2792"/>
      <c r="G57" s="2792"/>
      <c r="H57" s="2792"/>
      <c r="I57" s="2965"/>
      <c r="J57" s="603"/>
      <c r="K57" s="2792"/>
      <c r="L57" s="494"/>
      <c r="M57" s="2792"/>
      <c r="N57" s="494"/>
      <c r="O57" s="2792"/>
      <c r="P57" s="494"/>
      <c r="Q57" s="2965"/>
      <c r="R57" s="603"/>
      <c r="S57" s="2792"/>
      <c r="T57" s="494"/>
      <c r="U57" s="2792"/>
      <c r="V57" s="494"/>
      <c r="W57" s="2792"/>
      <c r="X57" s="494"/>
      <c r="Y57" s="2965"/>
      <c r="Z57" s="603"/>
      <c r="AA57" s="2792"/>
      <c r="AB57" s="494"/>
      <c r="AC57" s="2792"/>
      <c r="AD57" s="494"/>
      <c r="AE57" s="2792"/>
      <c r="AF57" s="494"/>
      <c r="AG57" s="2965"/>
      <c r="AH57" s="603"/>
      <c r="AI57" s="2792"/>
      <c r="AJ57" s="494"/>
      <c r="AK57" s="2792"/>
      <c r="AL57" s="494"/>
      <c r="AM57" s="2792"/>
      <c r="AN57" s="494"/>
      <c r="AO57" s="2966"/>
      <c r="AP57" s="607"/>
      <c r="AQ57" s="496"/>
      <c r="AR57" s="496"/>
      <c r="AS57" s="496"/>
      <c r="AT57" s="496"/>
      <c r="AU57" s="496"/>
      <c r="AV57" s="496"/>
      <c r="AW57" s="1025"/>
      <c r="AX57" s="611"/>
      <c r="AY57" s="496"/>
      <c r="AZ57" s="496"/>
      <c r="BA57" s="496"/>
      <c r="BB57" s="496"/>
      <c r="BC57" s="496"/>
      <c r="BD57" s="496"/>
      <c r="BE57" s="1025"/>
      <c r="BF57" s="611"/>
      <c r="BG57" s="496"/>
      <c r="BH57" s="496"/>
      <c r="BI57" s="496"/>
      <c r="BJ57" s="496"/>
      <c r="BK57" s="496"/>
      <c r="BL57" s="496"/>
      <c r="BM57" s="1025"/>
      <c r="BN57" s="611"/>
      <c r="BO57" s="496"/>
      <c r="BP57" s="496"/>
      <c r="BQ57" s="496"/>
      <c r="BR57" s="496"/>
      <c r="BS57" s="496"/>
      <c r="BT57" s="496"/>
      <c r="BU57" s="1025"/>
      <c r="BV57" s="611"/>
      <c r="BW57" s="496"/>
      <c r="BX57" s="496"/>
      <c r="BY57" s="496"/>
      <c r="BZ57" s="496"/>
      <c r="CA57" s="496"/>
      <c r="CB57" s="496"/>
      <c r="CC57" s="497"/>
    </row>
    <row r="58" spans="1:81" ht="6" customHeight="1">
      <c r="A58" s="1427"/>
      <c r="B58" s="2973"/>
      <c r="C58" s="2974"/>
      <c r="D58" s="2974"/>
      <c r="E58" s="2974"/>
      <c r="F58" s="2974"/>
      <c r="G58" s="2974"/>
      <c r="H58" s="2974"/>
      <c r="I58" s="2975"/>
      <c r="J58" s="598"/>
      <c r="K58" s="2974"/>
      <c r="L58" s="604"/>
      <c r="M58" s="2974"/>
      <c r="N58" s="604"/>
      <c r="O58" s="2974"/>
      <c r="P58" s="604"/>
      <c r="Q58" s="2975"/>
      <c r="R58" s="598"/>
      <c r="S58" s="2974"/>
      <c r="T58" s="604"/>
      <c r="U58" s="2974"/>
      <c r="V58" s="604"/>
      <c r="W58" s="2974"/>
      <c r="X58" s="604"/>
      <c r="Y58" s="2975"/>
      <c r="Z58" s="598"/>
      <c r="AA58" s="2974"/>
      <c r="AB58" s="604"/>
      <c r="AC58" s="2974"/>
      <c r="AD58" s="604"/>
      <c r="AE58" s="2974"/>
      <c r="AF58" s="604"/>
      <c r="AG58" s="2975"/>
      <c r="AH58" s="598"/>
      <c r="AI58" s="2974"/>
      <c r="AJ58" s="604"/>
      <c r="AK58" s="2974"/>
      <c r="AL58" s="604"/>
      <c r="AM58" s="2974"/>
      <c r="AN58" s="604"/>
      <c r="AO58" s="2976"/>
      <c r="AP58" s="612"/>
      <c r="AQ58" s="595"/>
      <c r="AR58" s="595"/>
      <c r="AS58" s="595"/>
      <c r="AT58" s="595"/>
      <c r="AU58" s="595"/>
      <c r="AV58" s="595"/>
      <c r="AW58" s="1026"/>
      <c r="AX58" s="613"/>
      <c r="AY58" s="595"/>
      <c r="AZ58" s="595"/>
      <c r="BA58" s="595"/>
      <c r="BB58" s="595"/>
      <c r="BC58" s="595"/>
      <c r="BD58" s="595"/>
      <c r="BE58" s="1026"/>
      <c r="BF58" s="613"/>
      <c r="BG58" s="595"/>
      <c r="BH58" s="595"/>
      <c r="BI58" s="595"/>
      <c r="BJ58" s="595"/>
      <c r="BK58" s="595"/>
      <c r="BL58" s="595"/>
      <c r="BM58" s="1026"/>
      <c r="BN58" s="613"/>
      <c r="BO58" s="595"/>
      <c r="BP58" s="595"/>
      <c r="BQ58" s="595"/>
      <c r="BR58" s="595"/>
      <c r="BS58" s="595"/>
      <c r="BT58" s="595"/>
      <c r="BU58" s="1026"/>
      <c r="BV58" s="613"/>
      <c r="BW58" s="595"/>
      <c r="BX58" s="595"/>
      <c r="BY58" s="595"/>
      <c r="BZ58" s="595"/>
      <c r="CA58" s="595"/>
      <c r="CB58" s="595"/>
      <c r="CC58" s="614"/>
    </row>
    <row r="59" spans="1:81" ht="15">
      <c r="A59" s="1541" t="s">
        <v>364</v>
      </c>
      <c r="B59" s="2977">
        <f>B26+B43+B56</f>
        <v>1.3096772615802488E-2</v>
      </c>
      <c r="C59" s="2978"/>
      <c r="D59" s="2978">
        <f t="shared" ref="D59:X59" si="5">D26+D43+D56</f>
        <v>0</v>
      </c>
      <c r="E59" s="2978"/>
      <c r="F59" s="2978">
        <f t="shared" si="5"/>
        <v>0</v>
      </c>
      <c r="G59" s="2978"/>
      <c r="H59" s="2978">
        <f t="shared" si="5"/>
        <v>0</v>
      </c>
      <c r="I59" s="2979"/>
      <c r="J59" s="2980">
        <f t="shared" si="5"/>
        <v>1.0228348298422198E-2</v>
      </c>
      <c r="K59" s="2978"/>
      <c r="L59" s="2978">
        <f t="shared" si="5"/>
        <v>0</v>
      </c>
      <c r="M59" s="2978"/>
      <c r="N59" s="2978">
        <f t="shared" si="5"/>
        <v>0</v>
      </c>
      <c r="O59" s="2978"/>
      <c r="P59" s="2978">
        <f t="shared" si="5"/>
        <v>0</v>
      </c>
      <c r="Q59" s="2979"/>
      <c r="R59" s="2980">
        <f t="shared" si="5"/>
        <v>7.6580995426072393E-4</v>
      </c>
      <c r="S59" s="2978"/>
      <c r="T59" s="2978">
        <f t="shared" si="5"/>
        <v>0</v>
      </c>
      <c r="U59" s="2978"/>
      <c r="V59" s="2978">
        <f t="shared" si="5"/>
        <v>0</v>
      </c>
      <c r="W59" s="2978"/>
      <c r="X59" s="2978">
        <f t="shared" si="5"/>
        <v>0</v>
      </c>
      <c r="Y59" s="2979"/>
      <c r="Z59" s="2980">
        <f>Z26+Z43+Z56</f>
        <v>1.4917238152387983E-3</v>
      </c>
      <c r="AA59" s="2978"/>
      <c r="AB59" s="2978">
        <f t="shared" ref="AB59:AP59" si="6">AB26+AB43+AB56</f>
        <v>0</v>
      </c>
      <c r="AC59" s="2978"/>
      <c r="AD59" s="2978">
        <f t="shared" si="6"/>
        <v>0</v>
      </c>
      <c r="AE59" s="2978"/>
      <c r="AF59" s="2978">
        <f t="shared" si="6"/>
        <v>0</v>
      </c>
      <c r="AG59" s="2979"/>
      <c r="AH59" s="2980">
        <f t="shared" si="6"/>
        <v>6.1089054788076788E-4</v>
      </c>
      <c r="AI59" s="2978"/>
      <c r="AJ59" s="2978">
        <f t="shared" si="6"/>
        <v>0</v>
      </c>
      <c r="AK59" s="2978"/>
      <c r="AL59" s="2978">
        <f t="shared" si="6"/>
        <v>0</v>
      </c>
      <c r="AM59" s="2978"/>
      <c r="AN59" s="2978">
        <f t="shared" si="6"/>
        <v>0</v>
      </c>
      <c r="AO59" s="2981"/>
      <c r="AP59" s="2944">
        <f t="shared" si="6"/>
        <v>1.3096772615802488E-2</v>
      </c>
      <c r="AQ59" s="2945"/>
      <c r="AR59" s="2945">
        <f t="shared" ref="AR59:CB59" si="7">AR26+AR43+AR56</f>
        <v>0</v>
      </c>
      <c r="AS59" s="2945"/>
      <c r="AT59" s="2945">
        <f t="shared" si="7"/>
        <v>0</v>
      </c>
      <c r="AU59" s="2945"/>
      <c r="AV59" s="2945">
        <f t="shared" si="7"/>
        <v>0</v>
      </c>
      <c r="AW59" s="2946"/>
      <c r="AX59" s="2947">
        <f t="shared" si="7"/>
        <v>8.7167119742344434E-3</v>
      </c>
      <c r="AY59" s="2945"/>
      <c r="AZ59" s="2945">
        <f t="shared" si="7"/>
        <v>0</v>
      </c>
      <c r="BA59" s="2945"/>
      <c r="BB59" s="2945">
        <f t="shared" si="7"/>
        <v>0</v>
      </c>
      <c r="BC59" s="2945"/>
      <c r="BD59" s="2945">
        <f t="shared" si="7"/>
        <v>0</v>
      </c>
      <c r="BE59" s="2946"/>
      <c r="BF59" s="2947">
        <f t="shared" si="7"/>
        <v>5.4662445512937852E-4</v>
      </c>
      <c r="BG59" s="2945"/>
      <c r="BH59" s="2945">
        <f t="shared" si="7"/>
        <v>0</v>
      </c>
      <c r="BI59" s="2945"/>
      <c r="BJ59" s="2945">
        <f t="shared" si="7"/>
        <v>0</v>
      </c>
      <c r="BK59" s="2945"/>
      <c r="BL59" s="2945">
        <f t="shared" si="7"/>
        <v>0</v>
      </c>
      <c r="BM59" s="2946"/>
      <c r="BN59" s="2947">
        <f t="shared" si="7"/>
        <v>7.6934676337032698E-4</v>
      </c>
      <c r="BO59" s="2945"/>
      <c r="BP59" s="2945">
        <f t="shared" si="7"/>
        <v>0</v>
      </c>
      <c r="BQ59" s="2945"/>
      <c r="BR59" s="2945">
        <f t="shared" si="7"/>
        <v>0</v>
      </c>
      <c r="BS59" s="2945"/>
      <c r="BT59" s="2945">
        <f t="shared" si="7"/>
        <v>0</v>
      </c>
      <c r="BU59" s="2946"/>
      <c r="BV59" s="2947">
        <f t="shared" si="7"/>
        <v>3.2656991679754058E-4</v>
      </c>
      <c r="BW59" s="2945"/>
      <c r="BX59" s="2945">
        <f t="shared" si="7"/>
        <v>0</v>
      </c>
      <c r="BY59" s="2945"/>
      <c r="BZ59" s="2945">
        <f t="shared" si="7"/>
        <v>0</v>
      </c>
      <c r="CA59" s="2945"/>
      <c r="CB59" s="2945">
        <f t="shared" si="7"/>
        <v>0</v>
      </c>
      <c r="CC59" s="2948"/>
    </row>
    <row r="60" spans="1:81" ht="6" customHeight="1" thickBot="1">
      <c r="A60" s="1550"/>
      <c r="B60" s="2982"/>
      <c r="C60" s="1686"/>
      <c r="D60" s="1686"/>
      <c r="E60" s="1686"/>
      <c r="F60" s="1686"/>
      <c r="G60" s="1686"/>
      <c r="H60" s="1686"/>
      <c r="I60" s="2983"/>
      <c r="J60" s="2984"/>
      <c r="K60" s="1686"/>
      <c r="L60" s="2985"/>
      <c r="M60" s="1686"/>
      <c r="N60" s="2985"/>
      <c r="O60" s="1686"/>
      <c r="P60" s="2985"/>
      <c r="Q60" s="2983"/>
      <c r="R60" s="2984"/>
      <c r="S60" s="1686"/>
      <c r="T60" s="2985"/>
      <c r="U60" s="1686"/>
      <c r="V60" s="2985"/>
      <c r="W60" s="1686"/>
      <c r="X60" s="2985"/>
      <c r="Y60" s="2983"/>
      <c r="Z60" s="2984"/>
      <c r="AA60" s="1686"/>
      <c r="AB60" s="2985"/>
      <c r="AC60" s="1686"/>
      <c r="AD60" s="2985"/>
      <c r="AE60" s="1686"/>
      <c r="AF60" s="2985"/>
      <c r="AG60" s="2983"/>
      <c r="AH60" s="2984"/>
      <c r="AI60" s="1686"/>
      <c r="AJ60" s="2985"/>
      <c r="AK60" s="1686"/>
      <c r="AL60" s="2985"/>
      <c r="AM60" s="1686"/>
      <c r="AN60" s="2985"/>
      <c r="AO60" s="2986"/>
      <c r="AP60" s="2949"/>
      <c r="AQ60" s="2950"/>
      <c r="AR60" s="2950"/>
      <c r="AS60" s="2950"/>
      <c r="AT60" s="2950"/>
      <c r="AU60" s="2950"/>
      <c r="AV60" s="2950"/>
      <c r="AW60" s="2951"/>
      <c r="AX60" s="2952"/>
      <c r="AY60" s="2950"/>
      <c r="AZ60" s="2950"/>
      <c r="BA60" s="2950"/>
      <c r="BB60" s="2950"/>
      <c r="BC60" s="2950"/>
      <c r="BD60" s="2950"/>
      <c r="BE60" s="2951"/>
      <c r="BF60" s="2952"/>
      <c r="BG60" s="2950"/>
      <c r="BH60" s="2950"/>
      <c r="BI60" s="2950"/>
      <c r="BJ60" s="2950"/>
      <c r="BK60" s="2950"/>
      <c r="BL60" s="2950"/>
      <c r="BM60" s="2951"/>
      <c r="BN60" s="2952"/>
      <c r="BO60" s="2950"/>
      <c r="BP60" s="2950"/>
      <c r="BQ60" s="2950"/>
      <c r="BR60" s="2950"/>
      <c r="BS60" s="2950"/>
      <c r="BT60" s="2950"/>
      <c r="BU60" s="2951"/>
      <c r="BV60" s="2952"/>
      <c r="BW60" s="2950"/>
      <c r="BX60" s="2950"/>
      <c r="BY60" s="2950"/>
      <c r="BZ60" s="2950"/>
      <c r="CA60" s="2950"/>
      <c r="CB60" s="2950"/>
      <c r="CC60" s="2953"/>
    </row>
    <row r="69" spans="1:1" ht="15.75">
      <c r="A69" s="1402"/>
    </row>
  </sheetData>
  <sheetProtection password="E0BE" sheet="1" objects="1" scenarios="1"/>
  <mergeCells count="59">
    <mergeCell ref="A28:CC28"/>
    <mergeCell ref="A7:CC7"/>
    <mergeCell ref="A45:CC45"/>
    <mergeCell ref="BV6:BW6"/>
    <mergeCell ref="BX6:BY6"/>
    <mergeCell ref="BZ6:CA6"/>
    <mergeCell ref="CB6:CC6"/>
    <mergeCell ref="BJ6:BK6"/>
    <mergeCell ref="BL6:BM6"/>
    <mergeCell ref="BN6:BO6"/>
    <mergeCell ref="BP6:BQ6"/>
    <mergeCell ref="BR6:BS6"/>
    <mergeCell ref="BT6:BU6"/>
    <mergeCell ref="BH6:BI6"/>
    <mergeCell ref="AL6:AM6"/>
    <mergeCell ref="AN6:AO6"/>
    <mergeCell ref="BV5:CC5"/>
    <mergeCell ref="AH5:AO5"/>
    <mergeCell ref="AP5:AW5"/>
    <mergeCell ref="P6:Q6"/>
    <mergeCell ref="R6:S6"/>
    <mergeCell ref="T6:U6"/>
    <mergeCell ref="V6:W6"/>
    <mergeCell ref="AZ6:BA6"/>
    <mergeCell ref="AJ6:AK6"/>
    <mergeCell ref="AP6:AQ6"/>
    <mergeCell ref="AR6:AS6"/>
    <mergeCell ref="AT6:AU6"/>
    <mergeCell ref="AV6:AW6"/>
    <mergeCell ref="AX6:AY6"/>
    <mergeCell ref="AH6:AI6"/>
    <mergeCell ref="AD6:AE6"/>
    <mergeCell ref="AX5:BE5"/>
    <mergeCell ref="BF5:BM5"/>
    <mergeCell ref="BN5:BU5"/>
    <mergeCell ref="AF6:AG6"/>
    <mergeCell ref="BB6:BC6"/>
    <mergeCell ref="BD6:BE6"/>
    <mergeCell ref="BF6:BG6"/>
    <mergeCell ref="A1:CC1"/>
    <mergeCell ref="A2:CC2"/>
    <mergeCell ref="B3:AO3"/>
    <mergeCell ref="AP3:CC3"/>
    <mergeCell ref="B4:AO4"/>
    <mergeCell ref="AP4:CC4"/>
    <mergeCell ref="B5:I5"/>
    <mergeCell ref="J5:Q5"/>
    <mergeCell ref="R5:Y5"/>
    <mergeCell ref="Z5:AG5"/>
    <mergeCell ref="B6:C6"/>
    <mergeCell ref="D6:E6"/>
    <mergeCell ref="F6:G6"/>
    <mergeCell ref="H6:I6"/>
    <mergeCell ref="J6:K6"/>
    <mergeCell ref="X6:Y6"/>
    <mergeCell ref="N6:O6"/>
    <mergeCell ref="L6:M6"/>
    <mergeCell ref="Z6:AA6"/>
    <mergeCell ref="AB6:AC6"/>
  </mergeCells>
  <printOptions horizontalCentered="1"/>
  <pageMargins left="0.7" right="0.7" top="0.75" bottom="0.75" header="0.3" footer="0.3"/>
  <pageSetup scale="37" orientation="landscape" horizontalDpi="1200" verticalDpi="1200" r:id="rId1"/>
  <headerFooter>
    <oddFooter>&amp;L&amp;A&amp;C&amp;F&amp;R&amp;D</oddFooter>
  </headerFooter>
  <colBreaks count="1" manualBreakCount="1">
    <brk id="41" max="1048575" man="1"/>
  </colBreaks>
</worksheet>
</file>

<file path=xl/worksheets/sheet29.xml><?xml version="1.0" encoding="utf-8"?>
<worksheet xmlns="http://schemas.openxmlformats.org/spreadsheetml/2006/main" xmlns:r="http://schemas.openxmlformats.org/officeDocument/2006/relationships">
  <sheetPr codeName="Sheet36"/>
  <dimension ref="A1:BM102"/>
  <sheetViews>
    <sheetView topLeftCell="A31" zoomScale="85" zoomScaleNormal="85" workbookViewId="0">
      <selection activeCell="A6" sqref="A6"/>
    </sheetView>
  </sheetViews>
  <sheetFormatPr defaultRowHeight="12.75"/>
  <cols>
    <col min="1" max="1" width="37.140625" customWidth="1"/>
    <col min="2" max="2" width="1.28515625" customWidth="1"/>
    <col min="3" max="3" width="4.7109375" customWidth="1"/>
    <col min="4" max="4" width="8.7109375" customWidth="1"/>
    <col min="5" max="5" width="13.85546875" customWidth="1"/>
    <col min="6" max="6" width="1.28515625" customWidth="1"/>
    <col min="7" max="7" width="7.7109375" customWidth="1"/>
    <col min="8" max="9" width="1.28515625" customWidth="1"/>
    <col min="10" max="10" width="4.7109375" customWidth="1"/>
    <col min="11" max="11" width="8.7109375" customWidth="1"/>
    <col min="12" max="12" width="13.85546875" customWidth="1"/>
    <col min="13" max="13" width="1.28515625" customWidth="1"/>
    <col min="14" max="14" width="7.7109375" customWidth="1"/>
    <col min="15" max="16" width="1.28515625" customWidth="1"/>
    <col min="17" max="17" width="4.7109375" customWidth="1"/>
    <col min="18" max="18" width="8.85546875" customWidth="1"/>
    <col min="19" max="19" width="11.85546875" customWidth="1"/>
    <col min="20" max="20" width="1.28515625" customWidth="1"/>
    <col min="21" max="21" width="7.7109375" customWidth="1"/>
    <col min="22" max="23" width="1.28515625" customWidth="1"/>
    <col min="24" max="24" width="4.7109375" customWidth="1"/>
    <col min="25" max="25" width="8.85546875" customWidth="1"/>
    <col min="26" max="26" width="11.85546875" customWidth="1"/>
    <col min="27" max="27" width="1.42578125" customWidth="1"/>
    <col min="28" max="28" width="7.7109375" customWidth="1"/>
    <col min="29" max="29" width="1.28515625" customWidth="1"/>
  </cols>
  <sheetData>
    <row r="1" spans="1:65"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2"/>
      <c r="X1" s="4692"/>
      <c r="Y1" s="4692"/>
      <c r="Z1" s="4692"/>
      <c r="AA1" s="4692"/>
      <c r="AB1" s="4692"/>
      <c r="AC1" s="4693"/>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706"/>
      <c r="BF1" s="1706"/>
      <c r="BG1" s="1706"/>
      <c r="BH1" s="1706"/>
      <c r="BI1" s="1706"/>
      <c r="BJ1" s="1706"/>
      <c r="BK1" s="1706"/>
      <c r="BL1" s="1706"/>
      <c r="BM1" s="103"/>
    </row>
    <row r="2" spans="1:65" ht="30" customHeight="1">
      <c r="A2" s="4567" t="s">
        <v>986</v>
      </c>
      <c r="B2" s="4568"/>
      <c r="C2" s="4568"/>
      <c r="D2" s="4568"/>
      <c r="E2" s="4568"/>
      <c r="F2" s="4568"/>
      <c r="G2" s="4568"/>
      <c r="H2" s="4568"/>
      <c r="I2" s="4568"/>
      <c r="J2" s="4568"/>
      <c r="K2" s="4568"/>
      <c r="L2" s="4568"/>
      <c r="M2" s="4568"/>
      <c r="N2" s="4568"/>
      <c r="O2" s="4568"/>
      <c r="P2" s="4568"/>
      <c r="Q2" s="4568"/>
      <c r="R2" s="4568"/>
      <c r="S2" s="4568"/>
      <c r="T2" s="4568"/>
      <c r="U2" s="4568"/>
      <c r="V2" s="4568"/>
      <c r="W2" s="4568"/>
      <c r="X2" s="4568"/>
      <c r="Y2" s="4568"/>
      <c r="Z2" s="4568"/>
      <c r="AA2" s="4568"/>
      <c r="AB2" s="4568"/>
      <c r="AC2" s="4569"/>
    </row>
    <row r="3" spans="1:65" s="4" customFormat="1" ht="21" customHeight="1">
      <c r="A3" s="644"/>
      <c r="B3" s="4000" t="str">
        <f>'Chosen Parameters-Part I'!B4</f>
        <v>Scenario 1</v>
      </c>
      <c r="C3" s="4000"/>
      <c r="D3" s="4000"/>
      <c r="E3" s="4000"/>
      <c r="F3" s="4000"/>
      <c r="G3" s="4000"/>
      <c r="H3" s="4001"/>
      <c r="I3" s="4002" t="str">
        <f>'Chosen Parameters-Part I'!C4</f>
        <v>Scenario 2</v>
      </c>
      <c r="J3" s="4003"/>
      <c r="K3" s="4003"/>
      <c r="L3" s="4003"/>
      <c r="M3" s="4003"/>
      <c r="N3" s="4003"/>
      <c r="O3" s="4003"/>
      <c r="P3" s="4005" t="str">
        <f>'Chosen Parameters-Part I'!D4</f>
        <v>Scenario 3</v>
      </c>
      <c r="Q3" s="4006"/>
      <c r="R3" s="4006"/>
      <c r="S3" s="4006"/>
      <c r="T3" s="4006"/>
      <c r="U3" s="4006"/>
      <c r="V3" s="4111"/>
      <c r="W3" s="4113" t="str">
        <f>'Chosen Parameters-Part I'!E4</f>
        <v>Scenario 4</v>
      </c>
      <c r="X3" s="4113"/>
      <c r="Y3" s="4113"/>
      <c r="Z3" s="4113"/>
      <c r="AA3" s="4113"/>
      <c r="AB3" s="4113"/>
      <c r="AC3" s="4114"/>
    </row>
    <row r="4" spans="1:65" s="4" customFormat="1" ht="36" customHeight="1">
      <c r="A4" s="645"/>
      <c r="B4" s="4119" t="str">
        <f>'Step 1 -- Herd Profile'!B4</f>
        <v>Intensive Conventional Management with Holsteins and rbST</v>
      </c>
      <c r="C4" s="4119"/>
      <c r="D4" s="4119"/>
      <c r="E4" s="4119"/>
      <c r="F4" s="4119"/>
      <c r="G4" s="4119"/>
      <c r="H4" s="4120"/>
      <c r="I4" s="4121" t="str">
        <f>'Step 1 -- Herd Profile'!M4</f>
        <v>Conventional Management, Holsteins</v>
      </c>
      <c r="J4" s="4122"/>
      <c r="K4" s="4122"/>
      <c r="L4" s="4122"/>
      <c r="M4" s="4122"/>
      <c r="N4" s="4122"/>
      <c r="O4" s="4122"/>
      <c r="P4" s="4040" t="str">
        <f>'Application Setup'!B6</f>
        <v>Intensive Organic Management, Holsteins</v>
      </c>
      <c r="Q4" s="4041"/>
      <c r="R4" s="4041"/>
      <c r="S4" s="4041"/>
      <c r="T4" s="4041"/>
      <c r="U4" s="4041"/>
      <c r="V4" s="4042"/>
      <c r="W4" s="4116" t="str">
        <f>'Application Setup'!B7</f>
        <v>Pasture-Based Organic, Jersey Cows</v>
      </c>
      <c r="X4" s="4116"/>
      <c r="Y4" s="4116"/>
      <c r="Z4" s="4116"/>
      <c r="AA4" s="4116"/>
      <c r="AB4" s="4116"/>
      <c r="AC4" s="4117"/>
    </row>
    <row r="5" spans="1:65" ht="20.25" customHeight="1">
      <c r="A5" s="4552" t="s">
        <v>1643</v>
      </c>
      <c r="B5" s="4553"/>
      <c r="C5" s="4553"/>
      <c r="D5" s="4553"/>
      <c r="E5" s="4553"/>
      <c r="F5" s="4553"/>
      <c r="G5" s="4553"/>
      <c r="H5" s="4553"/>
      <c r="I5" s="4553"/>
      <c r="J5" s="4553"/>
      <c r="K5" s="4553"/>
      <c r="L5" s="4553"/>
      <c r="M5" s="4553"/>
      <c r="N5" s="4553"/>
      <c r="O5" s="4553"/>
      <c r="P5" s="4553"/>
      <c r="Q5" s="4553"/>
      <c r="R5" s="4553"/>
      <c r="S5" s="4553"/>
      <c r="T5" s="4553"/>
      <c r="U5" s="4553"/>
      <c r="V5" s="4553"/>
      <c r="W5" s="4553"/>
      <c r="X5" s="4553"/>
      <c r="Y5" s="4553"/>
      <c r="Z5" s="4553"/>
      <c r="AA5" s="4553"/>
      <c r="AB5" s="4553"/>
      <c r="AC5" s="4554"/>
    </row>
    <row r="6" spans="1:65" ht="30" customHeight="1">
      <c r="A6" s="1704"/>
      <c r="B6" s="358"/>
      <c r="C6" s="382"/>
      <c r="D6" s="1132"/>
      <c r="E6" s="2195"/>
      <c r="F6" s="4973" t="s">
        <v>83</v>
      </c>
      <c r="G6" s="4974"/>
      <c r="H6" s="4975"/>
      <c r="I6" s="2134"/>
      <c r="J6" s="2135"/>
      <c r="K6" s="2135"/>
      <c r="L6" s="2135"/>
      <c r="M6" s="4976" t="s">
        <v>83</v>
      </c>
      <c r="N6" s="4977"/>
      <c r="O6" s="4977"/>
      <c r="P6" s="493"/>
      <c r="Q6" s="494"/>
      <c r="R6" s="935"/>
      <c r="S6" s="935"/>
      <c r="T6" s="4978" t="s">
        <v>142</v>
      </c>
      <c r="U6" s="4979"/>
      <c r="V6" s="4980"/>
      <c r="W6" s="921"/>
      <c r="X6" s="921"/>
      <c r="Y6" s="921"/>
      <c r="Z6" s="921"/>
      <c r="AA6" s="4981" t="s">
        <v>83</v>
      </c>
      <c r="AB6" s="4982"/>
      <c r="AC6" s="4983"/>
    </row>
    <row r="7" spans="1:65" ht="5.25" customHeight="1">
      <c r="A7" s="633"/>
      <c r="B7" s="358"/>
      <c r="C7" s="382"/>
      <c r="D7" s="1132"/>
      <c r="E7" s="1132"/>
      <c r="F7" s="878"/>
      <c r="G7" s="316"/>
      <c r="H7" s="1132"/>
      <c r="I7" s="2070"/>
      <c r="J7" s="2080"/>
      <c r="K7" s="1159"/>
      <c r="L7" s="1159"/>
      <c r="M7" s="2133"/>
      <c r="N7" s="317"/>
      <c r="O7" s="1159"/>
      <c r="P7" s="493"/>
      <c r="Q7" s="494"/>
      <c r="R7" s="494"/>
      <c r="S7" s="494"/>
      <c r="T7" s="532"/>
      <c r="U7" s="419"/>
      <c r="V7" s="495"/>
      <c r="W7" s="496"/>
      <c r="X7" s="623"/>
      <c r="Y7" s="496"/>
      <c r="Z7" s="496"/>
      <c r="AA7" s="464"/>
      <c r="AB7" s="449"/>
      <c r="AC7" s="497"/>
    </row>
    <row r="8" spans="1:65">
      <c r="A8" s="619" t="s">
        <v>197</v>
      </c>
      <c r="B8" s="358"/>
      <c r="C8" s="186" t="s">
        <v>118</v>
      </c>
      <c r="D8" s="1132"/>
      <c r="E8" s="1132"/>
      <c r="F8" s="878"/>
      <c r="G8" s="316"/>
      <c r="H8" s="1180"/>
      <c r="I8" s="2070"/>
      <c r="J8" s="880" t="s">
        <v>118</v>
      </c>
      <c r="K8" s="1159"/>
      <c r="L8" s="1159"/>
      <c r="M8" s="2133"/>
      <c r="N8" s="317"/>
      <c r="O8" s="1159"/>
      <c r="P8" s="493"/>
      <c r="Q8" s="511" t="s">
        <v>118</v>
      </c>
      <c r="R8" s="1070"/>
      <c r="S8" s="1070"/>
      <c r="T8" s="924"/>
      <c r="U8" s="573"/>
      <c r="V8" s="1306"/>
      <c r="W8" s="1072"/>
      <c r="X8" s="909" t="s">
        <v>118</v>
      </c>
      <c r="Y8" s="1072"/>
      <c r="Z8" s="1072"/>
      <c r="AA8" s="2138"/>
      <c r="AB8" s="558"/>
      <c r="AC8" s="497"/>
    </row>
    <row r="9" spans="1:65" ht="3" customHeight="1">
      <c r="A9" s="633"/>
      <c r="B9" s="358"/>
      <c r="C9" s="382"/>
      <c r="D9" s="382"/>
      <c r="E9" s="382"/>
      <c r="F9" s="216"/>
      <c r="G9" s="186"/>
      <c r="H9" s="382"/>
      <c r="I9" s="360"/>
      <c r="J9" s="622"/>
      <c r="K9" s="96"/>
      <c r="L9" s="96"/>
      <c r="M9" s="41"/>
      <c r="N9" s="44"/>
      <c r="O9" s="96"/>
      <c r="P9" s="493"/>
      <c r="Q9" s="494"/>
      <c r="R9" s="494"/>
      <c r="S9" s="494"/>
      <c r="T9" s="532"/>
      <c r="U9" s="511"/>
      <c r="V9" s="495"/>
      <c r="W9" s="496"/>
      <c r="X9" s="623"/>
      <c r="Y9" s="496"/>
      <c r="Z9" s="496"/>
      <c r="AA9" s="464"/>
      <c r="AB9" s="465"/>
      <c r="AC9" s="497"/>
    </row>
    <row r="10" spans="1:65">
      <c r="A10" s="836" t="s">
        <v>702</v>
      </c>
      <c r="B10" s="358"/>
      <c r="C10" s="382"/>
      <c r="D10" s="2192"/>
      <c r="E10" s="186" t="s">
        <v>190</v>
      </c>
      <c r="F10" s="216"/>
      <c r="G10" s="802"/>
      <c r="H10" s="382"/>
      <c r="I10" s="360"/>
      <c r="J10" s="96"/>
      <c r="K10" s="2192"/>
      <c r="L10" s="44" t="s">
        <v>190</v>
      </c>
      <c r="M10" s="41"/>
      <c r="N10" s="802"/>
      <c r="O10" s="96"/>
      <c r="P10" s="493"/>
      <c r="Q10" s="494"/>
      <c r="R10" s="2196"/>
      <c r="S10" s="511" t="s">
        <v>190</v>
      </c>
      <c r="T10" s="532"/>
      <c r="U10" s="2796"/>
      <c r="V10" s="495"/>
      <c r="W10" s="496"/>
      <c r="X10" s="496"/>
      <c r="Y10" s="2196"/>
      <c r="Z10" s="465" t="s">
        <v>190</v>
      </c>
      <c r="AA10" s="464"/>
      <c r="AB10" s="834"/>
      <c r="AC10" s="497"/>
    </row>
    <row r="11" spans="1:65" ht="3" customHeight="1">
      <c r="A11" s="837"/>
      <c r="B11" s="358"/>
      <c r="C11" s="382"/>
      <c r="D11" s="382"/>
      <c r="E11" s="382"/>
      <c r="F11" s="216"/>
      <c r="G11" s="171"/>
      <c r="H11" s="382"/>
      <c r="I11" s="360"/>
      <c r="J11" s="96"/>
      <c r="K11" s="96">
        <v>0.17499999999999999</v>
      </c>
      <c r="L11" s="96"/>
      <c r="M11" s="41"/>
      <c r="N11" s="42"/>
      <c r="O11" s="96"/>
      <c r="P11" s="493"/>
      <c r="Q11" s="494"/>
      <c r="R11" s="494"/>
      <c r="S11" s="494"/>
      <c r="T11" s="532"/>
      <c r="U11" s="419"/>
      <c r="V11" s="495"/>
      <c r="W11" s="496"/>
      <c r="X11" s="496"/>
      <c r="Y11" s="496">
        <v>0.17499999999999999</v>
      </c>
      <c r="Z11" s="496"/>
      <c r="AA11" s="464"/>
      <c r="AB11" s="449"/>
      <c r="AC11" s="497"/>
    </row>
    <row r="12" spans="1:65">
      <c r="A12" s="836" t="s">
        <v>631</v>
      </c>
      <c r="B12" s="358"/>
      <c r="C12" s="382"/>
      <c r="D12" s="2864">
        <f>Defaults!$M$9/Defaults!$L$9*F1_DMI_Lact_Cow_kg</f>
        <v>0.18388777845756468</v>
      </c>
      <c r="E12" s="186" t="s">
        <v>190</v>
      </c>
      <c r="F12" s="216"/>
      <c r="G12" s="330">
        <v>1</v>
      </c>
      <c r="H12" s="382"/>
      <c r="I12" s="360"/>
      <c r="J12" s="96"/>
      <c r="K12" s="2865">
        <f>Defaults!$M$9/Defaults!$L$9*F2_DMI_Lact_Cow_kg</f>
        <v>0.17704731405104693</v>
      </c>
      <c r="L12" s="44" t="s">
        <v>190</v>
      </c>
      <c r="M12" s="41"/>
      <c r="N12" s="331">
        <v>1</v>
      </c>
      <c r="O12" s="96"/>
      <c r="P12" s="493"/>
      <c r="Q12" s="494"/>
      <c r="R12" s="2866">
        <f>Defaults!$M$9/Defaults!$L$9*F3_DMI_Lact_Cow_kg</f>
        <v>0.17302351145897765</v>
      </c>
      <c r="S12" s="511" t="s">
        <v>190</v>
      </c>
      <c r="T12" s="532"/>
      <c r="U12" s="1912">
        <v>1</v>
      </c>
      <c r="V12" s="495"/>
      <c r="W12" s="496"/>
      <c r="X12" s="496"/>
      <c r="Y12" s="2867">
        <f>Defaults!$M$9/Defaults!$L$9*F4_DMI_Lact_Cow_kg</f>
        <v>0.14284499201845829</v>
      </c>
      <c r="Z12" s="465" t="s">
        <v>190</v>
      </c>
      <c r="AA12" s="464"/>
      <c r="AB12" s="649">
        <v>1</v>
      </c>
      <c r="AC12" s="497"/>
    </row>
    <row r="13" spans="1:65" ht="5.25" customHeight="1">
      <c r="A13" s="638"/>
      <c r="B13" s="498"/>
      <c r="C13" s="499"/>
      <c r="D13" s="499"/>
      <c r="E13" s="499"/>
      <c r="F13" s="215"/>
      <c r="G13" s="161"/>
      <c r="H13" s="499"/>
      <c r="I13" s="500"/>
      <c r="J13" s="639"/>
      <c r="K13" s="501"/>
      <c r="L13" s="501"/>
      <c r="M13" s="66"/>
      <c r="N13" s="85"/>
      <c r="O13" s="501"/>
      <c r="P13" s="502"/>
      <c r="Q13" s="503"/>
      <c r="R13" s="503"/>
      <c r="S13" s="503"/>
      <c r="T13" s="569"/>
      <c r="U13" s="568"/>
      <c r="V13" s="504"/>
      <c r="W13" s="505"/>
      <c r="X13" s="640"/>
      <c r="Y13" s="505"/>
      <c r="Z13" s="505"/>
      <c r="AA13" s="554"/>
      <c r="AB13" s="553"/>
      <c r="AC13" s="506"/>
    </row>
    <row r="14" spans="1:65" ht="5.25" customHeight="1">
      <c r="A14" s="633"/>
      <c r="B14" s="358"/>
      <c r="C14" s="382"/>
      <c r="D14" s="382"/>
      <c r="E14" s="382"/>
      <c r="F14" s="216"/>
      <c r="G14" s="171"/>
      <c r="H14" s="382"/>
      <c r="I14" s="360"/>
      <c r="J14" s="622"/>
      <c r="K14" s="96"/>
      <c r="L14" s="96"/>
      <c r="M14" s="41"/>
      <c r="N14" s="42"/>
      <c r="O14" s="96"/>
      <c r="P14" s="493"/>
      <c r="Q14" s="494"/>
      <c r="R14" s="494"/>
      <c r="S14" s="494"/>
      <c r="T14" s="532"/>
      <c r="U14" s="419"/>
      <c r="V14" s="495"/>
      <c r="W14" s="496"/>
      <c r="X14" s="623"/>
      <c r="Y14" s="496"/>
      <c r="Z14" s="496"/>
      <c r="AA14" s="464"/>
      <c r="AB14" s="449"/>
      <c r="AC14" s="497"/>
    </row>
    <row r="15" spans="1:65">
      <c r="A15" s="619" t="s">
        <v>198</v>
      </c>
      <c r="B15" s="358"/>
      <c r="C15" s="186" t="s">
        <v>118</v>
      </c>
      <c r="D15" s="1132"/>
      <c r="E15" s="1132"/>
      <c r="F15" s="878"/>
      <c r="G15" s="316"/>
      <c r="H15" s="1180"/>
      <c r="I15" s="2070"/>
      <c r="J15" s="880" t="s">
        <v>118</v>
      </c>
      <c r="K15" s="1159"/>
      <c r="L15" s="1159"/>
      <c r="M15" s="2133"/>
      <c r="N15" s="317"/>
      <c r="O15" s="96"/>
      <c r="P15" s="493"/>
      <c r="Q15" s="511" t="s">
        <v>118</v>
      </c>
      <c r="R15" s="1070"/>
      <c r="S15" s="1070"/>
      <c r="T15" s="924"/>
      <c r="U15" s="573"/>
      <c r="V15" s="1306"/>
      <c r="W15" s="1072"/>
      <c r="X15" s="909" t="s">
        <v>118</v>
      </c>
      <c r="Y15" s="1072"/>
      <c r="Z15" s="1072"/>
      <c r="AA15" s="2138"/>
      <c r="AB15" s="558"/>
      <c r="AC15" s="497"/>
    </row>
    <row r="16" spans="1:65" ht="3" customHeight="1">
      <c r="A16" s="633"/>
      <c r="B16" s="358"/>
      <c r="C16" s="382"/>
      <c r="D16" s="382"/>
      <c r="E16" s="382"/>
      <c r="F16" s="216"/>
      <c r="G16" s="186"/>
      <c r="H16" s="382"/>
      <c r="I16" s="360"/>
      <c r="J16" s="622"/>
      <c r="K16" s="96"/>
      <c r="L16" s="96"/>
      <c r="M16" s="41"/>
      <c r="N16" s="44"/>
      <c r="O16" s="96"/>
      <c r="P16" s="493"/>
      <c r="Q16" s="494"/>
      <c r="R16" s="494"/>
      <c r="S16" s="494"/>
      <c r="T16" s="532"/>
      <c r="U16" s="511"/>
      <c r="V16" s="495"/>
      <c r="W16" s="496"/>
      <c r="X16" s="623"/>
      <c r="Y16" s="496"/>
      <c r="Z16" s="496"/>
      <c r="AA16" s="464"/>
      <c r="AB16" s="465"/>
      <c r="AC16" s="497"/>
    </row>
    <row r="17" spans="1:32">
      <c r="A17" s="836" t="s">
        <v>702</v>
      </c>
      <c r="B17" s="358"/>
      <c r="C17" s="382"/>
      <c r="D17" s="2192"/>
      <c r="E17" s="186" t="s">
        <v>190</v>
      </c>
      <c r="F17" s="216"/>
      <c r="G17" s="802"/>
      <c r="H17" s="382"/>
      <c r="I17" s="360"/>
      <c r="J17" s="96"/>
      <c r="K17" s="2192"/>
      <c r="L17" s="44" t="s">
        <v>190</v>
      </c>
      <c r="M17" s="41"/>
      <c r="N17" s="802"/>
      <c r="O17" s="96"/>
      <c r="P17" s="493"/>
      <c r="Q17" s="494"/>
      <c r="R17" s="2196"/>
      <c r="S17" s="511" t="s">
        <v>190</v>
      </c>
      <c r="T17" s="532"/>
      <c r="U17" s="2796"/>
      <c r="V17" s="495"/>
      <c r="W17" s="496"/>
      <c r="X17" s="496"/>
      <c r="Y17" s="2196"/>
      <c r="Z17" s="465" t="s">
        <v>190</v>
      </c>
      <c r="AA17" s="464"/>
      <c r="AB17" s="834"/>
      <c r="AC17" s="497"/>
    </row>
    <row r="18" spans="1:32" ht="3" customHeight="1">
      <c r="A18" s="837"/>
      <c r="B18" s="358"/>
      <c r="C18" s="382"/>
      <c r="D18" s="382"/>
      <c r="E18" s="382"/>
      <c r="F18" s="216"/>
      <c r="G18" s="171"/>
      <c r="H18" s="382"/>
      <c r="I18" s="360"/>
      <c r="J18" s="96"/>
      <c r="K18" s="96"/>
      <c r="L18" s="96"/>
      <c r="M18" s="41"/>
      <c r="N18" s="42"/>
      <c r="O18" s="96"/>
      <c r="P18" s="493"/>
      <c r="Q18" s="494"/>
      <c r="R18" s="494"/>
      <c r="S18" s="494"/>
      <c r="T18" s="532"/>
      <c r="U18" s="419"/>
      <c r="V18" s="495"/>
      <c r="W18" s="496"/>
      <c r="X18" s="496"/>
      <c r="Y18" s="496"/>
      <c r="Z18" s="496"/>
      <c r="AA18" s="464"/>
      <c r="AB18" s="449"/>
      <c r="AC18" s="497"/>
    </row>
    <row r="19" spans="1:32">
      <c r="A19" s="836" t="s">
        <v>631</v>
      </c>
      <c r="B19" s="358"/>
      <c r="C19" s="382"/>
      <c r="D19" s="3532">
        <f>Defaults!$N$9/Defaults!$L$9*F1_DMI_Lact_Cow_kg</f>
        <v>4.6234641440759125E-3</v>
      </c>
      <c r="E19" s="186" t="s">
        <v>190</v>
      </c>
      <c r="F19" s="216"/>
      <c r="G19" s="330">
        <v>1</v>
      </c>
      <c r="H19" s="382"/>
      <c r="I19" s="360"/>
      <c r="J19" s="96"/>
      <c r="K19" s="3533">
        <f>Defaults!$N$9/Defaults!$L$9*F2_DMI_Lact_Cow_kg</f>
        <v>4.4514753247120375E-3</v>
      </c>
      <c r="L19" s="44" t="s">
        <v>190</v>
      </c>
      <c r="M19" s="41"/>
      <c r="N19" s="331">
        <v>1</v>
      </c>
      <c r="O19" s="96"/>
      <c r="P19" s="493"/>
      <c r="Q19" s="494"/>
      <c r="R19" s="3534">
        <f>Defaults!$N$9/Defaults!$L$9*F3_DMI_Lact_Cow_kg</f>
        <v>4.3503054309685816E-3</v>
      </c>
      <c r="S19" s="511" t="s">
        <v>190</v>
      </c>
      <c r="T19" s="532"/>
      <c r="U19" s="1912">
        <v>1</v>
      </c>
      <c r="V19" s="495"/>
      <c r="W19" s="496"/>
      <c r="X19" s="496"/>
      <c r="Y19" s="3535">
        <f>Defaults!$N$9/Defaults!$L$9*F4_DMI_Lact_Cow_kg</f>
        <v>3.5915312278926663E-3</v>
      </c>
      <c r="Z19" s="465" t="s">
        <v>190</v>
      </c>
      <c r="AA19" s="464"/>
      <c r="AB19" s="649">
        <v>1</v>
      </c>
      <c r="AC19" s="497"/>
    </row>
    <row r="20" spans="1:32" ht="5.25" customHeight="1">
      <c r="A20" s="638"/>
      <c r="B20" s="498"/>
      <c r="C20" s="499"/>
      <c r="D20" s="499"/>
      <c r="E20" s="499"/>
      <c r="F20" s="215"/>
      <c r="G20" s="161"/>
      <c r="H20" s="499"/>
      <c r="I20" s="500"/>
      <c r="J20" s="639"/>
      <c r="K20" s="501"/>
      <c r="L20" s="501"/>
      <c r="M20" s="66"/>
      <c r="N20" s="85"/>
      <c r="O20" s="501"/>
      <c r="P20" s="502"/>
      <c r="Q20" s="503"/>
      <c r="R20" s="503"/>
      <c r="S20" s="503"/>
      <c r="T20" s="569"/>
      <c r="U20" s="568"/>
      <c r="V20" s="504"/>
      <c r="W20" s="505"/>
      <c r="X20" s="640"/>
      <c r="Y20" s="505"/>
      <c r="Z20" s="505"/>
      <c r="AA20" s="554"/>
      <c r="AB20" s="553"/>
      <c r="AC20" s="506"/>
    </row>
    <row r="21" spans="1:32" ht="5.25" customHeight="1">
      <c r="A21" s="633"/>
      <c r="B21" s="358"/>
      <c r="C21" s="382"/>
      <c r="D21" s="382"/>
      <c r="E21" s="382"/>
      <c r="F21" s="216"/>
      <c r="G21" s="171"/>
      <c r="H21" s="382"/>
      <c r="I21" s="360"/>
      <c r="J21" s="622"/>
      <c r="K21" s="96"/>
      <c r="L21" s="96"/>
      <c r="M21" s="41"/>
      <c r="N21" s="42"/>
      <c r="O21" s="96"/>
      <c r="P21" s="493"/>
      <c r="Q21" s="494"/>
      <c r="R21" s="494"/>
      <c r="S21" s="494"/>
      <c r="T21" s="532"/>
      <c r="U21" s="419"/>
      <c r="V21" s="495"/>
      <c r="W21" s="496"/>
      <c r="X21" s="623"/>
      <c r="Y21" s="496"/>
      <c r="Z21" s="496"/>
      <c r="AA21" s="464"/>
      <c r="AB21" s="449"/>
      <c r="AC21" s="497"/>
    </row>
    <row r="22" spans="1:32">
      <c r="A22" s="619" t="s">
        <v>201</v>
      </c>
      <c r="B22" s="358"/>
      <c r="C22" s="186" t="s">
        <v>118</v>
      </c>
      <c r="D22" s="1132"/>
      <c r="E22" s="1132"/>
      <c r="F22" s="878"/>
      <c r="G22" s="316"/>
      <c r="H22" s="1180"/>
      <c r="I22" s="2070"/>
      <c r="J22" s="880" t="s">
        <v>118</v>
      </c>
      <c r="K22" s="1159"/>
      <c r="L22" s="1159"/>
      <c r="M22" s="2133"/>
      <c r="N22" s="317"/>
      <c r="O22" s="96"/>
      <c r="P22" s="493"/>
      <c r="Q22" s="511" t="s">
        <v>118</v>
      </c>
      <c r="R22" s="1070"/>
      <c r="S22" s="1070"/>
      <c r="T22" s="924"/>
      <c r="U22" s="573"/>
      <c r="V22" s="1306"/>
      <c r="W22" s="1072"/>
      <c r="X22" s="909" t="s">
        <v>118</v>
      </c>
      <c r="Y22" s="1072"/>
      <c r="Z22" s="1072"/>
      <c r="AA22" s="2138"/>
      <c r="AB22" s="558"/>
      <c r="AC22" s="497"/>
    </row>
    <row r="23" spans="1:32" ht="3" customHeight="1">
      <c r="A23" s="633"/>
      <c r="B23" s="358"/>
      <c r="C23" s="382"/>
      <c r="D23" s="382"/>
      <c r="E23" s="382"/>
      <c r="F23" s="216"/>
      <c r="G23" s="186"/>
      <c r="H23" s="382"/>
      <c r="I23" s="360"/>
      <c r="J23" s="622"/>
      <c r="K23" s="96"/>
      <c r="L23" s="96"/>
      <c r="M23" s="41"/>
      <c r="N23" s="44"/>
      <c r="O23" s="96"/>
      <c r="P23" s="493"/>
      <c r="Q23" s="494"/>
      <c r="R23" s="494"/>
      <c r="S23" s="494"/>
      <c r="T23" s="532"/>
      <c r="U23" s="511"/>
      <c r="V23" s="495"/>
      <c r="W23" s="496"/>
      <c r="X23" s="623"/>
      <c r="Y23" s="496"/>
      <c r="Z23" s="496"/>
      <c r="AA23" s="464"/>
      <c r="AB23" s="465"/>
      <c r="AC23" s="497"/>
    </row>
    <row r="24" spans="1:32">
      <c r="A24" s="836" t="s">
        <v>702</v>
      </c>
      <c r="B24" s="358"/>
      <c r="C24" s="382"/>
      <c r="D24" s="2192"/>
      <c r="E24" s="186" t="s">
        <v>190</v>
      </c>
      <c r="F24" s="216"/>
      <c r="G24" s="802"/>
      <c r="H24" s="382"/>
      <c r="I24" s="360"/>
      <c r="J24" s="96"/>
      <c r="K24" s="2192"/>
      <c r="L24" s="44" t="s">
        <v>190</v>
      </c>
      <c r="M24" s="41"/>
      <c r="N24" s="802"/>
      <c r="O24" s="96"/>
      <c r="P24" s="493"/>
      <c r="Q24" s="494"/>
      <c r="R24" s="2196"/>
      <c r="S24" s="511" t="s">
        <v>190</v>
      </c>
      <c r="T24" s="532"/>
      <c r="U24" s="2796"/>
      <c r="V24" s="495"/>
      <c r="W24" s="496"/>
      <c r="X24" s="496"/>
      <c r="Y24" s="2196"/>
      <c r="Z24" s="465" t="s">
        <v>190</v>
      </c>
      <c r="AA24" s="464"/>
      <c r="AB24" s="834"/>
      <c r="AC24" s="497"/>
    </row>
    <row r="25" spans="1:32" ht="3" customHeight="1">
      <c r="A25" s="837"/>
      <c r="B25" s="358"/>
      <c r="C25" s="382"/>
      <c r="D25" s="382"/>
      <c r="E25" s="382"/>
      <c r="F25" s="216"/>
      <c r="G25" s="171"/>
      <c r="H25" s="382"/>
      <c r="I25" s="360"/>
      <c r="J25" s="96"/>
      <c r="K25" s="96"/>
      <c r="L25" s="96"/>
      <c r="M25" s="41"/>
      <c r="N25" s="42"/>
      <c r="O25" s="96"/>
      <c r="P25" s="493"/>
      <c r="Q25" s="494"/>
      <c r="R25" s="494"/>
      <c r="S25" s="494"/>
      <c r="T25" s="532"/>
      <c r="U25" s="419"/>
      <c r="V25" s="495"/>
      <c r="W25" s="496"/>
      <c r="X25" s="496"/>
      <c r="Y25" s="496"/>
      <c r="Z25" s="496"/>
      <c r="AA25" s="464"/>
      <c r="AB25" s="449"/>
      <c r="AC25" s="497"/>
    </row>
    <row r="26" spans="1:32">
      <c r="A26" s="836" t="s">
        <v>631</v>
      </c>
      <c r="B26" s="358"/>
      <c r="C26" s="382"/>
      <c r="D26" s="3532">
        <f>Defaults!$O$9/Defaults!$L$9*F1_DMI_Lact_Cow_kg</f>
        <v>1.3555156240586197E-2</v>
      </c>
      <c r="E26" s="186" t="s">
        <v>190</v>
      </c>
      <c r="F26" s="216"/>
      <c r="G26" s="330">
        <v>1</v>
      </c>
      <c r="H26" s="382"/>
      <c r="I26" s="360"/>
      <c r="J26" s="96"/>
      <c r="K26" s="3533">
        <f>Defaults!$O$9/Defaults!$L$9*F2_DMI_Lact_Cow_kg</f>
        <v>1.3050916292905747E-2</v>
      </c>
      <c r="L26" s="44" t="s">
        <v>190</v>
      </c>
      <c r="M26" s="41"/>
      <c r="N26" s="331">
        <v>1</v>
      </c>
      <c r="O26" s="96"/>
      <c r="P26" s="493"/>
      <c r="Q26" s="494"/>
      <c r="R26" s="3534">
        <f>Defaults!$O$9/Defaults!$L$9*F3_DMI_Lact_Cow_kg</f>
        <v>1.275430455897607E-2</v>
      </c>
      <c r="S26" s="511" t="s">
        <v>190</v>
      </c>
      <c r="T26" s="532"/>
      <c r="U26" s="1912">
        <v>1</v>
      </c>
      <c r="V26" s="495"/>
      <c r="W26" s="496"/>
      <c r="X26" s="496"/>
      <c r="Y26" s="3535">
        <f>Defaults!$O$9/Defaults!$L$9*F4_DMI_Lact_Cow_kg</f>
        <v>1.0529716554503498E-2</v>
      </c>
      <c r="Z26" s="465" t="s">
        <v>190</v>
      </c>
      <c r="AA26" s="464"/>
      <c r="AB26" s="649">
        <v>1</v>
      </c>
      <c r="AC26" s="497"/>
    </row>
    <row r="27" spans="1:32" ht="5.25" customHeight="1">
      <c r="A27" s="638"/>
      <c r="B27" s="498"/>
      <c r="C27" s="499"/>
      <c r="D27" s="499"/>
      <c r="E27" s="499"/>
      <c r="F27" s="215"/>
      <c r="G27" s="161"/>
      <c r="H27" s="499"/>
      <c r="I27" s="500"/>
      <c r="J27" s="639"/>
      <c r="K27" s="501"/>
      <c r="L27" s="501"/>
      <c r="M27" s="66"/>
      <c r="N27" s="85"/>
      <c r="O27" s="501"/>
      <c r="P27" s="502"/>
      <c r="Q27" s="503"/>
      <c r="R27" s="503"/>
      <c r="S27" s="503"/>
      <c r="T27" s="569"/>
      <c r="U27" s="568"/>
      <c r="V27" s="504"/>
      <c r="W27" s="505"/>
      <c r="X27" s="640"/>
      <c r="Y27" s="505"/>
      <c r="Z27" s="505"/>
      <c r="AA27" s="554"/>
      <c r="AB27" s="553"/>
      <c r="AC27" s="506"/>
    </row>
    <row r="28" spans="1:32" ht="20.25" customHeight="1">
      <c r="A28" s="4964" t="s">
        <v>895</v>
      </c>
      <c r="B28" s="4965"/>
      <c r="C28" s="4965"/>
      <c r="D28" s="4965"/>
      <c r="E28" s="4965"/>
      <c r="F28" s="4965"/>
      <c r="G28" s="4965"/>
      <c r="H28" s="4965"/>
      <c r="I28" s="4965"/>
      <c r="J28" s="4965"/>
      <c r="K28" s="4965"/>
      <c r="L28" s="4965"/>
      <c r="M28" s="4965"/>
      <c r="N28" s="4965"/>
      <c r="O28" s="4965"/>
      <c r="P28" s="4965"/>
      <c r="Q28" s="4965"/>
      <c r="R28" s="4965"/>
      <c r="S28" s="4965"/>
      <c r="T28" s="4965"/>
      <c r="U28" s="4965"/>
      <c r="V28" s="4965"/>
      <c r="W28" s="4965"/>
      <c r="X28" s="4965"/>
      <c r="Y28" s="4965"/>
      <c r="Z28" s="4965"/>
      <c r="AA28" s="4965"/>
      <c r="AB28" s="4965"/>
      <c r="AC28" s="4966"/>
    </row>
    <row r="29" spans="1:32" ht="5.25" customHeight="1">
      <c r="A29" s="2193"/>
      <c r="B29" s="2069"/>
      <c r="C29" s="1132"/>
      <c r="D29" s="1132"/>
      <c r="E29" s="1132"/>
      <c r="F29" s="878"/>
      <c r="G29" s="316"/>
      <c r="H29" s="1132"/>
      <c r="I29" s="2070"/>
      <c r="J29" s="2080"/>
      <c r="K29" s="1159"/>
      <c r="L29" s="1159"/>
      <c r="M29" s="2133"/>
      <c r="N29" s="317"/>
      <c r="O29" s="1159"/>
      <c r="P29" s="493"/>
      <c r="Q29" s="494"/>
      <c r="R29" s="494"/>
      <c r="S29" s="494"/>
      <c r="T29" s="532"/>
      <c r="U29" s="419"/>
      <c r="V29" s="495"/>
      <c r="W29" s="496"/>
      <c r="X29" s="623"/>
      <c r="Y29" s="496"/>
      <c r="Z29" s="496"/>
      <c r="AA29" s="464"/>
      <c r="AB29" s="449"/>
      <c r="AC29" s="497"/>
      <c r="AF29" s="6"/>
    </row>
    <row r="30" spans="1:32">
      <c r="A30" s="2194" t="s">
        <v>197</v>
      </c>
      <c r="B30" s="2069"/>
      <c r="C30" s="876" t="s">
        <v>118</v>
      </c>
      <c r="D30" s="1132"/>
      <c r="E30" s="1132"/>
      <c r="F30" s="878"/>
      <c r="G30" s="316"/>
      <c r="H30" s="1180"/>
      <c r="I30" s="2070"/>
      <c r="J30" s="880" t="s">
        <v>118</v>
      </c>
      <c r="K30" s="1159"/>
      <c r="L30" s="1159"/>
      <c r="M30" s="2133"/>
      <c r="N30" s="317"/>
      <c r="O30" s="1159"/>
      <c r="P30" s="493"/>
      <c r="Q30" s="511" t="s">
        <v>118</v>
      </c>
      <c r="R30" s="1070"/>
      <c r="S30" s="1070"/>
      <c r="T30" s="924"/>
      <c r="U30" s="573"/>
      <c r="V30" s="1306"/>
      <c r="W30" s="1072"/>
      <c r="X30" s="909" t="s">
        <v>118</v>
      </c>
      <c r="Y30" s="1072"/>
      <c r="Z30" s="1072"/>
      <c r="AA30" s="2138"/>
      <c r="AB30" s="558"/>
      <c r="AC30" s="497"/>
      <c r="AF30" s="23"/>
    </row>
    <row r="31" spans="1:32" ht="3" customHeight="1">
      <c r="A31" s="633"/>
      <c r="B31" s="358"/>
      <c r="C31" s="382"/>
      <c r="D31" s="382"/>
      <c r="E31" s="382"/>
      <c r="F31" s="216"/>
      <c r="G31" s="186"/>
      <c r="H31" s="382"/>
      <c r="I31" s="360"/>
      <c r="J31" s="622"/>
      <c r="K31" s="96"/>
      <c r="L31" s="96"/>
      <c r="M31" s="41"/>
      <c r="N31" s="44"/>
      <c r="O31" s="96"/>
      <c r="P31" s="493"/>
      <c r="Q31" s="494"/>
      <c r="R31" s="494"/>
      <c r="S31" s="494"/>
      <c r="T31" s="532"/>
      <c r="U31" s="511"/>
      <c r="V31" s="495"/>
      <c r="W31" s="496"/>
      <c r="X31" s="623"/>
      <c r="Y31" s="496"/>
      <c r="Z31" s="496"/>
      <c r="AA31" s="464"/>
      <c r="AB31" s="465"/>
      <c r="AC31" s="497"/>
      <c r="AF31" s="23"/>
    </row>
    <row r="32" spans="1:32">
      <c r="A32" s="836" t="s">
        <v>702</v>
      </c>
      <c r="B32" s="358"/>
      <c r="C32" s="382"/>
      <c r="D32" s="2192"/>
      <c r="E32" s="186" t="s">
        <v>190</v>
      </c>
      <c r="F32" s="216"/>
      <c r="G32" s="802"/>
      <c r="H32" s="382"/>
      <c r="I32" s="360"/>
      <c r="J32" s="96"/>
      <c r="K32" s="2192"/>
      <c r="L32" s="44" t="s">
        <v>190</v>
      </c>
      <c r="M32" s="41"/>
      <c r="N32" s="802"/>
      <c r="O32" s="96"/>
      <c r="P32" s="493"/>
      <c r="Q32" s="494"/>
      <c r="R32" s="2196"/>
      <c r="S32" s="511" t="s">
        <v>190</v>
      </c>
      <c r="T32" s="532"/>
      <c r="U32" s="2796"/>
      <c r="V32" s="495"/>
      <c r="W32" s="496"/>
      <c r="X32" s="496"/>
      <c r="Y32" s="2196"/>
      <c r="Z32" s="465" t="s">
        <v>190</v>
      </c>
      <c r="AA32" s="464"/>
      <c r="AB32" s="834"/>
      <c r="AC32" s="497"/>
      <c r="AF32" s="23"/>
    </row>
    <row r="33" spans="1:32" ht="3" customHeight="1">
      <c r="A33" s="837"/>
      <c r="B33" s="358"/>
      <c r="C33" s="382"/>
      <c r="D33" s="382"/>
      <c r="E33" s="382"/>
      <c r="F33" s="216"/>
      <c r="G33" s="171"/>
      <c r="H33" s="382"/>
      <c r="I33" s="360"/>
      <c r="J33" s="96"/>
      <c r="K33" s="96">
        <v>0.17499999999999999</v>
      </c>
      <c r="L33" s="96"/>
      <c r="M33" s="41"/>
      <c r="N33" s="42"/>
      <c r="O33" s="96"/>
      <c r="P33" s="493"/>
      <c r="Q33" s="494"/>
      <c r="R33" s="494"/>
      <c r="S33" s="494"/>
      <c r="T33" s="532"/>
      <c r="U33" s="419"/>
      <c r="V33" s="495"/>
      <c r="W33" s="496"/>
      <c r="X33" s="496"/>
      <c r="Y33" s="496">
        <v>0.17499999999999999</v>
      </c>
      <c r="Z33" s="496"/>
      <c r="AA33" s="464"/>
      <c r="AB33" s="449"/>
      <c r="AC33" s="497"/>
      <c r="AF33" s="6"/>
    </row>
    <row r="34" spans="1:32">
      <c r="A34" s="836" t="s">
        <v>631</v>
      </c>
      <c r="B34" s="358"/>
      <c r="C34" s="382"/>
      <c r="D34" s="2864">
        <f>Defaults!$M$12/Defaults!$L$12*F1_DMI_Dry_Cow_kg</f>
        <v>0.13300000000000001</v>
      </c>
      <c r="E34" s="186" t="s">
        <v>190</v>
      </c>
      <c r="F34" s="216"/>
      <c r="G34" s="330">
        <v>1</v>
      </c>
      <c r="H34" s="382"/>
      <c r="I34" s="360"/>
      <c r="J34" s="96"/>
      <c r="K34" s="2865">
        <f>Defaults!$M$12/Defaults!$L$12*F2_DMI_Dry_Cow_kg</f>
        <v>0.13300000000000001</v>
      </c>
      <c r="L34" s="44" t="s">
        <v>190</v>
      </c>
      <c r="M34" s="41"/>
      <c r="N34" s="331">
        <v>1</v>
      </c>
      <c r="O34" s="96"/>
      <c r="P34" s="493"/>
      <c r="Q34" s="494"/>
      <c r="R34" s="2866">
        <f>Defaults!$M$12/Defaults!$L$12*F3_DMI_Dry_Cow_kg</f>
        <v>0.13300000000000001</v>
      </c>
      <c r="S34" s="511" t="s">
        <v>190</v>
      </c>
      <c r="T34" s="532"/>
      <c r="U34" s="1912">
        <v>1</v>
      </c>
      <c r="V34" s="495"/>
      <c r="W34" s="496"/>
      <c r="X34" s="496"/>
      <c r="Y34" s="2867">
        <f>Defaults!$M$12/Defaults!$L$12*F4_DMI_Dry_Cow_kg</f>
        <v>8.8079470198675486E-2</v>
      </c>
      <c r="Z34" s="465" t="s">
        <v>190</v>
      </c>
      <c r="AA34" s="464"/>
      <c r="AB34" s="649">
        <v>1</v>
      </c>
      <c r="AC34" s="497"/>
      <c r="AF34" s="6"/>
    </row>
    <row r="35" spans="1:32" ht="5.25" customHeight="1">
      <c r="A35" s="638"/>
      <c r="B35" s="498"/>
      <c r="C35" s="499"/>
      <c r="D35" s="499"/>
      <c r="E35" s="499"/>
      <c r="F35" s="215"/>
      <c r="G35" s="161"/>
      <c r="H35" s="499"/>
      <c r="I35" s="500"/>
      <c r="J35" s="639"/>
      <c r="K35" s="501"/>
      <c r="L35" s="501"/>
      <c r="M35" s="66"/>
      <c r="N35" s="85"/>
      <c r="O35" s="501"/>
      <c r="P35" s="502"/>
      <c r="Q35" s="503"/>
      <c r="R35" s="503"/>
      <c r="S35" s="503"/>
      <c r="T35" s="569"/>
      <c r="U35" s="568"/>
      <c r="V35" s="504"/>
      <c r="W35" s="505"/>
      <c r="X35" s="640"/>
      <c r="Y35" s="505"/>
      <c r="Z35" s="505"/>
      <c r="AA35" s="554"/>
      <c r="AB35" s="553"/>
      <c r="AC35" s="506"/>
      <c r="AF35" s="6"/>
    </row>
    <row r="36" spans="1:32" ht="5.25" customHeight="1">
      <c r="A36" s="633"/>
      <c r="B36" s="358"/>
      <c r="C36" s="382"/>
      <c r="D36" s="382"/>
      <c r="E36" s="382"/>
      <c r="F36" s="216"/>
      <c r="G36" s="171"/>
      <c r="H36" s="382"/>
      <c r="I36" s="360"/>
      <c r="J36" s="622"/>
      <c r="K36" s="96"/>
      <c r="L36" s="96"/>
      <c r="M36" s="41"/>
      <c r="N36" s="42"/>
      <c r="O36" s="96"/>
      <c r="P36" s="493"/>
      <c r="Q36" s="494"/>
      <c r="R36" s="494"/>
      <c r="S36" s="494"/>
      <c r="T36" s="532"/>
      <c r="U36" s="419"/>
      <c r="V36" s="495"/>
      <c r="W36" s="496"/>
      <c r="X36" s="623"/>
      <c r="Y36" s="496"/>
      <c r="Z36" s="496"/>
      <c r="AA36" s="464"/>
      <c r="AB36" s="449"/>
      <c r="AC36" s="497"/>
      <c r="AF36" s="6"/>
    </row>
    <row r="37" spans="1:32">
      <c r="A37" s="619" t="s">
        <v>198</v>
      </c>
      <c r="B37" s="358"/>
      <c r="C37" s="186" t="s">
        <v>118</v>
      </c>
      <c r="D37" s="1132"/>
      <c r="E37" s="1132"/>
      <c r="F37" s="878"/>
      <c r="G37" s="316"/>
      <c r="H37" s="1180"/>
      <c r="I37" s="2070"/>
      <c r="J37" s="880" t="s">
        <v>118</v>
      </c>
      <c r="K37" s="1159"/>
      <c r="L37" s="1159"/>
      <c r="M37" s="2133"/>
      <c r="N37" s="317"/>
      <c r="O37" s="96"/>
      <c r="P37" s="493"/>
      <c r="Q37" s="511" t="s">
        <v>118</v>
      </c>
      <c r="R37" s="1070"/>
      <c r="S37" s="1070"/>
      <c r="T37" s="924"/>
      <c r="U37" s="573"/>
      <c r="V37" s="1306"/>
      <c r="W37" s="1072"/>
      <c r="X37" s="909" t="s">
        <v>118</v>
      </c>
      <c r="Y37" s="1072"/>
      <c r="Z37" s="1072"/>
      <c r="AA37" s="2138"/>
      <c r="AB37" s="558"/>
      <c r="AC37" s="497"/>
    </row>
    <row r="38" spans="1:32" ht="3" customHeight="1">
      <c r="A38" s="633"/>
      <c r="B38" s="358"/>
      <c r="C38" s="382"/>
      <c r="D38" s="382"/>
      <c r="E38" s="382"/>
      <c r="F38" s="216"/>
      <c r="G38" s="186"/>
      <c r="H38" s="382"/>
      <c r="I38" s="360"/>
      <c r="J38" s="622"/>
      <c r="K38" s="96"/>
      <c r="L38" s="96"/>
      <c r="M38" s="41"/>
      <c r="N38" s="44"/>
      <c r="O38" s="96"/>
      <c r="P38" s="493"/>
      <c r="Q38" s="494"/>
      <c r="R38" s="494"/>
      <c r="S38" s="494"/>
      <c r="T38" s="532"/>
      <c r="U38" s="516"/>
      <c r="V38" s="495"/>
      <c r="W38" s="496"/>
      <c r="X38" s="623"/>
      <c r="Y38" s="496"/>
      <c r="Z38" s="496"/>
      <c r="AA38" s="464"/>
      <c r="AB38" s="465"/>
      <c r="AC38" s="497"/>
    </row>
    <row r="39" spans="1:32">
      <c r="A39" s="836" t="s">
        <v>702</v>
      </c>
      <c r="B39" s="358"/>
      <c r="C39" s="382"/>
      <c r="D39" s="2192"/>
      <c r="E39" s="186" t="s">
        <v>190</v>
      </c>
      <c r="F39" s="216"/>
      <c r="G39" s="802"/>
      <c r="H39" s="382"/>
      <c r="I39" s="360"/>
      <c r="J39" s="96"/>
      <c r="K39" s="2192"/>
      <c r="L39" s="44" t="s">
        <v>190</v>
      </c>
      <c r="M39" s="41"/>
      <c r="N39" s="802"/>
      <c r="O39" s="96"/>
      <c r="P39" s="493"/>
      <c r="Q39" s="494"/>
      <c r="R39" s="2196"/>
      <c r="S39" s="511" t="s">
        <v>190</v>
      </c>
      <c r="T39" s="532"/>
      <c r="U39" s="2796"/>
      <c r="V39" s="495"/>
      <c r="W39" s="496"/>
      <c r="X39" s="496"/>
      <c r="Y39" s="2196"/>
      <c r="Z39" s="465" t="s">
        <v>190</v>
      </c>
      <c r="AA39" s="464"/>
      <c r="AB39" s="834"/>
      <c r="AC39" s="497"/>
    </row>
    <row r="40" spans="1:32" ht="3" customHeight="1">
      <c r="A40" s="837"/>
      <c r="B40" s="358"/>
      <c r="C40" s="382"/>
      <c r="D40" s="382"/>
      <c r="E40" s="382"/>
      <c r="F40" s="216"/>
      <c r="G40" s="171"/>
      <c r="H40" s="382"/>
      <c r="I40" s="360"/>
      <c r="J40" s="96"/>
      <c r="K40" s="96"/>
      <c r="L40" s="96"/>
      <c r="M40" s="41"/>
      <c r="N40" s="42"/>
      <c r="O40" s="96"/>
      <c r="P40" s="493"/>
      <c r="Q40" s="494"/>
      <c r="R40" s="494"/>
      <c r="S40" s="494"/>
      <c r="T40" s="532"/>
      <c r="U40" s="419"/>
      <c r="V40" s="495"/>
      <c r="W40" s="496"/>
      <c r="X40" s="496"/>
      <c r="Y40" s="496"/>
      <c r="Z40" s="496"/>
      <c r="AA40" s="464"/>
      <c r="AB40" s="449"/>
      <c r="AC40" s="497"/>
    </row>
    <row r="41" spans="1:32">
      <c r="A41" s="836" t="s">
        <v>631</v>
      </c>
      <c r="B41" s="358"/>
      <c r="C41" s="382"/>
      <c r="D41" s="3532">
        <f>Defaults!$N$12/Defaults!$L$12*F1_DMI_Dry_Cow_kg</f>
        <v>4.4000000000000003E-3</v>
      </c>
      <c r="E41" s="186" t="s">
        <v>190</v>
      </c>
      <c r="F41" s="216"/>
      <c r="G41" s="330">
        <v>2</v>
      </c>
      <c r="H41" s="382"/>
      <c r="I41" s="360"/>
      <c r="J41" s="96"/>
      <c r="K41" s="3533">
        <f>Defaults!$N$12/Defaults!$L$12*F2_DMI_Dry_Cow_kg</f>
        <v>4.4000000000000003E-3</v>
      </c>
      <c r="L41" s="44" t="s">
        <v>190</v>
      </c>
      <c r="M41" s="41"/>
      <c r="N41" s="331">
        <v>2</v>
      </c>
      <c r="O41" s="96"/>
      <c r="P41" s="493"/>
      <c r="Q41" s="494"/>
      <c r="R41" s="3534">
        <f>Defaults!$N$12/Defaults!$L$12*F3_DMI_Dry_Cow_kg</f>
        <v>4.4000000000000003E-3</v>
      </c>
      <c r="S41" s="511" t="s">
        <v>190</v>
      </c>
      <c r="T41" s="532"/>
      <c r="U41" s="1912">
        <v>2</v>
      </c>
      <c r="V41" s="495"/>
      <c r="W41" s="496"/>
      <c r="X41" s="496"/>
      <c r="Y41" s="3535">
        <f>Defaults!$N$12/Defaults!$L$12*F4_DMI_Dry_Cow_kg</f>
        <v>2.9139072847682119E-3</v>
      </c>
      <c r="Z41" s="465" t="s">
        <v>190</v>
      </c>
      <c r="AA41" s="464"/>
      <c r="AB41" s="649">
        <v>2</v>
      </c>
      <c r="AC41" s="497"/>
    </row>
    <row r="42" spans="1:32" ht="5.25" customHeight="1">
      <c r="A42" s="638"/>
      <c r="B42" s="498"/>
      <c r="C42" s="499"/>
      <c r="D42" s="499"/>
      <c r="E42" s="499"/>
      <c r="F42" s="215"/>
      <c r="G42" s="161"/>
      <c r="H42" s="499"/>
      <c r="I42" s="500"/>
      <c r="J42" s="639"/>
      <c r="K42" s="501"/>
      <c r="L42" s="501"/>
      <c r="M42" s="66"/>
      <c r="N42" s="85"/>
      <c r="O42" s="501"/>
      <c r="P42" s="502"/>
      <c r="Q42" s="503"/>
      <c r="R42" s="503"/>
      <c r="S42" s="503"/>
      <c r="T42" s="569"/>
      <c r="U42" s="568"/>
      <c r="V42" s="504"/>
      <c r="W42" s="505"/>
      <c r="X42" s="640"/>
      <c r="Y42" s="505"/>
      <c r="Z42" s="505"/>
      <c r="AA42" s="554"/>
      <c r="AB42" s="553"/>
      <c r="AC42" s="506"/>
    </row>
    <row r="43" spans="1:32" ht="5.25" customHeight="1">
      <c r="A43" s="633"/>
      <c r="B43" s="358"/>
      <c r="C43" s="382"/>
      <c r="D43" s="382"/>
      <c r="E43" s="382"/>
      <c r="F43" s="216"/>
      <c r="G43" s="171"/>
      <c r="H43" s="382"/>
      <c r="I43" s="360"/>
      <c r="J43" s="622"/>
      <c r="K43" s="96"/>
      <c r="L43" s="96"/>
      <c r="M43" s="41"/>
      <c r="N43" s="42"/>
      <c r="O43" s="96"/>
      <c r="P43" s="493"/>
      <c r="Q43" s="494"/>
      <c r="R43" s="494"/>
      <c r="S43" s="494"/>
      <c r="T43" s="532"/>
      <c r="U43" s="419"/>
      <c r="V43" s="495"/>
      <c r="W43" s="496"/>
      <c r="X43" s="623"/>
      <c r="Y43" s="496"/>
      <c r="Z43" s="496"/>
      <c r="AA43" s="464"/>
      <c r="AB43" s="449"/>
      <c r="AC43" s="497"/>
    </row>
    <row r="44" spans="1:32">
      <c r="A44" s="619" t="s">
        <v>201</v>
      </c>
      <c r="B44" s="358"/>
      <c r="C44" s="186" t="s">
        <v>118</v>
      </c>
      <c r="D44" s="1132"/>
      <c r="E44" s="1132"/>
      <c r="F44" s="878"/>
      <c r="G44" s="316"/>
      <c r="H44" s="1180"/>
      <c r="I44" s="2070"/>
      <c r="J44" s="880" t="s">
        <v>118</v>
      </c>
      <c r="K44" s="1159"/>
      <c r="L44" s="1159"/>
      <c r="M44" s="2133"/>
      <c r="N44" s="317"/>
      <c r="O44" s="96"/>
      <c r="P44" s="493"/>
      <c r="Q44" s="511" t="s">
        <v>118</v>
      </c>
      <c r="R44" s="1070"/>
      <c r="S44" s="1070"/>
      <c r="T44" s="924"/>
      <c r="U44" s="573"/>
      <c r="V44" s="1306"/>
      <c r="W44" s="1072"/>
      <c r="X44" s="909" t="s">
        <v>118</v>
      </c>
      <c r="Y44" s="1072"/>
      <c r="Z44" s="1072"/>
      <c r="AA44" s="2138"/>
      <c r="AB44" s="558"/>
      <c r="AC44" s="497"/>
    </row>
    <row r="45" spans="1:32" ht="3" customHeight="1">
      <c r="A45" s="633"/>
      <c r="B45" s="358"/>
      <c r="C45" s="382"/>
      <c r="D45" s="382"/>
      <c r="E45" s="382"/>
      <c r="F45" s="216"/>
      <c r="G45" s="186"/>
      <c r="H45" s="382"/>
      <c r="I45" s="360"/>
      <c r="J45" s="622"/>
      <c r="K45" s="96"/>
      <c r="L45" s="96"/>
      <c r="M45" s="41"/>
      <c r="N45" s="44"/>
      <c r="O45" s="96"/>
      <c r="P45" s="493"/>
      <c r="Q45" s="494"/>
      <c r="R45" s="494"/>
      <c r="S45" s="494"/>
      <c r="T45" s="532"/>
      <c r="U45" s="511"/>
      <c r="V45" s="495"/>
      <c r="W45" s="496"/>
      <c r="X45" s="623"/>
      <c r="Y45" s="496"/>
      <c r="Z45" s="496"/>
      <c r="AA45" s="464"/>
      <c r="AB45" s="465"/>
      <c r="AC45" s="497"/>
    </row>
    <row r="46" spans="1:32">
      <c r="A46" s="836" t="s">
        <v>702</v>
      </c>
      <c r="B46" s="358"/>
      <c r="C46" s="382"/>
      <c r="D46" s="2192"/>
      <c r="E46" s="186" t="s">
        <v>190</v>
      </c>
      <c r="F46" s="216"/>
      <c r="G46" s="802"/>
      <c r="H46" s="382"/>
      <c r="I46" s="360"/>
      <c r="J46" s="96"/>
      <c r="K46" s="2192"/>
      <c r="L46" s="44" t="s">
        <v>190</v>
      </c>
      <c r="M46" s="41"/>
      <c r="N46" s="802"/>
      <c r="O46" s="96"/>
      <c r="P46" s="493"/>
      <c r="Q46" s="494"/>
      <c r="R46" s="2196"/>
      <c r="S46" s="511" t="s">
        <v>190</v>
      </c>
      <c r="T46" s="532"/>
      <c r="U46" s="2796"/>
      <c r="V46" s="495"/>
      <c r="W46" s="496"/>
      <c r="X46" s="496"/>
      <c r="Y46" s="2196"/>
      <c r="Z46" s="465" t="s">
        <v>190</v>
      </c>
      <c r="AA46" s="464"/>
      <c r="AB46" s="834"/>
      <c r="AC46" s="497"/>
    </row>
    <row r="47" spans="1:32" ht="3" customHeight="1">
      <c r="A47" s="837"/>
      <c r="B47" s="358"/>
      <c r="C47" s="382"/>
      <c r="D47" s="382"/>
      <c r="E47" s="382"/>
      <c r="F47" s="216"/>
      <c r="G47" s="171"/>
      <c r="H47" s="382"/>
      <c r="I47" s="360"/>
      <c r="J47" s="96"/>
      <c r="K47" s="96"/>
      <c r="L47" s="96"/>
      <c r="M47" s="41"/>
      <c r="N47" s="42"/>
      <c r="O47" s="96"/>
      <c r="P47" s="493"/>
      <c r="Q47" s="494"/>
      <c r="R47" s="494"/>
      <c r="S47" s="494"/>
      <c r="T47" s="532"/>
      <c r="U47" s="419"/>
      <c r="V47" s="495"/>
      <c r="W47" s="496"/>
      <c r="X47" s="496"/>
      <c r="Y47" s="496"/>
      <c r="Z47" s="496"/>
      <c r="AA47" s="464"/>
      <c r="AB47" s="449"/>
      <c r="AC47" s="497"/>
    </row>
    <row r="48" spans="1:32">
      <c r="A48" s="836" t="s">
        <v>631</v>
      </c>
      <c r="B48" s="358"/>
      <c r="C48" s="382"/>
      <c r="D48" s="3532">
        <f>Defaults!$O$12/Defaults!$L$12*F1_DMI_Dry_Cow_kg</f>
        <v>1.29E-2</v>
      </c>
      <c r="E48" s="186" t="s">
        <v>190</v>
      </c>
      <c r="F48" s="216"/>
      <c r="G48" s="330">
        <v>1</v>
      </c>
      <c r="H48" s="382"/>
      <c r="I48" s="360"/>
      <c r="J48" s="96"/>
      <c r="K48" s="3533">
        <f>Defaults!$O$12/Defaults!$L$12*F2_DMI_Dry_Cow_kg</f>
        <v>1.29E-2</v>
      </c>
      <c r="L48" s="44" t="s">
        <v>190</v>
      </c>
      <c r="M48" s="41"/>
      <c r="N48" s="331">
        <v>1</v>
      </c>
      <c r="O48" s="96"/>
      <c r="P48" s="493"/>
      <c r="Q48" s="494"/>
      <c r="R48" s="3534">
        <f>Defaults!$O$12/Defaults!$L$12*F3_DMI_Dry_Cow_kg</f>
        <v>1.29E-2</v>
      </c>
      <c r="S48" s="511" t="s">
        <v>190</v>
      </c>
      <c r="T48" s="532"/>
      <c r="U48" s="1912">
        <v>1</v>
      </c>
      <c r="V48" s="495"/>
      <c r="W48" s="496"/>
      <c r="X48" s="496"/>
      <c r="Y48" s="3535">
        <f>Defaults!$O$12/Defaults!$L$12*F4_DMI_Dry_Cow_kg</f>
        <v>8.5430463576158938E-3</v>
      </c>
      <c r="Z48" s="465" t="s">
        <v>190</v>
      </c>
      <c r="AA48" s="464"/>
      <c r="AB48" s="649">
        <v>1</v>
      </c>
      <c r="AC48" s="497"/>
    </row>
    <row r="49" spans="1:33" ht="5.25" customHeight="1">
      <c r="A49" s="638"/>
      <c r="B49" s="498"/>
      <c r="C49" s="499"/>
      <c r="D49" s="499"/>
      <c r="E49" s="499"/>
      <c r="F49" s="215"/>
      <c r="G49" s="161"/>
      <c r="H49" s="499"/>
      <c r="I49" s="500"/>
      <c r="J49" s="639"/>
      <c r="K49" s="501"/>
      <c r="L49" s="501"/>
      <c r="M49" s="66"/>
      <c r="N49" s="85"/>
      <c r="O49" s="501"/>
      <c r="P49" s="502"/>
      <c r="Q49" s="503"/>
      <c r="R49" s="503"/>
      <c r="S49" s="503"/>
      <c r="T49" s="569"/>
      <c r="U49" s="568"/>
      <c r="V49" s="504"/>
      <c r="W49" s="505"/>
      <c r="X49" s="640"/>
      <c r="Y49" s="505"/>
      <c r="Z49" s="505"/>
      <c r="AA49" s="554"/>
      <c r="AB49" s="553"/>
      <c r="AC49" s="506"/>
    </row>
    <row r="50" spans="1:33" ht="20.25" customHeight="1">
      <c r="A50" s="4964" t="s">
        <v>896</v>
      </c>
      <c r="B50" s="4965"/>
      <c r="C50" s="4965"/>
      <c r="D50" s="4965"/>
      <c r="E50" s="4965"/>
      <c r="F50" s="4965"/>
      <c r="G50" s="4965"/>
      <c r="H50" s="4965"/>
      <c r="I50" s="4965"/>
      <c r="J50" s="4965"/>
      <c r="K50" s="4965"/>
      <c r="L50" s="4965"/>
      <c r="M50" s="4965"/>
      <c r="N50" s="4965"/>
      <c r="O50" s="4965"/>
      <c r="P50" s="4965"/>
      <c r="Q50" s="4965"/>
      <c r="R50" s="4965"/>
      <c r="S50" s="4965"/>
      <c r="T50" s="4965"/>
      <c r="U50" s="4965"/>
      <c r="V50" s="4965"/>
      <c r="W50" s="4965"/>
      <c r="X50" s="4965"/>
      <c r="Y50" s="4965"/>
      <c r="Z50" s="4965"/>
      <c r="AA50" s="4965"/>
      <c r="AB50" s="4965"/>
      <c r="AC50" s="4966"/>
      <c r="AD50" s="39"/>
      <c r="AE50" s="40"/>
      <c r="AF50" s="40"/>
      <c r="AG50" s="40"/>
    </row>
    <row r="51" spans="1:33" ht="5.25" customHeight="1">
      <c r="A51" s="2193"/>
      <c r="B51" s="2069"/>
      <c r="C51" s="1132"/>
      <c r="D51" s="1132"/>
      <c r="E51" s="1132"/>
      <c r="F51" s="878"/>
      <c r="G51" s="316"/>
      <c r="H51" s="1132"/>
      <c r="I51" s="2070"/>
      <c r="J51" s="2080"/>
      <c r="K51" s="1159"/>
      <c r="L51" s="1159"/>
      <c r="M51" s="2133"/>
      <c r="N51" s="317"/>
      <c r="O51" s="1159"/>
      <c r="P51" s="493"/>
      <c r="Q51" s="494"/>
      <c r="R51" s="494"/>
      <c r="S51" s="494"/>
      <c r="T51" s="532"/>
      <c r="U51" s="419"/>
      <c r="V51" s="495"/>
      <c r="W51" s="496"/>
      <c r="X51" s="623"/>
      <c r="Y51" s="496"/>
      <c r="Z51" s="496"/>
      <c r="AA51" s="464"/>
      <c r="AB51" s="449"/>
      <c r="AC51" s="497"/>
    </row>
    <row r="52" spans="1:33">
      <c r="A52" s="2194" t="s">
        <v>197</v>
      </c>
      <c r="B52" s="2069"/>
      <c r="C52" s="876" t="s">
        <v>118</v>
      </c>
      <c r="D52" s="1132"/>
      <c r="E52" s="1132"/>
      <c r="F52" s="878"/>
      <c r="G52" s="316"/>
      <c r="H52" s="1180"/>
      <c r="I52" s="2070"/>
      <c r="J52" s="880" t="s">
        <v>118</v>
      </c>
      <c r="K52" s="1159"/>
      <c r="L52" s="1159"/>
      <c r="M52" s="2133"/>
      <c r="N52" s="317"/>
      <c r="O52" s="1159"/>
      <c r="P52" s="493"/>
      <c r="Q52" s="511" t="s">
        <v>118</v>
      </c>
      <c r="R52" s="1070"/>
      <c r="S52" s="1070"/>
      <c r="T52" s="924"/>
      <c r="U52" s="573"/>
      <c r="V52" s="1306"/>
      <c r="W52" s="1072"/>
      <c r="X52" s="909" t="s">
        <v>118</v>
      </c>
      <c r="Y52" s="1072"/>
      <c r="Z52" s="1072"/>
      <c r="AA52" s="2138"/>
      <c r="AB52" s="558"/>
      <c r="AC52" s="497"/>
    </row>
    <row r="53" spans="1:33" ht="3" customHeight="1">
      <c r="A53" s="633"/>
      <c r="B53" s="358"/>
      <c r="C53" s="382"/>
      <c r="D53" s="382"/>
      <c r="E53" s="382"/>
      <c r="F53" s="216"/>
      <c r="G53" s="186"/>
      <c r="H53" s="382"/>
      <c r="I53" s="360"/>
      <c r="J53" s="622"/>
      <c r="K53" s="96"/>
      <c r="L53" s="96"/>
      <c r="M53" s="41"/>
      <c r="N53" s="44"/>
      <c r="O53" s="96"/>
      <c r="P53" s="493"/>
      <c r="Q53" s="494"/>
      <c r="R53" s="494"/>
      <c r="S53" s="494"/>
      <c r="T53" s="532"/>
      <c r="U53" s="511"/>
      <c r="V53" s="495"/>
      <c r="W53" s="496"/>
      <c r="X53" s="623"/>
      <c r="Y53" s="496"/>
      <c r="Z53" s="496"/>
      <c r="AA53" s="464"/>
      <c r="AB53" s="465"/>
      <c r="AC53" s="497"/>
    </row>
    <row r="54" spans="1:33">
      <c r="A54" s="836" t="s">
        <v>702</v>
      </c>
      <c r="B54" s="358"/>
      <c r="C54" s="382"/>
      <c r="D54" s="2192"/>
      <c r="E54" s="186" t="s">
        <v>190</v>
      </c>
      <c r="F54" s="216"/>
      <c r="G54" s="802"/>
      <c r="H54" s="382"/>
      <c r="I54" s="360"/>
      <c r="J54" s="96"/>
      <c r="K54" s="2192"/>
      <c r="L54" s="44" t="s">
        <v>190</v>
      </c>
      <c r="M54" s="41"/>
      <c r="N54" s="802"/>
      <c r="O54" s="96"/>
      <c r="P54" s="493"/>
      <c r="Q54" s="494"/>
      <c r="R54" s="2196"/>
      <c r="S54" s="511" t="s">
        <v>190</v>
      </c>
      <c r="T54" s="532"/>
      <c r="U54" s="2796"/>
      <c r="V54" s="495"/>
      <c r="W54" s="496"/>
      <c r="X54" s="496"/>
      <c r="Y54" s="2196"/>
      <c r="Z54" s="465" t="s">
        <v>190</v>
      </c>
      <c r="AA54" s="464"/>
      <c r="AB54" s="834"/>
      <c r="AC54" s="497"/>
    </row>
    <row r="55" spans="1:33" ht="3" customHeight="1">
      <c r="A55" s="837"/>
      <c r="B55" s="358"/>
      <c r="C55" s="382"/>
      <c r="D55" s="382"/>
      <c r="E55" s="382"/>
      <c r="F55" s="216"/>
      <c r="G55" s="171"/>
      <c r="H55" s="382"/>
      <c r="I55" s="360"/>
      <c r="J55" s="96"/>
      <c r="K55" s="96"/>
      <c r="L55" s="96"/>
      <c r="M55" s="41"/>
      <c r="N55" s="42"/>
      <c r="O55" s="96"/>
      <c r="P55" s="493"/>
      <c r="Q55" s="494"/>
      <c r="R55" s="494"/>
      <c r="S55" s="494"/>
      <c r="T55" s="532"/>
      <c r="U55" s="419"/>
      <c r="V55" s="495"/>
      <c r="W55" s="496"/>
      <c r="X55" s="496"/>
      <c r="Y55" s="496">
        <v>0.17499999999999999</v>
      </c>
      <c r="Z55" s="496"/>
      <c r="AA55" s="464"/>
      <c r="AB55" s="449"/>
      <c r="AC55" s="497"/>
    </row>
    <row r="56" spans="1:33">
      <c r="A56" s="836" t="s">
        <v>631</v>
      </c>
      <c r="B56" s="358"/>
      <c r="C56" s="382"/>
      <c r="D56" s="2864">
        <f>Defaults!$M$13/Defaults!$L$13*F1_DMI_Heifer_kg</f>
        <v>0.112</v>
      </c>
      <c r="E56" s="186" t="s">
        <v>190</v>
      </c>
      <c r="F56" s="216"/>
      <c r="G56" s="330">
        <v>1</v>
      </c>
      <c r="H56" s="382"/>
      <c r="I56" s="360"/>
      <c r="J56" s="96"/>
      <c r="K56" s="2865">
        <f>Defaults!$M$13/Defaults!$L$13*F2_DMI_Heifer_kg</f>
        <v>0.112</v>
      </c>
      <c r="L56" s="44" t="s">
        <v>190</v>
      </c>
      <c r="M56" s="41"/>
      <c r="N56" s="331">
        <v>1</v>
      </c>
      <c r="O56" s="96"/>
      <c r="P56" s="493"/>
      <c r="Q56" s="494"/>
      <c r="R56" s="2866">
        <f>Defaults!$M$13/Defaults!$L$13*F3_DMI_Heifer_kg</f>
        <v>0.112</v>
      </c>
      <c r="S56" s="511" t="s">
        <v>190</v>
      </c>
      <c r="T56" s="532"/>
      <c r="U56" s="1912">
        <v>1</v>
      </c>
      <c r="V56" s="495"/>
      <c r="W56" s="496"/>
      <c r="X56" s="496"/>
      <c r="Y56" s="2867">
        <f>Defaults!$M$13/Defaults!$L$13*F4_DMI_Heifer_kg</f>
        <v>7.0480549199084683E-2</v>
      </c>
      <c r="Z56" s="465" t="s">
        <v>190</v>
      </c>
      <c r="AA56" s="464"/>
      <c r="AB56" s="649">
        <v>1</v>
      </c>
      <c r="AC56" s="497"/>
    </row>
    <row r="57" spans="1:33" ht="5.25" customHeight="1">
      <c r="A57" s="638"/>
      <c r="B57" s="498"/>
      <c r="C57" s="499"/>
      <c r="D57" s="499"/>
      <c r="E57" s="499"/>
      <c r="F57" s="215"/>
      <c r="G57" s="161"/>
      <c r="H57" s="499"/>
      <c r="I57" s="500"/>
      <c r="J57" s="639"/>
      <c r="K57" s="501"/>
      <c r="L57" s="501"/>
      <c r="M57" s="66"/>
      <c r="N57" s="85"/>
      <c r="O57" s="501"/>
      <c r="P57" s="502"/>
      <c r="Q57" s="503"/>
      <c r="R57" s="503"/>
      <c r="S57" s="503"/>
      <c r="T57" s="569"/>
      <c r="U57" s="568"/>
      <c r="V57" s="504"/>
      <c r="W57" s="505"/>
      <c r="X57" s="640"/>
      <c r="Y57" s="505"/>
      <c r="Z57" s="505"/>
      <c r="AA57" s="554"/>
      <c r="AB57" s="553"/>
      <c r="AC57" s="506"/>
    </row>
    <row r="58" spans="1:33" ht="5.25" customHeight="1">
      <c r="A58" s="633"/>
      <c r="B58" s="358"/>
      <c r="C58" s="382"/>
      <c r="D58" s="382"/>
      <c r="E58" s="382"/>
      <c r="F58" s="216"/>
      <c r="G58" s="171"/>
      <c r="H58" s="382"/>
      <c r="I58" s="360"/>
      <c r="J58" s="622"/>
      <c r="K58" s="96"/>
      <c r="L58" s="96"/>
      <c r="M58" s="41"/>
      <c r="N58" s="42"/>
      <c r="O58" s="96"/>
      <c r="P58" s="493"/>
      <c r="Q58" s="494"/>
      <c r="R58" s="494"/>
      <c r="S58" s="494"/>
      <c r="T58" s="532"/>
      <c r="U58" s="419"/>
      <c r="V58" s="495"/>
      <c r="W58" s="496"/>
      <c r="X58" s="623"/>
      <c r="Y58" s="496"/>
      <c r="Z58" s="496"/>
      <c r="AA58" s="464"/>
      <c r="AB58" s="449"/>
      <c r="AC58" s="497"/>
    </row>
    <row r="59" spans="1:33">
      <c r="A59" s="619" t="s">
        <v>198</v>
      </c>
      <c r="B59" s="358"/>
      <c r="C59" s="186" t="s">
        <v>118</v>
      </c>
      <c r="D59" s="1132"/>
      <c r="E59" s="1132"/>
      <c r="F59" s="878"/>
      <c r="G59" s="316"/>
      <c r="H59" s="1180"/>
      <c r="I59" s="2070"/>
      <c r="J59" s="880" t="s">
        <v>118</v>
      </c>
      <c r="K59" s="1159"/>
      <c r="L59" s="1159"/>
      <c r="M59" s="2133"/>
      <c r="N59" s="317"/>
      <c r="O59" s="96"/>
      <c r="P59" s="493"/>
      <c r="Q59" s="511" t="s">
        <v>118</v>
      </c>
      <c r="R59" s="1070"/>
      <c r="S59" s="1070"/>
      <c r="T59" s="924"/>
      <c r="U59" s="573"/>
      <c r="V59" s="1306"/>
      <c r="W59" s="1072"/>
      <c r="X59" s="909" t="s">
        <v>118</v>
      </c>
      <c r="Y59" s="1072"/>
      <c r="Z59" s="1072"/>
      <c r="AA59" s="2138"/>
      <c r="AB59" s="558"/>
      <c r="AC59" s="497"/>
    </row>
    <row r="60" spans="1:33" ht="3" customHeight="1">
      <c r="A60" s="633"/>
      <c r="B60" s="358"/>
      <c r="C60" s="382"/>
      <c r="D60" s="382"/>
      <c r="E60" s="382"/>
      <c r="F60" s="216"/>
      <c r="G60" s="186"/>
      <c r="H60" s="382"/>
      <c r="I60" s="360"/>
      <c r="J60" s="622"/>
      <c r="K60" s="96"/>
      <c r="L60" s="96"/>
      <c r="M60" s="41"/>
      <c r="N60" s="44"/>
      <c r="O60" s="96"/>
      <c r="P60" s="493"/>
      <c r="Q60" s="494"/>
      <c r="R60" s="494"/>
      <c r="S60" s="494"/>
      <c r="T60" s="532"/>
      <c r="U60" s="511"/>
      <c r="V60" s="495"/>
      <c r="W60" s="496"/>
      <c r="X60" s="623"/>
      <c r="Y60" s="496"/>
      <c r="Z60" s="496"/>
      <c r="AA60" s="464"/>
      <c r="AB60" s="465"/>
      <c r="AC60" s="497"/>
    </row>
    <row r="61" spans="1:33">
      <c r="A61" s="836" t="s">
        <v>702</v>
      </c>
      <c r="B61" s="358"/>
      <c r="C61" s="382"/>
      <c r="D61" s="2192"/>
      <c r="E61" s="186" t="s">
        <v>190</v>
      </c>
      <c r="F61" s="216"/>
      <c r="G61" s="802"/>
      <c r="H61" s="382"/>
      <c r="I61" s="360"/>
      <c r="J61" s="96"/>
      <c r="K61" s="2192"/>
      <c r="L61" s="44" t="s">
        <v>190</v>
      </c>
      <c r="M61" s="41"/>
      <c r="N61" s="802"/>
      <c r="O61" s="96"/>
      <c r="P61" s="493"/>
      <c r="Q61" s="494"/>
      <c r="R61" s="2196"/>
      <c r="S61" s="511" t="s">
        <v>190</v>
      </c>
      <c r="T61" s="532"/>
      <c r="U61" s="2796"/>
      <c r="V61" s="495"/>
      <c r="W61" s="496"/>
      <c r="X61" s="496"/>
      <c r="Y61" s="2196"/>
      <c r="Z61" s="465" t="s">
        <v>190</v>
      </c>
      <c r="AA61" s="464"/>
      <c r="AB61" s="834"/>
      <c r="AC61" s="497"/>
    </row>
    <row r="62" spans="1:33" ht="3" customHeight="1">
      <c r="A62" s="837"/>
      <c r="B62" s="358"/>
      <c r="C62" s="382"/>
      <c r="D62" s="382"/>
      <c r="E62" s="382"/>
      <c r="F62" s="216"/>
      <c r="G62" s="171"/>
      <c r="H62" s="382"/>
      <c r="I62" s="360"/>
      <c r="J62" s="96"/>
      <c r="K62" s="96"/>
      <c r="L62" s="96"/>
      <c r="M62" s="41"/>
      <c r="N62" s="42"/>
      <c r="O62" s="96"/>
      <c r="P62" s="493"/>
      <c r="Q62" s="494"/>
      <c r="R62" s="494"/>
      <c r="S62" s="494"/>
      <c r="T62" s="532"/>
      <c r="U62" s="419"/>
      <c r="V62" s="495"/>
      <c r="W62" s="496"/>
      <c r="X62" s="496"/>
      <c r="Y62" s="496"/>
      <c r="Z62" s="496"/>
      <c r="AA62" s="464"/>
      <c r="AB62" s="449"/>
      <c r="AC62" s="497"/>
    </row>
    <row r="63" spans="1:33">
      <c r="A63" s="836" t="s">
        <v>631</v>
      </c>
      <c r="B63" s="358"/>
      <c r="C63" s="382"/>
      <c r="D63" s="3532">
        <f>Defaults!$N$13/Defaults!$L$13*F1_DMI_Heifer_kg</f>
        <v>2.8999999999999998E-3</v>
      </c>
      <c r="E63" s="186" t="s">
        <v>190</v>
      </c>
      <c r="F63" s="216"/>
      <c r="G63" s="330">
        <v>1</v>
      </c>
      <c r="H63" s="382"/>
      <c r="I63" s="360"/>
      <c r="J63" s="96"/>
      <c r="K63" s="3533">
        <f>Defaults!$N$13/Defaults!$L$13*F2_DMI_Heifer_kg</f>
        <v>2.8999999999999998E-3</v>
      </c>
      <c r="L63" s="44" t="s">
        <v>190</v>
      </c>
      <c r="M63" s="41"/>
      <c r="N63" s="331">
        <v>1</v>
      </c>
      <c r="O63" s="96"/>
      <c r="P63" s="493"/>
      <c r="Q63" s="494"/>
      <c r="R63" s="3534">
        <f>Defaults!$N$13/Defaults!$L$13*F3_DMI_Heifer_kg</f>
        <v>2.8999999999999998E-3</v>
      </c>
      <c r="S63" s="511" t="s">
        <v>190</v>
      </c>
      <c r="T63" s="532"/>
      <c r="U63" s="1912">
        <v>1</v>
      </c>
      <c r="V63" s="495"/>
      <c r="W63" s="496"/>
      <c r="X63" s="496"/>
      <c r="Y63" s="3535">
        <f>Defaults!$N$13/Defaults!$L$13*F4_DMI_Heifer_kg</f>
        <v>1.8249427917620136E-3</v>
      </c>
      <c r="Z63" s="465" t="s">
        <v>190</v>
      </c>
      <c r="AA63" s="464"/>
      <c r="AB63" s="649">
        <v>1</v>
      </c>
      <c r="AC63" s="497"/>
    </row>
    <row r="64" spans="1:33" ht="5.25" customHeight="1">
      <c r="A64" s="638"/>
      <c r="B64" s="498"/>
      <c r="C64" s="499"/>
      <c r="D64" s="499"/>
      <c r="E64" s="499"/>
      <c r="F64" s="215"/>
      <c r="G64" s="161"/>
      <c r="H64" s="499"/>
      <c r="I64" s="500"/>
      <c r="J64" s="639"/>
      <c r="K64" s="501"/>
      <c r="L64" s="501"/>
      <c r="M64" s="66"/>
      <c r="N64" s="85"/>
      <c r="O64" s="501"/>
      <c r="P64" s="502"/>
      <c r="Q64" s="503"/>
      <c r="R64" s="503"/>
      <c r="S64" s="503"/>
      <c r="T64" s="569"/>
      <c r="U64" s="568"/>
      <c r="V64" s="504"/>
      <c r="W64" s="505"/>
      <c r="X64" s="640"/>
      <c r="Y64" s="505"/>
      <c r="Z64" s="505"/>
      <c r="AA64" s="554"/>
      <c r="AB64" s="553"/>
      <c r="AC64" s="506"/>
    </row>
    <row r="65" spans="1:33" ht="5.25" customHeight="1">
      <c r="A65" s="633"/>
      <c r="B65" s="358"/>
      <c r="C65" s="382"/>
      <c r="D65" s="382"/>
      <c r="E65" s="382"/>
      <c r="F65" s="216"/>
      <c r="G65" s="171"/>
      <c r="H65" s="382"/>
      <c r="I65" s="360"/>
      <c r="J65" s="622"/>
      <c r="K65" s="96"/>
      <c r="L65" s="96"/>
      <c r="M65" s="41"/>
      <c r="N65" s="42"/>
      <c r="O65" s="96"/>
      <c r="P65" s="493"/>
      <c r="Q65" s="494"/>
      <c r="R65" s="494"/>
      <c r="S65" s="494"/>
      <c r="T65" s="532"/>
      <c r="U65" s="419"/>
      <c r="V65" s="495"/>
      <c r="W65" s="496"/>
      <c r="X65" s="623"/>
      <c r="Y65" s="496"/>
      <c r="Z65" s="496"/>
      <c r="AA65" s="464"/>
      <c r="AB65" s="449"/>
      <c r="AC65" s="497"/>
      <c r="AE65" s="103"/>
      <c r="AF65" s="103"/>
      <c r="AG65" s="103"/>
    </row>
    <row r="66" spans="1:33">
      <c r="A66" s="619" t="s">
        <v>201</v>
      </c>
      <c r="B66" s="358"/>
      <c r="C66" s="186" t="s">
        <v>118</v>
      </c>
      <c r="D66" s="1132"/>
      <c r="E66" s="1132"/>
      <c r="F66" s="878"/>
      <c r="G66" s="316"/>
      <c r="H66" s="1180"/>
      <c r="I66" s="2070"/>
      <c r="J66" s="880" t="s">
        <v>118</v>
      </c>
      <c r="K66" s="1159"/>
      <c r="L66" s="1159"/>
      <c r="M66" s="2133"/>
      <c r="N66" s="317"/>
      <c r="O66" s="96"/>
      <c r="P66" s="493"/>
      <c r="Q66" s="511" t="s">
        <v>118</v>
      </c>
      <c r="R66" s="1070"/>
      <c r="S66" s="1070"/>
      <c r="T66" s="924"/>
      <c r="U66" s="573"/>
      <c r="V66" s="1306"/>
      <c r="W66" s="1072"/>
      <c r="X66" s="909" t="s">
        <v>118</v>
      </c>
      <c r="Y66" s="1072"/>
      <c r="Z66" s="1072"/>
      <c r="AA66" s="2138"/>
      <c r="AB66" s="558"/>
      <c r="AC66" s="497"/>
      <c r="AE66" s="103"/>
      <c r="AF66" s="103"/>
      <c r="AG66" s="103"/>
    </row>
    <row r="67" spans="1:33" ht="3" customHeight="1">
      <c r="A67" s="633"/>
      <c r="B67" s="358"/>
      <c r="C67" s="382"/>
      <c r="D67" s="382"/>
      <c r="E67" s="382"/>
      <c r="F67" s="216"/>
      <c r="G67" s="186"/>
      <c r="H67" s="382"/>
      <c r="I67" s="360"/>
      <c r="J67" s="622"/>
      <c r="K67" s="96"/>
      <c r="L67" s="96"/>
      <c r="M67" s="41"/>
      <c r="N67" s="44"/>
      <c r="O67" s="96"/>
      <c r="P67" s="493"/>
      <c r="Q67" s="494"/>
      <c r="R67" s="494"/>
      <c r="S67" s="494"/>
      <c r="T67" s="532"/>
      <c r="U67" s="511"/>
      <c r="V67" s="495"/>
      <c r="W67" s="496"/>
      <c r="X67" s="623"/>
      <c r="Y67" s="496"/>
      <c r="Z67" s="496"/>
      <c r="AA67" s="464"/>
      <c r="AB67" s="465"/>
      <c r="AC67" s="497"/>
      <c r="AE67" s="103"/>
      <c r="AF67" s="103"/>
      <c r="AG67" s="103"/>
    </row>
    <row r="68" spans="1:33">
      <c r="A68" s="836" t="s">
        <v>702</v>
      </c>
      <c r="B68" s="358"/>
      <c r="C68" s="382"/>
      <c r="D68" s="2192"/>
      <c r="E68" s="186" t="s">
        <v>190</v>
      </c>
      <c r="F68" s="216"/>
      <c r="G68" s="802"/>
      <c r="H68" s="382"/>
      <c r="I68" s="360"/>
      <c r="J68" s="96"/>
      <c r="K68" s="2192"/>
      <c r="L68" s="44" t="s">
        <v>190</v>
      </c>
      <c r="M68" s="41"/>
      <c r="N68" s="802"/>
      <c r="O68" s="96"/>
      <c r="P68" s="493"/>
      <c r="Q68" s="494"/>
      <c r="R68" s="2196"/>
      <c r="S68" s="511" t="s">
        <v>190</v>
      </c>
      <c r="T68" s="532"/>
      <c r="U68" s="2796"/>
      <c r="V68" s="495"/>
      <c r="W68" s="496"/>
      <c r="X68" s="496"/>
      <c r="Y68" s="2196"/>
      <c r="Z68" s="465" t="s">
        <v>190</v>
      </c>
      <c r="AA68" s="464"/>
      <c r="AB68" s="834"/>
      <c r="AC68" s="497"/>
      <c r="AE68" s="103"/>
      <c r="AF68" s="103"/>
      <c r="AG68" s="103"/>
    </row>
    <row r="69" spans="1:33" ht="3" customHeight="1">
      <c r="A69" s="837"/>
      <c r="B69" s="358"/>
      <c r="C69" s="382"/>
      <c r="D69" s="382"/>
      <c r="E69" s="382"/>
      <c r="F69" s="216"/>
      <c r="G69" s="171"/>
      <c r="H69" s="382"/>
      <c r="I69" s="360"/>
      <c r="J69" s="96"/>
      <c r="K69" s="96"/>
      <c r="L69" s="96"/>
      <c r="M69" s="41"/>
      <c r="N69" s="42"/>
      <c r="O69" s="96"/>
      <c r="P69" s="493"/>
      <c r="Q69" s="494"/>
      <c r="R69" s="494"/>
      <c r="S69" s="494"/>
      <c r="T69" s="532"/>
      <c r="U69" s="419"/>
      <c r="V69" s="495"/>
      <c r="W69" s="496"/>
      <c r="X69" s="496"/>
      <c r="Y69" s="496"/>
      <c r="Z69" s="496"/>
      <c r="AA69" s="464"/>
      <c r="AB69" s="449"/>
      <c r="AC69" s="497"/>
      <c r="AE69" s="103"/>
      <c r="AF69" s="103"/>
      <c r="AG69" s="103"/>
    </row>
    <row r="70" spans="1:33">
      <c r="A70" s="836" t="s">
        <v>631</v>
      </c>
      <c r="B70" s="358"/>
      <c r="C70" s="382"/>
      <c r="D70" s="3532">
        <f>Defaults!$O$13/Defaults!$L$13*F1_DMI_Heifer_kg</f>
        <v>1.47E-2</v>
      </c>
      <c r="E70" s="186" t="s">
        <v>190</v>
      </c>
      <c r="F70" s="216"/>
      <c r="G70" s="330">
        <v>1</v>
      </c>
      <c r="H70" s="382"/>
      <c r="I70" s="360"/>
      <c r="J70" s="96"/>
      <c r="K70" s="3533">
        <f>Defaults!$O$13/Defaults!$L$13*F2_DMI_Heifer_kg</f>
        <v>1.47E-2</v>
      </c>
      <c r="L70" s="44" t="s">
        <v>190</v>
      </c>
      <c r="M70" s="41"/>
      <c r="N70" s="331">
        <v>1</v>
      </c>
      <c r="O70" s="96"/>
      <c r="P70" s="493"/>
      <c r="Q70" s="494"/>
      <c r="R70" s="3534">
        <f>Defaults!$O$13/Defaults!$L$13*F3_DMI_Heifer_kg</f>
        <v>1.47E-2</v>
      </c>
      <c r="S70" s="511" t="s">
        <v>190</v>
      </c>
      <c r="T70" s="532"/>
      <c r="U70" s="1912">
        <v>1</v>
      </c>
      <c r="V70" s="495"/>
      <c r="W70" s="496"/>
      <c r="X70" s="496"/>
      <c r="Y70" s="3535">
        <f>Defaults!$O$13/Defaults!$L$13*F4_DMI_Heifer_kg</f>
        <v>9.2505720823798637E-3</v>
      </c>
      <c r="Z70" s="465" t="s">
        <v>190</v>
      </c>
      <c r="AA70" s="464"/>
      <c r="AB70" s="649">
        <v>1</v>
      </c>
      <c r="AC70" s="497"/>
      <c r="AE70" s="103"/>
      <c r="AF70" s="46"/>
      <c r="AG70" s="46"/>
    </row>
    <row r="71" spans="1:33" ht="5.25" customHeight="1">
      <c r="A71" s="638"/>
      <c r="B71" s="498"/>
      <c r="C71" s="499"/>
      <c r="D71" s="499"/>
      <c r="E71" s="499"/>
      <c r="F71" s="215"/>
      <c r="G71" s="161"/>
      <c r="H71" s="499"/>
      <c r="I71" s="500"/>
      <c r="J71" s="639"/>
      <c r="K71" s="501"/>
      <c r="L71" s="501"/>
      <c r="M71" s="66"/>
      <c r="N71" s="85"/>
      <c r="O71" s="501"/>
      <c r="P71" s="502"/>
      <c r="Q71" s="503"/>
      <c r="R71" s="503"/>
      <c r="S71" s="503"/>
      <c r="T71" s="569"/>
      <c r="U71" s="568"/>
      <c r="V71" s="504"/>
      <c r="W71" s="505"/>
      <c r="X71" s="640"/>
      <c r="Y71" s="505"/>
      <c r="Z71" s="505"/>
      <c r="AA71" s="554"/>
      <c r="AB71" s="553"/>
      <c r="AC71" s="506"/>
      <c r="AE71" s="103"/>
      <c r="AF71" s="46"/>
      <c r="AG71" s="46"/>
    </row>
    <row r="72" spans="1:33" ht="20.25" customHeight="1">
      <c r="A72" s="4964" t="s">
        <v>1536</v>
      </c>
      <c r="B72" s="4965"/>
      <c r="C72" s="4965"/>
      <c r="D72" s="4965"/>
      <c r="E72" s="4965"/>
      <c r="F72" s="4965"/>
      <c r="G72" s="4965"/>
      <c r="H72" s="4965"/>
      <c r="I72" s="4965"/>
      <c r="J72" s="4965"/>
      <c r="K72" s="4965"/>
      <c r="L72" s="4965"/>
      <c r="M72" s="4965"/>
      <c r="N72" s="4965"/>
      <c r="O72" s="4965"/>
      <c r="P72" s="4965"/>
      <c r="Q72" s="4965"/>
      <c r="R72" s="4965"/>
      <c r="S72" s="4965"/>
      <c r="T72" s="4965"/>
      <c r="U72" s="4965"/>
      <c r="V72" s="4965"/>
      <c r="W72" s="4965"/>
      <c r="X72" s="4965"/>
      <c r="Y72" s="4965"/>
      <c r="Z72" s="4965"/>
      <c r="AA72" s="4965"/>
      <c r="AB72" s="4965"/>
      <c r="AC72" s="4966"/>
      <c r="AE72" s="103"/>
      <c r="AF72" s="46"/>
      <c r="AG72" s="46"/>
    </row>
    <row r="73" spans="1:33" ht="5.25" customHeight="1">
      <c r="A73" s="2193"/>
      <c r="B73" s="2069"/>
      <c r="C73" s="1132"/>
      <c r="D73" s="1132"/>
      <c r="E73" s="1132"/>
      <c r="F73" s="878"/>
      <c r="G73" s="316"/>
      <c r="H73" s="1132"/>
      <c r="I73" s="2070"/>
      <c r="J73" s="2080"/>
      <c r="K73" s="1159"/>
      <c r="L73" s="1159"/>
      <c r="M73" s="2133"/>
      <c r="N73" s="317"/>
      <c r="O73" s="1159"/>
      <c r="P73" s="493"/>
      <c r="Q73" s="494"/>
      <c r="R73" s="494"/>
      <c r="S73" s="494"/>
      <c r="T73" s="532"/>
      <c r="U73" s="419"/>
      <c r="V73" s="495"/>
      <c r="W73" s="496"/>
      <c r="X73" s="623"/>
      <c r="Y73" s="496"/>
      <c r="Z73" s="496"/>
      <c r="AA73" s="464"/>
      <c r="AB73" s="449"/>
      <c r="AC73" s="497"/>
      <c r="AE73" s="103"/>
      <c r="AF73" s="103"/>
      <c r="AG73" s="103"/>
    </row>
    <row r="74" spans="1:33">
      <c r="A74" s="2194" t="s">
        <v>197</v>
      </c>
      <c r="B74" s="2069"/>
      <c r="C74" s="876" t="s">
        <v>118</v>
      </c>
      <c r="D74" s="1132"/>
      <c r="E74" s="1132"/>
      <c r="F74" s="878"/>
      <c r="G74" s="316"/>
      <c r="H74" s="1180"/>
      <c r="I74" s="2070"/>
      <c r="J74" s="880" t="s">
        <v>118</v>
      </c>
      <c r="K74" s="1159"/>
      <c r="L74" s="1159"/>
      <c r="M74" s="2133"/>
      <c r="N74" s="317"/>
      <c r="O74" s="1159"/>
      <c r="P74" s="493"/>
      <c r="Q74" s="511" t="s">
        <v>118</v>
      </c>
      <c r="R74" s="1070"/>
      <c r="S74" s="1070"/>
      <c r="T74" s="924"/>
      <c r="U74" s="573"/>
      <c r="V74" s="1306"/>
      <c r="W74" s="1072"/>
      <c r="X74" s="909" t="s">
        <v>118</v>
      </c>
      <c r="Y74" s="1072"/>
      <c r="Z74" s="1072"/>
      <c r="AA74" s="2138"/>
      <c r="AB74" s="558"/>
      <c r="AC74" s="497"/>
      <c r="AE74" s="103"/>
      <c r="AF74" s="103"/>
      <c r="AG74" s="103"/>
    </row>
    <row r="75" spans="1:33" ht="3" customHeight="1">
      <c r="A75" s="633"/>
      <c r="B75" s="358"/>
      <c r="C75" s="382"/>
      <c r="D75" s="382"/>
      <c r="E75" s="382"/>
      <c r="F75" s="216"/>
      <c r="G75" s="186"/>
      <c r="H75" s="382"/>
      <c r="I75" s="360"/>
      <c r="J75" s="622"/>
      <c r="K75" s="96"/>
      <c r="L75" s="96"/>
      <c r="M75" s="41"/>
      <c r="N75" s="44"/>
      <c r="O75" s="96"/>
      <c r="P75" s="493"/>
      <c r="Q75" s="494"/>
      <c r="R75" s="494"/>
      <c r="S75" s="494"/>
      <c r="T75" s="532"/>
      <c r="U75" s="511"/>
      <c r="V75" s="495"/>
      <c r="W75" s="496"/>
      <c r="X75" s="623"/>
      <c r="Y75" s="496"/>
      <c r="Z75" s="496"/>
      <c r="AA75" s="464"/>
      <c r="AB75" s="465"/>
      <c r="AC75" s="497"/>
      <c r="AE75" s="103"/>
      <c r="AF75" s="103"/>
      <c r="AG75" s="103"/>
    </row>
    <row r="76" spans="1:33">
      <c r="A76" s="836" t="s">
        <v>702</v>
      </c>
      <c r="B76" s="358"/>
      <c r="C76" s="382"/>
      <c r="D76" s="2192"/>
      <c r="E76" s="186" t="s">
        <v>190</v>
      </c>
      <c r="F76" s="216"/>
      <c r="G76" s="802"/>
      <c r="H76" s="382"/>
      <c r="I76" s="360"/>
      <c r="J76" s="96"/>
      <c r="K76" s="2192"/>
      <c r="L76" s="44" t="s">
        <v>190</v>
      </c>
      <c r="M76" s="41"/>
      <c r="N76" s="802"/>
      <c r="O76" s="96"/>
      <c r="P76" s="493"/>
      <c r="Q76" s="494"/>
      <c r="R76" s="2196"/>
      <c r="S76" s="511" t="s">
        <v>190</v>
      </c>
      <c r="T76" s="532"/>
      <c r="U76" s="2796"/>
      <c r="V76" s="495"/>
      <c r="W76" s="496"/>
      <c r="X76" s="496"/>
      <c r="Y76" s="2196"/>
      <c r="Z76" s="465" t="s">
        <v>190</v>
      </c>
      <c r="AA76" s="464"/>
      <c r="AB76" s="834"/>
      <c r="AC76" s="497"/>
      <c r="AE76" s="103"/>
      <c r="AF76" s="103"/>
      <c r="AG76" s="103"/>
    </row>
    <row r="77" spans="1:33" ht="3" customHeight="1">
      <c r="A77" s="837"/>
      <c r="B77" s="358"/>
      <c r="C77" s="382"/>
      <c r="D77" s="382"/>
      <c r="E77" s="382"/>
      <c r="F77" s="216"/>
      <c r="G77" s="171"/>
      <c r="H77" s="382"/>
      <c r="I77" s="360"/>
      <c r="J77" s="96"/>
      <c r="K77" s="96"/>
      <c r="L77" s="96"/>
      <c r="M77" s="41"/>
      <c r="N77" s="42"/>
      <c r="O77" s="96"/>
      <c r="P77" s="493"/>
      <c r="Q77" s="494"/>
      <c r="R77" s="494"/>
      <c r="S77" s="494"/>
      <c r="T77" s="532"/>
      <c r="U77" s="419"/>
      <c r="V77" s="495"/>
      <c r="W77" s="496"/>
      <c r="X77" s="496"/>
      <c r="Y77" s="496">
        <v>0.17499999999999999</v>
      </c>
      <c r="Z77" s="496"/>
      <c r="AA77" s="464"/>
      <c r="AB77" s="449"/>
      <c r="AC77" s="497"/>
    </row>
    <row r="78" spans="1:33">
      <c r="A78" s="836" t="s">
        <v>631</v>
      </c>
      <c r="B78" s="358"/>
      <c r="C78" s="382"/>
      <c r="D78" s="2864">
        <f>Defaults!$M$14/Defaults!$L$14*F1_DMI_Heifer_Calf_kg</f>
        <v>0.16621727748691098</v>
      </c>
      <c r="E78" s="186" t="s">
        <v>190</v>
      </c>
      <c r="F78" s="216"/>
      <c r="G78" s="330">
        <v>1</v>
      </c>
      <c r="H78" s="382"/>
      <c r="I78" s="360"/>
      <c r="J78" s="96"/>
      <c r="K78" s="2865">
        <f>Defaults!$M$14/Defaults!$L$14*F2_DMI_Heifer_Calf_kg</f>
        <v>0.16621727748691098</v>
      </c>
      <c r="L78" s="44" t="s">
        <v>190</v>
      </c>
      <c r="M78" s="41"/>
      <c r="N78" s="331">
        <v>1</v>
      </c>
      <c r="O78" s="96"/>
      <c r="P78" s="493"/>
      <c r="Q78" s="494"/>
      <c r="R78" s="2866">
        <f>Defaults!$M$14/Defaults!$L$14*F3_DMI_Heifer_Calf_kg</f>
        <v>0.16621727748691098</v>
      </c>
      <c r="S78" s="511" t="s">
        <v>190</v>
      </c>
      <c r="T78" s="532"/>
      <c r="U78" s="1912">
        <v>1</v>
      </c>
      <c r="V78" s="495"/>
      <c r="W78" s="496"/>
      <c r="X78" s="496"/>
      <c r="Y78" s="2867">
        <f>Defaults!$M$14/Defaults!$L$14*F4_DMI_Heifer_Calf_kg</f>
        <v>0.10863874345549737</v>
      </c>
      <c r="Z78" s="465" t="s">
        <v>190</v>
      </c>
      <c r="AA78" s="464"/>
      <c r="AB78" s="649">
        <v>1</v>
      </c>
      <c r="AC78" s="497"/>
    </row>
    <row r="79" spans="1:33" ht="5.25" customHeight="1">
      <c r="A79" s="638"/>
      <c r="B79" s="498"/>
      <c r="C79" s="499"/>
      <c r="D79" s="499"/>
      <c r="E79" s="499"/>
      <c r="F79" s="215"/>
      <c r="G79" s="161"/>
      <c r="H79" s="499"/>
      <c r="I79" s="500"/>
      <c r="J79" s="639"/>
      <c r="K79" s="501"/>
      <c r="L79" s="501"/>
      <c r="M79" s="66"/>
      <c r="N79" s="85"/>
      <c r="O79" s="501"/>
      <c r="P79" s="502"/>
      <c r="Q79" s="503"/>
      <c r="R79" s="503"/>
      <c r="S79" s="503"/>
      <c r="T79" s="569"/>
      <c r="U79" s="568"/>
      <c r="V79" s="504"/>
      <c r="W79" s="505"/>
      <c r="X79" s="640"/>
      <c r="Y79" s="505"/>
      <c r="Z79" s="505"/>
      <c r="AA79" s="554"/>
      <c r="AB79" s="553"/>
      <c r="AC79" s="506"/>
    </row>
    <row r="80" spans="1:33" ht="5.25" customHeight="1">
      <c r="A80" s="633"/>
      <c r="B80" s="358"/>
      <c r="C80" s="382"/>
      <c r="D80" s="382"/>
      <c r="E80" s="382"/>
      <c r="F80" s="216"/>
      <c r="G80" s="171"/>
      <c r="H80" s="382"/>
      <c r="I80" s="360"/>
      <c r="J80" s="622"/>
      <c r="K80" s="96"/>
      <c r="L80" s="96"/>
      <c r="M80" s="41"/>
      <c r="N80" s="42"/>
      <c r="O80" s="96"/>
      <c r="P80" s="493"/>
      <c r="Q80" s="494"/>
      <c r="R80" s="494"/>
      <c r="S80" s="494"/>
      <c r="T80" s="532"/>
      <c r="U80" s="419"/>
      <c r="V80" s="495"/>
      <c r="W80" s="496"/>
      <c r="X80" s="623"/>
      <c r="Y80" s="496"/>
      <c r="Z80" s="496"/>
      <c r="AA80" s="464"/>
      <c r="AB80" s="449"/>
      <c r="AC80" s="497"/>
    </row>
    <row r="81" spans="1:29">
      <c r="A81" s="619" t="s">
        <v>198</v>
      </c>
      <c r="B81" s="358"/>
      <c r="C81" s="186" t="s">
        <v>118</v>
      </c>
      <c r="D81" s="1132"/>
      <c r="E81" s="1132"/>
      <c r="F81" s="878"/>
      <c r="G81" s="316"/>
      <c r="H81" s="1180"/>
      <c r="I81" s="2070"/>
      <c r="J81" s="880" t="s">
        <v>118</v>
      </c>
      <c r="K81" s="1159"/>
      <c r="L81" s="1159"/>
      <c r="M81" s="2133"/>
      <c r="N81" s="317"/>
      <c r="O81" s="96"/>
      <c r="P81" s="493"/>
      <c r="Q81" s="511" t="s">
        <v>118</v>
      </c>
      <c r="R81" s="1070"/>
      <c r="S81" s="1070"/>
      <c r="T81" s="924"/>
      <c r="U81" s="573"/>
      <c r="V81" s="1306"/>
      <c r="W81" s="1072"/>
      <c r="X81" s="909" t="s">
        <v>118</v>
      </c>
      <c r="Y81" s="1072"/>
      <c r="Z81" s="1072"/>
      <c r="AA81" s="2138"/>
      <c r="AB81" s="558"/>
      <c r="AC81" s="497"/>
    </row>
    <row r="82" spans="1:29" ht="3" customHeight="1">
      <c r="A82" s="633"/>
      <c r="B82" s="358"/>
      <c r="C82" s="382"/>
      <c r="D82" s="382"/>
      <c r="E82" s="382"/>
      <c r="F82" s="216"/>
      <c r="G82" s="186"/>
      <c r="H82" s="382"/>
      <c r="I82" s="360"/>
      <c r="J82" s="622"/>
      <c r="K82" s="96"/>
      <c r="L82" s="96"/>
      <c r="M82" s="41"/>
      <c r="N82" s="44"/>
      <c r="O82" s="96"/>
      <c r="P82" s="493"/>
      <c r="Q82" s="494"/>
      <c r="R82" s="494"/>
      <c r="S82" s="494"/>
      <c r="T82" s="532"/>
      <c r="U82" s="511"/>
      <c r="V82" s="495"/>
      <c r="W82" s="496"/>
      <c r="X82" s="623"/>
      <c r="Y82" s="496"/>
      <c r="Z82" s="496"/>
      <c r="AA82" s="464"/>
      <c r="AB82" s="465"/>
      <c r="AC82" s="497"/>
    </row>
    <row r="83" spans="1:29">
      <c r="A83" s="836" t="s">
        <v>702</v>
      </c>
      <c r="B83" s="358"/>
      <c r="C83" s="382"/>
      <c r="D83" s="2192"/>
      <c r="E83" s="186" t="s">
        <v>190</v>
      </c>
      <c r="F83" s="216"/>
      <c r="G83" s="802"/>
      <c r="H83" s="382"/>
      <c r="I83" s="360"/>
      <c r="J83" s="96"/>
      <c r="K83" s="2192"/>
      <c r="L83" s="44" t="s">
        <v>190</v>
      </c>
      <c r="M83" s="41"/>
      <c r="N83" s="802"/>
      <c r="O83" s="96"/>
      <c r="P83" s="493"/>
      <c r="Q83" s="494"/>
      <c r="R83" s="2196"/>
      <c r="S83" s="511" t="s">
        <v>190</v>
      </c>
      <c r="T83" s="532"/>
      <c r="U83" s="2796"/>
      <c r="V83" s="495"/>
      <c r="W83" s="496"/>
      <c r="X83" s="496"/>
      <c r="Y83" s="2196"/>
      <c r="Z83" s="465" t="s">
        <v>190</v>
      </c>
      <c r="AA83" s="464"/>
      <c r="AB83" s="834"/>
      <c r="AC83" s="497"/>
    </row>
    <row r="84" spans="1:29" ht="3" customHeight="1">
      <c r="A84" s="837"/>
      <c r="B84" s="358"/>
      <c r="C84" s="382"/>
      <c r="D84" s="382"/>
      <c r="E84" s="382"/>
      <c r="F84" s="216"/>
      <c r="G84" s="171"/>
      <c r="H84" s="382"/>
      <c r="I84" s="360"/>
      <c r="J84" s="96"/>
      <c r="K84" s="96"/>
      <c r="L84" s="96"/>
      <c r="M84" s="41"/>
      <c r="N84" s="42"/>
      <c r="O84" s="96"/>
      <c r="P84" s="493"/>
      <c r="Q84" s="494"/>
      <c r="R84" s="494"/>
      <c r="S84" s="494"/>
      <c r="T84" s="532"/>
      <c r="U84" s="419"/>
      <c r="V84" s="495"/>
      <c r="W84" s="496"/>
      <c r="X84" s="496"/>
      <c r="Y84" s="496"/>
      <c r="Z84" s="496"/>
      <c r="AA84" s="464"/>
      <c r="AB84" s="449"/>
      <c r="AC84" s="497"/>
    </row>
    <row r="85" spans="1:29">
      <c r="A85" s="836" t="s">
        <v>631</v>
      </c>
      <c r="B85" s="358"/>
      <c r="C85" s="382"/>
      <c r="D85" s="3532">
        <f>Defaults!$N$14/Defaults!$L$14*F1_DMI_Heifer_Calf_kg</f>
        <v>3.7048429319371727E-3</v>
      </c>
      <c r="E85" s="186" t="s">
        <v>190</v>
      </c>
      <c r="F85" s="216"/>
      <c r="G85" s="330">
        <v>1</v>
      </c>
      <c r="H85" s="382"/>
      <c r="I85" s="360"/>
      <c r="J85" s="96"/>
      <c r="K85" s="3533">
        <f>Defaults!$N$14/Defaults!$L$14*F2_DMI_Heifer_Calf_kg</f>
        <v>3.7048429319371727E-3</v>
      </c>
      <c r="L85" s="44" t="s">
        <v>190</v>
      </c>
      <c r="M85" s="41"/>
      <c r="N85" s="331">
        <v>1</v>
      </c>
      <c r="O85" s="96"/>
      <c r="P85" s="493"/>
      <c r="Q85" s="494"/>
      <c r="R85" s="3534">
        <f>Defaults!$N$14/Defaults!$L$14*F3_DMI_Heifer_Calf_kg</f>
        <v>3.7048429319371727E-3</v>
      </c>
      <c r="S85" s="511" t="s">
        <v>190</v>
      </c>
      <c r="T85" s="532"/>
      <c r="U85" s="1912">
        <v>1</v>
      </c>
      <c r="V85" s="495"/>
      <c r="W85" s="496"/>
      <c r="X85" s="496"/>
      <c r="Y85" s="3535">
        <f>Defaults!$N$14/Defaults!$L$14*F4_DMI_Heifer_Calf_kg</f>
        <v>2.4214659685863876E-3</v>
      </c>
      <c r="Z85" s="465" t="s">
        <v>190</v>
      </c>
      <c r="AA85" s="464"/>
      <c r="AB85" s="649">
        <v>1</v>
      </c>
      <c r="AC85" s="497"/>
    </row>
    <row r="86" spans="1:29" ht="5.25" customHeight="1">
      <c r="A86" s="638"/>
      <c r="B86" s="498"/>
      <c r="C86" s="499"/>
      <c r="D86" s="499"/>
      <c r="E86" s="499"/>
      <c r="F86" s="215"/>
      <c r="G86" s="161"/>
      <c r="H86" s="499"/>
      <c r="I86" s="500"/>
      <c r="J86" s="639"/>
      <c r="K86" s="501"/>
      <c r="L86" s="501"/>
      <c r="M86" s="66"/>
      <c r="N86" s="85"/>
      <c r="O86" s="501"/>
      <c r="P86" s="502"/>
      <c r="Q86" s="503"/>
      <c r="R86" s="503"/>
      <c r="S86" s="503"/>
      <c r="T86" s="569"/>
      <c r="U86" s="568"/>
      <c r="V86" s="504"/>
      <c r="W86" s="505"/>
      <c r="X86" s="640"/>
      <c r="Y86" s="505"/>
      <c r="Z86" s="505"/>
      <c r="AA86" s="554"/>
      <c r="AB86" s="553"/>
      <c r="AC86" s="506"/>
    </row>
    <row r="87" spans="1:29" ht="5.25" customHeight="1">
      <c r="A87" s="633"/>
      <c r="B87" s="358"/>
      <c r="C87" s="382"/>
      <c r="D87" s="382"/>
      <c r="E87" s="382"/>
      <c r="F87" s="216"/>
      <c r="G87" s="171"/>
      <c r="H87" s="382"/>
      <c r="I87" s="360"/>
      <c r="J87" s="622"/>
      <c r="K87" s="96"/>
      <c r="L87" s="96"/>
      <c r="M87" s="41"/>
      <c r="N87" s="42"/>
      <c r="O87" s="96"/>
      <c r="P87" s="493"/>
      <c r="Q87" s="494"/>
      <c r="R87" s="494"/>
      <c r="S87" s="494"/>
      <c r="T87" s="532"/>
      <c r="U87" s="419"/>
      <c r="V87" s="495"/>
      <c r="W87" s="496"/>
      <c r="X87" s="623"/>
      <c r="Y87" s="496"/>
      <c r="Z87" s="496"/>
      <c r="AA87" s="464"/>
      <c r="AB87" s="449"/>
      <c r="AC87" s="497"/>
    </row>
    <row r="88" spans="1:29">
      <c r="A88" s="619" t="s">
        <v>201</v>
      </c>
      <c r="B88" s="358"/>
      <c r="C88" s="186" t="s">
        <v>118</v>
      </c>
      <c r="D88" s="1132"/>
      <c r="E88" s="1132"/>
      <c r="F88" s="878"/>
      <c r="G88" s="316"/>
      <c r="H88" s="1180"/>
      <c r="I88" s="2070"/>
      <c r="J88" s="880" t="s">
        <v>118</v>
      </c>
      <c r="K88" s="1159"/>
      <c r="L88" s="1159"/>
      <c r="M88" s="2133"/>
      <c r="N88" s="317"/>
      <c r="O88" s="96"/>
      <c r="P88" s="493"/>
      <c r="Q88" s="511" t="s">
        <v>118</v>
      </c>
      <c r="R88" s="1070"/>
      <c r="S88" s="1070"/>
      <c r="T88" s="924"/>
      <c r="U88" s="573"/>
      <c r="V88" s="1306"/>
      <c r="W88" s="1072"/>
      <c r="X88" s="909" t="s">
        <v>118</v>
      </c>
      <c r="Y88" s="1072"/>
      <c r="Z88" s="1072"/>
      <c r="AA88" s="2138"/>
      <c r="AB88" s="558"/>
      <c r="AC88" s="497"/>
    </row>
    <row r="89" spans="1:29" ht="3" customHeight="1">
      <c r="A89" s="633"/>
      <c r="B89" s="358"/>
      <c r="C89" s="382"/>
      <c r="D89" s="382"/>
      <c r="E89" s="382"/>
      <c r="F89" s="216"/>
      <c r="G89" s="186"/>
      <c r="H89" s="382"/>
      <c r="I89" s="360"/>
      <c r="J89" s="622"/>
      <c r="K89" s="96"/>
      <c r="L89" s="96"/>
      <c r="M89" s="41"/>
      <c r="N89" s="44"/>
      <c r="O89" s="96"/>
      <c r="P89" s="493"/>
      <c r="Q89" s="494"/>
      <c r="R89" s="494"/>
      <c r="S89" s="494"/>
      <c r="T89" s="532"/>
      <c r="U89" s="511"/>
      <c r="V89" s="495"/>
      <c r="W89" s="496"/>
      <c r="X89" s="623"/>
      <c r="Y89" s="496"/>
      <c r="Z89" s="496"/>
      <c r="AA89" s="464"/>
      <c r="AB89" s="465"/>
      <c r="AC89" s="497"/>
    </row>
    <row r="90" spans="1:29">
      <c r="A90" s="836" t="s">
        <v>702</v>
      </c>
      <c r="B90" s="358"/>
      <c r="C90" s="382"/>
      <c r="D90" s="2192"/>
      <c r="E90" s="186" t="s">
        <v>190</v>
      </c>
      <c r="F90" s="216"/>
      <c r="G90" s="802"/>
      <c r="H90" s="382"/>
      <c r="I90" s="360"/>
      <c r="J90" s="96"/>
      <c r="K90" s="2192"/>
      <c r="L90" s="44" t="s">
        <v>190</v>
      </c>
      <c r="M90" s="41"/>
      <c r="N90" s="802"/>
      <c r="O90" s="96"/>
      <c r="P90" s="493"/>
      <c r="Q90" s="494"/>
      <c r="R90" s="2196"/>
      <c r="S90" s="511" t="s">
        <v>190</v>
      </c>
      <c r="T90" s="532"/>
      <c r="U90" s="2796"/>
      <c r="V90" s="495"/>
      <c r="W90" s="496"/>
      <c r="X90" s="496"/>
      <c r="Y90" s="2196"/>
      <c r="Z90" s="465" t="s">
        <v>190</v>
      </c>
      <c r="AA90" s="464"/>
      <c r="AB90" s="834"/>
      <c r="AC90" s="497"/>
    </row>
    <row r="91" spans="1:29" ht="3" customHeight="1">
      <c r="A91" s="837"/>
      <c r="B91" s="358"/>
      <c r="C91" s="382"/>
      <c r="D91" s="382"/>
      <c r="E91" s="382"/>
      <c r="F91" s="216"/>
      <c r="G91" s="171"/>
      <c r="H91" s="382"/>
      <c r="I91" s="360"/>
      <c r="J91" s="96"/>
      <c r="K91" s="96"/>
      <c r="L91" s="96"/>
      <c r="M91" s="41"/>
      <c r="N91" s="42"/>
      <c r="O91" s="96"/>
      <c r="P91" s="493"/>
      <c r="Q91" s="494"/>
      <c r="R91" s="494"/>
      <c r="S91" s="494"/>
      <c r="T91" s="532"/>
      <c r="U91" s="419"/>
      <c r="V91" s="495"/>
      <c r="W91" s="496"/>
      <c r="X91" s="496"/>
      <c r="Y91" s="496"/>
      <c r="Z91" s="496"/>
      <c r="AA91" s="464"/>
      <c r="AB91" s="449"/>
      <c r="AC91" s="497"/>
    </row>
    <row r="92" spans="1:29">
      <c r="A92" s="836" t="s">
        <v>631</v>
      </c>
      <c r="B92" s="358"/>
      <c r="C92" s="382"/>
      <c r="D92" s="3532">
        <f>Defaults!$O$14/Defaults!$L$14*F1_DMI_Heifer_Calf_kg</f>
        <v>1.4719240837696332E-2</v>
      </c>
      <c r="E92" s="186" t="s">
        <v>190</v>
      </c>
      <c r="F92" s="216"/>
      <c r="G92" s="330">
        <v>3</v>
      </c>
      <c r="H92" s="382"/>
      <c r="I92" s="360"/>
      <c r="J92" s="96"/>
      <c r="K92" s="3533">
        <f>Defaults!$O$14/Defaults!$L$14*F2_DMI_Heifer_Calf_kg</f>
        <v>1.4719240837696332E-2</v>
      </c>
      <c r="L92" s="44" t="s">
        <v>190</v>
      </c>
      <c r="M92" s="41"/>
      <c r="N92" s="331">
        <v>3</v>
      </c>
      <c r="O92" s="96"/>
      <c r="P92" s="493"/>
      <c r="Q92" s="494"/>
      <c r="R92" s="3534">
        <f>Defaults!$O$14/Defaults!$L$14*F3_DMI_Heifer_Calf_kg</f>
        <v>1.4719240837696332E-2</v>
      </c>
      <c r="S92" s="511" t="s">
        <v>190</v>
      </c>
      <c r="T92" s="532"/>
      <c r="U92" s="1912">
        <v>3</v>
      </c>
      <c r="V92" s="495"/>
      <c r="W92" s="496"/>
      <c r="X92" s="496"/>
      <c r="Y92" s="3535">
        <f>Defaults!$O$14/Defaults!$L$14*F4_DMI_Heifer_Calf_kg</f>
        <v>9.6204188481675383E-3</v>
      </c>
      <c r="Z92" s="465" t="s">
        <v>190</v>
      </c>
      <c r="AA92" s="464"/>
      <c r="AB92" s="649">
        <v>3</v>
      </c>
      <c r="AC92" s="497"/>
    </row>
    <row r="93" spans="1:29" ht="5.25" customHeight="1">
      <c r="A93" s="638"/>
      <c r="B93" s="498"/>
      <c r="C93" s="499"/>
      <c r="D93" s="499"/>
      <c r="E93" s="499"/>
      <c r="F93" s="215"/>
      <c r="G93" s="161"/>
      <c r="H93" s="499"/>
      <c r="I93" s="500"/>
      <c r="J93" s="639"/>
      <c r="K93" s="501"/>
      <c r="L93" s="501"/>
      <c r="M93" s="66"/>
      <c r="N93" s="85"/>
      <c r="O93" s="501"/>
      <c r="P93" s="502"/>
      <c r="Q93" s="503"/>
      <c r="R93" s="503"/>
      <c r="S93" s="503"/>
      <c r="T93" s="569"/>
      <c r="U93" s="568"/>
      <c r="V93" s="504"/>
      <c r="W93" s="505"/>
      <c r="X93" s="640"/>
      <c r="Y93" s="505"/>
      <c r="Z93" s="505"/>
      <c r="AA93" s="554"/>
      <c r="AB93" s="553"/>
      <c r="AC93" s="506"/>
    </row>
    <row r="94" spans="1:29" ht="21" customHeight="1">
      <c r="A94" s="4967" t="s">
        <v>20</v>
      </c>
      <c r="B94" s="4968"/>
      <c r="C94" s="4968"/>
      <c r="D94" s="4968"/>
      <c r="E94" s="4968"/>
      <c r="F94" s="4968"/>
      <c r="G94" s="4968"/>
      <c r="H94" s="4968"/>
      <c r="I94" s="4968"/>
      <c r="J94" s="4968"/>
      <c r="K94" s="4968"/>
      <c r="L94" s="4968"/>
      <c r="M94" s="4968"/>
      <c r="N94" s="4968"/>
      <c r="O94" s="4968"/>
      <c r="P94" s="4968"/>
      <c r="Q94" s="4968"/>
      <c r="R94" s="4968"/>
      <c r="S94" s="4968"/>
      <c r="T94" s="4968"/>
      <c r="U94" s="4968"/>
      <c r="V94" s="4968"/>
      <c r="W94" s="4968"/>
      <c r="X94" s="4968"/>
      <c r="Y94" s="4968"/>
      <c r="Z94" s="4968"/>
      <c r="AA94" s="4968"/>
      <c r="AB94" s="4968"/>
      <c r="AC94" s="4969"/>
    </row>
    <row r="95" spans="1:29">
      <c r="A95" s="4058" t="s">
        <v>1250</v>
      </c>
      <c r="B95" s="4059"/>
      <c r="C95" s="4059"/>
      <c r="D95" s="4059"/>
      <c r="E95" s="4059"/>
      <c r="F95" s="4059"/>
      <c r="G95" s="4059"/>
      <c r="H95" s="4059"/>
      <c r="I95" s="4059"/>
      <c r="J95" s="4059"/>
      <c r="K95" s="4059"/>
      <c r="L95" s="4059"/>
      <c r="M95" s="4059"/>
      <c r="N95" s="4059"/>
      <c r="O95" s="4059"/>
      <c r="P95" s="4059"/>
      <c r="Q95" s="4059"/>
      <c r="R95" s="4059"/>
      <c r="S95" s="4059"/>
      <c r="T95" s="4059"/>
      <c r="U95" s="4059"/>
      <c r="V95" s="4059"/>
      <c r="W95" s="4059"/>
      <c r="X95" s="4059"/>
      <c r="Y95" s="4059"/>
      <c r="Z95" s="4059"/>
      <c r="AA95" s="4059"/>
      <c r="AB95" s="4059"/>
      <c r="AC95" s="4060"/>
    </row>
    <row r="96" spans="1:29">
      <c r="A96" s="4970" t="s">
        <v>1000</v>
      </c>
      <c r="B96" s="4971"/>
      <c r="C96" s="4971"/>
      <c r="D96" s="4971"/>
      <c r="E96" s="4971"/>
      <c r="F96" s="4971"/>
      <c r="G96" s="4971"/>
      <c r="H96" s="4971"/>
      <c r="I96" s="4971"/>
      <c r="J96" s="4971"/>
      <c r="K96" s="4971"/>
      <c r="L96" s="4971"/>
      <c r="M96" s="4971"/>
      <c r="N96" s="4971"/>
      <c r="O96" s="4971"/>
      <c r="P96" s="4971"/>
      <c r="Q96" s="4971"/>
      <c r="R96" s="4971"/>
      <c r="S96" s="4971"/>
      <c r="T96" s="4971"/>
      <c r="U96" s="4971"/>
      <c r="V96" s="4971"/>
      <c r="W96" s="4971"/>
      <c r="X96" s="4971"/>
      <c r="Y96" s="4971"/>
      <c r="Z96" s="4971"/>
      <c r="AA96" s="4971"/>
      <c r="AB96" s="4971"/>
      <c r="AC96" s="4972"/>
    </row>
    <row r="97" spans="1:29">
      <c r="A97" s="4058" t="s">
        <v>1001</v>
      </c>
      <c r="B97" s="4059"/>
      <c r="C97" s="4059"/>
      <c r="D97" s="4059"/>
      <c r="E97" s="4059"/>
      <c r="F97" s="4059"/>
      <c r="G97" s="4059"/>
      <c r="H97" s="4059"/>
      <c r="I97" s="4059"/>
      <c r="J97" s="4059"/>
      <c r="K97" s="4059"/>
      <c r="L97" s="4059"/>
      <c r="M97" s="4059"/>
      <c r="N97" s="4059"/>
      <c r="O97" s="4059"/>
      <c r="P97" s="4059"/>
      <c r="Q97" s="4059"/>
      <c r="R97" s="4059"/>
      <c r="S97" s="4059"/>
      <c r="T97" s="4059"/>
      <c r="U97" s="4059"/>
      <c r="V97" s="4059"/>
      <c r="W97" s="4059"/>
      <c r="X97" s="4059"/>
      <c r="Y97" s="4059"/>
      <c r="Z97" s="4059"/>
      <c r="AA97" s="4059"/>
      <c r="AB97" s="4059"/>
      <c r="AC97" s="4060"/>
    </row>
    <row r="98" spans="1:29">
      <c r="A98" s="4074" t="s">
        <v>186</v>
      </c>
      <c r="B98" s="4075"/>
      <c r="C98" s="4075"/>
      <c r="D98" s="4075"/>
      <c r="E98" s="4075"/>
      <c r="F98" s="4075"/>
      <c r="G98" s="4075"/>
      <c r="H98" s="4075"/>
      <c r="I98" s="4075"/>
      <c r="J98" s="4075"/>
      <c r="K98" s="4075"/>
      <c r="L98" s="4075"/>
      <c r="M98" s="4075"/>
      <c r="N98" s="4075"/>
      <c r="O98" s="4075"/>
      <c r="P98" s="4075"/>
      <c r="Q98" s="4075"/>
      <c r="R98" s="4075"/>
      <c r="S98" s="4075"/>
      <c r="T98" s="4075"/>
      <c r="U98" s="4075"/>
      <c r="V98" s="4075"/>
      <c r="W98" s="4075"/>
      <c r="X98" s="4075"/>
      <c r="Y98" s="4075"/>
      <c r="Z98" s="4075"/>
      <c r="AA98" s="4075"/>
      <c r="AB98" s="4075"/>
      <c r="AC98" s="4076"/>
    </row>
    <row r="99" spans="1:29">
      <c r="A99" s="4074" t="s">
        <v>187</v>
      </c>
      <c r="B99" s="4075"/>
      <c r="C99" s="4075"/>
      <c r="D99" s="4075"/>
      <c r="E99" s="4075"/>
      <c r="F99" s="4075"/>
      <c r="G99" s="4075"/>
      <c r="H99" s="4075"/>
      <c r="I99" s="4075"/>
      <c r="J99" s="4075"/>
      <c r="K99" s="4075"/>
      <c r="L99" s="4075"/>
      <c r="M99" s="4075"/>
      <c r="N99" s="4075"/>
      <c r="O99" s="4075"/>
      <c r="P99" s="4075"/>
      <c r="Q99" s="4075"/>
      <c r="R99" s="4075"/>
      <c r="S99" s="4075"/>
      <c r="T99" s="4075"/>
      <c r="U99" s="4075"/>
      <c r="V99" s="4075"/>
      <c r="W99" s="4075"/>
      <c r="X99" s="4075"/>
      <c r="Y99" s="4075"/>
      <c r="Z99" s="4075"/>
      <c r="AA99" s="4075"/>
      <c r="AB99" s="4075"/>
      <c r="AC99" s="4076"/>
    </row>
    <row r="100" spans="1:29">
      <c r="A100" s="4074" t="s">
        <v>188</v>
      </c>
      <c r="B100" s="4075"/>
      <c r="C100" s="4075"/>
      <c r="D100" s="4075"/>
      <c r="E100" s="4075"/>
      <c r="F100" s="4075"/>
      <c r="G100" s="4075"/>
      <c r="H100" s="4075"/>
      <c r="I100" s="4075"/>
      <c r="J100" s="4075"/>
      <c r="K100" s="4075"/>
      <c r="L100" s="4075"/>
      <c r="M100" s="4075"/>
      <c r="N100" s="4075"/>
      <c r="O100" s="4075"/>
      <c r="P100" s="4075"/>
      <c r="Q100" s="4075"/>
      <c r="R100" s="4075"/>
      <c r="S100" s="4075"/>
      <c r="T100" s="4075"/>
      <c r="U100" s="4075"/>
      <c r="V100" s="4075"/>
      <c r="W100" s="4075"/>
      <c r="X100" s="4075"/>
      <c r="Y100" s="4075"/>
      <c r="Z100" s="4075"/>
      <c r="AA100" s="4075"/>
      <c r="AB100" s="4075"/>
      <c r="AC100" s="4076"/>
    </row>
    <row r="101" spans="1:29">
      <c r="A101" s="4074" t="s">
        <v>189</v>
      </c>
      <c r="B101" s="4075"/>
      <c r="C101" s="4075"/>
      <c r="D101" s="4075"/>
      <c r="E101" s="4075"/>
      <c r="F101" s="4075"/>
      <c r="G101" s="4075"/>
      <c r="H101" s="4075"/>
      <c r="I101" s="4075"/>
      <c r="J101" s="4075"/>
      <c r="K101" s="4075"/>
      <c r="L101" s="4075"/>
      <c r="M101" s="4075"/>
      <c r="N101" s="4075"/>
      <c r="O101" s="4075"/>
      <c r="P101" s="4075"/>
      <c r="Q101" s="4075"/>
      <c r="R101" s="4075"/>
      <c r="S101" s="4075"/>
      <c r="T101" s="4075"/>
      <c r="U101" s="4075"/>
      <c r="V101" s="4075"/>
      <c r="W101" s="4075"/>
      <c r="X101" s="4075"/>
      <c r="Y101" s="4075"/>
      <c r="Z101" s="4075"/>
      <c r="AA101" s="4075"/>
      <c r="AB101" s="4075"/>
      <c r="AC101" s="4076"/>
    </row>
    <row r="102" spans="1:29" ht="13.5" thickBot="1">
      <c r="A102" s="4061" t="s">
        <v>121</v>
      </c>
      <c r="B102" s="4062"/>
      <c r="C102" s="4062"/>
      <c r="D102" s="4062"/>
      <c r="E102" s="4062"/>
      <c r="F102" s="4062"/>
      <c r="G102" s="4062"/>
      <c r="H102" s="4062"/>
      <c r="I102" s="4062"/>
      <c r="J102" s="4062"/>
      <c r="K102" s="4062"/>
      <c r="L102" s="4062"/>
      <c r="M102" s="4062"/>
      <c r="N102" s="4062"/>
      <c r="O102" s="4062"/>
      <c r="P102" s="4062"/>
      <c r="Q102" s="4062"/>
      <c r="R102" s="4062"/>
      <c r="S102" s="4062"/>
      <c r="T102" s="4062"/>
      <c r="U102" s="4062"/>
      <c r="V102" s="4062"/>
      <c r="W102" s="4062"/>
      <c r="X102" s="4062"/>
      <c r="Y102" s="4062"/>
      <c r="Z102" s="4062"/>
      <c r="AA102" s="4062"/>
      <c r="AB102" s="4062"/>
      <c r="AC102" s="4063"/>
    </row>
  </sheetData>
  <sheetProtection password="E0BE" sheet="1" objects="1" scenarios="1"/>
  <mergeCells count="27">
    <mergeCell ref="A99:AC99"/>
    <mergeCell ref="A100:AC100"/>
    <mergeCell ref="A101:AC101"/>
    <mergeCell ref="A102:AC102"/>
    <mergeCell ref="A1:AC1"/>
    <mergeCell ref="A2:AC2"/>
    <mergeCell ref="A5:AC5"/>
    <mergeCell ref="A28:AC28"/>
    <mergeCell ref="A50:AC50"/>
    <mergeCell ref="T6:V6"/>
    <mergeCell ref="AA6:AC6"/>
    <mergeCell ref="P3:V3"/>
    <mergeCell ref="W3:AC3"/>
    <mergeCell ref="P4:V4"/>
    <mergeCell ref="W4:AC4"/>
    <mergeCell ref="B3:H3"/>
    <mergeCell ref="I3:O3"/>
    <mergeCell ref="B4:H4"/>
    <mergeCell ref="I4:O4"/>
    <mergeCell ref="F6:H6"/>
    <mergeCell ref="M6:O6"/>
    <mergeCell ref="A98:AC98"/>
    <mergeCell ref="A72:AC72"/>
    <mergeCell ref="A94:AC94"/>
    <mergeCell ref="A95:AC95"/>
    <mergeCell ref="A96:AC96"/>
    <mergeCell ref="A97:AC97"/>
  </mergeCells>
  <printOptions horizontalCentered="1"/>
  <pageMargins left="0.7" right="0.7" top="0.75" bottom="0.75" header="0.3" footer="0.3"/>
  <pageSetup scale="50" fitToHeight="2" orientation="landscape" horizontalDpi="1200" verticalDpi="1200" r:id="rId1"/>
  <headerFooter>
    <oddFooter>&amp;L&amp;A&amp;C&amp;F&amp;R&amp;D</oddFooter>
  </headerFooter>
  <rowBreaks count="1" manualBreakCount="1">
    <brk id="71" max="28" man="1"/>
  </rowBreaks>
  <legacyDrawing r:id="rId2"/>
</worksheet>
</file>

<file path=xl/worksheets/sheet3.xml><?xml version="1.0" encoding="utf-8"?>
<worksheet xmlns="http://schemas.openxmlformats.org/spreadsheetml/2006/main" xmlns:r="http://schemas.openxmlformats.org/officeDocument/2006/relationships">
  <sheetPr codeName="Sheet12"/>
  <dimension ref="A1:AA108"/>
  <sheetViews>
    <sheetView zoomScale="85" zoomScaleNormal="85" workbookViewId="0">
      <selection activeCell="G5" sqref="G5"/>
    </sheetView>
  </sheetViews>
  <sheetFormatPr defaultRowHeight="12.75"/>
  <cols>
    <col min="1" max="1" width="43.42578125" customWidth="1"/>
    <col min="2" max="4" width="11.7109375" style="1" customWidth="1"/>
    <col min="5" max="5" width="12.85546875" style="1" customWidth="1"/>
    <col min="6" max="6" width="40.7109375" customWidth="1"/>
    <col min="7" max="10" width="11.7109375" customWidth="1"/>
    <col min="11" max="11" width="22.28515625" style="40" customWidth="1"/>
    <col min="12" max="27" width="9.140625" style="40"/>
  </cols>
  <sheetData>
    <row r="1" spans="1:27" ht="45.75" customHeight="1">
      <c r="A1" s="3918" t="str">
        <f>CONCATENATE("Parameter Values Chosen for ",'Application Setup'!B3," Application of the “Shades of Green” Dairy Farm Management System Calculator, Version 1.1")</f>
        <v>Parameter Values Chosen for Conventional and Organic Farm Environmental Footprints (COFEF) Application of the “Shades of Green” Dairy Farm Management System Calculator, Version 1.1</v>
      </c>
      <c r="B1" s="3919"/>
      <c r="C1" s="3919"/>
      <c r="D1" s="3919"/>
      <c r="E1" s="3919"/>
      <c r="F1" s="3919"/>
      <c r="G1" s="3919"/>
      <c r="H1" s="3919"/>
      <c r="I1" s="3919"/>
      <c r="J1" s="3920"/>
    </row>
    <row r="2" spans="1:27" s="1627" customFormat="1" ht="33" customHeight="1" thickBot="1">
      <c r="A2" s="3911" t="s">
        <v>465</v>
      </c>
      <c r="B2" s="3912"/>
      <c r="C2" s="3912"/>
      <c r="D2" s="3912"/>
      <c r="E2" s="3912"/>
      <c r="F2" s="3912"/>
      <c r="G2" s="3912"/>
      <c r="H2" s="3912"/>
      <c r="I2" s="3912"/>
      <c r="J2" s="3913"/>
      <c r="K2" s="40"/>
      <c r="L2" s="40"/>
      <c r="M2" s="40"/>
      <c r="N2" s="40"/>
      <c r="O2" s="40"/>
      <c r="P2" s="40"/>
      <c r="Q2" s="40"/>
      <c r="R2" s="40"/>
      <c r="S2" s="40"/>
      <c r="T2" s="40"/>
      <c r="U2" s="40"/>
      <c r="V2" s="40"/>
      <c r="W2" s="40"/>
      <c r="X2" s="40"/>
      <c r="Y2" s="40"/>
      <c r="Z2" s="40"/>
      <c r="AA2" s="40"/>
    </row>
    <row r="3" spans="1:27" ht="27.75" customHeight="1" thickTop="1">
      <c r="A3" s="3909"/>
      <c r="B3" s="3914" t="s">
        <v>1156</v>
      </c>
      <c r="C3" s="3915"/>
      <c r="D3" s="3915"/>
      <c r="E3" s="3916"/>
      <c r="F3" s="2215"/>
      <c r="G3" s="3914" t="s">
        <v>389</v>
      </c>
      <c r="H3" s="3915"/>
      <c r="I3" s="3915"/>
      <c r="J3" s="3917"/>
    </row>
    <row r="4" spans="1:27" s="3" customFormat="1" ht="29.25" customHeight="1" thickBot="1">
      <c r="A4" s="3910"/>
      <c r="B4" s="2747" t="s">
        <v>273</v>
      </c>
      <c r="C4" s="2746" t="s">
        <v>274</v>
      </c>
      <c r="D4" s="2745" t="s">
        <v>275</v>
      </c>
      <c r="E4" s="2744" t="s">
        <v>276</v>
      </c>
      <c r="F4" s="2219" t="s">
        <v>282</v>
      </c>
      <c r="G4" s="2220" t="s">
        <v>390</v>
      </c>
      <c r="H4" s="2220" t="s">
        <v>391</v>
      </c>
      <c r="I4" s="2220" t="s">
        <v>392</v>
      </c>
      <c r="J4" s="2221" t="s">
        <v>393</v>
      </c>
      <c r="K4" s="1708"/>
      <c r="L4" s="1708"/>
      <c r="M4" s="1708"/>
      <c r="N4" s="1708"/>
      <c r="O4" s="1708"/>
      <c r="P4" s="1708"/>
      <c r="Q4" s="1708"/>
      <c r="R4" s="1708"/>
      <c r="S4" s="1708"/>
      <c r="T4" s="1708"/>
      <c r="U4" s="1708"/>
      <c r="V4" s="1708"/>
      <c r="W4" s="1708"/>
      <c r="X4" s="1708"/>
      <c r="Y4" s="1708"/>
      <c r="Z4" s="1708"/>
      <c r="AA4" s="1708"/>
    </row>
    <row r="5" spans="1:27" ht="15.75" customHeight="1">
      <c r="A5" s="182" t="s">
        <v>700</v>
      </c>
      <c r="B5" s="170"/>
      <c r="C5" s="42"/>
      <c r="D5" s="419"/>
      <c r="E5" s="2803"/>
      <c r="F5" s="2222"/>
      <c r="G5" s="1628"/>
      <c r="H5" s="1606"/>
      <c r="I5" s="1606"/>
      <c r="J5" s="1682"/>
    </row>
    <row r="6" spans="1:27">
      <c r="A6" s="3614" t="s">
        <v>872</v>
      </c>
      <c r="B6" s="170"/>
      <c r="C6" s="42"/>
      <c r="D6" s="419"/>
      <c r="E6" s="1619"/>
      <c r="F6" s="2222"/>
      <c r="G6" s="1628"/>
      <c r="H6" s="1606"/>
      <c r="I6" s="1606"/>
      <c r="J6" s="1682"/>
    </row>
    <row r="7" spans="1:27" ht="12.75" customHeight="1">
      <c r="A7" s="3616" t="s">
        <v>1655</v>
      </c>
      <c r="B7" s="1607">
        <f>IF(Options!B4=1,F1_Lact_Cows_reported,F1_Lact_Cows_projected)</f>
        <v>0.87644694346987617</v>
      </c>
      <c r="C7" s="1614">
        <f>IF(Options!C4=1,F2_Lact_Cows_reported,F2_Lact_Cows_projected)</f>
        <v>0.87133853621905755</v>
      </c>
      <c r="D7" s="1617">
        <f>IF(Options!D4=1,F3_Lact_Cows_reported,F3_Lact_Cows_projected)</f>
        <v>0.85353715781165618</v>
      </c>
      <c r="E7" s="1620">
        <f>IF(Options!E4=1,F4_Lact_Cows_reported,F4_Lact_Cows_projected)</f>
        <v>0.84391877295312157</v>
      </c>
      <c r="F7" s="2448" t="s">
        <v>642</v>
      </c>
      <c r="G7" s="1628"/>
      <c r="H7" s="1606"/>
      <c r="I7" s="1606"/>
      <c r="J7" s="1682"/>
      <c r="K7" s="2353"/>
    </row>
    <row r="8" spans="1:27" ht="25.5">
      <c r="A8" s="3615" t="s">
        <v>873</v>
      </c>
      <c r="B8" s="1607"/>
      <c r="C8" s="1614"/>
      <c r="D8" s="1617"/>
      <c r="E8" s="1620"/>
      <c r="F8" s="2222"/>
      <c r="G8" s="1628"/>
      <c r="H8" s="1606"/>
      <c r="I8" s="1606"/>
      <c r="J8" s="1682"/>
      <c r="K8" s="2353"/>
    </row>
    <row r="9" spans="1:27" s="2238" customFormat="1">
      <c r="A9" s="236" t="s">
        <v>1298</v>
      </c>
      <c r="B9" s="1607">
        <f>IF(Options!B9=1,F1_Cull_Rate_Involuntary_Lact_Cows_reported,F1_Cull_Rate_Involuntary_Lact_Cows_default)</f>
        <v>0.31999999999999995</v>
      </c>
      <c r="C9" s="1614">
        <f>IF(Options!C9=1,F2_Cull_Rate_Involuntary_Lact_Cows_reported,F2_Cull_Rate_Involuntary_Lact_Cows_default)</f>
        <v>0.27</v>
      </c>
      <c r="D9" s="1617">
        <f>IF(Options!D9=1,F3_Cull_Rate_Involuntary_Lact_Cows_reported,F3_Cull_Rate_Involuntary_Lact_Cows_default)</f>
        <v>0.20000000000000004</v>
      </c>
      <c r="E9" s="1620">
        <f>IF(Options!E9=1,F4_Cull_Rate_Involuntary_Lact_Cows_reported,F4_Cull_Rate_Involuntary_Lact_Cows_default)</f>
        <v>0.15000000000000002</v>
      </c>
      <c r="F9" s="2222" t="s">
        <v>1300</v>
      </c>
      <c r="G9" s="2234"/>
      <c r="H9" s="2235"/>
      <c r="I9" s="2235"/>
      <c r="J9" s="2236"/>
      <c r="K9" s="2237"/>
      <c r="L9" s="2237"/>
      <c r="M9" s="2237"/>
      <c r="N9" s="2237"/>
      <c r="O9" s="2237"/>
      <c r="P9" s="2237"/>
      <c r="Q9" s="2237"/>
      <c r="R9" s="2237"/>
      <c r="S9" s="2237"/>
      <c r="T9" s="2237"/>
      <c r="U9" s="2237"/>
      <c r="V9" s="2237"/>
      <c r="W9" s="2237"/>
      <c r="X9" s="2237"/>
      <c r="Y9" s="2237"/>
      <c r="Z9" s="2237"/>
      <c r="AA9" s="2237"/>
    </row>
    <row r="10" spans="1:27" s="2238" customFormat="1">
      <c r="A10" s="236" t="s">
        <v>1299</v>
      </c>
      <c r="B10" s="1607">
        <f>IF(Options!B14=1,F1_Cull_Rate_Voluntary_Lact_Cows_reported,F1_Cull_Rate_Voluntary_Lact_Cows_default)</f>
        <v>0.05</v>
      </c>
      <c r="C10" s="1614">
        <f>IF(Options!C14=1,F2_Cull_Rate_Voluntary_Lact_Cows_reported,F2_Cull_Rate_Voluntary_Lact_Cows_default)</f>
        <v>4.5000000000000005E-2</v>
      </c>
      <c r="D10" s="1617">
        <f>IF(Options!D14=1,F3_Cull_Rate_Voluntary_Lact_Cows_reported,F3_Cull_Rate_Voluntary_Lact_Cows_default)</f>
        <v>0.05</v>
      </c>
      <c r="E10" s="1620">
        <f>IF(Options!E14=1,F4_Cull_Rate_Voluntary_Lact_Cows_reported,F4_Cull_Rate_Voluntary_Lact_Cows_default)</f>
        <v>6.0000000000000005E-2</v>
      </c>
      <c r="F10" s="2222" t="s">
        <v>1301</v>
      </c>
      <c r="G10" s="2234"/>
      <c r="H10" s="2235"/>
      <c r="I10" s="2235"/>
      <c r="J10" s="2236"/>
      <c r="K10" s="2237"/>
      <c r="L10" s="2237"/>
      <c r="M10" s="2237"/>
      <c r="N10" s="2237"/>
      <c r="O10" s="2237"/>
      <c r="P10" s="2237"/>
      <c r="Q10" s="2237"/>
      <c r="R10" s="2237"/>
      <c r="S10" s="2237"/>
      <c r="T10" s="2237"/>
      <c r="U10" s="2237"/>
      <c r="V10" s="2237"/>
      <c r="W10" s="2237"/>
      <c r="X10" s="2237"/>
      <c r="Y10" s="2237"/>
      <c r="Z10" s="2237"/>
      <c r="AA10" s="2237"/>
    </row>
    <row r="11" spans="1:27">
      <c r="A11" s="236" t="s">
        <v>1195</v>
      </c>
      <c r="B11" s="1607">
        <f>IF(Options!B19=1,F1_Death_Rate_Lact_Cows_reported,F1_Death_Rate_Lact_Cows_default)</f>
        <v>9.219999999999999E-2</v>
      </c>
      <c r="C11" s="1614">
        <f>IF(Options!C19=1,F2_Death_Rate_Lact_Cows_reported,F2_Death_Rate_Lact_Cows_default)</f>
        <v>7.6200000000000004E-2</v>
      </c>
      <c r="D11" s="1617">
        <f>IF(Options!D19=1,F3_Death_Rate_Lact_Cows_reported,F3_Death_Rate_Lact_Cows_default)</f>
        <v>5.0199999999999995E-2</v>
      </c>
      <c r="E11" s="1620">
        <f>IF(Options!E19=1,F4_Death_Rate_Lact_Cows_reported,F4_Death_Rate_Lact_Cows_default)</f>
        <v>4.02E-2</v>
      </c>
      <c r="F11" s="2222" t="s">
        <v>1200</v>
      </c>
      <c r="G11" s="1628"/>
      <c r="H11" s="1606"/>
      <c r="I11" s="1606"/>
      <c r="J11" s="1682"/>
    </row>
    <row r="12" spans="1:27" s="2238" customFormat="1">
      <c r="A12" s="236" t="s">
        <v>1198</v>
      </c>
      <c r="B12" s="1607">
        <f>IF(Options!B24=1,F1_Cull_Rate_Dry_Cows_reported,F1_Cull_Rate_Dry_Cows_default)</f>
        <v>1.4999999999999999E-2</v>
      </c>
      <c r="C12" s="1614">
        <f>IF(Options!C24=1,F2_Cull_Rate_Dry_Cows_reported,F2_Cull_Rate_Dry_Cows_default)</f>
        <v>1.2E-2</v>
      </c>
      <c r="D12" s="1617">
        <f>IF(Options!D24=1,F3_Cull_Rate_Dry_Cows_reported,F3_Cull_Rate_Dry_Cows_default)</f>
        <v>0.01</v>
      </c>
      <c r="E12" s="1620">
        <f>IF(Options!E24=1,F4_Cull_Rate_Dry_Cows_reported,F4_Cull_Rate_Dry_Cows_default)</f>
        <v>0.01</v>
      </c>
      <c r="F12" s="2222" t="s">
        <v>1199</v>
      </c>
      <c r="G12" s="2234"/>
      <c r="H12" s="2235"/>
      <c r="I12" s="2235"/>
      <c r="J12" s="2236"/>
      <c r="K12" s="2237"/>
      <c r="L12" s="2237"/>
      <c r="M12" s="2237"/>
      <c r="N12" s="2237"/>
      <c r="O12" s="2237"/>
      <c r="P12" s="2237"/>
      <c r="Q12" s="2237"/>
      <c r="R12" s="2237"/>
      <c r="S12" s="2237"/>
      <c r="T12" s="2237"/>
      <c r="U12" s="2237"/>
      <c r="V12" s="2237"/>
      <c r="W12" s="2237"/>
      <c r="X12" s="2237"/>
      <c r="Y12" s="2237"/>
      <c r="Z12" s="2237"/>
      <c r="AA12" s="2237"/>
    </row>
    <row r="13" spans="1:27">
      <c r="A13" s="236" t="s">
        <v>1196</v>
      </c>
      <c r="B13" s="1607">
        <f>IF(Options!B29=1,F1_Death_Rate_Dry_Cows_reported,F1_Death_Rate_Dry_Cows_default)</f>
        <v>1.4999999999999999E-2</v>
      </c>
      <c r="C13" s="1614">
        <f>IF(Options!C29=1,F2_Death_Rate_Dry_Cows_reported,F2_Death_Rate_Dry_Cows_default)</f>
        <v>1.2E-2</v>
      </c>
      <c r="D13" s="1617">
        <f>IF(Options!D29=1,F3_Death_Rate_Dry_Cows_reported,F3_Death_Rate_Dry_Cows_default)</f>
        <v>0.01</v>
      </c>
      <c r="E13" s="1620">
        <f>IF(Options!E29=1,F4_Death_Rate_Dry_Cows_reported,F4_Death_Rate_Dry_Cows_default)</f>
        <v>8.0000000000000002E-3</v>
      </c>
      <c r="F13" s="2222" t="s">
        <v>1185</v>
      </c>
      <c r="G13" s="1628"/>
      <c r="H13" s="1606"/>
      <c r="I13" s="1606"/>
      <c r="J13" s="1682"/>
    </row>
    <row r="14" spans="1:27">
      <c r="A14" s="3614" t="s">
        <v>875</v>
      </c>
      <c r="B14" s="1607"/>
      <c r="C14" s="1614"/>
      <c r="D14" s="1617"/>
      <c r="E14" s="1620"/>
      <c r="F14" s="2222"/>
      <c r="G14" s="1628"/>
      <c r="H14" s="1606"/>
      <c r="I14" s="1606"/>
      <c r="J14" s="1682"/>
    </row>
    <row r="15" spans="1:27">
      <c r="A15" s="236" t="s">
        <v>1214</v>
      </c>
      <c r="B15" s="1607">
        <f>IF(Options!B34=1,F1_Death_Rate_Heifers_reported,F1_Death_Rate_Heifers_default)</f>
        <v>0.02</v>
      </c>
      <c r="C15" s="1614">
        <f>IF(Options!C34=1,F2_Death_Rate_Heifers_reported,F2_Death_Rate_Heifers_default)</f>
        <v>1.7999999999999999E-2</v>
      </c>
      <c r="D15" s="1617">
        <f>IF(Options!D34=1,F3_Death_Rate_Heifers_reported,F3_Death_Rate_Heifers_default)</f>
        <v>1.2E-2</v>
      </c>
      <c r="E15" s="1620">
        <f>IF(Options!E34=1,F4_Death_Rate_Heifers_reported,F4_Death_Rate_Heifers_default)</f>
        <v>0.01</v>
      </c>
      <c r="F15" s="2222" t="s">
        <v>1215</v>
      </c>
      <c r="G15" s="1628"/>
      <c r="H15" s="1606"/>
      <c r="I15" s="1606"/>
      <c r="J15" s="1682"/>
    </row>
    <row r="16" spans="1:27">
      <c r="A16" s="236" t="s">
        <v>1656</v>
      </c>
      <c r="B16" s="1607">
        <f>IF(Options!B39=1,F1_Death_Rate_Weaned_Heifers_reported,F1_Death_Rate_Weaned_Heifers_default)</f>
        <v>0.02</v>
      </c>
      <c r="C16" s="1614">
        <f>IF(Options!C39=1,F2_Death_Rate_Weaned_Heifers_reported,F2_Death_Rate_Weaned_Heifers_default)</f>
        <v>1.7999999999999999E-2</v>
      </c>
      <c r="D16" s="1617">
        <f>IF(Options!D39=1,F3_Death_Rate_Weaned_Heifers_reported,F3_Death_Rate_Weaned_Heifers_default)</f>
        <v>1.2E-2</v>
      </c>
      <c r="E16" s="1620">
        <f>IF(Options!E39=1,F4_Death_Rate_Weaned_Heifers_reported,F4_Death_Rate_Weaned_Heifers_default)</f>
        <v>0.01</v>
      </c>
      <c r="F16" s="2222" t="s">
        <v>640</v>
      </c>
      <c r="G16" s="1628"/>
      <c r="H16" s="1606"/>
      <c r="I16" s="1606"/>
      <c r="J16" s="1682"/>
    </row>
    <row r="17" spans="1:10">
      <c r="A17" s="236" t="s">
        <v>1197</v>
      </c>
      <c r="B17" s="1607">
        <f>IF(Options!B44=1,F1_Death_Rate_Unweaned_Heifers_reported,F1_Death_Rate_Unweaned_Heifers_default)</f>
        <v>8.5000000000000006E-2</v>
      </c>
      <c r="C17" s="1614">
        <f>IF(Options!C44=1,F2_Death_Rate_Unweaned_Heifers_reported,F2_Death_Rate_Unweaned_Heifers_default)</f>
        <v>7.8E-2</v>
      </c>
      <c r="D17" s="1617">
        <f>IF(Options!D44=1,F3_Death_Rate_Unweaned_Heifers_reported,F3_Death_Rate_Unweaned_Heifers_default)</f>
        <v>7.0000000000000007E-2</v>
      </c>
      <c r="E17" s="1620">
        <f>IF(Options!E44=1,F4_Death_Rate_Unweaned_Heifers_reported,F4_Death_Rate_Unweaned_Heifers_default)</f>
        <v>0.06</v>
      </c>
      <c r="F17" s="2222" t="s">
        <v>707</v>
      </c>
      <c r="G17" s="1628"/>
      <c r="H17" s="1606"/>
      <c r="I17" s="1606"/>
      <c r="J17" s="1682"/>
    </row>
    <row r="18" spans="1:10">
      <c r="A18" s="3617" t="s">
        <v>781</v>
      </c>
      <c r="B18" s="2445">
        <f>IF(Options!B49=1,F1_Bull_Can_Impregnate_reported,F1_Bull_Can_Impregnate_default)</f>
        <v>40</v>
      </c>
      <c r="C18" s="2303">
        <f>IF(Options!C49=1,F2_Bull_Can_Impregnate_reported,F2_Bull_Can_Impregnate_default)</f>
        <v>40</v>
      </c>
      <c r="D18" s="2447">
        <f>IF(Options!D49=1,F3_Bull_Can_Impregnate_reported,F3_Bull_Can_Impregnate_default)</f>
        <v>40</v>
      </c>
      <c r="E18" s="2449">
        <f>IF(Options!E49=1,F4_Bull_Can_Impregnate_reported,F4_Bull_Can_Impregnate_default)</f>
        <v>40</v>
      </c>
      <c r="F18" s="2222" t="s">
        <v>735</v>
      </c>
      <c r="G18" s="1628"/>
      <c r="H18" s="1606"/>
      <c r="I18" s="1606"/>
      <c r="J18" s="1682"/>
    </row>
    <row r="19" spans="1:10">
      <c r="A19" s="236" t="s">
        <v>71</v>
      </c>
      <c r="B19" s="170" t="str">
        <f>IF(Options!B54=1,Options!B55,IF(Options!B54=2,Options!B56,Options!B57))</f>
        <v>Holstein</v>
      </c>
      <c r="C19" s="42" t="str">
        <f>IF(Options!C54=1,Options!C55,IF(Options!C54=2,Options!C56,Options!C57))</f>
        <v>Holstein</v>
      </c>
      <c r="D19" s="419" t="str">
        <f>IF(Options!D54=1,Options!D55,IF(Options!D54=2,Options!D56,Options!D57))</f>
        <v>Holstein</v>
      </c>
      <c r="E19" s="1619" t="str">
        <f>IF(Options!E54=1,Options!E55,IF(Options!E54=2,Options!E56,Options!E57))</f>
        <v>Jersey</v>
      </c>
      <c r="F19" s="2222"/>
      <c r="G19" s="1628"/>
      <c r="H19" s="1606"/>
      <c r="I19" s="1606"/>
      <c r="J19" s="1682"/>
    </row>
    <row r="20" spans="1:10">
      <c r="A20" s="3614" t="s">
        <v>879</v>
      </c>
      <c r="B20" s="170"/>
      <c r="C20" s="42"/>
      <c r="D20" s="419"/>
      <c r="E20" s="1619"/>
      <c r="F20" s="2222"/>
      <c r="G20" s="1628"/>
      <c r="H20" s="1606"/>
      <c r="I20" s="1606"/>
      <c r="J20" s="1682"/>
    </row>
    <row r="21" spans="1:10">
      <c r="A21" s="236" t="s">
        <v>658</v>
      </c>
      <c r="B21" s="170"/>
      <c r="C21" s="42"/>
      <c r="D21" s="419"/>
      <c r="E21" s="1619"/>
      <c r="F21" s="2222"/>
      <c r="G21" s="1628"/>
      <c r="H21" s="1606"/>
      <c r="I21" s="1606"/>
      <c r="J21" s="1682"/>
    </row>
    <row r="22" spans="1:10">
      <c r="A22" s="209" t="s">
        <v>656</v>
      </c>
      <c r="B22" s="1608">
        <f>IF(Options!$B$60=1,IF(Options!B$65=1,F1_Lact_Cow_Weight_reported,F1_Lact_Cow_Weight_default),IF(Options!B$65=1,F1_Lact_Cow_Weight_reported*Defaults!$D$9,F1_Lact_Cow_Weight_default*Defaults!$D$9))</f>
        <v>600.10260257649486</v>
      </c>
      <c r="C22" s="43">
        <f>IF(Options!C60=1,IF(Options!C65=1,F2_Lact_Cow_Weight_reported,F2_Lact_Cow_Weight_default),IF(Options!C65=1,F2_Lact_Cow_Weight_reported*Defaults!$D$9,F2_Lact_Cow_Weight_default*Defaults!$D$9))</f>
        <v>600.10260257649486</v>
      </c>
      <c r="D22" s="529">
        <f>IF(Options!D60=1,IF(Options!D65=1,F3_Lact_Cow_Weight_reported,F3_Lact_Cow_Weight_default),IF(Options!D65=1,F3_Lact_Cow_Weight_reported*Defaults!$D$9,F3_Lact_Cow_Weight_default*Defaults!$D$9))</f>
        <v>600.10260257649486</v>
      </c>
      <c r="E22" s="1621">
        <f>IF(Options!E60=1,IF(Options!E65=1,F4_Lact_Cow_Weight_reported,F4_Lact_Cow_Weight_default),IF(Options!E65=1,F4_Lact_Cow_Weight_reported*Defaults!$D$9,F4_Lact_Cow_Weight_default*Defaults!$D$9))</f>
        <v>408.2330629772074</v>
      </c>
      <c r="F22" s="2222" t="s">
        <v>657</v>
      </c>
      <c r="G22" s="1628"/>
      <c r="H22" s="1606"/>
      <c r="I22" s="1606"/>
      <c r="J22" s="1682"/>
    </row>
    <row r="23" spans="1:10">
      <c r="A23" s="209" t="s">
        <v>394</v>
      </c>
      <c r="B23" s="170">
        <f>IF(Options!B$60=1,IF(Options!B$70=1,F1_Dry_Cow_Weight_reported,F1_Dry_Cow_Weight_default),IF(Options!B$70=1,F1_Dry_Cow_Weight_reported*Defaults!$D$9,F1_Dry_Cow_Weight_default*Defaults!$D$9))</f>
        <v>755</v>
      </c>
      <c r="C23" s="42">
        <f>IF(Options!C$60=1,IF(Options!C$70=1,F2_Dry_Cow_Weight_reported,F2_Dry_Cow_Weight_default),IF(Options!C$70=1,F2_Dry_Cow_Weight_reported*Defaults!$D$9,F2_Dry_Cow_Weight_default*Defaults!$D$9))</f>
        <v>755</v>
      </c>
      <c r="D23" s="419">
        <f>IF(Options!D$60=1,IF(Options!D$70=1,F3_Dry_Cow_Weight_reported,F3_Dry_Cow_Weight_default),IF(Options!D$70=1,F3_Dry_Cow_Weight_reported*Defaults!$D$9,F3_Dry_Cow_Weight_default*Defaults!$D$9))</f>
        <v>755</v>
      </c>
      <c r="E23" s="1619">
        <f>IF(Options!E$60=1,IF(Options!E$70=1,F4_Dry_Cow_Weight_reported,F4_Dry_Cow_Weight_default),IF(Options!E$70=1,F4_Dry_Cow_Weight_reported*Defaults!$D$9,F4_Dry_Cow_Weight_default*Defaults!$D$9))</f>
        <v>499.99999999999994</v>
      </c>
      <c r="F23" s="2222" t="s">
        <v>666</v>
      </c>
      <c r="G23" s="1628"/>
      <c r="H23" s="1606"/>
      <c r="I23" s="1606"/>
      <c r="J23" s="1682"/>
    </row>
    <row r="24" spans="1:10">
      <c r="A24" s="209" t="s">
        <v>395</v>
      </c>
      <c r="B24" s="170">
        <f>IF(Options!B$60=1,IF(Options!B75=1,F1_Heifer_Weight_reported,F1_Heifer_Weight_default),IF(Options!B$75=1,F1_Heifer_Weight_reported*Defaults!$D$9,F1_Heifer_Weight_default*Defaults!$D$9))</f>
        <v>437</v>
      </c>
      <c r="C24" s="42">
        <f>IF(Options!C$60=1,IF(Options!C$75=1,F2_Heifer_Weight_reported,F2_Heifer_Weight_default),IF(Options!C$75=1,F2_Heifer_Weight_reported*Defaults!$D$9,F2_Heifer_Weight_default*Defaults!$D$9))</f>
        <v>437</v>
      </c>
      <c r="D24" s="419">
        <f>IF(Options!D$60=1,IF(Options!D$75=1,F3_Heifer_Weight_reported,F3_Heifer_Weight_default),IF(Options!D$75=1,F3_Heifer_Weight_reported*Defaults!$D$9,F3_Heifer_Weight_default*Defaults!$D$9))</f>
        <v>437</v>
      </c>
      <c r="E24" s="1619">
        <f>IF(Options!E$60=1,IF(Options!E$75=1,F4_Heifer_Weight_reported,F4_Heifer_Weight_default),IF(Options!E$75=1,F4_Heifer_Weight_reported*Defaults!$D$9,F4_Heifer_Weight_default*Defaults!$D$9))</f>
        <v>275</v>
      </c>
      <c r="F24" s="2222" t="s">
        <v>667</v>
      </c>
      <c r="G24" s="1628"/>
      <c r="H24" s="1606"/>
      <c r="I24" s="1606"/>
      <c r="J24" s="1682"/>
    </row>
    <row r="25" spans="1:10">
      <c r="A25" s="209" t="s">
        <v>396</v>
      </c>
      <c r="B25" s="170">
        <f>IF(Options!B$60=1,IF(Options!B$80=1,F1_Calf_Weight_reported,F1_Calf_Weight_default),IF(Options!B$80=1,F1_Calf_Weight_reported*Defaults!$D$9,F1_Calf_Weight_default*Defaults!$D$9))</f>
        <v>153</v>
      </c>
      <c r="C25" s="42">
        <f>IF(Options!C$60=1,IF(Options!C$80=1,F2_Calf_Weight_reported,F2_Calf_Weight_default),IF(Options!C$80=1,F2_Calf_Weight_reported*Defaults!$D$9,F2_Calf_Weight_default*Defaults!$D$9))</f>
        <v>153</v>
      </c>
      <c r="D25" s="419">
        <f>IF(Options!D$60=1,IF(Options!D$80=1,F3_Calf_Weight_reported,F3_Calf_Weight_default),IF(Options!D$80=1,F3_Calf_Weight_reported*Defaults!$D$9,F3_Calf_Weight_default*Defaults!$D$9))</f>
        <v>153</v>
      </c>
      <c r="E25" s="1619">
        <f>IF(Options!E$60=1,IF(Options!E$80=1,F4_Calf_Weight_reported,F4_Calf_Weight_default),IF(Options!E$80=1,F4_Calf_Weight_reported*Defaults!$D$9,F4_Calf_Weight_default*Defaults!$D$9))</f>
        <v>100</v>
      </c>
      <c r="F25" s="2222" t="s">
        <v>668</v>
      </c>
      <c r="G25" s="1628"/>
      <c r="H25" s="1606"/>
      <c r="I25" s="1606"/>
      <c r="J25" s="1682"/>
    </row>
    <row r="26" spans="1:10">
      <c r="A26" s="209" t="s">
        <v>786</v>
      </c>
      <c r="B26" s="170">
        <f>IF(Options!B$60=1,IF(Options!B$85=1,F1_Grown_Calf_Weight_reported,F1_Grown_Calf_Weight_default),IF(Options!B$85=1,F1_Grown_Calf_Weight_reported*Defaults!$D$9,F1_Grown_Calf_Weight_default*Defaults!$D$9))</f>
        <v>700</v>
      </c>
      <c r="C26" s="42">
        <f>IF(Options!C$60=1,IF(Options!C$85=1,F2_Grown_Calf_Weight_reported,F2_Grown_Calf_Weight_default),IF(Options!C$85=1,F2_Grown_Calf_Weight_reported*Defaults!$D$9,F2_Grown_Calf_Weight_default*Defaults!$D$9))</f>
        <v>700</v>
      </c>
      <c r="D26" s="419">
        <f>IF(Options!D$60=1,IF(Options!D$85=1,F3_Grown_Calf_Weight_reported,F3_Grown_Calf_Weight_default),IF(Options!D$85=1,F3_Grown_Calf_Weight_reported*Defaults!$D$9,F3_Grown_Calf_Weight_default*Defaults!$D$9))</f>
        <v>700</v>
      </c>
      <c r="E26" s="1619">
        <f>IF(Options!E$60=1,IF(Options!E$85=1,F4_Grown_Calf_Weight_reported,F4_Grown_Calf_Weight_default),IF(Options!E$85=1,F4_Grown_Calf_Weight_reported*Defaults!$D$9,F4_Grown_Calf_Weight_default*Defaults!$D$9))</f>
        <v>450</v>
      </c>
      <c r="F26" s="2222" t="s">
        <v>789</v>
      </c>
      <c r="G26" s="1628"/>
      <c r="H26" s="1606"/>
      <c r="I26" s="1606"/>
      <c r="J26" s="1682"/>
    </row>
    <row r="27" spans="1:10">
      <c r="A27" s="236" t="s">
        <v>659</v>
      </c>
      <c r="B27" s="170"/>
      <c r="C27" s="42"/>
      <c r="D27" s="419"/>
      <c r="E27" s="1619"/>
      <c r="F27" s="2222"/>
      <c r="G27" s="1628"/>
      <c r="H27" s="1606"/>
      <c r="I27" s="1606"/>
      <c r="J27" s="1682"/>
    </row>
    <row r="28" spans="1:10">
      <c r="A28" s="209" t="s">
        <v>661</v>
      </c>
      <c r="B28" s="1608">
        <f>IF(Options!B$60=1,IF(Options!B$65=1,F1_Lact_Cow_Weight_reported*Defaults!$D$8,F1_Lact_Cow_Weight_default*Defaults!$D$8),IF(Options!B$65=1,F1_Lact_Cow_Weight_reported,F1_Lact_Cow_Weight_default))</f>
        <v>1323</v>
      </c>
      <c r="C28" s="43">
        <f>IF(Options!C60=1,IF(Options!C65=1,F2_Lact_Cow_Weight_reported*Defaults!D8,F2_Lact_Cow_Weight_default*Defaults!D8),IF(Options!C65=1,F2_Lact_Cow_Weight_reported,F2_Lact_Cow_Weight_default))</f>
        <v>1323</v>
      </c>
      <c r="D28" s="529">
        <f>IF(Options!D60=1,IF(Options!D65=1,F3_Lact_Cow_Weight_reported*Defaults!D8,F3_Lact_Cow_Weight_default*Defaults!D8),IF(Options!D65=1,F3_Lact_Cow_Weight_reported,F3_Lact_Cow_Weight_default))</f>
        <v>1323</v>
      </c>
      <c r="E28" s="1621">
        <f>IF(Options!E60=1,IF(Options!E65=1,F4_Lact_Cow_Weight_reported*Defaults!D8,F4_Lact_Cow_Weight_default*Defaults!D8),IF(Options!E65=1,F4_Lact_Cow_Weight_reported,F4_Lact_Cow_Weight_default))</f>
        <v>900</v>
      </c>
      <c r="F28" s="2222" t="s">
        <v>660</v>
      </c>
      <c r="G28" s="1628"/>
      <c r="H28" s="1606"/>
      <c r="I28" s="1606"/>
      <c r="J28" s="1682"/>
    </row>
    <row r="29" spans="1:10">
      <c r="A29" s="209" t="s">
        <v>662</v>
      </c>
      <c r="B29" s="1608">
        <f>IF(Options!B$60=1,IF(Options!B$70=1,F1_Dry_Cow_Weight_reported*Defaults!$D$8,F1_Dry_Cow_Weight_default*Defaults!$D$8),IF(Options!B$70=1,F1_Dry_Cow_Weight_reported,F1_Dry_Cow_Weight_default))</f>
        <v>1664.4903650000001</v>
      </c>
      <c r="C29" s="43">
        <f>IF(Options!C$60=1,IF(Options!C$70=1,F2_Dry_Cow_Weight_reported*Defaults!$D$8,F2_Dry_Cow_Weight_default*Defaults!$D$8),IF(Options!C$70=1,F2_Dry_Cow_Weight_reported,F2_Dry_Cow_Weight_default))</f>
        <v>1664.4903650000001</v>
      </c>
      <c r="D29" s="529">
        <f>IF(Options!D$60=1,IF(Options!D$70=1,F3_Dry_Cow_Weight_reported*Defaults!$D$8,F3_Dry_Cow_Weight_default*Defaults!$D$8),IF(Options!D$70=1,F3_Dry_Cow_Weight_reported,F3_Dry_Cow_Weight_default))</f>
        <v>1664.4903650000001</v>
      </c>
      <c r="E29" s="1621">
        <f>IF(Options!E$60=1,IF(Options!E$70=1,F4_Dry_Cow_Weight_reported*Defaults!$D$8,F4_Dry_Cow_Weight_default*Defaults!$D$8),IF(Options!E$70=1,F4_Dry_Cow_Weight_reported,F4_Dry_Cow_Weight_default))</f>
        <v>1102.3115</v>
      </c>
      <c r="F29" s="2222" t="s">
        <v>665</v>
      </c>
      <c r="G29" s="1628"/>
      <c r="H29" s="1606"/>
      <c r="I29" s="1606"/>
      <c r="J29" s="1682"/>
    </row>
    <row r="30" spans="1:10">
      <c r="A30" s="209" t="s">
        <v>663</v>
      </c>
      <c r="B30" s="1608">
        <f>IF(Options!B$60=1,IF(Options!B$75=1,F1_Heifer_Weight_reported*Defaults!$D$8,F1_Heifer_Weight_default*Defaults!$D$8),IF(Options!B$75=1,F1_Heifer_Weight_reported,F1_Heifer_Weight_default))</f>
        <v>963.42025100000012</v>
      </c>
      <c r="C30" s="43">
        <f>IF(Options!C$60=1,IF(Options!C$75=1,F2_Heifer_Weight_reported*Defaults!$D$8,F2_Heifer_Weight_default*Defaults!$D$8),IF(Options!C$75=1,F2_Heifer_Weight_reported,F2_Heifer_Weight_default))</f>
        <v>963.42025100000012</v>
      </c>
      <c r="D30" s="529">
        <f>IF(Options!D$60=1,IF(Options!D$75=1,F3_Heifer_Weight_reported*Defaults!$D$8,F3_Heifer_Weight_default*Defaults!$D$8),IF(Options!D$75=1,F3_Heifer_Weight_reported,F3_Heifer_Weight_default))</f>
        <v>963.42025100000012</v>
      </c>
      <c r="E30" s="1621">
        <f>IF(Options!E$60=1,IF(Options!E$75=1,F4_Heifer_Weight_reported*Defaults!$D$8,F4_Heifer_Weight_default*Defaults!$D$8),IF(Options!E$75=1,F4_Heifer_Weight_reported,F4_Heifer_Weight_default))</f>
        <v>606.27132500000005</v>
      </c>
      <c r="F30" s="2222" t="s">
        <v>669</v>
      </c>
      <c r="G30" s="1628"/>
      <c r="H30" s="1606"/>
      <c r="I30" s="1606"/>
      <c r="J30" s="1682"/>
    </row>
    <row r="31" spans="1:10">
      <c r="A31" s="209" t="s">
        <v>664</v>
      </c>
      <c r="B31" s="1608">
        <f>IF(Options!B$60=1,IF(Options!B$80=1,F1_Calf_Weight_reported*Defaults!$D$8,F1_Calf_Weight_default*Defaults!$D$8),IF(Options!B$80=1,F1_Calf_Weight_reported,F1_Calf_Weight_default))</f>
        <v>337.30731900000001</v>
      </c>
      <c r="C31" s="43">
        <f>IF(Options!C$60=1,IF(Options!C$80=1,F2_Calf_Weight_reported*Defaults!$D$8,F2_Calf_Weight_default*Defaults!$D$8),IF(Options!C$80=1,F2_Calf_Weight_reported,F2_Calf_Weight_default))</f>
        <v>337.30731900000001</v>
      </c>
      <c r="D31" s="529">
        <f>IF(Options!D$60=1,IF(Options!D$80=1,F3_Calf_Weight_reported*Defaults!$D$8,F3_Calf_Weight_default*Defaults!$D$8),IF(Options!D$80=1,F3_Calf_Weight_reported,F3_Calf_Weight_default))</f>
        <v>337.30731900000001</v>
      </c>
      <c r="E31" s="1621">
        <f>IF(Options!E$60=1,IF(Options!E$80=1,F4_Calf_Weight_reported*Defaults!$D$8,F4_Calf_Weight_default*Defaults!$D$8),IF(Options!E$80=1,F4_Calf_Weight_reported,F4_Calf_Weight_default))</f>
        <v>220.46230000000003</v>
      </c>
      <c r="F31" s="2222" t="s">
        <v>670</v>
      </c>
      <c r="G31" s="1628"/>
      <c r="H31" s="1606"/>
      <c r="I31" s="1606"/>
      <c r="J31" s="1682"/>
    </row>
    <row r="32" spans="1:10">
      <c r="A32" s="209" t="s">
        <v>787</v>
      </c>
      <c r="B32" s="1608">
        <f>IF(Options!B$60=1,IF(Options!B$85=1,F1_Grown_Calf_Weight_reported*Defaults!$D$8,F1_Grown_Calf_Weight_default*Defaults!$D$8),IF(Options!B$85=1,F1_Grown_Calf_Weight_reported,F1_Grown_Calf_Weight_default))</f>
        <v>1543.2361000000001</v>
      </c>
      <c r="C32" s="43">
        <f>IF(Options!C$60=1,IF(Options!C$85=1,F2_Grown_Calf_Weight_reported*Defaults!$D$8,F2_Grown_Calf_Weight_default*Defaults!$D$8),IF(Options!C$85=1,F2_Grown_Calf_Weight_reported,F2_Grown_Calf_Weight_default))</f>
        <v>1543.2361000000001</v>
      </c>
      <c r="D32" s="529">
        <f>IF(Options!D$60=1,IF(Options!D$85=1,F3_Grown_Calf_Weight_reported*Defaults!$D$8,F3_Grown_Calf_Weight_default*Defaults!$D$8),IF(Options!D$85=1,F3_Grown_Calf_Weight_reported,F3_Grown_Calf_Weight_default))</f>
        <v>1543.2361000000001</v>
      </c>
      <c r="E32" s="1621">
        <f>IF(Options!E$60=1,IF(Options!E$85=1,F4_Grown_Calf_Weight_reported*Defaults!$D$8,F4_Grown_Calf_Weight_default*Defaults!$D$8),IF(Options!E$85=1,F4_Grown_Calf_Weight_reported,F4_Grown_Calf_Weight_default))</f>
        <v>992.08035000000007</v>
      </c>
      <c r="F32" s="2222" t="s">
        <v>788</v>
      </c>
      <c r="G32" s="1628"/>
      <c r="H32" s="1606"/>
      <c r="I32" s="1606"/>
      <c r="J32" s="1682"/>
    </row>
    <row r="33" spans="1:27">
      <c r="A33" s="221"/>
      <c r="B33" s="170"/>
      <c r="C33" s="42"/>
      <c r="D33" s="419"/>
      <c r="E33" s="1619"/>
      <c r="F33" s="2222"/>
      <c r="G33" s="1628"/>
      <c r="H33" s="1606"/>
      <c r="I33" s="1606"/>
      <c r="J33" s="1682"/>
    </row>
    <row r="34" spans="1:27" s="1693" customFormat="1" ht="15">
      <c r="A34" s="3619" t="s">
        <v>1330</v>
      </c>
      <c r="B34" s="3053" t="s">
        <v>1332</v>
      </c>
      <c r="C34" s="3044"/>
      <c r="D34" s="3045"/>
      <c r="E34" s="3046"/>
      <c r="F34" s="3048"/>
      <c r="G34" s="3049"/>
      <c r="H34" s="3050"/>
      <c r="I34" s="3050"/>
      <c r="J34" s="3051"/>
      <c r="K34" s="3052"/>
      <c r="L34" s="3052"/>
      <c r="M34" s="3052"/>
      <c r="N34" s="3052"/>
      <c r="O34" s="3052"/>
      <c r="P34" s="3052"/>
      <c r="Q34" s="3052"/>
      <c r="R34" s="3052"/>
      <c r="S34" s="3052"/>
      <c r="T34" s="3052"/>
      <c r="U34" s="3052"/>
      <c r="V34" s="3052"/>
      <c r="W34" s="3052"/>
      <c r="X34" s="3052"/>
      <c r="Y34" s="3052"/>
      <c r="Z34" s="3052"/>
      <c r="AA34" s="3052"/>
    </row>
    <row r="35" spans="1:27" s="1693" customFormat="1">
      <c r="A35" s="3047"/>
      <c r="B35" s="3043"/>
      <c r="C35" s="3044"/>
      <c r="D35" s="3045"/>
      <c r="E35" s="3046"/>
      <c r="F35" s="3048"/>
      <c r="G35" s="3049"/>
      <c r="H35" s="3050"/>
      <c r="I35" s="3050"/>
      <c r="J35" s="3051"/>
      <c r="K35" s="3052"/>
      <c r="L35" s="3052"/>
      <c r="M35" s="3052"/>
      <c r="N35" s="3052"/>
      <c r="O35" s="3052"/>
      <c r="P35" s="3052"/>
      <c r="Q35" s="3052"/>
      <c r="R35" s="3052"/>
      <c r="S35" s="3052"/>
      <c r="T35" s="3052"/>
      <c r="U35" s="3052"/>
      <c r="V35" s="3052"/>
      <c r="W35" s="3052"/>
      <c r="X35" s="3052"/>
      <c r="Y35" s="3052"/>
      <c r="Z35" s="3052"/>
      <c r="AA35" s="3052"/>
    </row>
    <row r="36" spans="1:27" ht="15">
      <c r="A36" s="182" t="s">
        <v>1331</v>
      </c>
      <c r="B36" s="170"/>
      <c r="C36" s="42"/>
      <c r="D36" s="419"/>
      <c r="E36" s="1619"/>
      <c r="F36" s="2222"/>
      <c r="G36" s="1628"/>
      <c r="H36" s="1606"/>
      <c r="I36" s="1606"/>
      <c r="J36" s="1682"/>
    </row>
    <row r="37" spans="1:27">
      <c r="A37" s="206" t="s">
        <v>401</v>
      </c>
      <c r="B37" s="1608" t="str">
        <f>IF(Options!H4=1,Options!H5,IF(Options!H4=2,Options!H6,Options!H7))</f>
        <v>Multiparous</v>
      </c>
      <c r="C37" s="43" t="str">
        <f>IF(Options!I4=1,Options!I5,IF(Options!I4=2,Options!I6,Options!I7))</f>
        <v>Multiparous</v>
      </c>
      <c r="D37" s="529" t="str">
        <f>IF(Options!J4=1,Options!J5,IF(Options!J4=2,Options!J6,Options!J7))</f>
        <v>Multiparous</v>
      </c>
      <c r="E37" s="1621" t="str">
        <f>IF(Options!K4=1,Options!K5,IF(Options!K4=2,Options!K6,Options!K7))</f>
        <v>Multiparous</v>
      </c>
      <c r="F37" s="2222"/>
      <c r="G37" s="1628"/>
      <c r="H37" s="1606"/>
      <c r="I37" s="1606"/>
      <c r="J37" s="1682"/>
    </row>
    <row r="38" spans="1:27">
      <c r="A38" s="206" t="s">
        <v>244</v>
      </c>
      <c r="B38" s="1608" t="str">
        <f>IF(Options!H10=1,Options!H11,IF(Options!H12=2,Options!H12,Options!H13))</f>
        <v>2-X</v>
      </c>
      <c r="C38" s="43" t="str">
        <f>IF(Options!I10=1,Options!I11,IF(Options!I12=2,Options!I12,Options!I13))</f>
        <v>2-X</v>
      </c>
      <c r="D38" s="529" t="str">
        <f>IF(Options!J10=1,Options!J11,IF(Options!J12=2,Options!J12,Options!J13))</f>
        <v>2-X</v>
      </c>
      <c r="E38" s="1621" t="str">
        <f>IF(Options!K10=1,Options!K11,IF(Options!K12=2,Options!K12,Options!K13))</f>
        <v>2-X</v>
      </c>
      <c r="F38" s="2222"/>
      <c r="G38" s="1628"/>
      <c r="H38" s="1606"/>
      <c r="I38" s="1606"/>
      <c r="J38" s="1682"/>
    </row>
    <row r="39" spans="1:27">
      <c r="A39" s="206" t="s">
        <v>470</v>
      </c>
      <c r="B39" s="1632">
        <f>F1_DIM</f>
        <v>150</v>
      </c>
      <c r="C39" s="1616">
        <f>F2_DIM</f>
        <v>150</v>
      </c>
      <c r="D39" s="1639">
        <f>F3_DIM</f>
        <v>150</v>
      </c>
      <c r="E39" s="1640">
        <f>F4_DIM</f>
        <v>150</v>
      </c>
      <c r="F39" s="2222" t="s">
        <v>402</v>
      </c>
      <c r="G39" s="1629"/>
      <c r="H39" s="1630"/>
      <c r="I39" s="1630"/>
      <c r="J39" s="1683"/>
    </row>
    <row r="40" spans="1:27" ht="6" customHeight="1">
      <c r="A40" s="236"/>
      <c r="B40" s="1610"/>
      <c r="C40" s="1616"/>
      <c r="D40" s="3675"/>
      <c r="E40" s="1623"/>
      <c r="F40" s="2222"/>
      <c r="G40" s="1629"/>
      <c r="H40" s="1630"/>
      <c r="I40" s="1630"/>
      <c r="J40" s="1683"/>
    </row>
    <row r="41" spans="1:27">
      <c r="A41" s="206" t="s">
        <v>360</v>
      </c>
      <c r="B41" s="1609">
        <f>F1_Percent_Milk_Protein</f>
        <v>3</v>
      </c>
      <c r="C41" s="3552">
        <f>F2_Percent_Milk_Protein</f>
        <v>3.2</v>
      </c>
      <c r="D41" s="3553">
        <f>F3_Percent_Milk_Protein</f>
        <v>3.3</v>
      </c>
      <c r="E41" s="1622">
        <f>F4_Percent_Milk_Protein</f>
        <v>3.6</v>
      </c>
      <c r="F41" s="2222" t="s">
        <v>362</v>
      </c>
      <c r="G41" s="1629"/>
      <c r="H41" s="1630"/>
      <c r="I41" s="1630"/>
      <c r="J41" s="1683"/>
    </row>
    <row r="42" spans="1:27">
      <c r="A42" s="206" t="s">
        <v>361</v>
      </c>
      <c r="B42" s="1609">
        <f>F1_Percent_Milk_Fat</f>
        <v>3.5</v>
      </c>
      <c r="C42" s="3552">
        <f>F2_Percent_Milk_Fat</f>
        <v>3.63</v>
      </c>
      <c r="D42" s="3553">
        <f>F3_Percent_Milk_Fat</f>
        <v>3.8</v>
      </c>
      <c r="E42" s="1622">
        <f>F4_Percent_Milk_Fat</f>
        <v>4.9000000000000004</v>
      </c>
      <c r="F42" s="2222" t="s">
        <v>363</v>
      </c>
      <c r="G42" s="1629"/>
      <c r="H42" s="1630"/>
      <c r="I42" s="1630"/>
      <c r="J42" s="1683"/>
    </row>
    <row r="43" spans="1:27">
      <c r="A43" s="206" t="s">
        <v>1415</v>
      </c>
      <c r="B43" s="2787">
        <f>IF(Options!H16=1,F1_Unadjusted_Milk_Production_lb_day_reported,F1_Unadjusted_Milk_Production_lb_day_default)</f>
        <v>75</v>
      </c>
      <c r="C43" s="838">
        <f>IF(Options!I16=1,F2_Unadjusted_Milk_Production_lb_day_reported,F2_Unadjusted_Milk_Production_lb_day_default)</f>
        <v>65</v>
      </c>
      <c r="D43" s="985">
        <f>IF(Options!J16=1,F3_Unadjusted_Milk_Production_lb_day_reported,F3_Unadjusted_Milk_Production_lb_day_default)</f>
        <v>60</v>
      </c>
      <c r="E43" s="2804">
        <f>IF(Options!K16=1,F4_Unadjusted_Milk_Production_lb_day_reported,F4_Unadjusted_Milk_Production_lb_day_default)</f>
        <v>50</v>
      </c>
      <c r="F43" s="2222" t="s">
        <v>1418</v>
      </c>
      <c r="G43" s="1628"/>
      <c r="H43" s="1606"/>
      <c r="I43" s="1606"/>
      <c r="J43" s="1682"/>
    </row>
    <row r="44" spans="1:27">
      <c r="A44" s="206" t="s">
        <v>1416</v>
      </c>
      <c r="B44" s="2787">
        <f>IF(Options!H16=1,F1_Unadjusted_Milk_Production_kg_day_reported,F1_Unadjusted_Milk_Production_kg_day_default)</f>
        <v>34.019421914767285</v>
      </c>
      <c r="C44" s="838">
        <f>IF(Options!I16=1,F2_Unadjusted_Milk_Production_kg_day_reported,F2_Unadjusted_Milk_Production_kg_day_default)</f>
        <v>29.483498992798314</v>
      </c>
      <c r="D44" s="985">
        <f>IF(Options!J16=1,F3_Unadjusted_Milk_Production_kg_day_reported,F3_Unadjusted_Milk_Production_kg_day_default)</f>
        <v>27.215537531813826</v>
      </c>
      <c r="E44" s="2804">
        <f>IF(Options!K16=1,F4_Unadjusted_Milk_Production_kg_day_reported,F4_Unadjusted_Milk_Production_kg_day_default)</f>
        <v>22.679614609844855</v>
      </c>
      <c r="F44" s="2222" t="s">
        <v>1417</v>
      </c>
      <c r="G44" s="1628"/>
      <c r="H44" s="1606"/>
      <c r="I44" s="1606"/>
      <c r="J44" s="1682"/>
    </row>
    <row r="45" spans="1:27" ht="6" customHeight="1">
      <c r="A45" s="236"/>
      <c r="B45" s="1610"/>
      <c r="C45" s="1616"/>
      <c r="D45" s="3675"/>
      <c r="E45" s="1623"/>
      <c r="F45" s="2222"/>
      <c r="G45" s="1629"/>
      <c r="H45" s="1630"/>
      <c r="I45" s="1630"/>
      <c r="J45" s="1683"/>
    </row>
    <row r="46" spans="1:27">
      <c r="A46" s="206" t="s">
        <v>115</v>
      </c>
      <c r="B46" s="2787">
        <f>IF(Options!H21=1, F1_Length_of_Lactation_reported,F1_Length_of_Lactation_projected)</f>
        <v>410.01521739130436</v>
      </c>
      <c r="C46" s="838">
        <f>IF(Options!I21=1, F2_Length_of_Lactation_reported,F2_Length_of_Lactation_projected)</f>
        <v>391.44096385542167</v>
      </c>
      <c r="D46" s="985">
        <f>IF(Options!J21=1, F3_Length_of_Lactation_reported,F3_Length_of_Lactation_projected)</f>
        <v>336.83934426229507</v>
      </c>
      <c r="E46" s="2804">
        <f>IF(Options!K21=1, F4_Length_of_Lactation_reported,F4_Length_of_Lactation_projected)</f>
        <v>312.52</v>
      </c>
      <c r="F46" s="2222" t="s">
        <v>1376</v>
      </c>
      <c r="G46" s="1629"/>
      <c r="H46" s="1630"/>
      <c r="I46" s="1630"/>
      <c r="J46" s="1683"/>
      <c r="K46" s="2788"/>
    </row>
    <row r="47" spans="1:27">
      <c r="A47" s="206" t="s">
        <v>1657</v>
      </c>
      <c r="B47" s="1610">
        <f>IF(Options!H26=1,F1_Dryoff_Period_reported,F1_Dryoff_Period_default)</f>
        <v>57.8</v>
      </c>
      <c r="C47" s="2778">
        <f>IF(Options!I26=1,F2_Dryoff_Period_reported,F2_Dryoff_Period_default)</f>
        <v>57.8</v>
      </c>
      <c r="D47" s="3554">
        <f>IF(Options!J26=1,F3_Dryoff_Period_reported,F3_Dryoff_Period_default)</f>
        <v>57.8</v>
      </c>
      <c r="E47" s="1623">
        <f>IF(Options!K26=1,F4_Dryoff_Period_reported,F4_Dryoff_Period_default)</f>
        <v>57.8</v>
      </c>
      <c r="F47" s="2222" t="s">
        <v>314</v>
      </c>
      <c r="G47" s="1629"/>
      <c r="H47" s="1630"/>
      <c r="I47" s="1630"/>
      <c r="J47" s="1683"/>
    </row>
    <row r="48" spans="1:27">
      <c r="A48" s="206"/>
      <c r="B48" s="170"/>
      <c r="C48" s="838"/>
      <c r="D48" s="419"/>
      <c r="E48" s="1619"/>
      <c r="F48" s="2222"/>
      <c r="G48" s="1629"/>
      <c r="H48" s="1630"/>
      <c r="I48" s="1630"/>
      <c r="J48" s="1683"/>
    </row>
    <row r="49" spans="1:11" ht="15">
      <c r="A49" s="182" t="s">
        <v>1333</v>
      </c>
      <c r="B49" s="170"/>
      <c r="C49" s="42"/>
      <c r="D49" s="3724"/>
      <c r="E49" s="1619"/>
      <c r="F49" s="2223"/>
      <c r="G49" s="1629"/>
      <c r="H49" s="1630"/>
      <c r="I49" s="1630"/>
      <c r="J49" s="1683"/>
    </row>
    <row r="50" spans="1:11">
      <c r="A50" s="207" t="s">
        <v>403</v>
      </c>
      <c r="B50" s="170" t="str">
        <f>IF(Options!N4=1,Options!N5,IF(Options!N4=2,Options!N6,Options!N7))</f>
        <v>AI with Sync</v>
      </c>
      <c r="C50" s="42" t="str">
        <f>IF(Options!P4=1,Options!P5,IF(Options!P4=2,Options!P6,Options!P7))</f>
        <v>AI with Sync</v>
      </c>
      <c r="D50" s="3724" t="str">
        <f>IF(Options!R4=1,Options!R5,IF(Options!R4=2,Options!R6,Options!R7))</f>
        <v>AI w/o Sync</v>
      </c>
      <c r="E50" s="1619" t="str">
        <f>IF(Options!T4=1,Options!T5,IF(Options!T4=2,Options!T6,Options!T7))</f>
        <v>AI w/o Sync</v>
      </c>
      <c r="F50" s="2222" t="s">
        <v>676</v>
      </c>
      <c r="G50" s="1629"/>
      <c r="H50" s="1630"/>
      <c r="I50" s="1630"/>
      <c r="J50" s="1683"/>
    </row>
    <row r="51" spans="1:11">
      <c r="A51" s="3614" t="s">
        <v>1305</v>
      </c>
      <c r="B51" s="170"/>
      <c r="C51" s="42"/>
      <c r="D51" s="3724"/>
      <c r="E51" s="1619"/>
      <c r="F51" s="2222"/>
      <c r="G51" s="1629"/>
      <c r="H51" s="1630"/>
      <c r="I51" s="1630"/>
      <c r="J51" s="1683"/>
    </row>
    <row r="52" spans="1:11">
      <c r="A52" s="236" t="s">
        <v>729</v>
      </c>
      <c r="B52" s="1610"/>
      <c r="C52" s="1616"/>
      <c r="D52" s="3723"/>
      <c r="E52" s="1623"/>
      <c r="F52" s="2222"/>
      <c r="G52" s="1629"/>
      <c r="H52" s="1630"/>
      <c r="I52" s="1630"/>
      <c r="J52" s="1683"/>
    </row>
    <row r="53" spans="1:11">
      <c r="A53" s="209" t="s">
        <v>761</v>
      </c>
      <c r="B53" s="170">
        <f>IF(Options!O11=1,F1_Age_at_1st_Breeding_reported,F1_Age_at_1st_Breeding_default)</f>
        <v>12.65</v>
      </c>
      <c r="C53" s="42">
        <f>IF(Options!P11=1,F2_Age_at_1st_Breeding_reported,F2_Age_at_1st_Breeding_default)</f>
        <v>12.65</v>
      </c>
      <c r="D53" s="419">
        <f>IF(Options!Q11=3,F3_Age_at_1st_Breeding_reported,F3_Age_at_1st_Breeding_default)</f>
        <v>12.65</v>
      </c>
      <c r="E53" s="1619">
        <f>IF(Options!R11=3,F4_Age_at_1st_Breeding_reported,F4_Age_at_1st_Breeding_default)</f>
        <v>12.65</v>
      </c>
      <c r="F53" s="2222"/>
      <c r="G53" s="1629"/>
      <c r="H53" s="1630"/>
      <c r="I53" s="1630"/>
      <c r="J53" s="1683"/>
    </row>
    <row r="54" spans="1:11">
      <c r="A54" s="209" t="s">
        <v>719</v>
      </c>
      <c r="B54" s="1607">
        <f>IF(Options!O23=1,F1_Heifer_Failure_to_Breed_Rate_reported,F1_Heifer_Failure_to_Breed_Rate_default)</f>
        <v>0.12</v>
      </c>
      <c r="C54" s="1614">
        <f>IF(Options!Q23=1,F2_Heifer_Failure_to_Breed_Rate_reported,F2_Heifer_Failure_to_Breed_Rate_default)</f>
        <v>0.12</v>
      </c>
      <c r="D54" s="1617">
        <f>IF(Options!S23=1,F3_Heifer_Failure_to_Breed_Rate_reported,F3_Heifer_Failure_to_Breed_Rate_default)</f>
        <v>0.12</v>
      </c>
      <c r="E54" s="1620">
        <f>IF(Options!U23=1,F4_Heifer_Failure_to_Breed_Rate_reported,F4_Heifer_Failure_to_Breed_Rate_default)</f>
        <v>0.1</v>
      </c>
      <c r="F54" s="2448" t="s">
        <v>725</v>
      </c>
      <c r="G54" s="1628"/>
      <c r="H54" s="1606"/>
      <c r="I54" s="1606"/>
      <c r="J54" s="1682"/>
    </row>
    <row r="55" spans="1:11">
      <c r="A55" s="209" t="s">
        <v>253</v>
      </c>
      <c r="B55" s="1610">
        <f>IF(Options!O29=1,F1_Cow_Breeding_Attempts_reported,IF(Options!O29=2,F1_Cow_Breeding_Attempts_default,F1_Breeding_Attempts_projected))</f>
        <v>3.5</v>
      </c>
      <c r="C55" s="2778">
        <f>IF(Options!Q29=1,F2_Cow_Breeding_Attempts_reported,IF(Options!Q29=2,F2_Cow_Breeding_Attempts_default,F2_Breeding_Attempts_projected))</f>
        <v>3.3</v>
      </c>
      <c r="D55" s="2777">
        <f>IF(Options!S29=1,F3_Cow_Breeding_Attempts_reported,IF(Options!S29=2,F3_Cow_Breeding_Attempts_default,F3_Cow_Breeding_Attempts_projected))</f>
        <v>2.2999999999999998</v>
      </c>
      <c r="E55" s="1623">
        <f>IF(Options!U29=1,F4_Cow_Breeding_Attempts_reported,IF(Options!U29=2,F4_Cow_Breeding_Attempts_default,F4_Cow_Breeding_Attempts_default))</f>
        <v>1.8</v>
      </c>
      <c r="F55" s="2222" t="s">
        <v>726</v>
      </c>
      <c r="G55" s="1629"/>
      <c r="H55" s="1630"/>
      <c r="I55" s="1630"/>
      <c r="J55" s="1683"/>
    </row>
    <row r="56" spans="1:11">
      <c r="A56" s="209" t="s">
        <v>254</v>
      </c>
      <c r="B56" s="1613">
        <f>IF(Options!O35=1,F1_Heifer_Days_between_Breeding_Attempts_reported,IF(Options!O35=2,F1_Heifer_Days_between_Breeding_Attempts_default,F1_Heifer_Days_between_Breeding_Attempts_projected))</f>
        <v>50.967741935483879</v>
      </c>
      <c r="C56" s="1583">
        <f>IF(Options!Q35=1,F2_Heifer_Days_between_Breeding_Attempts_reported,IF(Options!Q35=2,F2_Heifer_Days_between_Breeding_Attempts_default,F2_Heifer_Days_between_Breeding_Attempts_projected))</f>
        <v>47.452830188679236</v>
      </c>
      <c r="D56" s="1585">
        <f>IF(Options!S35=1,F3_Heifer_Days_between_Breeding_Attempts_reported,IF(Options!S35=2,F3_Heifer_Days_between_Breeding_Attempts_default,F3_Heifer_Days_between_Breeding_Attempts_projected))</f>
        <v>40.833333333333329</v>
      </c>
      <c r="E56" s="1626">
        <f>IF(Options!U35=1,F4_Heifer_Days_between_Breeding_Attempts_reported,IF(Options!U35=2,F4_Heifer_Days_between_Breeding_Attempts_default,F4_Heifer_Days_between_Breeding_Attempts_projected))</f>
        <v>38.090909090909093</v>
      </c>
      <c r="F56" s="2222" t="s">
        <v>724</v>
      </c>
      <c r="G56" s="1629"/>
      <c r="H56" s="1630"/>
      <c r="I56" s="1630"/>
      <c r="J56" s="1683"/>
    </row>
    <row r="57" spans="1:11" ht="6" customHeight="1">
      <c r="A57" s="236"/>
      <c r="B57" s="1610"/>
      <c r="C57" s="1616"/>
      <c r="D57" s="3563"/>
      <c r="E57" s="1623"/>
      <c r="F57" s="2222"/>
      <c r="G57" s="1629"/>
      <c r="H57" s="1630"/>
      <c r="I57" s="1630"/>
      <c r="J57" s="1683"/>
    </row>
    <row r="58" spans="1:11">
      <c r="A58" s="236" t="s">
        <v>730</v>
      </c>
      <c r="B58" s="1610"/>
      <c r="C58" s="2778"/>
      <c r="D58" s="2777"/>
      <c r="E58" s="1623"/>
      <c r="F58" s="2222"/>
      <c r="G58" s="1629"/>
      <c r="H58" s="1630"/>
      <c r="I58" s="1630"/>
      <c r="J58" s="1683"/>
    </row>
    <row r="59" spans="1:11">
      <c r="A59" s="209" t="s">
        <v>813</v>
      </c>
      <c r="B59" s="1610">
        <f>IF(Options!N17=1,F1_Calving_to_1st_Breeding_Attempt_reported,F1_Calving_to_1st_Breeding_Attempt_default)</f>
        <v>60</v>
      </c>
      <c r="C59" s="2778">
        <f>IF(Options!P17=1,F2_Calving_to_1st_Breeding_Attempt_reported,F2_Calving_to_1st_Breeding_Attempt_default)</f>
        <v>60</v>
      </c>
      <c r="D59" s="2777">
        <f>IF(Options!R17=1,F3_Calving_to_1st_Breeding_Attempt_reported,F3_Calving_to_1st_Breeding_Attempt_default)</f>
        <v>60</v>
      </c>
      <c r="E59" s="1623">
        <f>IF(Options!T17=1,F4_Calving_to_1st_Breeding_Attempt_reported,F4_Calving_to_1st_Breeding_Attempt_default)</f>
        <v>60</v>
      </c>
      <c r="F59" s="2222" t="s">
        <v>356</v>
      </c>
      <c r="G59" s="1629"/>
      <c r="H59" s="1630"/>
      <c r="I59" s="1630"/>
      <c r="J59" s="1683"/>
    </row>
    <row r="60" spans="1:11">
      <c r="A60" s="209" t="s">
        <v>719</v>
      </c>
      <c r="B60" s="1607">
        <f>IF(Options!N23=1,F1_Cow_Failure_to_Breed_Rate_reported,F1_Cow_Failure_to_Breed_Rate_default)</f>
        <v>0.38</v>
      </c>
      <c r="C60" s="1614">
        <f>IF(Options!P23=1,F2_Cow_Failure_to_Breed_Rate_reported,F2_Cow_Failure_to_Breed_Rate_default)</f>
        <v>0.28000000000000003</v>
      </c>
      <c r="D60" s="1617">
        <f>IF(Options!R23=1,F3_Cow_Failure_to_Breed_Rate_reported,F3_Cow_Failure_to_Breed_Rate_default)</f>
        <v>0.28000000000000003</v>
      </c>
      <c r="E60" s="1620">
        <f>IF(Options!T23=1,F4_Cow_Failure_to_Breed_Rate_reported,F4_Cow_Failure_to_Breed_Rate_default)</f>
        <v>0.22</v>
      </c>
      <c r="F60" s="2448" t="s">
        <v>728</v>
      </c>
      <c r="G60" s="1628"/>
      <c r="H60" s="1606"/>
      <c r="I60" s="1606"/>
      <c r="J60" s="1682"/>
    </row>
    <row r="61" spans="1:11">
      <c r="A61" s="209" t="s">
        <v>253</v>
      </c>
      <c r="B61" s="1610">
        <f>IF(Options!N29=1,F1_Cow_Breeding_Attempts_reported,IF(Options!N29=2,F1_Cow_Breeding_Attempts_default,F1_Breeding_Attempts_projected))</f>
        <v>3.5</v>
      </c>
      <c r="C61" s="2778">
        <f>IF(Options!P29=1,F2_Cow_Breeding_Attempts_reported,IF(Options!P29=2,F2_Cow_Breeding_Attempts_default,F2_Breeding_Attempts_projected))</f>
        <v>3.3</v>
      </c>
      <c r="D61" s="2777">
        <f>IF(Options!R29=1,F3_Cow_Breeding_Attempts_reported,IF(Options!R29=2,F3_Cow_Breeding_Attempts_default,F3_Cow_Breeding_Attempts_projected))</f>
        <v>2.2999999999999998</v>
      </c>
      <c r="E61" s="1623">
        <f>IF(Options!T29=1,F4_Cow_Breeding_Attempts_reported,IF(Options!T29=2,F4_Cow_Breeding_Attempts_default,F4_Cow_Breeding_Attempts_default))</f>
        <v>1.8</v>
      </c>
      <c r="F61" s="2222" t="s">
        <v>727</v>
      </c>
      <c r="G61" s="1629"/>
      <c r="H61" s="1630"/>
      <c r="I61" s="1630"/>
      <c r="J61" s="1683"/>
    </row>
    <row r="62" spans="1:11">
      <c r="A62" s="209" t="s">
        <v>254</v>
      </c>
      <c r="B62" s="1613">
        <f>IF(Options!N35=1,F1_Cow_Days_between_Breeding_Attempts_reported,IF(Options!N35=2,F1_Cow_Days_between_Breeding_Attempts_default,F1_Cow_Days_between_Breeding_Attempts_projected))</f>
        <v>50.326086956521735</v>
      </c>
      <c r="C62" s="1583">
        <f>IF(Options!O35=1,F2_Cow_Days_between_Breeding_Attempts_reported,IF(Options!O35=2,F2_Cow_Days_between_Breeding_Attempts_default,F2_Cow_Days_between_Breeding_Attempts_projected))</f>
        <v>46.626506024096393</v>
      </c>
      <c r="D62" s="1585">
        <f>IF(Options!P35=1,F3_Cow_Days_between_Breeding_Attempts_reported,IF(Options!P35=2,F3_Cow_Days_between_Breeding_Attempts_default,F3_Cow_Days_between_Breeding_Attempts_projected))</f>
        <v>40.491803278688529</v>
      </c>
      <c r="E62" s="1626">
        <f>IF(Options!Q35=1,F4_Cow_Days_between_Breeding_Attempts_reported,IF(Options!Q35=2,F4_Cow_Days_between_Breeding_Attempts_default,F4_Cow_Days_between_Breeding_Attempts_projected))</f>
        <v>35.400000000000006</v>
      </c>
      <c r="F62" s="2222" t="s">
        <v>723</v>
      </c>
      <c r="G62" s="1629"/>
      <c r="H62" s="1630"/>
      <c r="I62" s="1630"/>
      <c r="J62" s="1683"/>
      <c r="K62" s="39"/>
    </row>
    <row r="63" spans="1:11">
      <c r="A63" s="3614" t="s">
        <v>1306</v>
      </c>
      <c r="B63" s="1613"/>
      <c r="C63" s="1583"/>
      <c r="D63" s="1585"/>
      <c r="E63" s="1626"/>
      <c r="F63" s="2222"/>
      <c r="G63" s="1629"/>
      <c r="H63" s="1630"/>
      <c r="I63" s="1630"/>
      <c r="J63" s="1683"/>
    </row>
    <row r="64" spans="1:11">
      <c r="A64" s="236" t="s">
        <v>729</v>
      </c>
      <c r="B64" s="1610"/>
      <c r="C64" s="1616"/>
      <c r="D64" s="3563"/>
      <c r="E64" s="1623"/>
      <c r="F64" s="2222"/>
      <c r="G64" s="1629"/>
      <c r="H64" s="1630"/>
      <c r="I64" s="1630"/>
      <c r="J64" s="1683"/>
    </row>
    <row r="65" spans="1:10">
      <c r="A65" s="209" t="s">
        <v>732</v>
      </c>
      <c r="B65" s="1610"/>
      <c r="C65" s="1616"/>
      <c r="D65" s="2777"/>
      <c r="E65" s="1623"/>
      <c r="F65" s="2222"/>
      <c r="G65" s="1629"/>
      <c r="H65" s="1630"/>
      <c r="I65" s="1630"/>
      <c r="J65" s="1683"/>
    </row>
    <row r="66" spans="1:10">
      <c r="A66" s="210" t="s">
        <v>748</v>
      </c>
      <c r="B66" s="1634">
        <f>IF(Options!O42=1,F1_Unsuccessful_Breeding_Heifers_Percent_reported,F1_Unsuccessful_Breeding_Heifers_Percent_default)</f>
        <v>0.4</v>
      </c>
      <c r="C66" s="2548">
        <f>IF(Options!Q42=1,F2_Unsuccessful_Breeding_Heifers_Percent_reported,F2_Unsuccessful_Breeding_Heifers_Percent_default)</f>
        <v>0.35</v>
      </c>
      <c r="D66" s="2549">
        <f>IF(Options!S42=1,F3_Unsuccessful_Breeding_Heifers_Percent_reported,F3_Unsuccessful_Breeding_Heifers_Percent_default)</f>
        <v>0.25</v>
      </c>
      <c r="E66" s="2550">
        <f>IF(Options!U42=1,F4_Unsuccessful_Breeding_Heifers_Percent_reported,F4_Unsuccessful_Breeding_Heifers_Percent_default)</f>
        <v>0.2</v>
      </c>
      <c r="F66" s="2222" t="s">
        <v>746</v>
      </c>
      <c r="G66" s="1629"/>
      <c r="H66" s="1630"/>
      <c r="I66" s="1630"/>
      <c r="J66" s="1683"/>
    </row>
    <row r="67" spans="1:10">
      <c r="A67" s="210" t="s">
        <v>1658</v>
      </c>
      <c r="B67" s="1610">
        <f>IF(Options!O48=1,F1_Unsuccessful_Breeding_Heifers_Days_reported,F1_Unsuccessful_Breeding_Heifers_Days_default)</f>
        <v>42</v>
      </c>
      <c r="C67" s="2778">
        <f>IF(Options!Q48=1,F2_Unsuccessful_Breeding_Heifers_Days_reported,F2_Unsuccessful_Breeding_Heifers_Days_default)</f>
        <v>38</v>
      </c>
      <c r="D67" s="2777">
        <f>IF(Options!S48=1,F3_Unsuccessful_Breeding_Heifers_Days_reported,F3_Unsuccessful_Breeding_Heifers_Days_default)</f>
        <v>30</v>
      </c>
      <c r="E67" s="1623">
        <f>IF(Options!U48=1,F4_Unsuccessful_Breeding_Heifers_Days_reported,F4_Unsuccessful_Breeding_Heifers_Days_default)</f>
        <v>28</v>
      </c>
      <c r="F67" s="2222" t="s">
        <v>747</v>
      </c>
      <c r="G67" s="1629"/>
      <c r="H67" s="1630"/>
      <c r="I67" s="1630"/>
      <c r="J67" s="1683"/>
    </row>
    <row r="68" spans="1:10">
      <c r="A68" s="209" t="s">
        <v>861</v>
      </c>
      <c r="B68" s="1610"/>
      <c r="C68" s="2987"/>
      <c r="D68" s="2990"/>
      <c r="E68" s="1623"/>
      <c r="F68" s="2222"/>
      <c r="G68" s="1629"/>
      <c r="H68" s="1630"/>
      <c r="I68" s="1630"/>
      <c r="J68" s="1683"/>
    </row>
    <row r="69" spans="1:10">
      <c r="A69" s="210" t="s">
        <v>741</v>
      </c>
      <c r="B69" s="1610"/>
      <c r="C69" s="1616"/>
      <c r="D69" s="2777"/>
      <c r="E69" s="1623"/>
      <c r="F69" s="2222"/>
      <c r="G69" s="1629"/>
      <c r="H69" s="1630"/>
      <c r="I69" s="1630"/>
      <c r="J69" s="1683"/>
    </row>
    <row r="70" spans="1:10">
      <c r="A70" s="3618" t="s">
        <v>748</v>
      </c>
      <c r="B70" s="1634">
        <f>IF(Options!O54=1,F1_Embryonic_Loss_Rate_Heifers_reported,F1_Embryonic_Loss_Rate_Heifers_default)</f>
        <v>0.18</v>
      </c>
      <c r="C70" s="2548">
        <f>IF(Options!Q54=1,F2_Embryonic_Loss_Rate_Heifers_reported,F2_Embryonic_Loss_Rate_Heifers_default)</f>
        <v>0.15</v>
      </c>
      <c r="D70" s="2549">
        <f>IF(Options!S54=1,F3_Embryonic_Loss_Rate_Heifers_reported,F3_Embryonic_Loss_Rate_Heifers_default)</f>
        <v>0.09</v>
      </c>
      <c r="E70" s="2550">
        <f>IF(Options!U54=1,F4_Embryonic_Loss_Rate_Heifers_reported,F4_Embryonic_Loss_Rate_Heifers_default)</f>
        <v>0.06</v>
      </c>
      <c r="F70" s="2222" t="s">
        <v>751</v>
      </c>
      <c r="G70" s="1629"/>
      <c r="H70" s="1630"/>
      <c r="I70" s="1630"/>
      <c r="J70" s="1683"/>
    </row>
    <row r="71" spans="1:10">
      <c r="A71" s="3618" t="s">
        <v>1658</v>
      </c>
      <c r="B71" s="1610">
        <f>IF(Options!O60=1,F1_Embryonic_Loss_Days_Heifers_reported,F1_Embryonic_Loss_Days_Heifers_default)</f>
        <v>60</v>
      </c>
      <c r="C71" s="2778">
        <f>IF(Options!Q60=1,F2_Embryonic_Loss_Days_Heifers_reported,F2_Embryonic_Loss_Days_Heifers_default)</f>
        <v>60</v>
      </c>
      <c r="D71" s="2777">
        <f>IF(Options!S60=1,F3_Embryonic_Loss_Days_Heifers_reported,F3_Embryonic_Loss_Days_Heifers_default)</f>
        <v>60</v>
      </c>
      <c r="E71" s="1623">
        <f>IF(Options!U60=1,F4_Embryonic_Loss_Days_Heifers_reported,F4_Embryonic_Loss_Days_Heifers_default)</f>
        <v>60</v>
      </c>
      <c r="F71" s="2222" t="s">
        <v>752</v>
      </c>
      <c r="G71" s="1629"/>
      <c r="H71" s="1630"/>
      <c r="I71" s="1630"/>
      <c r="J71" s="1683"/>
    </row>
    <row r="72" spans="1:10">
      <c r="A72" s="210" t="s">
        <v>745</v>
      </c>
      <c r="B72" s="1610"/>
      <c r="C72" s="1616"/>
      <c r="D72" s="2777"/>
      <c r="E72" s="1623"/>
      <c r="F72" s="2222"/>
      <c r="G72" s="1629"/>
      <c r="H72" s="1606"/>
      <c r="I72" s="1630"/>
      <c r="J72" s="1683"/>
    </row>
    <row r="73" spans="1:10">
      <c r="A73" s="3618" t="s">
        <v>748</v>
      </c>
      <c r="B73" s="1634">
        <f>IF(Options!O65=1,F1_Abortion_Rate_Heifers_reported,F1_Abortion_Rate_Heifers_default)</f>
        <v>0.04</v>
      </c>
      <c r="C73" s="2548">
        <f>IF(Options!Q65=1,F2_Abortion_Rate_Heifers_reported,F2_Abortion_Rate_Heifers_default)</f>
        <v>0.03</v>
      </c>
      <c r="D73" s="2549">
        <f>IF(Options!S65=1,F3_Abortion_Rate_Heifers_reported,F3_Abortion_Rate_Heifers_default)</f>
        <v>0.02</v>
      </c>
      <c r="E73" s="2550">
        <f>IF(Options!U65=1,F4_Abortion_Rate_Heifers_reported,F4_Abortion_Rate_Heifers_default)</f>
        <v>1.4999999999999999E-2</v>
      </c>
      <c r="F73" s="2222" t="s">
        <v>759</v>
      </c>
      <c r="G73" s="1629"/>
      <c r="H73" s="1630"/>
      <c r="I73" s="1630"/>
      <c r="J73" s="1683"/>
    </row>
    <row r="74" spans="1:10">
      <c r="A74" s="3618" t="s">
        <v>1658</v>
      </c>
      <c r="B74" s="1610">
        <f>IF(Options!O71=1,F1_Abortion_Days_Heifers_reported,F1_Abortion_Days_Heifers_default)</f>
        <v>100</v>
      </c>
      <c r="C74" s="2778">
        <f>IF(Options!Q71=1,F2_Abortion_Days_Heifers_reported,F2_Abortion_Days_Heifers_default)</f>
        <v>95</v>
      </c>
      <c r="D74" s="2777">
        <f>IF(Options!S71=1,F3_Abortion_Days_Heifers_reported,F3_Abortion_Days_Heifers_default)</f>
        <v>90</v>
      </c>
      <c r="E74" s="1623">
        <f>IF(Options!U71=1,F4_Abortion_Days_Heifers_reported,F4_Abortion_Days_Heifers_default)</f>
        <v>85</v>
      </c>
      <c r="F74" s="2222" t="s">
        <v>758</v>
      </c>
      <c r="G74" s="1629"/>
      <c r="H74" s="1630"/>
      <c r="I74" s="1630"/>
      <c r="J74" s="1683"/>
    </row>
    <row r="75" spans="1:10" ht="6" customHeight="1">
      <c r="A75" s="236"/>
      <c r="B75" s="1610"/>
      <c r="C75" s="1616"/>
      <c r="D75" s="2777"/>
      <c r="E75" s="1623"/>
      <c r="F75" s="2222"/>
      <c r="G75" s="1629"/>
      <c r="H75" s="1630"/>
      <c r="I75" s="1630"/>
      <c r="J75" s="1683"/>
    </row>
    <row r="76" spans="1:10">
      <c r="A76" s="236" t="s">
        <v>730</v>
      </c>
      <c r="B76" s="1610"/>
      <c r="C76" s="3561"/>
      <c r="D76" s="3563"/>
      <c r="E76" s="1623"/>
      <c r="F76" s="2222"/>
      <c r="G76" s="1629"/>
      <c r="H76" s="1630"/>
      <c r="I76" s="1630"/>
      <c r="J76" s="1683"/>
    </row>
    <row r="77" spans="1:10">
      <c r="A77" s="209" t="s">
        <v>731</v>
      </c>
      <c r="B77" s="1610"/>
      <c r="C77" s="1616"/>
      <c r="D77" s="2990"/>
      <c r="E77" s="1623"/>
      <c r="F77" s="2222"/>
      <c r="G77" s="1629"/>
      <c r="H77" s="1630"/>
      <c r="I77" s="1630"/>
      <c r="J77" s="1683"/>
    </row>
    <row r="78" spans="1:10">
      <c r="A78" s="210" t="s">
        <v>1410</v>
      </c>
      <c r="B78" s="1634">
        <f>IF(Options!N42=1,F1_Unsuccessful_Breeding_Cows_Percent_reported,F1_Unsuccessful_Breeding_Cows_Percent_default)</f>
        <v>0.65</v>
      </c>
      <c r="C78" s="2548">
        <f>IF(Options!P42=1,F2_Unsuccessful_Breeding_Cows_Percent_reported,F2_Unsuccessful_Breeding_Cows_Percent_default)</f>
        <v>0.6</v>
      </c>
      <c r="D78" s="2549">
        <f>IF(Options!R42=1,F3_Unsuccessful_Breeding_Cows_Percent_reported,F3_Unsuccessful_Breeding_Cows_Percent_default)</f>
        <v>0.45</v>
      </c>
      <c r="E78" s="2550">
        <f>IF(Options!T42=1,F4_Unsuccessful_Breeding_Cows_Percent_reported,F4_Unsuccessful_Breeding_Cows_Percent_default)</f>
        <v>0.4</v>
      </c>
      <c r="F78" s="2222" t="s">
        <v>738</v>
      </c>
      <c r="G78" s="1629"/>
      <c r="H78" s="1630"/>
      <c r="I78" s="1630"/>
      <c r="J78" s="1683"/>
    </row>
    <row r="79" spans="1:10">
      <c r="A79" s="210" t="s">
        <v>1658</v>
      </c>
      <c r="B79" s="1610">
        <f>IF(Options!N48=1,F1_Unsuccessful_Breeding_Cows_Days_reported,F1_Unsuccessful_Breeding_Cows_Days_default)</f>
        <v>42</v>
      </c>
      <c r="C79" s="2778">
        <f>IF(Options!P48=1,F2_Unsuccessful_Breeding_Cows_Days_reported,F2_Unsuccessful_Breeding_Cows_Days_default)</f>
        <v>38</v>
      </c>
      <c r="D79" s="2777">
        <f>IF(Options!R48=1,F3_Unsuccessful_Breeding_Cows_Days_reported,F3_Unsuccessful_Breeding_Cows_Days_default)</f>
        <v>30</v>
      </c>
      <c r="E79" s="1623">
        <f>IF(Options!T48=1,F4_Unsuccessful_Breeding_Cows_Days_reported,F4_Unsuccessful_Breeding_Cows_Days_default)</f>
        <v>28</v>
      </c>
      <c r="F79" s="2222" t="s">
        <v>739</v>
      </c>
      <c r="G79" s="1629"/>
      <c r="H79" s="1630"/>
      <c r="I79" s="1630"/>
      <c r="J79" s="1683"/>
    </row>
    <row r="80" spans="1:10">
      <c r="A80" s="209" t="s">
        <v>860</v>
      </c>
      <c r="B80" s="1610"/>
      <c r="C80" s="2987"/>
      <c r="D80" s="2990"/>
      <c r="E80" s="1623"/>
      <c r="F80" s="2222"/>
      <c r="G80" s="1629"/>
      <c r="H80" s="1630"/>
      <c r="I80" s="1630"/>
      <c r="J80" s="1683"/>
    </row>
    <row r="81" spans="1:27">
      <c r="A81" s="210" t="s">
        <v>741</v>
      </c>
      <c r="B81" s="1610"/>
      <c r="C81" s="1616"/>
      <c r="D81" s="2777"/>
      <c r="E81" s="1623"/>
      <c r="F81" s="2222"/>
      <c r="G81" s="1629"/>
      <c r="H81" s="1630"/>
      <c r="I81" s="1630"/>
      <c r="J81" s="1683"/>
    </row>
    <row r="82" spans="1:27">
      <c r="A82" s="3618" t="s">
        <v>1410</v>
      </c>
      <c r="B82" s="1634">
        <f>IF(Options!N54=1,F1_Embryonic_Loss_Rate_Cows_reported,F1_Embryonic_Loss_Rate_Cows_default)</f>
        <v>0.2</v>
      </c>
      <c r="C82" s="2548">
        <f>IF(Options!P54=1,F2_Embryonic_Loss_Rate_Cows_reported,F2_Embryonic_Loss_Rate_Cows_default)</f>
        <v>0.17</v>
      </c>
      <c r="D82" s="2549">
        <f>IF(Options!R54=1,F3_Embryonic_Loss_Rate_Cows_reported,F3_Embryonic_Loss_Rate_Cows_default)</f>
        <v>0.12</v>
      </c>
      <c r="E82" s="2550">
        <f>IF(Options!T54=1,F4_Embryonic_Loss_Rate_Cows_reported,F4_Embryonic_Loss_Rate_Cows_default)</f>
        <v>0.08</v>
      </c>
      <c r="F82" s="2222" t="s">
        <v>749</v>
      </c>
      <c r="G82" s="1629"/>
      <c r="H82" s="1630"/>
      <c r="I82" s="1630"/>
      <c r="J82" s="1683"/>
    </row>
    <row r="83" spans="1:27">
      <c r="A83" s="3618" t="s">
        <v>1658</v>
      </c>
      <c r="B83" s="1610">
        <f>IF(Options!N60=1,F1_Embryonic_Loss_Days_Cows_reported,F1_Embryonic_Loss_Days_Cows_default)</f>
        <v>60</v>
      </c>
      <c r="C83" s="2778">
        <f>IF(Options!P60=1,F2_Embryonic_Loss_Days_Cows_reported,F2_Embryonic_Loss_Days_Cows_default)</f>
        <v>60</v>
      </c>
      <c r="D83" s="2777">
        <f>IF(Options!R60=1,F3_Embryonic_Loss_Days_Cows_reported,F3_Embryonic_Loss_Days_Cows_default)</f>
        <v>60</v>
      </c>
      <c r="E83" s="1623">
        <f>IF(Options!T60=1,F4_Embryonic_Loss_Days_Cows_reported,F4_Embryonic_Loss_Days_Cows_default)</f>
        <v>60</v>
      </c>
      <c r="F83" s="2222" t="s">
        <v>750</v>
      </c>
      <c r="G83" s="1629"/>
      <c r="H83" s="1630"/>
      <c r="I83" s="1630"/>
      <c r="J83" s="1683"/>
    </row>
    <row r="84" spans="1:27">
      <c r="A84" s="210" t="s">
        <v>745</v>
      </c>
      <c r="B84" s="1610"/>
      <c r="C84" s="1616"/>
      <c r="D84" s="2777"/>
      <c r="E84" s="1623"/>
      <c r="F84" s="2222"/>
      <c r="G84" s="1629"/>
      <c r="H84" s="1630"/>
      <c r="I84" s="1630"/>
      <c r="J84" s="1683"/>
    </row>
    <row r="85" spans="1:27">
      <c r="A85" s="3618" t="s">
        <v>1410</v>
      </c>
      <c r="B85" s="1634">
        <f>IF(Options!N65=1,F1_Abortion_Rate_Cows_reported,F1_Abortion_Rate_Cows_default)</f>
        <v>7.0000000000000007E-2</v>
      </c>
      <c r="C85" s="2548">
        <f>IF(Options!P65=1,F2_Abortion_Rate_Cows_reported,F2_Abortion_Rate_Cows_default)</f>
        <v>0.06</v>
      </c>
      <c r="D85" s="2549">
        <f>IF(Options!R65=1,F3_Abortion_Rate_Cows_reported,F3_Abortion_Rate_Cows_default)</f>
        <v>0.04</v>
      </c>
      <c r="E85" s="2550">
        <f>IF(Options!T65=1,F4_Abortion_Rate_Cows_reported,F4_Abortion_Rate_Cows_default)</f>
        <v>0.02</v>
      </c>
      <c r="F85" s="2222" t="s">
        <v>757</v>
      </c>
      <c r="G85" s="1629"/>
      <c r="H85" s="1630"/>
      <c r="I85" s="1630"/>
      <c r="J85" s="1683"/>
    </row>
    <row r="86" spans="1:27">
      <c r="A86" s="3618" t="s">
        <v>1658</v>
      </c>
      <c r="B86" s="1610">
        <f>IF(Options!N71=1,F1_Abortion_Days_Cows_reported,F1_Abortion_Days_Cows_default)</f>
        <v>100</v>
      </c>
      <c r="C86" s="2778">
        <f>IF(Options!P71=1,F2_Abortion_Days_Cows_reported,F2_Abortion_Days_Cows_default)</f>
        <v>95</v>
      </c>
      <c r="D86" s="2777">
        <f>IF(Options!R72=1,F3_Abortion_Days_Cows_reported,F3_Abortion_Days_Cows_default)</f>
        <v>100</v>
      </c>
      <c r="E86" s="1623">
        <f>IF(Options!T71=1,F4_Abortion_Days_Cows_reported,F4_Abortion_Days_Cows_default)</f>
        <v>85</v>
      </c>
      <c r="F86" s="2222" t="s">
        <v>756</v>
      </c>
      <c r="G86" s="1629"/>
      <c r="H86" s="1630"/>
      <c r="I86" s="1630"/>
      <c r="J86" s="1683"/>
    </row>
    <row r="87" spans="1:27" ht="6" customHeight="1">
      <c r="A87" s="206"/>
      <c r="B87" s="1610"/>
      <c r="C87" s="1616"/>
      <c r="D87" s="3675"/>
      <c r="E87" s="1623"/>
      <c r="F87" s="2222"/>
      <c r="G87" s="1629"/>
      <c r="H87" s="1630"/>
      <c r="I87" s="1630"/>
      <c r="J87" s="1683"/>
    </row>
    <row r="88" spans="1:27">
      <c r="A88" s="3614" t="s">
        <v>1334</v>
      </c>
      <c r="B88" s="1610"/>
      <c r="C88" s="1616"/>
      <c r="D88" s="3563"/>
      <c r="E88" s="1623"/>
      <c r="F88" s="2222"/>
      <c r="G88" s="1629"/>
      <c r="H88" s="1630"/>
      <c r="I88" s="1630"/>
      <c r="J88" s="1683"/>
    </row>
    <row r="89" spans="1:27">
      <c r="A89" s="236" t="s">
        <v>39</v>
      </c>
      <c r="B89" s="1632">
        <f>IF(Options!N76=1,F1_Calving_Interval_reported,F1_Calving_Interval_projected)</f>
        <v>467.81521739130437</v>
      </c>
      <c r="C89" s="1616">
        <f>IF(Options!P76=1,F2_Calving_Interval_reported,F2_Calving_Interval_projected)</f>
        <v>449.24096385542168</v>
      </c>
      <c r="D89" s="1639">
        <f>IF(Options!R76=1,F3_Calving_Interval_reported,F3_Calving_Interval_projected)</f>
        <v>394.63934426229508</v>
      </c>
      <c r="E89" s="1640">
        <f>IF(Options!T76=1,F4_Calving_Interval_reported,F4_Calving_Interval_projected)</f>
        <v>370.32</v>
      </c>
      <c r="F89" s="2222" t="s">
        <v>313</v>
      </c>
      <c r="G89" s="1629"/>
      <c r="H89" s="1630"/>
      <c r="I89" s="1630"/>
      <c r="J89" s="1683"/>
      <c r="K89" s="2788"/>
    </row>
    <row r="90" spans="1:27">
      <c r="A90" s="236" t="s">
        <v>1659</v>
      </c>
      <c r="B90" s="1613">
        <f>IF(Options!N81=1,F1_Age_at_1st_Birthing_reported,IF(Options!N81=2,F1_Age_at_1st_Birthing_default,F1_Age_at_1st_Birthing_projected))</f>
        <v>26.117741935483874</v>
      </c>
      <c r="C90" s="1583">
        <f>IF(Options!P81=1,F2_Age_at_1st_Birthing_reported,IF(Options!P81=2,F2_Age_at_1st_Birthing_default,F2_Age_at_1st_Birthing_projected))</f>
        <v>25.516497020854022</v>
      </c>
      <c r="D90" s="1585">
        <f>IF(Options!R81=1,F3_Age_at_1st_Birthing_reported,IF(Options!R81=2,F3_Age_at_1st_Birthing_default,F3_Age_at_1st_Birthing_projected))</f>
        <v>23.672478070175437</v>
      </c>
      <c r="E90" s="1626">
        <f>IF(Options!T81=1,F4_Age_at_1st_Birthing_reported,IF(Options!T81=2,F4_Age_at_1st_Birthing_default,F4_Age_at_1st_Birthing_projected))</f>
        <v>22.928708133971291</v>
      </c>
      <c r="F90" s="2222" t="s">
        <v>355</v>
      </c>
      <c r="G90" s="1629"/>
      <c r="H90" s="1630"/>
      <c r="I90" s="1630"/>
      <c r="J90" s="1683"/>
      <c r="K90" s="2366"/>
    </row>
    <row r="91" spans="1:27">
      <c r="A91" s="3614" t="s">
        <v>1308</v>
      </c>
      <c r="B91" s="1610"/>
      <c r="C91" s="1616"/>
      <c r="D91" s="3675"/>
      <c r="E91" s="1623"/>
      <c r="F91" s="2222"/>
      <c r="G91" s="1629"/>
      <c r="H91" s="1630"/>
      <c r="I91" s="1630"/>
      <c r="J91" s="1683"/>
    </row>
    <row r="92" spans="1:27">
      <c r="A92" s="236" t="s">
        <v>122</v>
      </c>
      <c r="B92" s="1610">
        <f>IF(Options!N87=1,F1_Days_in_Diverted_Milk_reported,F1_Days_in_Diverted_Milk_default)</f>
        <v>14.5</v>
      </c>
      <c r="C92" s="2789">
        <f>IF(Options!P87=1,F2_Days_in_Diverted_Milk_reported,F2_Days_in_Diverted_Milk_default)</f>
        <v>10.5</v>
      </c>
      <c r="D92" s="3273">
        <f>IF(Options!R87=1,F3_Days_in_Diverted_Milk_reported,F3_Days_in_Diverted_Milk_default)</f>
        <v>9</v>
      </c>
      <c r="E92" s="1623">
        <f>IF(Options!T87=1,F4_Days_in_Diverted_Milk_reported,F4_Days_in_Diverted_Milk_default)</f>
        <v>7.4</v>
      </c>
      <c r="F92" s="2222" t="s">
        <v>830</v>
      </c>
      <c r="G92" s="1629"/>
      <c r="H92" s="1630"/>
      <c r="I92" s="1630"/>
      <c r="J92" s="1683"/>
    </row>
    <row r="93" spans="1:27">
      <c r="A93" s="236" t="s">
        <v>311</v>
      </c>
      <c r="B93" s="1609">
        <f>IF(Options!N92=1,F1_Age_at_EOL_reported,F1_Age_at_EOL_projected)</f>
        <v>4.476514020925551</v>
      </c>
      <c r="C93" s="1615">
        <f>IF(Options!P92=1,F2_Age_at_EOL_reported,F2_Age_at_EOL_projected)</f>
        <v>4.7162216103186916</v>
      </c>
      <c r="D93" s="3274">
        <f>IF(Options!R92=1,F3_Age_at_EOL_reported,F3_Age_at_EOL_projected)</f>
        <v>6.2461742275483134</v>
      </c>
      <c r="E93" s="1622">
        <f>IF(Options!T92=1,F4_Age_at_EOL_reported,F4_Age_at_EOL_projected)</f>
        <v>6.4478201978719438</v>
      </c>
      <c r="F93" s="2222" t="s">
        <v>312</v>
      </c>
      <c r="G93" s="1629"/>
      <c r="H93" s="1630"/>
      <c r="I93" s="1630"/>
      <c r="J93" s="1683"/>
      <c r="K93" s="2788"/>
    </row>
    <row r="94" spans="1:27">
      <c r="A94" s="236" t="s">
        <v>149</v>
      </c>
      <c r="B94" s="2787">
        <f>F1_Number_of_Lactations_reported</f>
        <v>1.8</v>
      </c>
      <c r="C94" s="838">
        <f>F2_Number_of_Lactations_reported</f>
        <v>2.11</v>
      </c>
      <c r="D94" s="985">
        <f>F3_Number_of_Lactations_reported</f>
        <v>3.96</v>
      </c>
      <c r="E94" s="2804">
        <f>F4_Number_of_Lactations_reported</f>
        <v>4.4800000000000004</v>
      </c>
      <c r="F94" s="2222" t="s">
        <v>315</v>
      </c>
      <c r="G94" s="1629"/>
      <c r="H94" s="1630"/>
      <c r="I94" s="1630"/>
      <c r="J94" s="1683"/>
    </row>
    <row r="95" spans="1:27" s="1693" customFormat="1">
      <c r="A95" s="206"/>
      <c r="B95" s="1609"/>
      <c r="C95" s="3564"/>
      <c r="D95" s="3565"/>
      <c r="E95" s="1622"/>
      <c r="F95" s="2222"/>
      <c r="G95" s="1629"/>
      <c r="H95" s="1630"/>
      <c r="I95" s="1630"/>
      <c r="J95" s="1683"/>
      <c r="K95" s="3052"/>
      <c r="L95" s="3052"/>
      <c r="M95" s="3052"/>
      <c r="N95" s="3052"/>
      <c r="O95" s="3052"/>
      <c r="P95" s="3052"/>
      <c r="Q95" s="3052"/>
      <c r="R95" s="3052"/>
      <c r="S95" s="3052"/>
      <c r="T95" s="3052"/>
      <c r="U95" s="3052"/>
      <c r="V95" s="3052"/>
      <c r="W95" s="3052"/>
      <c r="X95" s="3052"/>
      <c r="Y95" s="3052"/>
      <c r="Z95" s="3052"/>
      <c r="AA95" s="3052"/>
    </row>
    <row r="96" spans="1:27" ht="15">
      <c r="A96" s="182" t="s">
        <v>445</v>
      </c>
      <c r="B96" s="1610"/>
      <c r="C96" s="2778"/>
      <c r="D96" s="2777"/>
      <c r="E96" s="1623"/>
      <c r="F96" s="2448"/>
      <c r="G96" s="1630"/>
      <c r="H96" s="1630"/>
      <c r="I96" s="1630"/>
      <c r="J96" s="1683"/>
    </row>
    <row r="97" spans="1:10">
      <c r="A97" s="3614" t="s">
        <v>881</v>
      </c>
      <c r="B97" s="1610"/>
      <c r="C97" s="3561"/>
      <c r="D97" s="3563"/>
      <c r="E97" s="1623"/>
      <c r="F97" s="2448"/>
      <c r="G97" s="1630"/>
      <c r="H97" s="1630"/>
      <c r="I97" s="1630"/>
      <c r="J97" s="1683"/>
    </row>
    <row r="98" spans="1:10">
      <c r="A98" s="236" t="s">
        <v>218</v>
      </c>
      <c r="B98" s="1633">
        <f>F1_Cow_Dressing_Rate</f>
        <v>0.48</v>
      </c>
      <c r="C98" s="1635">
        <f>F2_Cow_Dressing_Rate</f>
        <v>0.5</v>
      </c>
      <c r="D98" s="1636">
        <f>F3_Cow_Dressing_Rate</f>
        <v>0.48</v>
      </c>
      <c r="E98" s="1637">
        <f>F4_Cow_Dressing_Rate</f>
        <v>0.5</v>
      </c>
      <c r="F98" s="2448" t="s">
        <v>446</v>
      </c>
      <c r="G98" s="1630"/>
      <c r="H98" s="1630"/>
      <c r="I98" s="1630"/>
      <c r="J98" s="1683"/>
    </row>
    <row r="99" spans="1:10">
      <c r="A99" s="236" t="s">
        <v>444</v>
      </c>
      <c r="B99" s="1633">
        <f>F1_Calf_Dressing_Rate</f>
        <v>0.57999999999999996</v>
      </c>
      <c r="C99" s="1635">
        <f>F2_Calf_Dressing_Rate</f>
        <v>0.57999999999999996</v>
      </c>
      <c r="D99" s="1636">
        <f>F3_Calf_Dressing_Rate</f>
        <v>0.57999999999999996</v>
      </c>
      <c r="E99" s="1637">
        <f>F4_Calf_Dressing_Rate</f>
        <v>0.57999999999999996</v>
      </c>
      <c r="F99" s="2448" t="s">
        <v>447</v>
      </c>
      <c r="G99" s="1630"/>
      <c r="H99" s="1630"/>
      <c r="I99" s="1630"/>
      <c r="J99" s="1683"/>
    </row>
    <row r="100" spans="1:10">
      <c r="A100" s="3614" t="s">
        <v>981</v>
      </c>
      <c r="B100" s="1633"/>
      <c r="C100" s="1635"/>
      <c r="D100" s="1636"/>
      <c r="E100" s="1637"/>
      <c r="F100" s="2448"/>
      <c r="G100" s="1630"/>
      <c r="H100" s="1630"/>
      <c r="I100" s="1630"/>
      <c r="J100" s="1683"/>
    </row>
    <row r="101" spans="1:10">
      <c r="A101" s="236" t="s">
        <v>769</v>
      </c>
      <c r="B101" s="2602">
        <f>IF(Options!Y9=1,F1_Milk_Price_reported,F1_Milk_Price_default)</f>
        <v>0.1593</v>
      </c>
      <c r="C101" s="2603">
        <f>IF(Options!Z9=1,F2_Milk_Price_reported,F2_Milk_Price_default)</f>
        <v>0.1593</v>
      </c>
      <c r="D101" s="2604">
        <f>IF(Options!AA9=1,F3_Milk_Price_reported,F3_Milk_Price_default)</f>
        <v>0.26819999999999999</v>
      </c>
      <c r="E101" s="2805">
        <f>IF(Options!AB9=1,F4_Milk_Price_reported,F4_Milk_Price_default)</f>
        <v>0.26819999999999999</v>
      </c>
      <c r="F101" s="2448" t="s">
        <v>773</v>
      </c>
      <c r="G101" s="1630"/>
      <c r="H101" s="1630"/>
      <c r="I101" s="1630"/>
      <c r="J101" s="1683"/>
    </row>
    <row r="102" spans="1:10" ht="25.5">
      <c r="A102" s="3615" t="s">
        <v>882</v>
      </c>
      <c r="B102" s="2602"/>
      <c r="C102" s="2603"/>
      <c r="D102" s="2604"/>
      <c r="E102" s="2805"/>
      <c r="F102" s="2448"/>
      <c r="G102" s="1630"/>
      <c r="H102" s="1630"/>
      <c r="I102" s="1630"/>
      <c r="J102" s="1683"/>
    </row>
    <row r="103" spans="1:10">
      <c r="A103" s="236" t="s">
        <v>770</v>
      </c>
      <c r="B103" s="1633" t="str">
        <f>IF(Options!Y4=1,"Birth", "Slaughter")</f>
        <v>Birth</v>
      </c>
      <c r="C103" s="1635" t="str">
        <f>IF(Options!Z4=1,"Birth", "Slaughter")</f>
        <v>Birth</v>
      </c>
      <c r="D103" s="1636" t="str">
        <f>IF(Options!AA4=1,"Birth", "Slaughter")</f>
        <v>Birth</v>
      </c>
      <c r="E103" s="1637" t="str">
        <f>IF(Options!AB4=1,"Birth", "Slaughter")</f>
        <v>Birth</v>
      </c>
      <c r="F103" s="2448"/>
      <c r="G103" s="1630"/>
      <c r="H103" s="1630"/>
      <c r="I103" s="1630"/>
      <c r="J103" s="1683"/>
    </row>
    <row r="104" spans="1:10">
      <c r="A104" s="236" t="s">
        <v>1660</v>
      </c>
      <c r="B104" s="2606">
        <f>IF(Options!Y14=1,F1_Meat_Price_Cow_reported,F1_Meat_Price_Cow_default)</f>
        <v>0.42</v>
      </c>
      <c r="C104" s="2607">
        <f>IF(Options!Z14=1,F2_Meat_Price_Cow_reported,F2_Meat_Price_Cow_default)</f>
        <v>0.42</v>
      </c>
      <c r="D104" s="2608">
        <f>IF(Options!AA14=1,F3_Meat_Price_Cow_reported,F3_Meat_Price_Cow_default)</f>
        <v>0.5</v>
      </c>
      <c r="E104" s="2806">
        <f>IF(Options!AB14=1,F4_Meat_Price_Cow_reported,F4_Meat_Price_Cow_default)</f>
        <v>0.5</v>
      </c>
      <c r="F104" s="2448" t="s">
        <v>805</v>
      </c>
      <c r="G104" s="1630"/>
      <c r="H104" s="1630"/>
      <c r="I104" s="1630"/>
      <c r="J104" s="1683"/>
    </row>
    <row r="105" spans="1:10">
      <c r="A105" s="236" t="s">
        <v>1661</v>
      </c>
      <c r="B105" s="2606">
        <f>IF(Options!Y19=1,F1_Meat_Price_Calf_reported,F1_Meat_Price_Calf_default)</f>
        <v>0.85</v>
      </c>
      <c r="C105" s="2607">
        <f>IF(Options!Z19=1,F2_Meat_Price_Calf_reported,F2_Meat_Price_Calf_default)</f>
        <v>0.85</v>
      </c>
      <c r="D105" s="2608">
        <f>IF(Options!AA19=1,F3_Meat_Price_Calf_reported,F3_Meat_Price_Calf_default)</f>
        <v>1.3</v>
      </c>
      <c r="E105" s="2806">
        <f>IF(Options!AB19=1,F4_Meat_Price_Calf_reported,F4_Meat_Price_Calf_default)</f>
        <v>1.3</v>
      </c>
      <c r="F105" s="2448" t="s">
        <v>806</v>
      </c>
      <c r="G105" s="1630"/>
      <c r="H105" s="1630"/>
      <c r="I105" s="1630"/>
      <c r="J105" s="1683"/>
    </row>
    <row r="106" spans="1:10">
      <c r="A106" s="3615" t="s">
        <v>883</v>
      </c>
      <c r="B106" s="2602">
        <f>IF(Options!Y24=1,F1_Market_Value_Heifer_Calf_reported,F1_Market_Value_Heifer_Calf_default)</f>
        <v>250</v>
      </c>
      <c r="C106" s="2603">
        <f>IF(Options!Z24=1,F2_Market_Value_Heifer_Calf_reported,F2_Market_Value_Heifer_Calf_default)</f>
        <v>250</v>
      </c>
      <c r="D106" s="2604">
        <f>IF(Options!AA24=1,F3_Market_Value_Heifer_Calf_reported,F3_Market_Value_Heifer_Calf_default)</f>
        <v>250</v>
      </c>
      <c r="E106" s="2805">
        <f>IF(Options!AB24=1,F4_Market_Value_Heifer_Calf_reported,F4_Market_Value_Heifer_Calf_default)</f>
        <v>250</v>
      </c>
      <c r="F106" s="2448" t="s">
        <v>774</v>
      </c>
      <c r="G106" s="1630"/>
      <c r="H106" s="1630"/>
      <c r="I106" s="1630"/>
      <c r="J106" s="1683"/>
    </row>
    <row r="107" spans="1:10">
      <c r="A107" s="236" t="s">
        <v>771</v>
      </c>
      <c r="B107" s="2602">
        <f>IF(Options!Y29=1,F1_Market_Value_Bull_Calf_reported,F1_Market_Value_Bull_Calf_default)</f>
        <v>40</v>
      </c>
      <c r="C107" s="2603">
        <f>IF(Options!Z29=1,F2_Market_Value_Bull_Calf_reported,F2_Market_Value_Bull_Calf_default)</f>
        <v>40</v>
      </c>
      <c r="D107" s="2604">
        <f>IF(Options!AA29=1,F3_Market_Value_Bull_Calf_reported,F3_Market_Value_Bull_Calf_default)</f>
        <v>40</v>
      </c>
      <c r="E107" s="2605">
        <f>IF(Options!AB29=1,F4_Market_Value_Bull_Calf_reported,F4_Market_Value_Bull_Calf_default)</f>
        <v>40</v>
      </c>
      <c r="F107" s="2224" t="s">
        <v>775</v>
      </c>
      <c r="G107" s="1630"/>
      <c r="H107" s="1630"/>
      <c r="I107" s="1630"/>
      <c r="J107" s="1683"/>
    </row>
    <row r="108" spans="1:10" ht="13.5" thickBot="1">
      <c r="A108" s="236" t="s">
        <v>772</v>
      </c>
      <c r="B108" s="1684"/>
      <c r="C108" s="1685"/>
      <c r="D108" s="1686"/>
      <c r="E108" s="1687"/>
      <c r="F108" s="2225"/>
      <c r="G108" s="1688"/>
      <c r="H108" s="1688"/>
      <c r="I108" s="1688"/>
      <c r="J108" s="1689"/>
    </row>
  </sheetData>
  <sheetProtection password="E0BE" sheet="1" objects="1" scenarios="1" selectLockedCells="1"/>
  <mergeCells count="5">
    <mergeCell ref="A3:A4"/>
    <mergeCell ref="A2:J2"/>
    <mergeCell ref="B3:E3"/>
    <mergeCell ref="G3:J3"/>
    <mergeCell ref="A1:J1"/>
  </mergeCells>
  <conditionalFormatting sqref="G61 G55">
    <cfRule type="iconSet" priority="5">
      <iconSet iconSet="3Symbols">
        <cfvo type="percent" val="0"/>
        <cfvo type="num" val="0"/>
        <cfvo type="num" val="0" gte="0"/>
      </iconSet>
    </cfRule>
  </conditionalFormatting>
  <printOptions horizontalCentered="1" gridLines="1"/>
  <pageMargins left="0.7" right="0.7" top="0.75" bottom="0.75" header="0.3" footer="0.3"/>
  <pageSetup scale="64" fitToHeight="2" orientation="landscape" r:id="rId1"/>
  <headerFooter>
    <oddFooter>&amp;L&amp;A&amp;C&amp;F&amp;R&amp;D</oddFooter>
  </headerFooter>
  <rowBreaks count="1" manualBreakCount="1">
    <brk id="48" max="9" man="1"/>
  </rowBreaks>
</worksheet>
</file>

<file path=xl/worksheets/sheet30.xml><?xml version="1.0" encoding="utf-8"?>
<worksheet xmlns="http://schemas.openxmlformats.org/spreadsheetml/2006/main" xmlns:r="http://schemas.openxmlformats.org/officeDocument/2006/relationships">
  <sheetPr codeName="Sheet38"/>
  <dimension ref="A1:BE158"/>
  <sheetViews>
    <sheetView zoomScale="85" zoomScaleNormal="85" workbookViewId="0">
      <selection activeCell="V19" sqref="V19"/>
    </sheetView>
  </sheetViews>
  <sheetFormatPr defaultRowHeight="12.75"/>
  <cols>
    <col min="1" max="1" width="36" customWidth="1"/>
    <col min="2" max="2" width="1.28515625" customWidth="1"/>
    <col min="3" max="3" width="4.7109375" customWidth="1"/>
    <col min="4" max="4" width="8.85546875" customWidth="1"/>
    <col min="5" max="5" width="11.85546875" customWidth="1"/>
    <col min="6" max="6" width="8.7109375" style="1" customWidth="1"/>
    <col min="7" max="7" width="10.42578125" customWidth="1"/>
    <col min="8" max="8" width="1.28515625" customWidth="1"/>
    <col min="9" max="9" width="7.7109375" style="1" customWidth="1"/>
    <col min="10" max="11" width="1.28515625" customWidth="1"/>
    <col min="12" max="12" width="4.7109375" customWidth="1"/>
    <col min="13" max="13" width="8.85546875" customWidth="1"/>
    <col min="14" max="14" width="11.85546875" customWidth="1"/>
    <col min="15" max="15" width="8.7109375" style="1" customWidth="1"/>
    <col min="16" max="16" width="10.42578125" customWidth="1"/>
    <col min="17" max="17" width="1.28515625" customWidth="1"/>
    <col min="18" max="18" width="7.7109375" style="1" customWidth="1"/>
    <col min="19" max="19" width="1.28515625" customWidth="1"/>
    <col min="20" max="20" width="43.7109375" bestFit="1" customWidth="1"/>
  </cols>
  <sheetData>
    <row r="1" spans="1:57"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3"/>
      <c r="T1" s="1706"/>
      <c r="U1" s="1706"/>
      <c r="V1" s="1706"/>
      <c r="W1" s="1706"/>
      <c r="X1" s="1706"/>
      <c r="Y1" s="1706"/>
      <c r="Z1" s="1706"/>
      <c r="AA1" s="1706"/>
      <c r="AB1" s="1706"/>
      <c r="AC1" s="1706"/>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016" t="s">
        <v>971</v>
      </c>
      <c r="B2" s="4017"/>
      <c r="C2" s="4017"/>
      <c r="D2" s="4017"/>
      <c r="E2" s="4017"/>
      <c r="F2" s="4017"/>
      <c r="G2" s="4017"/>
      <c r="H2" s="4017"/>
      <c r="I2" s="4017"/>
      <c r="J2" s="4017"/>
      <c r="K2" s="4017"/>
      <c r="L2" s="4017"/>
      <c r="M2" s="4017"/>
      <c r="N2" s="4017"/>
      <c r="O2" s="4017"/>
      <c r="P2" s="4017"/>
      <c r="Q2" s="4017"/>
      <c r="R2" s="4017"/>
      <c r="S2" s="4098"/>
      <c r="T2" s="805"/>
    </row>
    <row r="3" spans="1:57" ht="21" customHeight="1">
      <c r="A3" s="806"/>
      <c r="B3" s="3999" t="str">
        <f>'Chosen Parameters-Part I'!B4</f>
        <v>Scenario 1</v>
      </c>
      <c r="C3" s="4000"/>
      <c r="D3" s="4000"/>
      <c r="E3" s="4000"/>
      <c r="F3" s="4000"/>
      <c r="G3" s="4000"/>
      <c r="H3" s="4000"/>
      <c r="I3" s="4000"/>
      <c r="J3" s="4000"/>
      <c r="K3" s="4002" t="str">
        <f>'Chosen Parameters-Part I'!C4</f>
        <v>Scenario 2</v>
      </c>
      <c r="L3" s="4003"/>
      <c r="M3" s="4003"/>
      <c r="N3" s="4003"/>
      <c r="O3" s="4003"/>
      <c r="P3" s="4003"/>
      <c r="Q3" s="4003"/>
      <c r="R3" s="4003"/>
      <c r="S3" s="4004"/>
      <c r="T3" s="858"/>
    </row>
    <row r="4" spans="1:57" ht="36.75" customHeight="1">
      <c r="A4" s="807"/>
      <c r="B4" s="4118" t="str">
        <f>'Step 1 -- Herd Profile'!B4:L4</f>
        <v>Intensive Conventional Management with Holsteins and rbST</v>
      </c>
      <c r="C4" s="4119"/>
      <c r="D4" s="4119"/>
      <c r="E4" s="4119"/>
      <c r="F4" s="4119"/>
      <c r="G4" s="4119"/>
      <c r="H4" s="4119"/>
      <c r="I4" s="4119"/>
      <c r="J4" s="4119"/>
      <c r="K4" s="4121" t="str">
        <f>'Step 1 -- Herd Profile'!M4</f>
        <v>Conventional Management, Holsteins</v>
      </c>
      <c r="L4" s="4122"/>
      <c r="M4" s="4122"/>
      <c r="N4" s="4122"/>
      <c r="O4" s="4122"/>
      <c r="P4" s="4122"/>
      <c r="Q4" s="4122"/>
      <c r="R4" s="4122"/>
      <c r="S4" s="4123"/>
      <c r="T4" s="859"/>
    </row>
    <row r="5" spans="1:57" s="3" customFormat="1" ht="20.25" customHeight="1">
      <c r="A5" s="4031" t="s">
        <v>972</v>
      </c>
      <c r="B5" s="4032"/>
      <c r="C5" s="4032"/>
      <c r="D5" s="4032"/>
      <c r="E5" s="4032"/>
      <c r="F5" s="4032"/>
      <c r="G5" s="4032"/>
      <c r="H5" s="4032"/>
      <c r="I5" s="4032"/>
      <c r="J5" s="4032"/>
      <c r="K5" s="4032"/>
      <c r="L5" s="4032"/>
      <c r="M5" s="4032"/>
      <c r="N5" s="4032"/>
      <c r="O5" s="4032"/>
      <c r="P5" s="4032"/>
      <c r="Q5" s="4032"/>
      <c r="R5" s="4032"/>
      <c r="S5" s="4033"/>
      <c r="T5" s="2730" t="s">
        <v>203</v>
      </c>
    </row>
    <row r="6" spans="1:57" ht="25.5" customHeight="1">
      <c r="A6" s="1673"/>
      <c r="B6" s="1703"/>
      <c r="C6" s="2868" t="s">
        <v>94</v>
      </c>
      <c r="D6" s="322"/>
      <c r="E6" s="808"/>
      <c r="F6" s="808"/>
      <c r="G6" s="808"/>
      <c r="H6" s="4990" t="s">
        <v>83</v>
      </c>
      <c r="I6" s="4991"/>
      <c r="J6" s="4992"/>
      <c r="K6" s="843"/>
      <c r="L6" s="2869" t="s">
        <v>94</v>
      </c>
      <c r="M6" s="104"/>
      <c r="N6" s="124"/>
      <c r="O6" s="124"/>
      <c r="P6" s="124"/>
      <c r="Q6" s="4987" t="s">
        <v>83</v>
      </c>
      <c r="R6" s="4988"/>
      <c r="S6" s="4989"/>
      <c r="T6" s="1668"/>
    </row>
    <row r="7" spans="1:57" ht="18" customHeight="1">
      <c r="A7" s="221" t="s">
        <v>1419</v>
      </c>
      <c r="B7" s="358"/>
      <c r="C7" s="186" t="s">
        <v>118</v>
      </c>
      <c r="D7" s="382"/>
      <c r="E7" s="382"/>
      <c r="F7" s="833"/>
      <c r="G7" s="382"/>
      <c r="H7" s="372"/>
      <c r="I7" s="819"/>
      <c r="J7" s="820"/>
      <c r="K7" s="360"/>
      <c r="L7" s="44" t="s">
        <v>118</v>
      </c>
      <c r="M7" s="96"/>
      <c r="N7" s="96"/>
      <c r="O7" s="850"/>
      <c r="P7" s="96"/>
      <c r="Q7" s="109"/>
      <c r="R7" s="804"/>
      <c r="S7" s="383"/>
      <c r="T7" s="2061"/>
    </row>
    <row r="8" spans="1:57" ht="3" customHeight="1">
      <c r="A8" s="206"/>
      <c r="B8" s="358"/>
      <c r="C8" s="382"/>
      <c r="D8" s="382"/>
      <c r="E8" s="382"/>
      <c r="F8" s="829"/>
      <c r="G8" s="382"/>
      <c r="H8" s="372"/>
      <c r="I8" s="819"/>
      <c r="J8" s="820"/>
      <c r="K8" s="360"/>
      <c r="L8" s="96"/>
      <c r="M8" s="96"/>
      <c r="N8" s="96"/>
      <c r="O8" s="851"/>
      <c r="P8" s="96"/>
      <c r="Q8" s="109"/>
      <c r="R8" s="804"/>
      <c r="S8" s="383"/>
      <c r="T8" s="2061"/>
    </row>
    <row r="9" spans="1:57">
      <c r="A9" s="208" t="s">
        <v>702</v>
      </c>
      <c r="B9" s="810"/>
      <c r="C9" s="382"/>
      <c r="D9" s="310">
        <f>F9*Defaults!$D$8</f>
        <v>0</v>
      </c>
      <c r="E9" s="201" t="s">
        <v>215</v>
      </c>
      <c r="F9" s="2030"/>
      <c r="G9" s="201" t="s">
        <v>165</v>
      </c>
      <c r="H9" s="218"/>
      <c r="I9" s="826"/>
      <c r="J9" s="821"/>
      <c r="K9" s="844"/>
      <c r="L9" s="96"/>
      <c r="M9" s="315">
        <f>O9*Defaults!$D$8</f>
        <v>0</v>
      </c>
      <c r="N9" s="45" t="s">
        <v>215</v>
      </c>
      <c r="O9" s="647"/>
      <c r="P9" s="45" t="s">
        <v>165</v>
      </c>
      <c r="Q9" s="73"/>
      <c r="R9" s="1065"/>
      <c r="S9" s="862"/>
      <c r="T9" s="2061"/>
      <c r="U9" s="2351" t="str">
        <f>IF(U11=FALSE,"If UR and IC values differ significantly, check accuracy of input parameter values used in the IC formula."," ")</f>
        <v xml:space="preserve"> </v>
      </c>
    </row>
    <row r="10" spans="1:57" ht="3" customHeight="1">
      <c r="A10" s="206"/>
      <c r="B10" s="358"/>
      <c r="C10" s="382"/>
      <c r="D10" s="382"/>
      <c r="E10" s="382"/>
      <c r="F10" s="829"/>
      <c r="G10" s="382"/>
      <c r="H10" s="372"/>
      <c r="I10" s="819"/>
      <c r="J10" s="820"/>
      <c r="K10" s="360"/>
      <c r="L10" s="96"/>
      <c r="M10" s="96"/>
      <c r="N10" s="96"/>
      <c r="O10" s="851"/>
      <c r="P10" s="96"/>
      <c r="Q10" s="109"/>
      <c r="R10" s="804"/>
      <c r="S10" s="383"/>
      <c r="T10" s="2061"/>
      <c r="U10" s="21"/>
    </row>
    <row r="11" spans="1:57">
      <c r="A11" s="208" t="s">
        <v>712</v>
      </c>
      <c r="B11" s="810"/>
      <c r="C11" s="382"/>
      <c r="D11" s="310">
        <f>F11*Defaults!$D$8</f>
        <v>152.93355620000003</v>
      </c>
      <c r="E11" s="201" t="s">
        <v>215</v>
      </c>
      <c r="F11" s="641">
        <f>(F1_DMI_Lact_Cow_kg*2.63)+9.4</f>
        <v>69.369482310580992</v>
      </c>
      <c r="G11" s="201" t="s">
        <v>165</v>
      </c>
      <c r="H11" s="218"/>
      <c r="I11" s="330">
        <v>1</v>
      </c>
      <c r="J11" s="821"/>
      <c r="K11" s="844"/>
      <c r="L11" s="96"/>
      <c r="M11" s="315">
        <f>O11*Defaults!$D$8</f>
        <v>148.01545620000002</v>
      </c>
      <c r="N11" s="45" t="s">
        <v>215</v>
      </c>
      <c r="O11" s="999">
        <f>(F2_DMI_Lact_Cow_kg*2.63)+9.4</f>
        <v>67.138670058327435</v>
      </c>
      <c r="P11" s="45" t="s">
        <v>165</v>
      </c>
      <c r="Q11" s="73"/>
      <c r="R11" s="2057">
        <v>1</v>
      </c>
      <c r="S11" s="862"/>
      <c r="T11" s="2061" t="s">
        <v>77</v>
      </c>
      <c r="U11" s="3651" t="str">
        <f>IF(Options!AQ5=2,IF(Options!AR5=2," ",FALSE))</f>
        <v xml:space="preserve"> </v>
      </c>
    </row>
    <row r="12" spans="1:57" ht="5.25" customHeight="1">
      <c r="A12" s="205"/>
      <c r="B12" s="498"/>
      <c r="C12" s="499"/>
      <c r="D12" s="499"/>
      <c r="E12" s="499"/>
      <c r="F12" s="831"/>
      <c r="G12" s="499"/>
      <c r="H12" s="825"/>
      <c r="I12" s="828"/>
      <c r="J12" s="823"/>
      <c r="K12" s="500"/>
      <c r="L12" s="501"/>
      <c r="M12" s="501"/>
      <c r="N12" s="501"/>
      <c r="O12" s="852"/>
      <c r="P12" s="501"/>
      <c r="Q12" s="110"/>
      <c r="R12" s="827"/>
      <c r="S12" s="648"/>
      <c r="T12" s="2061"/>
    </row>
    <row r="13" spans="1:57" ht="18" customHeight="1">
      <c r="A13" s="221" t="s">
        <v>498</v>
      </c>
      <c r="B13" s="358"/>
      <c r="C13" s="186" t="s">
        <v>118</v>
      </c>
      <c r="D13" s="382"/>
      <c r="E13" s="382"/>
      <c r="F13" s="830"/>
      <c r="G13" s="201"/>
      <c r="H13" s="218"/>
      <c r="I13" s="819"/>
      <c r="J13" s="821"/>
      <c r="K13" s="360"/>
      <c r="L13" s="44" t="s">
        <v>118</v>
      </c>
      <c r="M13" s="96"/>
      <c r="N13" s="96"/>
      <c r="O13" s="838"/>
      <c r="P13" s="45"/>
      <c r="Q13" s="73"/>
      <c r="R13" s="804"/>
      <c r="S13" s="862"/>
      <c r="T13" s="2062"/>
    </row>
    <row r="14" spans="1:57" ht="3" customHeight="1">
      <c r="A14" s="206"/>
      <c r="B14" s="358"/>
      <c r="C14" s="382"/>
      <c r="D14" s="382"/>
      <c r="E14" s="382"/>
      <c r="F14" s="829"/>
      <c r="G14" s="382"/>
      <c r="H14" s="372"/>
      <c r="I14" s="819"/>
      <c r="J14" s="820"/>
      <c r="K14" s="360"/>
      <c r="L14" s="96"/>
      <c r="M14" s="96"/>
      <c r="N14" s="96"/>
      <c r="O14" s="851"/>
      <c r="P14" s="96"/>
      <c r="Q14" s="109"/>
      <c r="R14" s="804"/>
      <c r="S14" s="383"/>
      <c r="T14" s="2061"/>
    </row>
    <row r="15" spans="1:57">
      <c r="A15" s="208" t="s">
        <v>702</v>
      </c>
      <c r="B15" s="811"/>
      <c r="C15" s="382"/>
      <c r="D15" s="310">
        <f>F15*Defaults!$D$8</f>
        <v>0</v>
      </c>
      <c r="E15" s="201" t="s">
        <v>215</v>
      </c>
      <c r="F15" s="2030"/>
      <c r="G15" s="201" t="s">
        <v>165</v>
      </c>
      <c r="H15" s="218"/>
      <c r="I15" s="826"/>
      <c r="J15" s="821"/>
      <c r="K15" s="845"/>
      <c r="L15" s="96"/>
      <c r="M15" s="315">
        <f>O15*Defaults!$D$8</f>
        <v>0</v>
      </c>
      <c r="N15" s="45" t="s">
        <v>215</v>
      </c>
      <c r="O15" s="647"/>
      <c r="P15" s="45" t="s">
        <v>165</v>
      </c>
      <c r="Q15" s="73"/>
      <c r="R15" s="1065"/>
      <c r="S15" s="862"/>
      <c r="T15" s="2061"/>
      <c r="U15" s="2351" t="str">
        <f>IF(U17=FALSE,"If UR and IC values differ significantly, check accuracy of input parameter values used in the IC formula."," ")</f>
        <v xml:space="preserve"> </v>
      </c>
    </row>
    <row r="16" spans="1:57" ht="3" customHeight="1">
      <c r="A16" s="206"/>
      <c r="B16" s="358"/>
      <c r="C16" s="382"/>
      <c r="D16" s="382"/>
      <c r="E16" s="382"/>
      <c r="F16" s="829"/>
      <c r="G16" s="382"/>
      <c r="H16" s="372"/>
      <c r="I16" s="819"/>
      <c r="J16" s="820"/>
      <c r="K16" s="360"/>
      <c r="L16" s="96"/>
      <c r="M16" s="96"/>
      <c r="N16" s="96"/>
      <c r="O16" s="851"/>
      <c r="P16" s="96"/>
      <c r="Q16" s="109"/>
      <c r="R16" s="804"/>
      <c r="S16" s="383"/>
      <c r="T16" s="2061"/>
      <c r="U16" s="21"/>
    </row>
    <row r="17" spans="1:21">
      <c r="A17" s="208" t="s">
        <v>712</v>
      </c>
      <c r="B17" s="810"/>
      <c r="C17" s="382"/>
      <c r="D17" s="310">
        <f>F17*Defaults!$D$8</f>
        <v>19.659818400000002</v>
      </c>
      <c r="E17" s="201" t="s">
        <v>215</v>
      </c>
      <c r="F17" s="641">
        <f>(F1_DMI_Lact_Cow_kg*0.356)+0.8</f>
        <v>8.917542092230736</v>
      </c>
      <c r="G17" s="201" t="s">
        <v>165</v>
      </c>
      <c r="H17" s="218"/>
      <c r="I17" s="330">
        <v>1</v>
      </c>
      <c r="J17" s="821"/>
      <c r="K17" s="844"/>
      <c r="L17" s="96"/>
      <c r="M17" s="315">
        <f>O17*Defaults!$D$8</f>
        <v>18.994098400000002</v>
      </c>
      <c r="N17" s="45" t="s">
        <v>215</v>
      </c>
      <c r="O17" s="999">
        <f>(F2_DMI_Lact_Cow_kg*0.356)+0.8</f>
        <v>8.6155766314694162</v>
      </c>
      <c r="P17" s="45" t="s">
        <v>165</v>
      </c>
      <c r="Q17" s="73"/>
      <c r="R17" s="2057">
        <v>1</v>
      </c>
      <c r="S17" s="862"/>
      <c r="T17" s="2061" t="s">
        <v>78</v>
      </c>
      <c r="U17" s="3651" t="str">
        <f>IF(Options!AQ10=2,IF(Options!AR10=2," ",FALSE))</f>
        <v xml:space="preserve"> </v>
      </c>
    </row>
    <row r="18" spans="1:21" ht="5.25" customHeight="1">
      <c r="A18" s="205"/>
      <c r="B18" s="498"/>
      <c r="C18" s="499"/>
      <c r="D18" s="499"/>
      <c r="E18" s="499"/>
      <c r="F18" s="831"/>
      <c r="G18" s="499"/>
      <c r="H18" s="825"/>
      <c r="I18" s="828"/>
      <c r="J18" s="823"/>
      <c r="K18" s="500"/>
      <c r="L18" s="501"/>
      <c r="M18" s="501"/>
      <c r="N18" s="501"/>
      <c r="O18" s="852"/>
      <c r="P18" s="501"/>
      <c r="Q18" s="110"/>
      <c r="R18" s="827"/>
      <c r="S18" s="648"/>
      <c r="T18" s="2061"/>
    </row>
    <row r="19" spans="1:21" ht="18" customHeight="1">
      <c r="A19" s="221" t="s">
        <v>173</v>
      </c>
      <c r="B19" s="812"/>
      <c r="C19" s="186" t="s">
        <v>118</v>
      </c>
      <c r="D19" s="813"/>
      <c r="E19" s="813"/>
      <c r="F19" s="832"/>
      <c r="G19" s="813"/>
      <c r="H19" s="824"/>
      <c r="I19" s="819"/>
      <c r="J19" s="822"/>
      <c r="K19" s="846"/>
      <c r="L19" s="44" t="s">
        <v>118</v>
      </c>
      <c r="M19" s="90"/>
      <c r="N19" s="90"/>
      <c r="O19" s="853"/>
      <c r="P19" s="90"/>
      <c r="Q19" s="123"/>
      <c r="R19" s="804"/>
      <c r="S19" s="863"/>
      <c r="T19" s="2062"/>
    </row>
    <row r="20" spans="1:21" ht="3" customHeight="1">
      <c r="A20" s="206"/>
      <c r="B20" s="358"/>
      <c r="C20" s="382"/>
      <c r="D20" s="382"/>
      <c r="E20" s="382"/>
      <c r="F20" s="829"/>
      <c r="G20" s="382"/>
      <c r="H20" s="372"/>
      <c r="I20" s="3763"/>
      <c r="J20" s="820"/>
      <c r="K20" s="360"/>
      <c r="L20" s="96"/>
      <c r="M20" s="96"/>
      <c r="N20" s="96"/>
      <c r="O20" s="851"/>
      <c r="P20" s="96"/>
      <c r="Q20" s="109"/>
      <c r="R20" s="3765"/>
      <c r="S20" s="383"/>
      <c r="T20" s="2061"/>
    </row>
    <row r="21" spans="1:21">
      <c r="A21" s="208" t="s">
        <v>702</v>
      </c>
      <c r="B21" s="810"/>
      <c r="C21" s="382"/>
      <c r="D21" s="864">
        <f>F21*Defaults!$D$8</f>
        <v>0</v>
      </c>
      <c r="E21" s="201" t="s">
        <v>215</v>
      </c>
      <c r="F21" s="2197"/>
      <c r="G21" s="201" t="s">
        <v>165</v>
      </c>
      <c r="H21" s="218"/>
      <c r="I21" s="826"/>
      <c r="J21" s="821"/>
      <c r="K21" s="844"/>
      <c r="L21" s="96"/>
      <c r="M21" s="866">
        <f>O21*Defaults!$D$8</f>
        <v>0</v>
      </c>
      <c r="N21" s="45" t="s">
        <v>215</v>
      </c>
      <c r="O21" s="2197"/>
      <c r="P21" s="45" t="s">
        <v>165</v>
      </c>
      <c r="Q21" s="73"/>
      <c r="R21" s="826"/>
      <c r="S21" s="862"/>
      <c r="T21" s="2061"/>
      <c r="U21" s="2351"/>
    </row>
    <row r="22" spans="1:21" ht="3" customHeight="1">
      <c r="A22" s="206"/>
      <c r="B22" s="358"/>
      <c r="C22" s="382"/>
      <c r="D22" s="3796"/>
      <c r="E22" s="382"/>
      <c r="F22" s="3799"/>
      <c r="G22" s="382"/>
      <c r="H22" s="372"/>
      <c r="I22" s="819"/>
      <c r="J22" s="820"/>
      <c r="K22" s="360"/>
      <c r="L22" s="96"/>
      <c r="M22" s="2874"/>
      <c r="N22" s="96"/>
      <c r="O22" s="3803"/>
      <c r="P22" s="96"/>
      <c r="Q22" s="109"/>
      <c r="R22" s="804"/>
      <c r="S22" s="383"/>
      <c r="T22" s="2061"/>
    </row>
    <row r="23" spans="1:21">
      <c r="A23" s="208" t="s">
        <v>1121</v>
      </c>
      <c r="B23" s="810"/>
      <c r="C23" s="382"/>
      <c r="D23" s="864">
        <f>F23*Defaults!$D$8</f>
        <v>0.42525000000000002</v>
      </c>
      <c r="E23" s="201" t="s">
        <v>215</v>
      </c>
      <c r="F23" s="864">
        <f>F1_Unadjusted_Milk_Production_kg_day*5.67/1000</f>
        <v>0.1928901222567305</v>
      </c>
      <c r="G23" s="201" t="s">
        <v>165</v>
      </c>
      <c r="H23" s="218"/>
      <c r="I23" s="330">
        <v>2</v>
      </c>
      <c r="J23" s="821"/>
      <c r="K23" s="844"/>
      <c r="L23" s="96"/>
      <c r="M23" s="866">
        <f>O23*Defaults!$D$8</f>
        <v>0.36855000000000004</v>
      </c>
      <c r="N23" s="45" t="s">
        <v>215</v>
      </c>
      <c r="O23" s="866">
        <f>F2_Unadjusted_Milk_Production_kg_day*5.67/1000</f>
        <v>0.16717143928916645</v>
      </c>
      <c r="P23" s="45" t="s">
        <v>165</v>
      </c>
      <c r="Q23" s="73"/>
      <c r="R23" s="2057">
        <v>2</v>
      </c>
      <c r="S23" s="862"/>
      <c r="T23" s="2061" t="s">
        <v>1470</v>
      </c>
      <c r="U23" s="2351"/>
    </row>
    <row r="24" spans="1:21" ht="3" customHeight="1">
      <c r="A24" s="206"/>
      <c r="B24" s="358"/>
      <c r="C24" s="382"/>
      <c r="D24" s="3796"/>
      <c r="E24" s="382"/>
      <c r="F24" s="3799"/>
      <c r="G24" s="382"/>
      <c r="H24" s="372"/>
      <c r="I24" s="819"/>
      <c r="J24" s="820"/>
      <c r="K24" s="360"/>
      <c r="L24" s="96"/>
      <c r="M24" s="2874"/>
      <c r="N24" s="96"/>
      <c r="O24" s="3803"/>
      <c r="P24" s="96"/>
      <c r="Q24" s="109"/>
      <c r="R24" s="804"/>
      <c r="S24" s="383"/>
      <c r="T24" s="2061"/>
      <c r="U24" s="21"/>
    </row>
    <row r="25" spans="1:21">
      <c r="A25" s="208" t="s">
        <v>1432</v>
      </c>
      <c r="B25" s="810"/>
      <c r="C25" s="382"/>
      <c r="D25" s="864">
        <f>F25*Defaults!$D$8</f>
        <v>1.0367316481994955</v>
      </c>
      <c r="E25" s="201" t="s">
        <v>215</v>
      </c>
      <c r="F25" s="864">
        <f>((F1_DMI_Lact_Cow_kg*F1_Dietary_CP_Lact_Cow*84.1) + (F1_Lact_Cow_Weight_kg*0.196))/1000</f>
        <v>0.47025348469987632</v>
      </c>
      <c r="G25" s="201" t="s">
        <v>165</v>
      </c>
      <c r="H25" s="218"/>
      <c r="I25" s="330">
        <v>1</v>
      </c>
      <c r="J25" s="821"/>
      <c r="K25" s="844"/>
      <c r="L25" s="96"/>
      <c r="M25" s="866">
        <f>O25*Defaults!$D$8</f>
        <v>0.97996846900594337</v>
      </c>
      <c r="N25" s="45" t="s">
        <v>215</v>
      </c>
      <c r="O25" s="866">
        <f>((F2_DMI_Lact_Cow_kg*F2_Dietary_CP_Lact_Cow*84.1) + (F2_Lact_Cow_Weight_kg*0.196))/1000</f>
        <v>0.44450614413708978</v>
      </c>
      <c r="P25" s="45" t="s">
        <v>165</v>
      </c>
      <c r="Q25" s="73"/>
      <c r="R25" s="2057">
        <v>1</v>
      </c>
      <c r="S25" s="862"/>
      <c r="T25" s="2061" t="s">
        <v>79</v>
      </c>
      <c r="U25" s="3651" t="b">
        <f>IF(Options!AQ15=2,IF(Options!AR15=2," ",FALSE))</f>
        <v>0</v>
      </c>
    </row>
    <row r="26" spans="1:21" ht="5.25" customHeight="1">
      <c r="A26" s="205"/>
      <c r="B26" s="498"/>
      <c r="C26" s="499"/>
      <c r="D26" s="3797"/>
      <c r="E26" s="499"/>
      <c r="F26" s="3800"/>
      <c r="G26" s="499"/>
      <c r="H26" s="825"/>
      <c r="I26" s="828"/>
      <c r="J26" s="823"/>
      <c r="K26" s="500"/>
      <c r="L26" s="501"/>
      <c r="M26" s="3801"/>
      <c r="N26" s="501"/>
      <c r="O26" s="3804"/>
      <c r="P26" s="501"/>
      <c r="Q26" s="110"/>
      <c r="R26" s="827"/>
      <c r="S26" s="648"/>
      <c r="T26" s="2061"/>
    </row>
    <row r="27" spans="1:21" ht="18" customHeight="1">
      <c r="A27" s="221" t="s">
        <v>174</v>
      </c>
      <c r="B27" s="814"/>
      <c r="C27" s="186" t="s">
        <v>118</v>
      </c>
      <c r="D27" s="3798"/>
      <c r="E27" s="815"/>
      <c r="F27" s="832"/>
      <c r="G27" s="813"/>
      <c r="H27" s="824"/>
      <c r="I27" s="819"/>
      <c r="J27" s="822"/>
      <c r="K27" s="847"/>
      <c r="L27" s="44" t="s">
        <v>118</v>
      </c>
      <c r="M27" s="3802"/>
      <c r="N27" s="127"/>
      <c r="O27" s="853"/>
      <c r="P27" s="90"/>
      <c r="Q27" s="123"/>
      <c r="R27" s="804"/>
      <c r="S27" s="863"/>
      <c r="T27" s="2062"/>
    </row>
    <row r="28" spans="1:21" ht="3" customHeight="1">
      <c r="A28" s="206"/>
      <c r="B28" s="358"/>
      <c r="C28" s="382"/>
      <c r="D28" s="3796"/>
      <c r="E28" s="382"/>
      <c r="F28" s="3799"/>
      <c r="G28" s="382"/>
      <c r="H28" s="372"/>
      <c r="I28" s="819"/>
      <c r="J28" s="820"/>
      <c r="K28" s="360"/>
      <c r="L28" s="96"/>
      <c r="M28" s="2874"/>
      <c r="N28" s="96"/>
      <c r="O28" s="3803"/>
      <c r="P28" s="96"/>
      <c r="Q28" s="109"/>
      <c r="R28" s="804"/>
      <c r="S28" s="383"/>
      <c r="T28" s="2061"/>
    </row>
    <row r="29" spans="1:21">
      <c r="A29" s="208" t="s">
        <v>702</v>
      </c>
      <c r="B29" s="810"/>
      <c r="C29" s="382"/>
      <c r="D29" s="864">
        <f>F29*Defaults!$D$8</f>
        <v>0</v>
      </c>
      <c r="E29" s="201" t="s">
        <v>215</v>
      </c>
      <c r="F29" s="2197"/>
      <c r="G29" s="201" t="s">
        <v>165</v>
      </c>
      <c r="H29" s="218"/>
      <c r="I29" s="826"/>
      <c r="J29" s="821"/>
      <c r="K29" s="844"/>
      <c r="L29" s="96"/>
      <c r="M29" s="866">
        <f>O29*Defaults!$D$8</f>
        <v>0</v>
      </c>
      <c r="N29" s="45" t="s">
        <v>215</v>
      </c>
      <c r="O29" s="2197"/>
      <c r="P29" s="45" t="s">
        <v>165</v>
      </c>
      <c r="Q29" s="73"/>
      <c r="R29" s="826"/>
      <c r="S29" s="862"/>
      <c r="T29" s="2061"/>
      <c r="U29" s="2351"/>
    </row>
    <row r="30" spans="1:21" ht="3" customHeight="1">
      <c r="A30" s="206"/>
      <c r="B30" s="358"/>
      <c r="C30" s="382"/>
      <c r="D30" s="3796"/>
      <c r="E30" s="382"/>
      <c r="F30" s="3799"/>
      <c r="G30" s="382"/>
      <c r="H30" s="372"/>
      <c r="I30" s="819"/>
      <c r="J30" s="820"/>
      <c r="K30" s="360"/>
      <c r="L30" s="96"/>
      <c r="M30" s="2874"/>
      <c r="N30" s="96"/>
      <c r="O30" s="3803"/>
      <c r="P30" s="96"/>
      <c r="Q30" s="109"/>
      <c r="R30" s="804"/>
      <c r="S30" s="383"/>
      <c r="T30" s="2061"/>
      <c r="U30" s="21"/>
    </row>
    <row r="31" spans="1:21">
      <c r="A31" s="208" t="s">
        <v>1121</v>
      </c>
      <c r="B31" s="810"/>
      <c r="C31" s="382"/>
      <c r="D31" s="864">
        <f>F31*Defaults!$D$8</f>
        <v>0.22350000000000003</v>
      </c>
      <c r="E31" s="201" t="s">
        <v>215</v>
      </c>
      <c r="F31" s="864">
        <f>F1_Unadjusted_Milk_Production_kg_day*2.98/1000</f>
        <v>0.10137787730600652</v>
      </c>
      <c r="G31" s="201" t="s">
        <v>165</v>
      </c>
      <c r="H31" s="218"/>
      <c r="I31" s="330">
        <v>2</v>
      </c>
      <c r="J31" s="821"/>
      <c r="K31" s="844"/>
      <c r="L31" s="96"/>
      <c r="M31" s="866">
        <f>O31*Defaults!$D$8</f>
        <v>0.19369999999999998</v>
      </c>
      <c r="N31" s="45" t="s">
        <v>215</v>
      </c>
      <c r="O31" s="866">
        <f>F2_Unadjusted_Milk_Production_kg_day*2.98/1000</f>
        <v>8.7860826998538963E-2</v>
      </c>
      <c r="P31" s="45" t="s">
        <v>165</v>
      </c>
      <c r="Q31" s="73"/>
      <c r="R31" s="2057">
        <v>2</v>
      </c>
      <c r="S31" s="862"/>
      <c r="T31" s="2061" t="s">
        <v>1474</v>
      </c>
      <c r="U31" s="2351"/>
    </row>
    <row r="32" spans="1:21" ht="3" customHeight="1">
      <c r="A32" s="206"/>
      <c r="B32" s="358"/>
      <c r="C32" s="382"/>
      <c r="D32" s="3796"/>
      <c r="E32" s="382"/>
      <c r="F32" s="3799"/>
      <c r="G32" s="382"/>
      <c r="H32" s="372"/>
      <c r="I32" s="3763"/>
      <c r="J32" s="820"/>
      <c r="K32" s="360"/>
      <c r="L32" s="96"/>
      <c r="M32" s="2874"/>
      <c r="N32" s="96"/>
      <c r="O32" s="3803"/>
      <c r="P32" s="96"/>
      <c r="Q32" s="109"/>
      <c r="R32" s="3765"/>
      <c r="S32" s="383"/>
      <c r="T32" s="2061"/>
      <c r="U32" s="21"/>
    </row>
    <row r="33" spans="1:21">
      <c r="A33" s="208" t="s">
        <v>1432</v>
      </c>
      <c r="B33" s="810"/>
      <c r="C33" s="382"/>
      <c r="D33" s="864">
        <f>F33*Defaults!$D$8</f>
        <v>0.17683630419247576</v>
      </c>
      <c r="E33" s="201" t="s">
        <v>215</v>
      </c>
      <c r="F33" s="864">
        <f>((F1_DMI_Lact_Cow_kg*F1_Dietary_P_Lact_Cow*560.7) + 21.1)/1000</f>
        <v>8.021158456229284E-2</v>
      </c>
      <c r="G33" s="201" t="s">
        <v>165</v>
      </c>
      <c r="H33" s="218"/>
      <c r="I33" s="330">
        <v>1</v>
      </c>
      <c r="J33" s="821"/>
      <c r="K33" s="844"/>
      <c r="L33" s="96"/>
      <c r="M33" s="866">
        <f>O33*Defaults!$D$8</f>
        <v>0.16732114848499635</v>
      </c>
      <c r="N33" s="45" t="s">
        <v>215</v>
      </c>
      <c r="O33" s="866">
        <f>((F2_DMI_Lact_Cow_kg*F2_Dietary_P_Lact_Cow*560.7) + 21.1)/1000</f>
        <v>7.5895583274326869E-2</v>
      </c>
      <c r="P33" s="45" t="s">
        <v>165</v>
      </c>
      <c r="Q33" s="73"/>
      <c r="R33" s="2057">
        <v>1</v>
      </c>
      <c r="S33" s="862"/>
      <c r="T33" s="2063" t="s">
        <v>80</v>
      </c>
      <c r="U33" s="3651" t="b">
        <f>IF(Options!AQ21=2,IF(Options!AR21=2," ",FALSE))</f>
        <v>0</v>
      </c>
    </row>
    <row r="34" spans="1:21" ht="5.25" customHeight="1">
      <c r="A34" s="205"/>
      <c r="B34" s="498"/>
      <c r="C34" s="499"/>
      <c r="D34" s="499"/>
      <c r="E34" s="499"/>
      <c r="F34" s="3800"/>
      <c r="G34" s="499"/>
      <c r="H34" s="825"/>
      <c r="I34" s="828"/>
      <c r="J34" s="823"/>
      <c r="K34" s="500"/>
      <c r="L34" s="501"/>
      <c r="M34" s="3801"/>
      <c r="N34" s="501"/>
      <c r="O34" s="3804"/>
      <c r="P34" s="501"/>
      <c r="Q34" s="110"/>
      <c r="R34" s="827"/>
      <c r="S34" s="648"/>
      <c r="T34" s="2061"/>
    </row>
    <row r="35" spans="1:21" ht="18" customHeight="1">
      <c r="A35" s="221" t="s">
        <v>175</v>
      </c>
      <c r="B35" s="816"/>
      <c r="C35" s="186" t="s">
        <v>118</v>
      </c>
      <c r="D35" s="817"/>
      <c r="E35" s="817"/>
      <c r="F35" s="832"/>
      <c r="G35" s="813"/>
      <c r="H35" s="824"/>
      <c r="I35" s="819"/>
      <c r="J35" s="822"/>
      <c r="K35" s="848"/>
      <c r="L35" s="44" t="s">
        <v>118</v>
      </c>
      <c r="M35" s="90"/>
      <c r="N35" s="91"/>
      <c r="O35" s="853"/>
      <c r="P35" s="90"/>
      <c r="Q35" s="123"/>
      <c r="R35" s="804"/>
      <c r="S35" s="863"/>
      <c r="T35" s="2062"/>
    </row>
    <row r="36" spans="1:21" ht="3" customHeight="1">
      <c r="A36" s="206"/>
      <c r="B36" s="358"/>
      <c r="C36" s="382"/>
      <c r="D36" s="382"/>
      <c r="E36" s="382"/>
      <c r="F36" s="3799"/>
      <c r="G36" s="382"/>
      <c r="H36" s="372"/>
      <c r="I36" s="819"/>
      <c r="J36" s="820"/>
      <c r="K36" s="360"/>
      <c r="L36" s="96"/>
      <c r="M36" s="2874"/>
      <c r="N36" s="96"/>
      <c r="O36" s="3803"/>
      <c r="P36" s="96"/>
      <c r="Q36" s="109"/>
      <c r="R36" s="804"/>
      <c r="S36" s="383"/>
      <c r="T36" s="2061"/>
    </row>
    <row r="37" spans="1:21">
      <c r="A37" s="208" t="s">
        <v>702</v>
      </c>
      <c r="B37" s="810"/>
      <c r="C37" s="382"/>
      <c r="D37" s="864">
        <f>F37*Defaults!$D$8</f>
        <v>0</v>
      </c>
      <c r="E37" s="201" t="s">
        <v>215</v>
      </c>
      <c r="F37" s="2197"/>
      <c r="G37" s="201" t="s">
        <v>165</v>
      </c>
      <c r="H37" s="218"/>
      <c r="I37" s="826"/>
      <c r="J37" s="821"/>
      <c r="K37" s="844"/>
      <c r="L37" s="96"/>
      <c r="M37" s="866">
        <f>O37*Defaults!$D$8</f>
        <v>0</v>
      </c>
      <c r="N37" s="45" t="s">
        <v>215</v>
      </c>
      <c r="O37" s="2197"/>
      <c r="P37" s="45" t="s">
        <v>165</v>
      </c>
      <c r="Q37" s="73"/>
      <c r="R37" s="1065"/>
      <c r="S37" s="862"/>
      <c r="T37" s="2061"/>
      <c r="U37" s="2351" t="str">
        <f>IF(U39=FALSE,"If UR and IC values differ significantly, check accuracy of input parameter values used in the IC formula."," ")</f>
        <v xml:space="preserve"> </v>
      </c>
    </row>
    <row r="38" spans="1:21" ht="3" customHeight="1">
      <c r="A38" s="206"/>
      <c r="B38" s="358"/>
      <c r="C38" s="382"/>
      <c r="D38" s="382"/>
      <c r="E38" s="382"/>
      <c r="F38" s="3799"/>
      <c r="G38" s="382"/>
      <c r="H38" s="372"/>
      <c r="I38" s="819"/>
      <c r="J38" s="820"/>
      <c r="K38" s="360"/>
      <c r="L38" s="96"/>
      <c r="M38" s="96"/>
      <c r="N38" s="96"/>
      <c r="O38" s="851"/>
      <c r="P38" s="96"/>
      <c r="Q38" s="109"/>
      <c r="R38" s="804"/>
      <c r="S38" s="383"/>
      <c r="T38" s="2061"/>
      <c r="U38" s="21"/>
    </row>
    <row r="39" spans="1:21">
      <c r="A39" s="208" t="s">
        <v>712</v>
      </c>
      <c r="B39" s="810"/>
      <c r="C39" s="382"/>
      <c r="D39" s="864">
        <f>F39*Defaults!$D$8</f>
        <v>0.4762568594493089</v>
      </c>
      <c r="E39" s="201" t="s">
        <v>215</v>
      </c>
      <c r="F39" s="864">
        <f>((F1_DMI_Lact_Cow_kg*7.21)+(F1_Dietary_K_Lact_Cow*15944)-164.5)/1000</f>
        <v>0.21602644055210748</v>
      </c>
      <c r="G39" s="201" t="s">
        <v>165</v>
      </c>
      <c r="H39" s="218"/>
      <c r="I39" s="330">
        <v>1</v>
      </c>
      <c r="J39" s="821"/>
      <c r="K39" s="844"/>
      <c r="L39" s="96"/>
      <c r="M39" s="866">
        <f>O39*Defaults!$D$8</f>
        <v>0.44504986857373285</v>
      </c>
      <c r="N39" s="45" t="s">
        <v>215</v>
      </c>
      <c r="O39" s="866">
        <f>((F2_DMI_Lact_Cow_kg*7.21)+(F2_Dietary_K_Lact_Cow*15944)-164.5)/1000</f>
        <v>0.2018711900282873</v>
      </c>
      <c r="P39" s="45" t="s">
        <v>165</v>
      </c>
      <c r="Q39" s="73"/>
      <c r="R39" s="2057">
        <v>1</v>
      </c>
      <c r="S39" s="862"/>
      <c r="T39" s="2061" t="s">
        <v>81</v>
      </c>
      <c r="U39" s="3651" t="str">
        <f>IF(Options!AQ26=2,IF(Options!AR26=2," ",FALSE))</f>
        <v xml:space="preserve"> </v>
      </c>
    </row>
    <row r="40" spans="1:21" ht="5.25" customHeight="1">
      <c r="A40" s="205"/>
      <c r="B40" s="498"/>
      <c r="C40" s="499"/>
      <c r="D40" s="499"/>
      <c r="E40" s="499"/>
      <c r="F40" s="831"/>
      <c r="G40" s="499"/>
      <c r="H40" s="825"/>
      <c r="I40" s="828"/>
      <c r="J40" s="823"/>
      <c r="K40" s="500"/>
      <c r="L40" s="501"/>
      <c r="M40" s="501"/>
      <c r="N40" s="501"/>
      <c r="O40" s="852"/>
      <c r="P40" s="501"/>
      <c r="Q40" s="110"/>
      <c r="R40" s="827"/>
      <c r="S40" s="648"/>
      <c r="T40" s="2061"/>
    </row>
    <row r="41" spans="1:21" s="3" customFormat="1" ht="20.25" customHeight="1">
      <c r="A41" s="4031" t="s">
        <v>973</v>
      </c>
      <c r="B41" s="4032"/>
      <c r="C41" s="4032"/>
      <c r="D41" s="4032"/>
      <c r="E41" s="4032"/>
      <c r="F41" s="4032"/>
      <c r="G41" s="4032"/>
      <c r="H41" s="4032"/>
      <c r="I41" s="4032"/>
      <c r="J41" s="4032"/>
      <c r="K41" s="4032"/>
      <c r="L41" s="4032"/>
      <c r="M41" s="4032"/>
      <c r="N41" s="4032"/>
      <c r="O41" s="4032"/>
      <c r="P41" s="4032"/>
      <c r="Q41" s="4032"/>
      <c r="R41" s="4032"/>
      <c r="S41" s="4033"/>
      <c r="T41" s="2732"/>
    </row>
    <row r="42" spans="1:21" ht="18" customHeight="1">
      <c r="A42" s="221" t="s">
        <v>1419</v>
      </c>
      <c r="B42" s="358"/>
      <c r="C42" s="186" t="s">
        <v>118</v>
      </c>
      <c r="D42" s="382"/>
      <c r="E42" s="382"/>
      <c r="F42" s="833"/>
      <c r="G42" s="382"/>
      <c r="H42" s="372"/>
      <c r="I42" s="819"/>
      <c r="J42" s="820"/>
      <c r="K42" s="360"/>
      <c r="L42" s="44" t="s">
        <v>118</v>
      </c>
      <c r="M42" s="96"/>
      <c r="N42" s="96"/>
      <c r="O42" s="850"/>
      <c r="P42" s="96"/>
      <c r="Q42" s="109"/>
      <c r="R42" s="804"/>
      <c r="S42" s="383"/>
      <c r="T42" s="2061"/>
    </row>
    <row r="43" spans="1:21" ht="3" customHeight="1">
      <c r="A43" s="206"/>
      <c r="B43" s="358"/>
      <c r="C43" s="382"/>
      <c r="D43" s="382"/>
      <c r="E43" s="382"/>
      <c r="F43" s="829"/>
      <c r="G43" s="382"/>
      <c r="H43" s="372"/>
      <c r="I43" s="819"/>
      <c r="J43" s="820"/>
      <c r="K43" s="360"/>
      <c r="L43" s="96"/>
      <c r="M43" s="96"/>
      <c r="N43" s="96"/>
      <c r="O43" s="851"/>
      <c r="P43" s="96"/>
      <c r="Q43" s="109"/>
      <c r="R43" s="804"/>
      <c r="S43" s="383"/>
      <c r="T43" s="2061"/>
    </row>
    <row r="44" spans="1:21">
      <c r="A44" s="208" t="s">
        <v>702</v>
      </c>
      <c r="B44" s="810"/>
      <c r="C44" s="382"/>
      <c r="D44" s="310">
        <f>F44*Defaults!$D$8</f>
        <v>0</v>
      </c>
      <c r="E44" s="201" t="s">
        <v>215</v>
      </c>
      <c r="F44" s="647"/>
      <c r="G44" s="201" t="s">
        <v>165</v>
      </c>
      <c r="H44" s="218"/>
      <c r="I44" s="1065"/>
      <c r="J44" s="821"/>
      <c r="K44" s="844"/>
      <c r="L44" s="96"/>
      <c r="M44" s="315">
        <f>O44*Defaults!$D$8</f>
        <v>0</v>
      </c>
      <c r="N44" s="45" t="s">
        <v>215</v>
      </c>
      <c r="O44" s="647"/>
      <c r="P44" s="45" t="s">
        <v>165</v>
      </c>
      <c r="Q44" s="73"/>
      <c r="R44" s="1065"/>
      <c r="S44" s="862"/>
      <c r="T44" s="2061"/>
      <c r="U44" s="2351" t="str">
        <f>IF(U46=FALSE,"If UR and IC values differ significantly, check accuracy of input parameter values used in the IC formula."," ")</f>
        <v xml:space="preserve"> </v>
      </c>
    </row>
    <row r="45" spans="1:21" ht="3" customHeight="1">
      <c r="A45" s="206"/>
      <c r="B45" s="358"/>
      <c r="C45" s="382"/>
      <c r="D45" s="382"/>
      <c r="E45" s="382"/>
      <c r="F45" s="829"/>
      <c r="G45" s="382"/>
      <c r="H45" s="372"/>
      <c r="I45" s="819"/>
      <c r="J45" s="820"/>
      <c r="K45" s="360"/>
      <c r="L45" s="96"/>
      <c r="M45" s="96"/>
      <c r="N45" s="96"/>
      <c r="O45" s="851"/>
      <c r="P45" s="96"/>
      <c r="Q45" s="109"/>
      <c r="R45" s="804"/>
      <c r="S45" s="383"/>
      <c r="T45" s="2061"/>
      <c r="U45" s="21"/>
    </row>
    <row r="46" spans="1:21">
      <c r="A46" s="208" t="s">
        <v>712</v>
      </c>
      <c r="B46" s="810"/>
      <c r="C46" s="382"/>
      <c r="D46" s="310">
        <f>F46*Defaults!$D$8</f>
        <v>81.024304496000013</v>
      </c>
      <c r="E46" s="201" t="s">
        <v>215</v>
      </c>
      <c r="F46" s="641">
        <f>(F1_DMI_Dry_Cow_kg*2.63)+9.4</f>
        <v>36.752000000000002</v>
      </c>
      <c r="G46" s="201" t="s">
        <v>165</v>
      </c>
      <c r="H46" s="218"/>
      <c r="I46" s="330">
        <v>1</v>
      </c>
      <c r="J46" s="821"/>
      <c r="K46" s="844"/>
      <c r="L46" s="96"/>
      <c r="M46" s="315">
        <f>O46*Defaults!$D$8</f>
        <v>81.024304496000013</v>
      </c>
      <c r="N46" s="45" t="s">
        <v>215</v>
      </c>
      <c r="O46" s="999">
        <f>(F2_DMI_Dry_Cow_kg*2.63)+9.4</f>
        <v>36.752000000000002</v>
      </c>
      <c r="P46" s="45" t="s">
        <v>165</v>
      </c>
      <c r="Q46" s="73"/>
      <c r="R46" s="2057">
        <v>1</v>
      </c>
      <c r="S46" s="862"/>
      <c r="T46" s="2061" t="s">
        <v>77</v>
      </c>
      <c r="U46" s="3651" t="str">
        <f>IF(Options!AQ32=2,IF(Options!AR32=2," ",FALSE))</f>
        <v xml:space="preserve"> </v>
      </c>
    </row>
    <row r="47" spans="1:21" ht="5.25" customHeight="1">
      <c r="A47" s="205"/>
      <c r="B47" s="498"/>
      <c r="C47" s="499"/>
      <c r="D47" s="499"/>
      <c r="E47" s="499"/>
      <c r="F47" s="831"/>
      <c r="G47" s="499"/>
      <c r="H47" s="825"/>
      <c r="I47" s="828"/>
      <c r="J47" s="823"/>
      <c r="K47" s="500"/>
      <c r="L47" s="501"/>
      <c r="M47" s="501"/>
      <c r="N47" s="501"/>
      <c r="O47" s="852"/>
      <c r="P47" s="501"/>
      <c r="Q47" s="110"/>
      <c r="R47" s="827"/>
      <c r="S47" s="648"/>
      <c r="T47" s="2061"/>
    </row>
    <row r="48" spans="1:21" ht="18" customHeight="1">
      <c r="A48" s="221" t="s">
        <v>498</v>
      </c>
      <c r="B48" s="358"/>
      <c r="C48" s="186" t="s">
        <v>118</v>
      </c>
      <c r="D48" s="382"/>
      <c r="E48" s="382"/>
      <c r="F48" s="830"/>
      <c r="G48" s="201"/>
      <c r="H48" s="218"/>
      <c r="I48" s="819"/>
      <c r="J48" s="821"/>
      <c r="K48" s="360"/>
      <c r="L48" s="44" t="s">
        <v>118</v>
      </c>
      <c r="M48" s="96"/>
      <c r="N48" s="96"/>
      <c r="O48" s="838"/>
      <c r="P48" s="45"/>
      <c r="Q48" s="73"/>
      <c r="R48" s="804"/>
      <c r="S48" s="862"/>
      <c r="T48" s="2062"/>
    </row>
    <row r="49" spans="1:21" ht="3" customHeight="1">
      <c r="A49" s="206"/>
      <c r="B49" s="358"/>
      <c r="C49" s="382"/>
      <c r="D49" s="382"/>
      <c r="E49" s="382"/>
      <c r="F49" s="829"/>
      <c r="G49" s="382"/>
      <c r="H49" s="372"/>
      <c r="I49" s="819"/>
      <c r="J49" s="820"/>
      <c r="K49" s="360"/>
      <c r="L49" s="96"/>
      <c r="M49" s="96"/>
      <c r="N49" s="96"/>
      <c r="O49" s="851"/>
      <c r="P49" s="96"/>
      <c r="Q49" s="109"/>
      <c r="R49" s="804"/>
      <c r="S49" s="383"/>
      <c r="T49" s="2061"/>
    </row>
    <row r="50" spans="1:21">
      <c r="A50" s="208" t="s">
        <v>702</v>
      </c>
      <c r="B50" s="811"/>
      <c r="C50" s="382"/>
      <c r="D50" s="641">
        <f>F50*Defaults!$D$8</f>
        <v>0</v>
      </c>
      <c r="E50" s="201" t="s">
        <v>215</v>
      </c>
      <c r="F50" s="647"/>
      <c r="G50" s="201" t="s">
        <v>165</v>
      </c>
      <c r="H50" s="218"/>
      <c r="I50" s="1065"/>
      <c r="J50" s="821"/>
      <c r="K50" s="845"/>
      <c r="L50" s="96"/>
      <c r="M50" s="999">
        <f>O50*Defaults!$D$8</f>
        <v>0</v>
      </c>
      <c r="N50" s="45" t="s">
        <v>215</v>
      </c>
      <c r="O50" s="647"/>
      <c r="P50" s="45" t="s">
        <v>165</v>
      </c>
      <c r="Q50" s="73"/>
      <c r="R50" s="1065"/>
      <c r="S50" s="862"/>
      <c r="T50" s="2061"/>
      <c r="U50" s="2351" t="str">
        <f>IF(U52=FALSE,"If UR and IC values differ significantly, check accuracy of input parameter values used in the IC formula."," ")</f>
        <v xml:space="preserve"> </v>
      </c>
    </row>
    <row r="51" spans="1:21" ht="3" customHeight="1">
      <c r="A51" s="206"/>
      <c r="B51" s="358"/>
      <c r="C51" s="382"/>
      <c r="D51" s="382"/>
      <c r="E51" s="382"/>
      <c r="F51" s="829"/>
      <c r="G51" s="382"/>
      <c r="H51" s="372"/>
      <c r="I51" s="819"/>
      <c r="J51" s="820"/>
      <c r="K51" s="360"/>
      <c r="L51" s="96"/>
      <c r="M51" s="96"/>
      <c r="N51" s="96"/>
      <c r="O51" s="851"/>
      <c r="P51" s="96"/>
      <c r="Q51" s="109"/>
      <c r="R51" s="804"/>
      <c r="S51" s="383"/>
      <c r="T51" s="2061"/>
      <c r="U51" s="21"/>
    </row>
    <row r="52" spans="1:21">
      <c r="A52" s="208" t="s">
        <v>712</v>
      </c>
      <c r="B52" s="810"/>
      <c r="C52" s="382"/>
      <c r="D52" s="641">
        <f>F52*Defaults!$D$8</f>
        <v>9.9260945952000004</v>
      </c>
      <c r="E52" s="201" t="s">
        <v>215</v>
      </c>
      <c r="F52" s="641">
        <f>(F1_DMI_Dry_Cow_kg*0.356)+0.8</f>
        <v>4.5023999999999997</v>
      </c>
      <c r="G52" s="201" t="s">
        <v>165</v>
      </c>
      <c r="H52" s="218"/>
      <c r="I52" s="330">
        <v>1</v>
      </c>
      <c r="J52" s="821"/>
      <c r="K52" s="844"/>
      <c r="L52" s="96"/>
      <c r="M52" s="999">
        <f>O52*Defaults!$D$8</f>
        <v>9.9260945952000004</v>
      </c>
      <c r="N52" s="45" t="s">
        <v>215</v>
      </c>
      <c r="O52" s="999">
        <f>(F2_DMI_Dry_Cow_kg*0.356)+0.8</f>
        <v>4.5023999999999997</v>
      </c>
      <c r="P52" s="45" t="s">
        <v>165</v>
      </c>
      <c r="Q52" s="73"/>
      <c r="R52" s="2057">
        <v>1</v>
      </c>
      <c r="S52" s="862"/>
      <c r="T52" s="2061" t="s">
        <v>78</v>
      </c>
      <c r="U52" s="3651" t="str">
        <f>IF(Options!AQ37=2,IF(Options!AR37=2," ",FALSE))</f>
        <v xml:space="preserve"> </v>
      </c>
    </row>
    <row r="53" spans="1:21" ht="5.25" customHeight="1">
      <c r="A53" s="205"/>
      <c r="B53" s="498"/>
      <c r="C53" s="499"/>
      <c r="D53" s="499"/>
      <c r="E53" s="499"/>
      <c r="F53" s="831"/>
      <c r="G53" s="499"/>
      <c r="H53" s="825"/>
      <c r="I53" s="828"/>
      <c r="J53" s="823"/>
      <c r="K53" s="500"/>
      <c r="L53" s="501"/>
      <c r="M53" s="501"/>
      <c r="N53" s="501"/>
      <c r="O53" s="852"/>
      <c r="P53" s="501"/>
      <c r="Q53" s="110"/>
      <c r="R53" s="827"/>
      <c r="S53" s="648"/>
      <c r="T53" s="2061"/>
    </row>
    <row r="54" spans="1:21" ht="18" customHeight="1">
      <c r="A54" s="221" t="s">
        <v>173</v>
      </c>
      <c r="B54" s="812"/>
      <c r="C54" s="186" t="s">
        <v>118</v>
      </c>
      <c r="D54" s="813"/>
      <c r="E54" s="813"/>
      <c r="F54" s="832"/>
      <c r="G54" s="813"/>
      <c r="H54" s="824"/>
      <c r="I54" s="819"/>
      <c r="J54" s="822"/>
      <c r="K54" s="846"/>
      <c r="L54" s="44" t="s">
        <v>118</v>
      </c>
      <c r="M54" s="90"/>
      <c r="N54" s="90"/>
      <c r="O54" s="853"/>
      <c r="P54" s="90"/>
      <c r="Q54" s="123"/>
      <c r="R54" s="804"/>
      <c r="S54" s="863"/>
      <c r="T54" s="2062"/>
    </row>
    <row r="55" spans="1:21" ht="3" customHeight="1">
      <c r="A55" s="206"/>
      <c r="B55" s="358"/>
      <c r="C55" s="382"/>
      <c r="D55" s="382"/>
      <c r="E55" s="382"/>
      <c r="F55" s="829"/>
      <c r="G55" s="382"/>
      <c r="H55" s="372"/>
      <c r="I55" s="819"/>
      <c r="J55" s="820"/>
      <c r="K55" s="360"/>
      <c r="L55" s="96"/>
      <c r="M55" s="96"/>
      <c r="N55" s="96"/>
      <c r="O55" s="851"/>
      <c r="P55" s="96"/>
      <c r="Q55" s="109"/>
      <c r="R55" s="804"/>
      <c r="S55" s="383"/>
      <c r="T55" s="2061"/>
    </row>
    <row r="56" spans="1:21">
      <c r="A56" s="208" t="s">
        <v>702</v>
      </c>
      <c r="B56" s="810"/>
      <c r="C56" s="382"/>
      <c r="D56" s="864">
        <f>F56*Defaults!$D$8</f>
        <v>0</v>
      </c>
      <c r="E56" s="201" t="s">
        <v>215</v>
      </c>
      <c r="F56" s="2197"/>
      <c r="G56" s="201" t="s">
        <v>165</v>
      </c>
      <c r="H56" s="218"/>
      <c r="I56" s="1065"/>
      <c r="J56" s="821"/>
      <c r="K56" s="844"/>
      <c r="L56" s="96"/>
      <c r="M56" s="866">
        <f>O56*Defaults!$D$8</f>
        <v>0</v>
      </c>
      <c r="N56" s="45" t="s">
        <v>215</v>
      </c>
      <c r="O56" s="2197"/>
      <c r="P56" s="45" t="s">
        <v>165</v>
      </c>
      <c r="Q56" s="73"/>
      <c r="R56" s="1065"/>
      <c r="S56" s="862"/>
      <c r="T56" s="2061"/>
      <c r="U56" s="2351" t="str">
        <f>IF(U58=FALSE,"If UR and IC values differ significantly, check accuracy of input parameter values used in the IC formula."," ")</f>
        <v xml:space="preserve"> </v>
      </c>
    </row>
    <row r="57" spans="1:21" ht="3" customHeight="1">
      <c r="A57" s="206"/>
      <c r="B57" s="358"/>
      <c r="C57" s="382"/>
      <c r="D57" s="382"/>
      <c r="E57" s="382"/>
      <c r="F57" s="3799"/>
      <c r="G57" s="382"/>
      <c r="H57" s="372"/>
      <c r="I57" s="819"/>
      <c r="J57" s="820"/>
      <c r="K57" s="360"/>
      <c r="L57" s="96"/>
      <c r="M57" s="96"/>
      <c r="N57" s="96"/>
      <c r="O57" s="3803"/>
      <c r="P57" s="96"/>
      <c r="Q57" s="109"/>
      <c r="R57" s="804"/>
      <c r="S57" s="383"/>
      <c r="T57" s="2061"/>
      <c r="U57" s="21"/>
    </row>
    <row r="58" spans="1:21">
      <c r="A58" s="208" t="s">
        <v>712</v>
      </c>
      <c r="B58" s="810"/>
      <c r="C58" s="382"/>
      <c r="D58" s="864">
        <f>F58*Defaults!$D$8</f>
        <v>0.58269755581576022</v>
      </c>
      <c r="E58" s="201" t="s">
        <v>215</v>
      </c>
      <c r="F58" s="864">
        <f>((F1_DMI_Dry_Cow_kg*F1_Dietary_CP_Dry_Cow*84.1) + (F1_Dry_Cow_Weight_kg*0.196))/1000</f>
        <v>0.26430712000000006</v>
      </c>
      <c r="G58" s="201" t="s">
        <v>165</v>
      </c>
      <c r="H58" s="218"/>
      <c r="I58" s="330">
        <v>1</v>
      </c>
      <c r="J58" s="821"/>
      <c r="K58" s="844"/>
      <c r="L58" s="96"/>
      <c r="M58" s="866">
        <f>O58*Defaults!$D$8</f>
        <v>0.58269755581576022</v>
      </c>
      <c r="N58" s="45" t="s">
        <v>215</v>
      </c>
      <c r="O58" s="866">
        <f>((F2_DMI_Dry_Cow_kg*F2_Dietary_CP_Dry_Cow*84.1) + (F2_Dry_Cow_Weight_kg*0.196))/1000</f>
        <v>0.26430712000000006</v>
      </c>
      <c r="P58" s="45" t="s">
        <v>165</v>
      </c>
      <c r="Q58" s="73"/>
      <c r="R58" s="2057">
        <v>1</v>
      </c>
      <c r="S58" s="862"/>
      <c r="T58" s="2061" t="s">
        <v>79</v>
      </c>
      <c r="U58" s="3651" t="str">
        <f>IF(Options!AQ42=2,IF(Options!AR42=2," ",FALSE))</f>
        <v xml:space="preserve"> </v>
      </c>
    </row>
    <row r="59" spans="1:21" ht="5.25" customHeight="1">
      <c r="A59" s="205"/>
      <c r="B59" s="498"/>
      <c r="C59" s="499"/>
      <c r="D59" s="499"/>
      <c r="E59" s="499"/>
      <c r="F59" s="3800"/>
      <c r="G59" s="499"/>
      <c r="H59" s="825"/>
      <c r="I59" s="828"/>
      <c r="J59" s="823"/>
      <c r="K59" s="500"/>
      <c r="L59" s="501"/>
      <c r="M59" s="501"/>
      <c r="N59" s="501"/>
      <c r="O59" s="3804"/>
      <c r="P59" s="501"/>
      <c r="Q59" s="110"/>
      <c r="R59" s="827"/>
      <c r="S59" s="648"/>
      <c r="T59" s="2061"/>
    </row>
    <row r="60" spans="1:21" ht="18" customHeight="1">
      <c r="A60" s="221" t="s">
        <v>174</v>
      </c>
      <c r="B60" s="814"/>
      <c r="C60" s="186" t="s">
        <v>118</v>
      </c>
      <c r="D60" s="815"/>
      <c r="E60" s="815"/>
      <c r="F60" s="832"/>
      <c r="G60" s="813"/>
      <c r="H60" s="824"/>
      <c r="I60" s="819"/>
      <c r="J60" s="822"/>
      <c r="K60" s="847"/>
      <c r="L60" s="44" t="s">
        <v>118</v>
      </c>
      <c r="M60" s="127"/>
      <c r="N60" s="127"/>
      <c r="O60" s="853"/>
      <c r="P60" s="90"/>
      <c r="Q60" s="123"/>
      <c r="R60" s="804"/>
      <c r="S60" s="863"/>
      <c r="T60" s="2062"/>
    </row>
    <row r="61" spans="1:21" ht="3" customHeight="1">
      <c r="A61" s="206"/>
      <c r="B61" s="358"/>
      <c r="C61" s="382"/>
      <c r="D61" s="382"/>
      <c r="E61" s="382"/>
      <c r="F61" s="3799"/>
      <c r="G61" s="382"/>
      <c r="H61" s="372"/>
      <c r="I61" s="819"/>
      <c r="J61" s="820"/>
      <c r="K61" s="360"/>
      <c r="L61" s="96"/>
      <c r="M61" s="96"/>
      <c r="N61" s="96"/>
      <c r="O61" s="3803"/>
      <c r="P61" s="96"/>
      <c r="Q61" s="109"/>
      <c r="R61" s="804"/>
      <c r="S61" s="383"/>
      <c r="T61" s="2061"/>
    </row>
    <row r="62" spans="1:21">
      <c r="A62" s="208" t="s">
        <v>702</v>
      </c>
      <c r="B62" s="810"/>
      <c r="C62" s="382"/>
      <c r="D62" s="864">
        <f>F62*Defaults!$D$8</f>
        <v>0</v>
      </c>
      <c r="E62" s="201" t="s">
        <v>215</v>
      </c>
      <c r="F62" s="2197"/>
      <c r="G62" s="201" t="s">
        <v>165</v>
      </c>
      <c r="H62" s="218"/>
      <c r="I62" s="1065"/>
      <c r="J62" s="821"/>
      <c r="K62" s="844"/>
      <c r="L62" s="96"/>
      <c r="M62" s="866">
        <f>O62*Defaults!$D$8</f>
        <v>0</v>
      </c>
      <c r="N62" s="45" t="s">
        <v>215</v>
      </c>
      <c r="O62" s="2197"/>
      <c r="P62" s="45" t="s">
        <v>165</v>
      </c>
      <c r="Q62" s="73"/>
      <c r="R62" s="1065"/>
      <c r="S62" s="862"/>
      <c r="T62" s="2061"/>
      <c r="U62" s="2351" t="str">
        <f>IF(U64=FALSE,"If UR and IC values differ significantly, check accuracy of input parameter values used in the IC formula."," ")</f>
        <v xml:space="preserve"> </v>
      </c>
    </row>
    <row r="63" spans="1:21" ht="3" customHeight="1">
      <c r="A63" s="206"/>
      <c r="B63" s="358"/>
      <c r="C63" s="382"/>
      <c r="D63" s="382"/>
      <c r="E63" s="382"/>
      <c r="F63" s="3799"/>
      <c r="G63" s="382"/>
      <c r="H63" s="372"/>
      <c r="I63" s="819"/>
      <c r="J63" s="820"/>
      <c r="K63" s="360"/>
      <c r="L63" s="96"/>
      <c r="M63" s="96"/>
      <c r="N63" s="96"/>
      <c r="O63" s="3803"/>
      <c r="P63" s="96"/>
      <c r="Q63" s="109"/>
      <c r="R63" s="804"/>
      <c r="S63" s="383"/>
      <c r="T63" s="2061"/>
      <c r="U63" s="21"/>
    </row>
    <row r="64" spans="1:21">
      <c r="A64" s="208" t="s">
        <v>712</v>
      </c>
      <c r="B64" s="810"/>
      <c r="C64" s="382"/>
      <c r="D64" s="864">
        <f>F64*Defaults!$D$8</f>
        <v>0.10308295093273601</v>
      </c>
      <c r="E64" s="201" t="s">
        <v>215</v>
      </c>
      <c r="F64" s="864">
        <f>((F1_DMI_Dry_Cow_kg*F1_Dietary_P_Dry_Cow*560.7) + 21.1)/1000</f>
        <v>4.6757632E-2</v>
      </c>
      <c r="G64" s="201" t="s">
        <v>165</v>
      </c>
      <c r="H64" s="218"/>
      <c r="I64" s="330">
        <v>1</v>
      </c>
      <c r="J64" s="821"/>
      <c r="K64" s="844"/>
      <c r="L64" s="96"/>
      <c r="M64" s="866">
        <f>O64*Defaults!$D$8</f>
        <v>0.10308295093273601</v>
      </c>
      <c r="N64" s="45" t="s">
        <v>215</v>
      </c>
      <c r="O64" s="866">
        <f>((F2_DMI_Dry_Cow_kg*F2_Dietary_P_Dry_Cow*560.7) + 21.1)/1000</f>
        <v>4.6757632E-2</v>
      </c>
      <c r="P64" s="45" t="s">
        <v>165</v>
      </c>
      <c r="Q64" s="73"/>
      <c r="R64" s="2057">
        <v>1</v>
      </c>
      <c r="S64" s="862"/>
      <c r="T64" s="2063" t="s">
        <v>80</v>
      </c>
      <c r="U64" s="3651" t="str">
        <f>IF(Options!AQ47=2,IF(Options!AR47=2," ",FALSE))</f>
        <v xml:space="preserve"> </v>
      </c>
    </row>
    <row r="65" spans="1:21" ht="5.25" customHeight="1">
      <c r="A65" s="205"/>
      <c r="B65" s="498"/>
      <c r="C65" s="499"/>
      <c r="D65" s="499"/>
      <c r="E65" s="499"/>
      <c r="F65" s="3800"/>
      <c r="G65" s="499"/>
      <c r="H65" s="825"/>
      <c r="I65" s="828"/>
      <c r="J65" s="823"/>
      <c r="K65" s="500"/>
      <c r="L65" s="501"/>
      <c r="M65" s="501"/>
      <c r="N65" s="501"/>
      <c r="O65" s="3804"/>
      <c r="P65" s="501"/>
      <c r="Q65" s="110"/>
      <c r="R65" s="827"/>
      <c r="S65" s="648"/>
      <c r="T65" s="2061"/>
    </row>
    <row r="66" spans="1:21" ht="18" customHeight="1">
      <c r="A66" s="221" t="s">
        <v>175</v>
      </c>
      <c r="B66" s="816"/>
      <c r="C66" s="186" t="s">
        <v>118</v>
      </c>
      <c r="D66" s="817"/>
      <c r="E66" s="817"/>
      <c r="F66" s="832"/>
      <c r="G66" s="813"/>
      <c r="H66" s="824"/>
      <c r="I66" s="819"/>
      <c r="J66" s="822"/>
      <c r="K66" s="848"/>
      <c r="L66" s="44" t="s">
        <v>118</v>
      </c>
      <c r="M66" s="91"/>
      <c r="N66" s="91"/>
      <c r="O66" s="853"/>
      <c r="P66" s="90"/>
      <c r="Q66" s="123"/>
      <c r="R66" s="804"/>
      <c r="S66" s="863"/>
      <c r="T66" s="2062"/>
    </row>
    <row r="67" spans="1:21" ht="3" customHeight="1">
      <c r="A67" s="206"/>
      <c r="B67" s="358"/>
      <c r="C67" s="382"/>
      <c r="D67" s="382"/>
      <c r="E67" s="382"/>
      <c r="F67" s="3799"/>
      <c r="G67" s="382"/>
      <c r="H67" s="372"/>
      <c r="I67" s="819"/>
      <c r="J67" s="820"/>
      <c r="K67" s="360"/>
      <c r="L67" s="96"/>
      <c r="M67" s="96"/>
      <c r="N67" s="96"/>
      <c r="O67" s="3803"/>
      <c r="P67" s="96"/>
      <c r="Q67" s="109"/>
      <c r="R67" s="804"/>
      <c r="S67" s="383"/>
      <c r="T67" s="2061"/>
    </row>
    <row r="68" spans="1:21">
      <c r="A68" s="208" t="s">
        <v>702</v>
      </c>
      <c r="B68" s="810"/>
      <c r="C68" s="382"/>
      <c r="D68" s="864">
        <f>F68*Defaults!$D$8</f>
        <v>0</v>
      </c>
      <c r="E68" s="201" t="s">
        <v>215</v>
      </c>
      <c r="F68" s="2197"/>
      <c r="G68" s="201" t="s">
        <v>165</v>
      </c>
      <c r="H68" s="218"/>
      <c r="I68" s="1065"/>
      <c r="J68" s="821"/>
      <c r="K68" s="844"/>
      <c r="L68" s="96"/>
      <c r="M68" s="866">
        <f>O68*Defaults!$D$8</f>
        <v>0</v>
      </c>
      <c r="N68" s="45" t="s">
        <v>215</v>
      </c>
      <c r="O68" s="2197"/>
      <c r="P68" s="45" t="s">
        <v>165</v>
      </c>
      <c r="Q68" s="73"/>
      <c r="R68" s="1065"/>
      <c r="S68" s="862"/>
      <c r="T68" s="2061"/>
      <c r="U68" s="2351" t="str">
        <f>IF(U70=FALSE,"If UR and IC values differ significantly, check accuracy of input parameter values used in the IC formula."," ")</f>
        <v xml:space="preserve"> </v>
      </c>
    </row>
    <row r="69" spans="1:21" ht="3" customHeight="1">
      <c r="A69" s="206"/>
      <c r="B69" s="358"/>
      <c r="C69" s="382"/>
      <c r="D69" s="382"/>
      <c r="E69" s="382"/>
      <c r="F69" s="3799"/>
      <c r="G69" s="382"/>
      <c r="H69" s="372"/>
      <c r="I69" s="819"/>
      <c r="J69" s="820"/>
      <c r="K69" s="360"/>
      <c r="L69" s="96"/>
      <c r="M69" s="96"/>
      <c r="N69" s="96"/>
      <c r="O69" s="3803"/>
      <c r="P69" s="96"/>
      <c r="Q69" s="109"/>
      <c r="R69" s="804"/>
      <c r="S69" s="383"/>
      <c r="T69" s="2061"/>
      <c r="U69" s="21"/>
    </row>
    <row r="70" spans="1:21">
      <c r="A70" s="208" t="s">
        <v>712</v>
      </c>
      <c r="B70" s="810"/>
      <c r="C70" s="382"/>
      <c r="D70" s="864">
        <f>F70*Defaults!$D$8</f>
        <v>0.25609253507680008</v>
      </c>
      <c r="E70" s="201" t="s">
        <v>215</v>
      </c>
      <c r="F70" s="864">
        <f>((F1_DMI_Dry_Cow_kg*7.21)+(F1_Dietary_K_Dry_Cow*15944)-164.5)/1000</f>
        <v>0.11616160000000002</v>
      </c>
      <c r="G70" s="201" t="s">
        <v>165</v>
      </c>
      <c r="H70" s="218"/>
      <c r="I70" s="330">
        <v>1</v>
      </c>
      <c r="J70" s="821"/>
      <c r="K70" s="844"/>
      <c r="L70" s="96"/>
      <c r="M70" s="866">
        <f>O70*Defaults!$D$8</f>
        <v>0.25609253507680008</v>
      </c>
      <c r="N70" s="45" t="s">
        <v>215</v>
      </c>
      <c r="O70" s="866">
        <f>((F2_DMI_Dry_Cow_kg*7.21)+(F2_Dietary_K_Dry_Cow*15944)-164.5)/1000</f>
        <v>0.11616160000000002</v>
      </c>
      <c r="P70" s="45" t="s">
        <v>165</v>
      </c>
      <c r="Q70" s="73"/>
      <c r="R70" s="2057">
        <v>1</v>
      </c>
      <c r="S70" s="862"/>
      <c r="T70" s="2061" t="s">
        <v>81</v>
      </c>
      <c r="U70" s="3651" t="str">
        <f>IF(Options!AQ52=2,IF(Options!AR52=2," ",FALSE))</f>
        <v xml:space="preserve"> </v>
      </c>
    </row>
    <row r="71" spans="1:21" ht="5.25" customHeight="1">
      <c r="A71" s="205"/>
      <c r="B71" s="498"/>
      <c r="C71" s="499"/>
      <c r="D71" s="499"/>
      <c r="E71" s="499"/>
      <c r="F71" s="831"/>
      <c r="G71" s="499"/>
      <c r="H71" s="825"/>
      <c r="I71" s="828"/>
      <c r="J71" s="823"/>
      <c r="K71" s="500"/>
      <c r="L71" s="501"/>
      <c r="M71" s="501"/>
      <c r="N71" s="501"/>
      <c r="O71" s="852"/>
      <c r="P71" s="501"/>
      <c r="Q71" s="110"/>
      <c r="R71" s="827"/>
      <c r="S71" s="648"/>
      <c r="T71" s="2061"/>
    </row>
    <row r="72" spans="1:21" s="3" customFormat="1" ht="20.25" customHeight="1">
      <c r="A72" s="4031" t="s">
        <v>974</v>
      </c>
      <c r="B72" s="4032"/>
      <c r="C72" s="4032"/>
      <c r="D72" s="4032"/>
      <c r="E72" s="4032"/>
      <c r="F72" s="4032"/>
      <c r="G72" s="4032"/>
      <c r="H72" s="4032"/>
      <c r="I72" s="4032"/>
      <c r="J72" s="4032"/>
      <c r="K72" s="4032"/>
      <c r="L72" s="4032"/>
      <c r="M72" s="4032"/>
      <c r="N72" s="4032"/>
      <c r="O72" s="4032"/>
      <c r="P72" s="4032"/>
      <c r="Q72" s="4032"/>
      <c r="R72" s="4032"/>
      <c r="S72" s="4033"/>
      <c r="T72" s="2732"/>
    </row>
    <row r="73" spans="1:21" ht="18" customHeight="1">
      <c r="A73" s="221" t="s">
        <v>1419</v>
      </c>
      <c r="B73" s="358"/>
      <c r="C73" s="186" t="s">
        <v>118</v>
      </c>
      <c r="D73" s="382"/>
      <c r="E73" s="382"/>
      <c r="F73" s="833"/>
      <c r="G73" s="382"/>
      <c r="H73" s="372"/>
      <c r="I73" s="819"/>
      <c r="J73" s="820"/>
      <c r="K73" s="360"/>
      <c r="L73" s="44" t="s">
        <v>118</v>
      </c>
      <c r="M73" s="96"/>
      <c r="N73" s="96"/>
      <c r="O73" s="850"/>
      <c r="P73" s="96"/>
      <c r="Q73" s="109"/>
      <c r="R73" s="804"/>
      <c r="S73" s="383"/>
      <c r="T73" s="2061"/>
    </row>
    <row r="74" spans="1:21" ht="3" customHeight="1">
      <c r="A74" s="206"/>
      <c r="B74" s="358"/>
      <c r="C74" s="382"/>
      <c r="D74" s="382"/>
      <c r="E74" s="382"/>
      <c r="F74" s="829"/>
      <c r="G74" s="382"/>
      <c r="H74" s="372"/>
      <c r="I74" s="819"/>
      <c r="J74" s="820"/>
      <c r="K74" s="360"/>
      <c r="L74" s="96"/>
      <c r="M74" s="96"/>
      <c r="N74" s="96"/>
      <c r="O74" s="851"/>
      <c r="P74" s="96"/>
      <c r="Q74" s="109"/>
      <c r="R74" s="804"/>
      <c r="S74" s="383"/>
      <c r="T74" s="2061"/>
    </row>
    <row r="75" spans="1:21">
      <c r="A75" s="208" t="s">
        <v>702</v>
      </c>
      <c r="B75" s="810"/>
      <c r="C75" s="382"/>
      <c r="D75" s="310">
        <f>F75*Defaults!$D$8</f>
        <v>0</v>
      </c>
      <c r="E75" s="201" t="s">
        <v>215</v>
      </c>
      <c r="F75" s="647"/>
      <c r="G75" s="201" t="s">
        <v>165</v>
      </c>
      <c r="H75" s="218"/>
      <c r="I75" s="1065"/>
      <c r="J75" s="821"/>
      <c r="K75" s="844"/>
      <c r="L75" s="96"/>
      <c r="M75" s="315">
        <f>O75*Defaults!$D$8</f>
        <v>0</v>
      </c>
      <c r="N75" s="45" t="s">
        <v>215</v>
      </c>
      <c r="O75" s="647"/>
      <c r="P75" s="45" t="s">
        <v>165</v>
      </c>
      <c r="Q75" s="73"/>
      <c r="R75" s="1065"/>
      <c r="S75" s="862"/>
      <c r="T75" s="2061"/>
      <c r="U75" s="2351" t="str">
        <f>IF(U77=FALSE,"If UR and IC values differ significantly, check accuracy of input parameter values used in the IC formula."," ")</f>
        <v xml:space="preserve"> </v>
      </c>
    </row>
    <row r="76" spans="1:21" ht="3" customHeight="1">
      <c r="A76" s="206"/>
      <c r="B76" s="358"/>
      <c r="C76" s="382"/>
      <c r="D76" s="382"/>
      <c r="E76" s="382"/>
      <c r="F76" s="829"/>
      <c r="G76" s="382"/>
      <c r="H76" s="372"/>
      <c r="I76" s="819"/>
      <c r="J76" s="820"/>
      <c r="K76" s="360"/>
      <c r="L76" s="96"/>
      <c r="M76" s="96"/>
      <c r="N76" s="96"/>
      <c r="O76" s="851"/>
      <c r="P76" s="96"/>
      <c r="Q76" s="109"/>
      <c r="R76" s="804"/>
      <c r="S76" s="383"/>
      <c r="T76" s="3653"/>
      <c r="U76" s="21"/>
    </row>
    <row r="77" spans="1:21">
      <c r="A77" s="208" t="s">
        <v>712</v>
      </c>
      <c r="B77" s="810"/>
      <c r="C77" s="382"/>
      <c r="D77" s="310">
        <f>F77*Defaults!$D$8</f>
        <v>52.714387813320009</v>
      </c>
      <c r="E77" s="201" t="s">
        <v>215</v>
      </c>
      <c r="F77" s="641">
        <f>(F1_DMI_Heifer_kg*4.156)-(F1_Heifer_Weight_kg * 0.0246)</f>
        <v>23.91084</v>
      </c>
      <c r="G77" s="201" t="s">
        <v>165</v>
      </c>
      <c r="H77" s="218"/>
      <c r="I77" s="330">
        <v>1</v>
      </c>
      <c r="J77" s="821"/>
      <c r="K77" s="844"/>
      <c r="L77" s="96"/>
      <c r="M77" s="315">
        <f>O77*Defaults!$D$8</f>
        <v>52.714387813320009</v>
      </c>
      <c r="N77" s="45" t="s">
        <v>215</v>
      </c>
      <c r="O77" s="999">
        <f>(F2_DMI_Heifer_kg*4.156)-(F2_Heifer_Weight_kg * 0.0246)</f>
        <v>23.91084</v>
      </c>
      <c r="P77" s="45" t="s">
        <v>165</v>
      </c>
      <c r="Q77" s="73"/>
      <c r="R77" s="2057">
        <v>1</v>
      </c>
      <c r="S77" s="862"/>
      <c r="T77" s="2063" t="s">
        <v>210</v>
      </c>
      <c r="U77" s="3651" t="str">
        <f>IF(Options!AQ58=2,IF(Options!AR58=2," ",FALSE))</f>
        <v xml:space="preserve"> </v>
      </c>
    </row>
    <row r="78" spans="1:21" ht="5.25" customHeight="1">
      <c r="A78" s="205"/>
      <c r="B78" s="498"/>
      <c r="C78" s="499"/>
      <c r="D78" s="499"/>
      <c r="E78" s="499"/>
      <c r="F78" s="831"/>
      <c r="G78" s="499"/>
      <c r="H78" s="825"/>
      <c r="I78" s="828"/>
      <c r="J78" s="823"/>
      <c r="K78" s="500"/>
      <c r="L78" s="501"/>
      <c r="M78" s="501"/>
      <c r="N78" s="501"/>
      <c r="O78" s="852"/>
      <c r="P78" s="501"/>
      <c r="Q78" s="110"/>
      <c r="R78" s="827"/>
      <c r="S78" s="648"/>
      <c r="T78" s="2061"/>
    </row>
    <row r="79" spans="1:21" ht="18" customHeight="1">
      <c r="A79" s="221" t="s">
        <v>498</v>
      </c>
      <c r="B79" s="358"/>
      <c r="C79" s="186" t="s">
        <v>118</v>
      </c>
      <c r="D79" s="382"/>
      <c r="E79" s="382"/>
      <c r="F79" s="830"/>
      <c r="G79" s="201"/>
      <c r="H79" s="218"/>
      <c r="I79" s="819"/>
      <c r="J79" s="821"/>
      <c r="K79" s="360"/>
      <c r="L79" s="44" t="s">
        <v>118</v>
      </c>
      <c r="M79" s="96"/>
      <c r="N79" s="96"/>
      <c r="O79" s="838"/>
      <c r="P79" s="45"/>
      <c r="Q79" s="73"/>
      <c r="R79" s="804"/>
      <c r="S79" s="862"/>
      <c r="T79" s="2062"/>
    </row>
    <row r="80" spans="1:21" ht="3" customHeight="1">
      <c r="A80" s="206"/>
      <c r="B80" s="358"/>
      <c r="C80" s="382"/>
      <c r="D80" s="382"/>
      <c r="E80" s="382"/>
      <c r="F80" s="829"/>
      <c r="G80" s="382"/>
      <c r="H80" s="372"/>
      <c r="I80" s="819"/>
      <c r="J80" s="820"/>
      <c r="K80" s="360"/>
      <c r="L80" s="96"/>
      <c r="M80" s="96"/>
      <c r="N80" s="96"/>
      <c r="O80" s="851"/>
      <c r="P80" s="96"/>
      <c r="Q80" s="109"/>
      <c r="R80" s="804"/>
      <c r="S80" s="383"/>
      <c r="T80" s="2061"/>
    </row>
    <row r="81" spans="1:21">
      <c r="A81" s="208" t="s">
        <v>702</v>
      </c>
      <c r="B81" s="811"/>
      <c r="C81" s="382"/>
      <c r="D81" s="641">
        <f>F81*Defaults!$D$8</f>
        <v>0</v>
      </c>
      <c r="E81" s="201" t="s">
        <v>215</v>
      </c>
      <c r="F81" s="647"/>
      <c r="G81" s="201" t="s">
        <v>165</v>
      </c>
      <c r="H81" s="218"/>
      <c r="I81" s="1065"/>
      <c r="J81" s="821"/>
      <c r="K81" s="845"/>
      <c r="L81" s="96"/>
      <c r="M81" s="999">
        <f>O81*Defaults!$D$8</f>
        <v>0</v>
      </c>
      <c r="N81" s="45" t="s">
        <v>215</v>
      </c>
      <c r="O81" s="647"/>
      <c r="P81" s="45" t="s">
        <v>165</v>
      </c>
      <c r="Q81" s="73"/>
      <c r="R81" s="1065"/>
      <c r="S81" s="862"/>
      <c r="T81" s="2061"/>
      <c r="U81" s="2351" t="str">
        <f>IF(U83=FALSE,"If UR and IC values differ significantly, check accuracy of input parameter values used in the IC formula."," ")</f>
        <v xml:space="preserve"> </v>
      </c>
    </row>
    <row r="82" spans="1:21" ht="3" customHeight="1">
      <c r="A82" s="206"/>
      <c r="B82" s="358"/>
      <c r="C82" s="382"/>
      <c r="D82" s="382"/>
      <c r="E82" s="382"/>
      <c r="F82" s="829"/>
      <c r="G82" s="382"/>
      <c r="H82" s="372"/>
      <c r="I82" s="819"/>
      <c r="J82" s="820"/>
      <c r="K82" s="360"/>
      <c r="L82" s="96"/>
      <c r="M82" s="96"/>
      <c r="N82" s="96"/>
      <c r="O82" s="851"/>
      <c r="P82" s="96"/>
      <c r="Q82" s="109"/>
      <c r="R82" s="804"/>
      <c r="S82" s="383"/>
      <c r="T82" s="2061"/>
      <c r="U82" s="21"/>
    </row>
    <row r="83" spans="1:21">
      <c r="A83" s="208" t="s">
        <v>712</v>
      </c>
      <c r="B83" s="810"/>
      <c r="C83" s="382"/>
      <c r="D83" s="641">
        <f>F83*Defaults!$D$8</f>
        <v>8.3093122719199997</v>
      </c>
      <c r="E83" s="201" t="s">
        <v>215</v>
      </c>
      <c r="F83" s="641">
        <f>(F1_DMI_Heifer_kg*0.356)+0.8</f>
        <v>3.7690399999999995</v>
      </c>
      <c r="G83" s="201" t="s">
        <v>165</v>
      </c>
      <c r="H83" s="218"/>
      <c r="I83" s="330">
        <v>1</v>
      </c>
      <c r="J83" s="821"/>
      <c r="K83" s="844"/>
      <c r="L83" s="96"/>
      <c r="M83" s="999">
        <f>O83*Defaults!$D$8</f>
        <v>8.3093122719199997</v>
      </c>
      <c r="N83" s="45" t="s">
        <v>215</v>
      </c>
      <c r="O83" s="999">
        <f>( F2_DMI_Heifer_kg*0.356)+0.8</f>
        <v>3.7690399999999995</v>
      </c>
      <c r="P83" s="45" t="s">
        <v>165</v>
      </c>
      <c r="Q83" s="73"/>
      <c r="R83" s="2057">
        <v>1</v>
      </c>
      <c r="S83" s="862"/>
      <c r="T83" s="2061" t="s">
        <v>78</v>
      </c>
      <c r="U83" s="3651" t="str">
        <f>IF(Options!AQ63=2,IF(Options!AR63=2," ",FALSE))</f>
        <v xml:space="preserve"> </v>
      </c>
    </row>
    <row r="84" spans="1:21" ht="5.25" customHeight="1">
      <c r="A84" s="205"/>
      <c r="B84" s="498"/>
      <c r="C84" s="499"/>
      <c r="D84" s="499"/>
      <c r="E84" s="499"/>
      <c r="F84" s="831"/>
      <c r="G84" s="499"/>
      <c r="H84" s="825"/>
      <c r="I84" s="828"/>
      <c r="J84" s="823"/>
      <c r="K84" s="500"/>
      <c r="L84" s="501"/>
      <c r="M84" s="501"/>
      <c r="N84" s="501"/>
      <c r="O84" s="852"/>
      <c r="P84" s="501"/>
      <c r="Q84" s="110"/>
      <c r="R84" s="827"/>
      <c r="S84" s="648"/>
      <c r="T84" s="2061"/>
    </row>
    <row r="85" spans="1:21" ht="18" customHeight="1">
      <c r="A85" s="221" t="s">
        <v>173</v>
      </c>
      <c r="B85" s="812"/>
      <c r="C85" s="186" t="s">
        <v>118</v>
      </c>
      <c r="D85" s="813"/>
      <c r="E85" s="813"/>
      <c r="F85" s="832"/>
      <c r="G85" s="813"/>
      <c r="H85" s="824"/>
      <c r="I85" s="819"/>
      <c r="J85" s="822"/>
      <c r="K85" s="846"/>
      <c r="L85" s="44" t="s">
        <v>118</v>
      </c>
      <c r="M85" s="90"/>
      <c r="N85" s="90"/>
      <c r="O85" s="853"/>
      <c r="P85" s="90"/>
      <c r="Q85" s="123"/>
      <c r="R85" s="804"/>
      <c r="S85" s="863"/>
      <c r="T85" s="2062"/>
    </row>
    <row r="86" spans="1:21" ht="3" customHeight="1">
      <c r="A86" s="206"/>
      <c r="B86" s="358"/>
      <c r="C86" s="382"/>
      <c r="D86" s="382"/>
      <c r="E86" s="382"/>
      <c r="F86" s="829"/>
      <c r="G86" s="382"/>
      <c r="H86" s="372"/>
      <c r="I86" s="819"/>
      <c r="J86" s="820"/>
      <c r="K86" s="360"/>
      <c r="L86" s="96"/>
      <c r="M86" s="96"/>
      <c r="N86" s="96"/>
      <c r="O86" s="851"/>
      <c r="P86" s="96"/>
      <c r="Q86" s="109"/>
      <c r="R86" s="804"/>
      <c r="S86" s="383"/>
      <c r="T86" s="2061"/>
    </row>
    <row r="87" spans="1:21">
      <c r="A87" s="208" t="s">
        <v>702</v>
      </c>
      <c r="B87" s="810"/>
      <c r="C87" s="382"/>
      <c r="D87" s="864">
        <f>F87*Defaults!$D$8</f>
        <v>0</v>
      </c>
      <c r="E87" s="201" t="s">
        <v>215</v>
      </c>
      <c r="F87" s="2197"/>
      <c r="G87" s="201" t="s">
        <v>165</v>
      </c>
      <c r="H87" s="218"/>
      <c r="I87" s="1065"/>
      <c r="J87" s="821"/>
      <c r="K87" s="844"/>
      <c r="L87" s="96"/>
      <c r="M87" s="866">
        <f>O87*Defaults!$D$8</f>
        <v>0</v>
      </c>
      <c r="N87" s="45" t="s">
        <v>215</v>
      </c>
      <c r="O87" s="2197"/>
      <c r="P87" s="45" t="s">
        <v>165</v>
      </c>
      <c r="Q87" s="73"/>
      <c r="R87" s="1065"/>
      <c r="S87" s="862"/>
      <c r="T87" s="2061"/>
      <c r="U87" s="2351" t="str">
        <f>IF(U89=FALSE,"If UR and IC values differ significantly, check accuracy of input parameter values used in the IC formula."," ")</f>
        <v xml:space="preserve"> </v>
      </c>
    </row>
    <row r="88" spans="1:21" ht="3" customHeight="1">
      <c r="A88" s="206"/>
      <c r="B88" s="358"/>
      <c r="C88" s="382"/>
      <c r="D88" s="382"/>
      <c r="E88" s="382"/>
      <c r="F88" s="3799"/>
      <c r="G88" s="382"/>
      <c r="H88" s="372"/>
      <c r="I88" s="819"/>
      <c r="J88" s="820"/>
      <c r="K88" s="360"/>
      <c r="L88" s="96"/>
      <c r="M88" s="96"/>
      <c r="N88" s="96"/>
      <c r="O88" s="3803"/>
      <c r="P88" s="96"/>
      <c r="Q88" s="109"/>
      <c r="R88" s="804"/>
      <c r="S88" s="383"/>
      <c r="T88" s="2061"/>
      <c r="U88" s="21"/>
    </row>
    <row r="89" spans="1:21">
      <c r="A89" s="208" t="s">
        <v>712</v>
      </c>
      <c r="B89" s="810"/>
      <c r="C89" s="382"/>
      <c r="D89" s="864">
        <f>F89*Defaults!$D$8</f>
        <v>0.27474569860173764</v>
      </c>
      <c r="E89" s="201" t="s">
        <v>215</v>
      </c>
      <c r="F89" s="864">
        <f>((F1_DMI_Heifer_kg * F1_Dietary_CP_Heifer* 78.39) + 51.4)/1000</f>
        <v>0.1246225312</v>
      </c>
      <c r="G89" s="201" t="s">
        <v>165</v>
      </c>
      <c r="H89" s="218"/>
      <c r="I89" s="330">
        <v>1</v>
      </c>
      <c r="J89" s="821"/>
      <c r="K89" s="844"/>
      <c r="L89" s="96"/>
      <c r="M89" s="866">
        <f>O89*Defaults!$D$8</f>
        <v>0.27474569860173764</v>
      </c>
      <c r="N89" s="45" t="s">
        <v>215</v>
      </c>
      <c r="O89" s="866">
        <f>((F2_DMI_Heifer_kg * F2_Dietary_CP_Heifer * 78.39) + 51.4)/1000</f>
        <v>0.1246225312</v>
      </c>
      <c r="P89" s="45" t="s">
        <v>165</v>
      </c>
      <c r="Q89" s="73"/>
      <c r="R89" s="2057">
        <v>1</v>
      </c>
      <c r="S89" s="862"/>
      <c r="T89" s="2063" t="s">
        <v>214</v>
      </c>
      <c r="U89" s="3651" t="str">
        <f>IF(Options!AQ68=2,IF(Options!AR68=2," ",FALSE))</f>
        <v xml:space="preserve"> </v>
      </c>
    </row>
    <row r="90" spans="1:21" ht="5.25" customHeight="1">
      <c r="A90" s="205"/>
      <c r="B90" s="498"/>
      <c r="C90" s="499"/>
      <c r="D90" s="499"/>
      <c r="E90" s="499"/>
      <c r="F90" s="3800"/>
      <c r="G90" s="499"/>
      <c r="H90" s="825"/>
      <c r="I90" s="828"/>
      <c r="J90" s="823"/>
      <c r="K90" s="500"/>
      <c r="L90" s="501"/>
      <c r="M90" s="501"/>
      <c r="N90" s="501"/>
      <c r="O90" s="3804"/>
      <c r="P90" s="501"/>
      <c r="Q90" s="110"/>
      <c r="R90" s="827"/>
      <c r="S90" s="648"/>
      <c r="T90" s="2061"/>
    </row>
    <row r="91" spans="1:21" ht="18" customHeight="1">
      <c r="A91" s="221" t="s">
        <v>174</v>
      </c>
      <c r="B91" s="814"/>
      <c r="C91" s="186" t="s">
        <v>118</v>
      </c>
      <c r="D91" s="815"/>
      <c r="E91" s="815"/>
      <c r="F91" s="832"/>
      <c r="G91" s="813"/>
      <c r="H91" s="824"/>
      <c r="I91" s="819"/>
      <c r="J91" s="822"/>
      <c r="K91" s="847"/>
      <c r="L91" s="44" t="s">
        <v>118</v>
      </c>
      <c r="M91" s="127"/>
      <c r="N91" s="127"/>
      <c r="O91" s="853"/>
      <c r="P91" s="90"/>
      <c r="Q91" s="123"/>
      <c r="R91" s="804"/>
      <c r="S91" s="863"/>
      <c r="T91" s="2062"/>
    </row>
    <row r="92" spans="1:21" ht="3" customHeight="1">
      <c r="A92" s="206"/>
      <c r="B92" s="358"/>
      <c r="C92" s="382"/>
      <c r="D92" s="382"/>
      <c r="E92" s="382"/>
      <c r="F92" s="3799"/>
      <c r="G92" s="382"/>
      <c r="H92" s="372"/>
      <c r="I92" s="819"/>
      <c r="J92" s="820"/>
      <c r="K92" s="360"/>
      <c r="L92" s="96"/>
      <c r="M92" s="96"/>
      <c r="N92" s="96"/>
      <c r="O92" s="3803"/>
      <c r="P92" s="96"/>
      <c r="Q92" s="109"/>
      <c r="R92" s="804"/>
      <c r="S92" s="383"/>
      <c r="T92" s="2061"/>
    </row>
    <row r="93" spans="1:21">
      <c r="A93" s="208" t="s">
        <v>702</v>
      </c>
      <c r="B93" s="810"/>
      <c r="C93" s="382"/>
      <c r="D93" s="864">
        <f>F93*Defaults!$D$8</f>
        <v>0</v>
      </c>
      <c r="E93" s="201" t="s">
        <v>215</v>
      </c>
      <c r="F93" s="2197"/>
      <c r="G93" s="201" t="s">
        <v>165</v>
      </c>
      <c r="H93" s="218"/>
      <c r="I93" s="1065"/>
      <c r="J93" s="821"/>
      <c r="K93" s="844"/>
      <c r="L93" s="96"/>
      <c r="M93" s="866">
        <f>O93*Defaults!$D$8</f>
        <v>0</v>
      </c>
      <c r="N93" s="45" t="s">
        <v>215</v>
      </c>
      <c r="O93" s="2197"/>
      <c r="P93" s="45" t="s">
        <v>165</v>
      </c>
      <c r="Q93" s="73"/>
      <c r="R93" s="1065"/>
      <c r="S93" s="862"/>
      <c r="T93" s="2061"/>
      <c r="U93" s="2351" t="str">
        <f>IF(U95=FALSE,"If UR and IC values differ significantly, check accuracy of input parameter values used in the IC formula."," ")</f>
        <v xml:space="preserve"> </v>
      </c>
    </row>
    <row r="94" spans="1:21" ht="3" customHeight="1">
      <c r="A94" s="206"/>
      <c r="B94" s="358"/>
      <c r="C94" s="382"/>
      <c r="D94" s="382"/>
      <c r="E94" s="382"/>
      <c r="F94" s="3799"/>
      <c r="G94" s="382"/>
      <c r="H94" s="372"/>
      <c r="I94" s="819"/>
      <c r="J94" s="820"/>
      <c r="K94" s="360"/>
      <c r="L94" s="96"/>
      <c r="M94" s="96"/>
      <c r="N94" s="96"/>
      <c r="O94" s="3803"/>
      <c r="P94" s="96"/>
      <c r="Q94" s="109"/>
      <c r="R94" s="804"/>
      <c r="S94" s="383"/>
      <c r="T94" s="2061"/>
      <c r="U94" s="21"/>
    </row>
    <row r="95" spans="1:21">
      <c r="A95" s="208" t="s">
        <v>712</v>
      </c>
      <c r="B95" s="810"/>
      <c r="C95" s="382"/>
      <c r="D95" s="864">
        <f>F95*Defaults!$D$8</f>
        <v>7.6414636659994609E-2</v>
      </c>
      <c r="E95" s="201" t="s">
        <v>215</v>
      </c>
      <c r="F95" s="864">
        <f>((F1_DMI_Heifer_kg*F1_Dietary_P_Heifer*560.7) + 21.1)/1000</f>
        <v>3.4661090200000001E-2</v>
      </c>
      <c r="G95" s="201" t="s">
        <v>165</v>
      </c>
      <c r="H95" s="218"/>
      <c r="I95" s="330">
        <v>1</v>
      </c>
      <c r="J95" s="821"/>
      <c r="K95" s="844"/>
      <c r="L95" s="96"/>
      <c r="M95" s="866">
        <f>O95*Defaults!$D$8</f>
        <v>7.6414636659994609E-2</v>
      </c>
      <c r="N95" s="45" t="s">
        <v>215</v>
      </c>
      <c r="O95" s="866">
        <f>((F2_DMI_Heifer_kg*F2_Dietary_P_Heifer*560.7) + 21.1)/1000</f>
        <v>3.4661090200000001E-2</v>
      </c>
      <c r="P95" s="45" t="s">
        <v>165</v>
      </c>
      <c r="Q95" s="73"/>
      <c r="R95" s="2057">
        <v>1</v>
      </c>
      <c r="S95" s="862"/>
      <c r="T95" s="2063" t="s">
        <v>80</v>
      </c>
      <c r="U95" s="3651" t="str">
        <f>IF(Options!AQ73=2,IF(Options!AR73=2," ",FALSE))</f>
        <v xml:space="preserve"> </v>
      </c>
    </row>
    <row r="96" spans="1:21" ht="5.25" customHeight="1">
      <c r="A96" s="205"/>
      <c r="B96" s="498"/>
      <c r="C96" s="499"/>
      <c r="D96" s="499"/>
      <c r="E96" s="499"/>
      <c r="F96" s="3800"/>
      <c r="G96" s="499"/>
      <c r="H96" s="825"/>
      <c r="I96" s="828"/>
      <c r="J96" s="823"/>
      <c r="K96" s="500"/>
      <c r="L96" s="501"/>
      <c r="M96" s="501"/>
      <c r="N96" s="501"/>
      <c r="O96" s="3804"/>
      <c r="P96" s="501"/>
      <c r="Q96" s="110"/>
      <c r="R96" s="827"/>
      <c r="S96" s="648"/>
      <c r="T96" s="2061"/>
    </row>
    <row r="97" spans="1:21" ht="18" customHeight="1">
      <c r="A97" s="221" t="s">
        <v>175</v>
      </c>
      <c r="B97" s="816"/>
      <c r="C97" s="186" t="s">
        <v>118</v>
      </c>
      <c r="D97" s="817"/>
      <c r="E97" s="817"/>
      <c r="F97" s="832"/>
      <c r="G97" s="813"/>
      <c r="H97" s="824"/>
      <c r="I97" s="819"/>
      <c r="J97" s="822"/>
      <c r="K97" s="848"/>
      <c r="L97" s="44" t="s">
        <v>118</v>
      </c>
      <c r="M97" s="91"/>
      <c r="N97" s="91"/>
      <c r="O97" s="853"/>
      <c r="P97" s="90"/>
      <c r="Q97" s="123"/>
      <c r="R97" s="804"/>
      <c r="S97" s="863"/>
      <c r="T97" s="2062"/>
    </row>
    <row r="98" spans="1:21" ht="3" customHeight="1">
      <c r="A98" s="206"/>
      <c r="B98" s="358"/>
      <c r="C98" s="382"/>
      <c r="D98" s="382"/>
      <c r="E98" s="382"/>
      <c r="F98" s="3799"/>
      <c r="G98" s="382"/>
      <c r="H98" s="372"/>
      <c r="I98" s="819"/>
      <c r="J98" s="820"/>
      <c r="K98" s="360"/>
      <c r="L98" s="96"/>
      <c r="M98" s="96"/>
      <c r="N98" s="96"/>
      <c r="O98" s="3803"/>
      <c r="P98" s="96"/>
      <c r="Q98" s="109"/>
      <c r="R98" s="804"/>
      <c r="S98" s="383"/>
      <c r="T98" s="2061"/>
    </row>
    <row r="99" spans="1:21">
      <c r="A99" s="208" t="s">
        <v>702</v>
      </c>
      <c r="B99" s="810"/>
      <c r="C99" s="382"/>
      <c r="D99" s="864">
        <f>F99*Defaults!$D$8</f>
        <v>0</v>
      </c>
      <c r="E99" s="201" t="s">
        <v>215</v>
      </c>
      <c r="F99" s="2197"/>
      <c r="G99" s="201" t="s">
        <v>165</v>
      </c>
      <c r="H99" s="218"/>
      <c r="I99" s="1065"/>
      <c r="J99" s="821"/>
      <c r="K99" s="844"/>
      <c r="L99" s="96"/>
      <c r="M99" s="866">
        <f>O99*Defaults!$D$8</f>
        <v>0</v>
      </c>
      <c r="N99" s="45" t="s">
        <v>215</v>
      </c>
      <c r="O99" s="2197"/>
      <c r="P99" s="45" t="s">
        <v>165</v>
      </c>
      <c r="Q99" s="73"/>
      <c r="R99" s="1065"/>
      <c r="S99" s="862"/>
      <c r="T99" s="2061"/>
      <c r="U99" s="2351" t="str">
        <f>IF(U101=FALSE,"If UR and IC values differ significantly, check accuracy of input parameter values used in the IC formula."," ")</f>
        <v xml:space="preserve"> </v>
      </c>
    </row>
    <row r="100" spans="1:21" ht="3" customHeight="1">
      <c r="A100" s="206"/>
      <c r="B100" s="358"/>
      <c r="C100" s="382"/>
      <c r="D100" s="382"/>
      <c r="E100" s="382"/>
      <c r="F100" s="3799"/>
      <c r="G100" s="382"/>
      <c r="H100" s="372"/>
      <c r="I100" s="819"/>
      <c r="J100" s="820"/>
      <c r="K100" s="360"/>
      <c r="L100" s="96"/>
      <c r="M100" s="96"/>
      <c r="N100" s="96"/>
      <c r="O100" s="3803"/>
      <c r="P100" s="96"/>
      <c r="Q100" s="109"/>
      <c r="R100" s="804"/>
      <c r="S100" s="383"/>
      <c r="T100" s="2061"/>
      <c r="U100" s="21"/>
    </row>
    <row r="101" spans="1:21">
      <c r="A101" s="208" t="s">
        <v>712</v>
      </c>
      <c r="B101" s="810"/>
      <c r="C101" s="382"/>
      <c r="D101" s="864">
        <f>F101*Defaults!$D$8</f>
        <v>0.28661906790860003</v>
      </c>
      <c r="E101" s="201" t="s">
        <v>215</v>
      </c>
      <c r="F101" s="864">
        <f>((F1_DMI_Heifer_kg*7.21)+(F1_Dietary_K_Heifer*15944)-164.5)/1000</f>
        <v>0.13000819999999999</v>
      </c>
      <c r="G101" s="201" t="s">
        <v>165</v>
      </c>
      <c r="H101" s="218"/>
      <c r="I101" s="330">
        <v>1</v>
      </c>
      <c r="J101" s="821"/>
      <c r="K101" s="844"/>
      <c r="L101" s="96"/>
      <c r="M101" s="866">
        <f>O101*Defaults!$D$8</f>
        <v>0.28661906790860003</v>
      </c>
      <c r="N101" s="45" t="s">
        <v>215</v>
      </c>
      <c r="O101" s="866">
        <f>((F2_DMI_Heifer_kg*7.21)+(F2_Dietary_K_Heifer*15944)-164.5)/1000</f>
        <v>0.13000819999999999</v>
      </c>
      <c r="P101" s="45" t="s">
        <v>165</v>
      </c>
      <c r="Q101" s="73"/>
      <c r="R101" s="2057">
        <v>1</v>
      </c>
      <c r="S101" s="862"/>
      <c r="T101" s="2061" t="s">
        <v>81</v>
      </c>
      <c r="U101" s="3651" t="str">
        <f>IF(Options!AQ77=2,IF(Options!AR77=2," ",FALSE))</f>
        <v xml:space="preserve"> </v>
      </c>
    </row>
    <row r="102" spans="1:21" ht="5.25" customHeight="1">
      <c r="A102" s="205"/>
      <c r="B102" s="498"/>
      <c r="C102" s="499"/>
      <c r="D102" s="499"/>
      <c r="E102" s="499"/>
      <c r="F102" s="3800"/>
      <c r="G102" s="499"/>
      <c r="H102" s="825"/>
      <c r="I102" s="828"/>
      <c r="J102" s="823"/>
      <c r="K102" s="500"/>
      <c r="L102" s="501"/>
      <c r="M102" s="501"/>
      <c r="N102" s="501"/>
      <c r="O102" s="852"/>
      <c r="P102" s="501"/>
      <c r="Q102" s="110"/>
      <c r="R102" s="827"/>
      <c r="S102" s="648"/>
      <c r="T102" s="2061"/>
    </row>
    <row r="103" spans="1:21" s="3" customFormat="1" ht="20.25" customHeight="1">
      <c r="A103" s="4031" t="s">
        <v>1179</v>
      </c>
      <c r="B103" s="4032"/>
      <c r="C103" s="4032"/>
      <c r="D103" s="4032"/>
      <c r="E103" s="4032"/>
      <c r="F103" s="4032"/>
      <c r="G103" s="4032"/>
      <c r="H103" s="4032"/>
      <c r="I103" s="4032"/>
      <c r="J103" s="4032"/>
      <c r="K103" s="4032"/>
      <c r="L103" s="4032"/>
      <c r="M103" s="4032"/>
      <c r="N103" s="4032"/>
      <c r="O103" s="4032"/>
      <c r="P103" s="4032"/>
      <c r="Q103" s="4032"/>
      <c r="R103" s="4032"/>
      <c r="S103" s="4033"/>
      <c r="T103" s="2732"/>
    </row>
    <row r="104" spans="1:21" ht="18" customHeight="1">
      <c r="A104" s="221" t="s">
        <v>1419</v>
      </c>
      <c r="B104" s="358"/>
      <c r="C104" s="186" t="s">
        <v>118</v>
      </c>
      <c r="D104" s="382"/>
      <c r="E104" s="382"/>
      <c r="F104" s="833"/>
      <c r="G104" s="382"/>
      <c r="H104" s="372"/>
      <c r="I104" s="819"/>
      <c r="J104" s="820"/>
      <c r="K104" s="360"/>
      <c r="L104" s="44" t="s">
        <v>118</v>
      </c>
      <c r="M104" s="96"/>
      <c r="N104" s="96"/>
      <c r="O104" s="850"/>
      <c r="P104" s="96"/>
      <c r="Q104" s="109"/>
      <c r="R104" s="804"/>
      <c r="S104" s="383"/>
      <c r="T104" s="2061"/>
    </row>
    <row r="105" spans="1:21" ht="3" customHeight="1">
      <c r="A105" s="206"/>
      <c r="B105" s="358"/>
      <c r="C105" s="382"/>
      <c r="D105" s="382"/>
      <c r="E105" s="382"/>
      <c r="F105" s="829"/>
      <c r="G105" s="382"/>
      <c r="H105" s="372"/>
      <c r="I105" s="819"/>
      <c r="J105" s="820"/>
      <c r="K105" s="360"/>
      <c r="L105" s="96"/>
      <c r="M105" s="96"/>
      <c r="N105" s="96"/>
      <c r="O105" s="851"/>
      <c r="P105" s="96"/>
      <c r="Q105" s="109"/>
      <c r="R105" s="804"/>
      <c r="S105" s="383"/>
      <c r="T105" s="2061"/>
    </row>
    <row r="106" spans="1:21">
      <c r="A106" s="208" t="s">
        <v>702</v>
      </c>
      <c r="B106" s="810"/>
      <c r="C106" s="382"/>
      <c r="D106" s="310">
        <f>F106*Defaults!$D$8</f>
        <v>0</v>
      </c>
      <c r="E106" s="201" t="s">
        <v>215</v>
      </c>
      <c r="F106" s="647"/>
      <c r="G106" s="201" t="s">
        <v>165</v>
      </c>
      <c r="H106" s="218"/>
      <c r="I106" s="1065"/>
      <c r="J106" s="821"/>
      <c r="K106" s="844"/>
      <c r="L106" s="96"/>
      <c r="M106" s="315">
        <f>O106*Defaults!$D$8</f>
        <v>0</v>
      </c>
      <c r="N106" s="45" t="s">
        <v>215</v>
      </c>
      <c r="O106" s="647"/>
      <c r="P106" s="45" t="s">
        <v>165</v>
      </c>
      <c r="Q106" s="73"/>
      <c r="R106" s="1065"/>
      <c r="S106" s="862"/>
      <c r="T106" s="2061"/>
      <c r="U106" s="2351" t="str">
        <f>IF(U108=FALSE,"If UR and IC values differ significantly, check accuracy of input parameter values used in the IC formula."," ")</f>
        <v xml:space="preserve"> </v>
      </c>
    </row>
    <row r="107" spans="1:21" ht="3" customHeight="1">
      <c r="A107" s="206"/>
      <c r="B107" s="358"/>
      <c r="C107" s="382"/>
      <c r="D107" s="382"/>
      <c r="E107" s="382"/>
      <c r="F107" s="829"/>
      <c r="G107" s="382"/>
      <c r="H107" s="372"/>
      <c r="I107" s="819"/>
      <c r="J107" s="820"/>
      <c r="K107" s="360"/>
      <c r="L107" s="96"/>
      <c r="M107" s="96"/>
      <c r="N107" s="96"/>
      <c r="O107" s="851"/>
      <c r="P107" s="96"/>
      <c r="Q107" s="109"/>
      <c r="R107" s="804"/>
      <c r="S107" s="383"/>
      <c r="T107" s="3653"/>
      <c r="U107" s="21"/>
    </row>
    <row r="108" spans="1:21">
      <c r="A108" s="208" t="s">
        <v>712</v>
      </c>
      <c r="B108" s="810"/>
      <c r="C108" s="382"/>
      <c r="D108" s="310">
        <f>F108*Defaults!$D$8</f>
        <v>25.665599112261127</v>
      </c>
      <c r="E108" s="201" t="s">
        <v>215</v>
      </c>
      <c r="F108" s="641">
        <f>(F1_DMI_Heifer_Calf_kg*3.45)</f>
        <v>11.641717931937173</v>
      </c>
      <c r="G108" s="201" t="s">
        <v>165</v>
      </c>
      <c r="H108" s="218"/>
      <c r="I108" s="330">
        <v>1</v>
      </c>
      <c r="J108" s="821"/>
      <c r="K108" s="844"/>
      <c r="L108" s="96"/>
      <c r="M108" s="315">
        <f>O108*Defaults!$D$8</f>
        <v>25.665599112261127</v>
      </c>
      <c r="N108" s="45" t="s">
        <v>215</v>
      </c>
      <c r="O108" s="999">
        <f>(F2_DMI_Heifer_Calf_kg*3.45)</f>
        <v>11.641717931937173</v>
      </c>
      <c r="P108" s="45" t="s">
        <v>165</v>
      </c>
      <c r="Q108" s="73"/>
      <c r="R108" s="2057">
        <v>1</v>
      </c>
      <c r="S108" s="862"/>
      <c r="T108" s="2063" t="s">
        <v>211</v>
      </c>
      <c r="U108" s="3651" t="str">
        <f>IF(Options!AQ83=2,IF(Options!AR83=2," ",FALSE))</f>
        <v xml:space="preserve"> </v>
      </c>
    </row>
    <row r="109" spans="1:21" ht="5.25" customHeight="1">
      <c r="A109" s="205"/>
      <c r="B109" s="498"/>
      <c r="C109" s="499"/>
      <c r="D109" s="499"/>
      <c r="E109" s="499"/>
      <c r="F109" s="831"/>
      <c r="G109" s="499"/>
      <c r="H109" s="825"/>
      <c r="I109" s="828"/>
      <c r="J109" s="823"/>
      <c r="K109" s="500"/>
      <c r="L109" s="501"/>
      <c r="M109" s="501"/>
      <c r="N109" s="501"/>
      <c r="O109" s="852"/>
      <c r="P109" s="501"/>
      <c r="Q109" s="110"/>
      <c r="R109" s="827"/>
      <c r="S109" s="648"/>
      <c r="T109" s="2061"/>
    </row>
    <row r="110" spans="1:21" ht="18" customHeight="1">
      <c r="A110" s="221" t="s">
        <v>498</v>
      </c>
      <c r="B110" s="358"/>
      <c r="C110" s="186" t="s">
        <v>118</v>
      </c>
      <c r="D110" s="382"/>
      <c r="E110" s="382"/>
      <c r="F110" s="830"/>
      <c r="G110" s="201"/>
      <c r="H110" s="218"/>
      <c r="I110" s="819"/>
      <c r="J110" s="821"/>
      <c r="K110" s="360"/>
      <c r="L110" s="44" t="s">
        <v>118</v>
      </c>
      <c r="M110" s="96"/>
      <c r="N110" s="96"/>
      <c r="O110" s="838"/>
      <c r="P110" s="45"/>
      <c r="Q110" s="73"/>
      <c r="R110" s="804"/>
      <c r="S110" s="862"/>
      <c r="T110" s="2062"/>
    </row>
    <row r="111" spans="1:21" ht="3" customHeight="1">
      <c r="A111" s="206"/>
      <c r="B111" s="358"/>
      <c r="C111" s="382"/>
      <c r="D111" s="382"/>
      <c r="E111" s="382"/>
      <c r="F111" s="829"/>
      <c r="G111" s="382"/>
      <c r="H111" s="372"/>
      <c r="I111" s="819"/>
      <c r="J111" s="820"/>
      <c r="K111" s="360"/>
      <c r="L111" s="96"/>
      <c r="M111" s="96"/>
      <c r="N111" s="96"/>
      <c r="O111" s="851"/>
      <c r="P111" s="96"/>
      <c r="Q111" s="109"/>
      <c r="R111" s="804"/>
      <c r="S111" s="383"/>
      <c r="T111" s="2061"/>
    </row>
    <row r="112" spans="1:21">
      <c r="A112" s="208" t="s">
        <v>702</v>
      </c>
      <c r="B112" s="811"/>
      <c r="C112" s="382"/>
      <c r="D112" s="641">
        <f>F112*Defaults!$D$8</f>
        <v>0</v>
      </c>
      <c r="E112" s="201" t="s">
        <v>215</v>
      </c>
      <c r="F112" s="647"/>
      <c r="G112" s="201" t="s">
        <v>165</v>
      </c>
      <c r="H112" s="218"/>
      <c r="I112" s="1065"/>
      <c r="J112" s="821"/>
      <c r="K112" s="845"/>
      <c r="L112" s="96"/>
      <c r="M112" s="999">
        <f>O112*Defaults!$D$8</f>
        <v>0</v>
      </c>
      <c r="N112" s="45" t="s">
        <v>215</v>
      </c>
      <c r="O112" s="647"/>
      <c r="P112" s="45" t="s">
        <v>165</v>
      </c>
      <c r="Q112" s="73"/>
      <c r="R112" s="1065"/>
      <c r="S112" s="862"/>
      <c r="T112" s="2061"/>
      <c r="U112" s="2351" t="str">
        <f>IF(U114=FALSE,"If UR and IC values differ significantly, check accuracy of input parameter values used in the IC formula."," ")</f>
        <v xml:space="preserve"> </v>
      </c>
    </row>
    <row r="113" spans="1:21" ht="3" customHeight="1">
      <c r="A113" s="206"/>
      <c r="B113" s="358"/>
      <c r="C113" s="382"/>
      <c r="D113" s="382"/>
      <c r="E113" s="382"/>
      <c r="F113" s="829"/>
      <c r="G113" s="382"/>
      <c r="H113" s="372"/>
      <c r="I113" s="819"/>
      <c r="J113" s="820"/>
      <c r="K113" s="360"/>
      <c r="L113" s="96"/>
      <c r="M113" s="96"/>
      <c r="N113" s="96"/>
      <c r="O113" s="851"/>
      <c r="P113" s="96"/>
      <c r="Q113" s="109"/>
      <c r="R113" s="804"/>
      <c r="S113" s="383"/>
      <c r="T113" s="2061"/>
      <c r="U113" s="21"/>
    </row>
    <row r="114" spans="1:21">
      <c r="A114" s="208" t="s">
        <v>712</v>
      </c>
      <c r="B114" s="810"/>
      <c r="C114" s="382"/>
      <c r="D114" s="641">
        <f>F114*Defaults!$D$8</f>
        <v>2.9236465075706155</v>
      </c>
      <c r="E114" s="201" t="s">
        <v>215</v>
      </c>
      <c r="F114" s="641">
        <f>(F1_DMI_Heifer_Calf_kg*0.393)</f>
        <v>1.3261435209424084</v>
      </c>
      <c r="G114" s="201" t="s">
        <v>165</v>
      </c>
      <c r="H114" s="218"/>
      <c r="I114" s="330">
        <v>1</v>
      </c>
      <c r="J114" s="821"/>
      <c r="K114" s="844"/>
      <c r="L114" s="96"/>
      <c r="M114" s="999">
        <f>O114*Defaults!$D$8</f>
        <v>2.9236465075706155</v>
      </c>
      <c r="N114" s="45" t="s">
        <v>215</v>
      </c>
      <c r="O114" s="999">
        <f>(F2_DMI_Heifer_Calf_kg*0.393)</f>
        <v>1.3261435209424084</v>
      </c>
      <c r="P114" s="45" t="s">
        <v>165</v>
      </c>
      <c r="Q114" s="73"/>
      <c r="R114" s="2057">
        <v>1</v>
      </c>
      <c r="S114" s="862"/>
      <c r="T114" s="2063" t="s">
        <v>212</v>
      </c>
      <c r="U114" s="3651" t="str">
        <f>IF(Options!AQ88=2,IF(Options!AR88=2," ",FALSE))</f>
        <v xml:space="preserve"> </v>
      </c>
    </row>
    <row r="115" spans="1:21" ht="5.25" customHeight="1">
      <c r="A115" s="205"/>
      <c r="B115" s="498"/>
      <c r="C115" s="499"/>
      <c r="D115" s="499"/>
      <c r="E115" s="499"/>
      <c r="F115" s="831"/>
      <c r="G115" s="499"/>
      <c r="H115" s="825"/>
      <c r="I115" s="828"/>
      <c r="J115" s="823"/>
      <c r="K115" s="500"/>
      <c r="L115" s="501"/>
      <c r="M115" s="501"/>
      <c r="N115" s="501"/>
      <c r="O115" s="852"/>
      <c r="P115" s="501"/>
      <c r="Q115" s="110"/>
      <c r="R115" s="827"/>
      <c r="S115" s="648"/>
      <c r="T115" s="2061"/>
    </row>
    <row r="116" spans="1:21" ht="18" customHeight="1">
      <c r="A116" s="221" t="s">
        <v>173</v>
      </c>
      <c r="B116" s="812"/>
      <c r="C116" s="186" t="s">
        <v>118</v>
      </c>
      <c r="D116" s="813"/>
      <c r="E116" s="813"/>
      <c r="F116" s="832"/>
      <c r="G116" s="813"/>
      <c r="H116" s="824"/>
      <c r="I116" s="819"/>
      <c r="J116" s="822"/>
      <c r="K116" s="846"/>
      <c r="L116" s="44" t="s">
        <v>118</v>
      </c>
      <c r="M116" s="90"/>
      <c r="N116" s="90"/>
      <c r="O116" s="853"/>
      <c r="P116" s="90"/>
      <c r="Q116" s="123"/>
      <c r="R116" s="804"/>
      <c r="S116" s="863"/>
      <c r="T116" s="2062"/>
    </row>
    <row r="117" spans="1:21" ht="3" customHeight="1">
      <c r="A117" s="206"/>
      <c r="B117" s="358"/>
      <c r="C117" s="382"/>
      <c r="D117" s="382"/>
      <c r="E117" s="382"/>
      <c r="F117" s="829"/>
      <c r="G117" s="382"/>
      <c r="H117" s="372"/>
      <c r="I117" s="819"/>
      <c r="J117" s="820"/>
      <c r="K117" s="360"/>
      <c r="L117" s="96"/>
      <c r="M117" s="96"/>
      <c r="N117" s="96"/>
      <c r="O117" s="851"/>
      <c r="P117" s="96"/>
      <c r="Q117" s="109"/>
      <c r="R117" s="804"/>
      <c r="S117" s="383"/>
      <c r="T117" s="2061"/>
    </row>
    <row r="118" spans="1:21">
      <c r="A118" s="208" t="s">
        <v>702</v>
      </c>
      <c r="B118" s="810"/>
      <c r="C118" s="382"/>
      <c r="D118" s="864">
        <f>F118*Defaults!$D$8</f>
        <v>0</v>
      </c>
      <c r="E118" s="201" t="s">
        <v>215</v>
      </c>
      <c r="F118" s="2197"/>
      <c r="G118" s="201" t="s">
        <v>165</v>
      </c>
      <c r="H118" s="218"/>
      <c r="I118" s="1065"/>
      <c r="J118" s="821"/>
      <c r="K118" s="844"/>
      <c r="L118" s="96"/>
      <c r="M118" s="866">
        <f>O118*Defaults!$D$8</f>
        <v>0</v>
      </c>
      <c r="N118" s="45" t="s">
        <v>215</v>
      </c>
      <c r="O118" s="2197"/>
      <c r="P118" s="45" t="s">
        <v>165</v>
      </c>
      <c r="Q118" s="73"/>
      <c r="R118" s="826"/>
      <c r="S118" s="862"/>
      <c r="T118" s="2061"/>
      <c r="U118" s="2351" t="str">
        <f>IF(U120=FALSE,"If UR and IC values differ significantly, check accuracy of input parameter values used in the IC formula."," ")</f>
        <v xml:space="preserve"> </v>
      </c>
    </row>
    <row r="119" spans="1:21" ht="3" customHeight="1">
      <c r="A119" s="206"/>
      <c r="B119" s="358"/>
      <c r="C119" s="382"/>
      <c r="D119" s="382"/>
      <c r="E119" s="382"/>
      <c r="F119" s="3799"/>
      <c r="G119" s="382"/>
      <c r="H119" s="372"/>
      <c r="I119" s="819"/>
      <c r="J119" s="820"/>
      <c r="K119" s="360"/>
      <c r="L119" s="96"/>
      <c r="M119" s="96"/>
      <c r="N119" s="45"/>
      <c r="O119" s="3803"/>
      <c r="P119" s="96"/>
      <c r="Q119" s="109"/>
      <c r="R119" s="804"/>
      <c r="S119" s="383"/>
      <c r="T119" s="2061"/>
      <c r="U119" s="21"/>
    </row>
    <row r="120" spans="1:21">
      <c r="A120" s="208" t="s">
        <v>712</v>
      </c>
      <c r="B120" s="810"/>
      <c r="C120" s="382"/>
      <c r="D120" s="864">
        <f>F120*Defaults!$D$8</f>
        <v>0.13917267517982884</v>
      </c>
      <c r="E120" s="201" t="s">
        <v>215</v>
      </c>
      <c r="F120" s="864">
        <f>(F1_DMI_Heifer_Calf_kg*(F1_Dietary_CP_Calf*112.55)/1000)</f>
        <v>6.3127652745992774E-2</v>
      </c>
      <c r="G120" s="201" t="s">
        <v>165</v>
      </c>
      <c r="H120" s="218"/>
      <c r="I120" s="330">
        <v>1</v>
      </c>
      <c r="J120" s="821"/>
      <c r="K120" s="844"/>
      <c r="L120" s="96"/>
      <c r="M120" s="866">
        <f>O120*Defaults!$D$8</f>
        <v>0.13917267517982884</v>
      </c>
      <c r="N120" s="45" t="s">
        <v>215</v>
      </c>
      <c r="O120" s="866">
        <f>(F2_DMI_Heifer_Calf_kg*(F2_Dietary_CP_Calf*112.55)/1000)</f>
        <v>6.3127652745992774E-2</v>
      </c>
      <c r="P120" s="45" t="s">
        <v>165</v>
      </c>
      <c r="Q120" s="73"/>
      <c r="R120" s="2057">
        <v>1</v>
      </c>
      <c r="S120" s="862"/>
      <c r="T120" s="2063" t="s">
        <v>217</v>
      </c>
      <c r="U120" s="3651" t="str">
        <f>IF(Options!AQ93=2,IF(Options!AR93=2," ",FALSE))</f>
        <v xml:space="preserve"> </v>
      </c>
    </row>
    <row r="121" spans="1:21" ht="5.25" customHeight="1">
      <c r="A121" s="205"/>
      <c r="B121" s="498"/>
      <c r="C121" s="499"/>
      <c r="D121" s="499"/>
      <c r="E121" s="499"/>
      <c r="F121" s="3800"/>
      <c r="G121" s="499"/>
      <c r="H121" s="825"/>
      <c r="I121" s="828"/>
      <c r="J121" s="823"/>
      <c r="K121" s="500"/>
      <c r="L121" s="501"/>
      <c r="M121" s="501"/>
      <c r="N121" s="501"/>
      <c r="O121" s="3804"/>
      <c r="P121" s="501"/>
      <c r="Q121" s="110"/>
      <c r="R121" s="827"/>
      <c r="S121" s="648"/>
      <c r="T121" s="2061"/>
    </row>
    <row r="122" spans="1:21" ht="18" customHeight="1">
      <c r="A122" s="221" t="s">
        <v>174</v>
      </c>
      <c r="B122" s="814"/>
      <c r="C122" s="186" t="s">
        <v>118</v>
      </c>
      <c r="D122" s="815"/>
      <c r="E122" s="815"/>
      <c r="F122" s="832"/>
      <c r="G122" s="813"/>
      <c r="H122" s="824"/>
      <c r="I122" s="819"/>
      <c r="J122" s="822"/>
      <c r="K122" s="847"/>
      <c r="L122" s="44" t="s">
        <v>118</v>
      </c>
      <c r="M122" s="127"/>
      <c r="N122" s="127"/>
      <c r="O122" s="853"/>
      <c r="P122" s="90"/>
      <c r="Q122" s="123"/>
      <c r="R122" s="804"/>
      <c r="S122" s="863"/>
      <c r="T122" s="2062"/>
    </row>
    <row r="123" spans="1:21" ht="3" customHeight="1">
      <c r="A123" s="206"/>
      <c r="B123" s="358"/>
      <c r="C123" s="382"/>
      <c r="D123" s="382"/>
      <c r="E123" s="382"/>
      <c r="F123" s="3799"/>
      <c r="G123" s="382"/>
      <c r="H123" s="372"/>
      <c r="I123" s="819"/>
      <c r="J123" s="820"/>
      <c r="K123" s="360"/>
      <c r="L123" s="96"/>
      <c r="M123" s="96"/>
      <c r="N123" s="96"/>
      <c r="O123" s="3803"/>
      <c r="P123" s="96"/>
      <c r="Q123" s="109"/>
      <c r="R123" s="804"/>
      <c r="S123" s="383"/>
      <c r="T123" s="2061"/>
    </row>
    <row r="124" spans="1:21">
      <c r="A124" s="208" t="s">
        <v>702</v>
      </c>
      <c r="B124" s="810"/>
      <c r="C124" s="382"/>
      <c r="D124" s="864">
        <f>F124*Defaults!$D$8</f>
        <v>0</v>
      </c>
      <c r="E124" s="201" t="s">
        <v>215</v>
      </c>
      <c r="F124" s="2197"/>
      <c r="G124" s="201" t="s">
        <v>165</v>
      </c>
      <c r="H124" s="218"/>
      <c r="I124" s="1065"/>
      <c r="J124" s="821"/>
      <c r="K124" s="844"/>
      <c r="L124" s="96"/>
      <c r="M124" s="866">
        <f>O124*Defaults!$D$8</f>
        <v>0</v>
      </c>
      <c r="N124" s="45" t="s">
        <v>215</v>
      </c>
      <c r="O124" s="2197"/>
      <c r="P124" s="45" t="s">
        <v>165</v>
      </c>
      <c r="Q124" s="73"/>
      <c r="R124" s="826"/>
      <c r="S124" s="862"/>
      <c r="T124" s="2061"/>
      <c r="U124" s="2351" t="str">
        <f>IF(U126=FALSE,"If UR and IC values differ significantly, check accuracy of input parameter values used in the IC formula."," ")</f>
        <v xml:space="preserve"> </v>
      </c>
    </row>
    <row r="125" spans="1:21" ht="3" customHeight="1">
      <c r="A125" s="206"/>
      <c r="B125" s="358"/>
      <c r="C125" s="382"/>
      <c r="D125" s="382"/>
      <c r="E125" s="382"/>
      <c r="F125" s="3799"/>
      <c r="G125" s="382"/>
      <c r="H125" s="372"/>
      <c r="I125" s="819"/>
      <c r="J125" s="820"/>
      <c r="K125" s="360"/>
      <c r="L125" s="96"/>
      <c r="M125" s="96"/>
      <c r="N125" s="96"/>
      <c r="O125" s="3803"/>
      <c r="P125" s="96"/>
      <c r="Q125" s="109"/>
      <c r="R125" s="804"/>
      <c r="S125" s="383"/>
      <c r="T125" s="2061"/>
      <c r="U125" s="21"/>
    </row>
    <row r="126" spans="1:21">
      <c r="A126" s="208" t="s">
        <v>712</v>
      </c>
      <c r="B126" s="810"/>
      <c r="C126" s="382"/>
      <c r="D126" s="864">
        <f>F126*Defaults!$D$8</f>
        <v>1.7144050720472453E-2</v>
      </c>
      <c r="E126" s="201" t="s">
        <v>215</v>
      </c>
      <c r="F126" s="864">
        <f>(F1_DMI_Heifer_Calf_kg*F1_Dietary_P_Calf*622.03)/1000</f>
        <v>7.7764092638389661E-3</v>
      </c>
      <c r="G126" s="201" t="s">
        <v>165</v>
      </c>
      <c r="H126" s="218"/>
      <c r="I126" s="330">
        <v>1</v>
      </c>
      <c r="J126" s="821"/>
      <c r="K126" s="844"/>
      <c r="L126" s="96"/>
      <c r="M126" s="1068">
        <f>O126*Defaults!$D$8</f>
        <v>1.7144050720472453E-2</v>
      </c>
      <c r="N126" s="45" t="s">
        <v>215</v>
      </c>
      <c r="O126" s="866">
        <f>(F2_DMI_Heifer_Calf_kg*F2_Dietary_P_Calf*622.03)/1000</f>
        <v>7.7764092638389661E-3</v>
      </c>
      <c r="P126" s="45" t="s">
        <v>165</v>
      </c>
      <c r="Q126" s="73"/>
      <c r="R126" s="2057">
        <v>1</v>
      </c>
      <c r="S126" s="862"/>
      <c r="T126" s="2063" t="s">
        <v>213</v>
      </c>
      <c r="U126" s="3651" t="str">
        <f>IF(Options!AQ98=2,IF(Options!AR98=2," ",FALSE))</f>
        <v xml:space="preserve"> </v>
      </c>
    </row>
    <row r="127" spans="1:21" ht="5.25" customHeight="1">
      <c r="A127" s="205"/>
      <c r="B127" s="498"/>
      <c r="C127" s="499"/>
      <c r="D127" s="499"/>
      <c r="E127" s="499"/>
      <c r="F127" s="3800"/>
      <c r="G127" s="499"/>
      <c r="H127" s="825"/>
      <c r="I127" s="828"/>
      <c r="J127" s="823"/>
      <c r="K127" s="500"/>
      <c r="L127" s="501"/>
      <c r="M127" s="501"/>
      <c r="N127" s="501"/>
      <c r="O127" s="3804"/>
      <c r="P127" s="501"/>
      <c r="Q127" s="110"/>
      <c r="R127" s="827"/>
      <c r="S127" s="648"/>
      <c r="T127" s="2061"/>
    </row>
    <row r="128" spans="1:21" ht="18" customHeight="1">
      <c r="A128" s="221" t="s">
        <v>175</v>
      </c>
      <c r="B128" s="816"/>
      <c r="C128" s="186" t="s">
        <v>118</v>
      </c>
      <c r="D128" s="817"/>
      <c r="E128" s="817"/>
      <c r="F128" s="832"/>
      <c r="G128" s="813"/>
      <c r="H128" s="824"/>
      <c r="I128" s="819"/>
      <c r="J128" s="822"/>
      <c r="K128" s="848"/>
      <c r="L128" s="44" t="s">
        <v>118</v>
      </c>
      <c r="M128" s="91"/>
      <c r="N128" s="91"/>
      <c r="O128" s="853"/>
      <c r="P128" s="90"/>
      <c r="Q128" s="123"/>
      <c r="R128" s="804"/>
      <c r="S128" s="863"/>
      <c r="T128" s="2062"/>
    </row>
    <row r="129" spans="1:21" ht="3" customHeight="1">
      <c r="A129" s="206"/>
      <c r="B129" s="358"/>
      <c r="C129" s="382"/>
      <c r="D129" s="382"/>
      <c r="E129" s="382"/>
      <c r="F129" s="3799"/>
      <c r="G129" s="382"/>
      <c r="H129" s="372"/>
      <c r="I129" s="819"/>
      <c r="J129" s="820"/>
      <c r="K129" s="360"/>
      <c r="L129" s="96"/>
      <c r="M129" s="96"/>
      <c r="N129" s="96"/>
      <c r="O129" s="3803"/>
      <c r="P129" s="96"/>
      <c r="Q129" s="109"/>
      <c r="R129" s="804"/>
      <c r="S129" s="383"/>
      <c r="T129" s="2061"/>
    </row>
    <row r="130" spans="1:21">
      <c r="A130" s="208" t="s">
        <v>702</v>
      </c>
      <c r="B130" s="810"/>
      <c r="C130" s="382"/>
      <c r="D130" s="864">
        <f>F130*Defaults!$D$8</f>
        <v>0</v>
      </c>
      <c r="E130" s="201" t="s">
        <v>215</v>
      </c>
      <c r="F130" s="2197"/>
      <c r="G130" s="201" t="s">
        <v>165</v>
      </c>
      <c r="H130" s="218"/>
      <c r="I130" s="1065"/>
      <c r="J130" s="821"/>
      <c r="K130" s="844"/>
      <c r="L130" s="96"/>
      <c r="M130" s="866">
        <f>O130*Defaults!$D$8</f>
        <v>0</v>
      </c>
      <c r="N130" s="45" t="s">
        <v>215</v>
      </c>
      <c r="O130" s="2197"/>
      <c r="P130" s="45" t="s">
        <v>165</v>
      </c>
      <c r="Q130" s="73"/>
      <c r="R130" s="1065"/>
      <c r="S130" s="862"/>
      <c r="T130" s="2061"/>
      <c r="U130" s="2351" t="str">
        <f>IF(U132=FALSE,"If UR and IC values differ significantly, check accuracy of input parameter values used in the IC formula."," ")</f>
        <v xml:space="preserve"> </v>
      </c>
    </row>
    <row r="131" spans="1:21" ht="3" customHeight="1">
      <c r="A131" s="206"/>
      <c r="B131" s="358"/>
      <c r="C131" s="382"/>
      <c r="D131" s="382"/>
      <c r="E131" s="382"/>
      <c r="F131" s="3799"/>
      <c r="G131" s="382"/>
      <c r="H131" s="372"/>
      <c r="I131" s="819"/>
      <c r="J131" s="820"/>
      <c r="K131" s="360"/>
      <c r="L131" s="96"/>
      <c r="M131" s="96"/>
      <c r="N131" s="96"/>
      <c r="O131" s="3803"/>
      <c r="P131" s="96"/>
      <c r="Q131" s="109"/>
      <c r="R131" s="804"/>
      <c r="S131" s="383"/>
      <c r="T131" s="2061"/>
      <c r="U131" s="21"/>
    </row>
    <row r="132" spans="1:21">
      <c r="A132" s="208" t="s">
        <v>712</v>
      </c>
      <c r="B132" s="810"/>
      <c r="C132" s="382"/>
      <c r="D132" s="864">
        <f>F132*Defaults!$D$8</f>
        <v>0.208365708179748</v>
      </c>
      <c r="E132" s="201" t="s">
        <v>215</v>
      </c>
      <c r="F132" s="864">
        <f>((F1_DMI_Heifer_Calf_kg*7.21)+(F1_Dietary_K_Calf*15944)-164.5)/1000</f>
        <v>9.4513079188481647E-2</v>
      </c>
      <c r="G132" s="201" t="s">
        <v>165</v>
      </c>
      <c r="H132" s="218"/>
      <c r="I132" s="330">
        <v>1</v>
      </c>
      <c r="J132" s="821"/>
      <c r="K132" s="844"/>
      <c r="L132" s="96"/>
      <c r="M132" s="866">
        <f>O132*Defaults!$D$8</f>
        <v>0.208365708179748</v>
      </c>
      <c r="N132" s="45" t="s">
        <v>215</v>
      </c>
      <c r="O132" s="866">
        <f>((F2_DMI_Heifer_Calf_kg*7.21)+(F2_Dietary_K_Calf*15944)-164.5)/1000</f>
        <v>9.4513079188481647E-2</v>
      </c>
      <c r="P132" s="45" t="s">
        <v>165</v>
      </c>
      <c r="Q132" s="73"/>
      <c r="R132" s="2057">
        <v>1</v>
      </c>
      <c r="S132" s="862"/>
      <c r="T132" s="2063" t="s">
        <v>81</v>
      </c>
      <c r="U132" s="3651" t="str">
        <f>IF(Options!AQ103=2,IF(Options!AR103=2," ",FALSE))</f>
        <v xml:space="preserve"> </v>
      </c>
    </row>
    <row r="133" spans="1:21" ht="5.25" customHeight="1">
      <c r="A133" s="205"/>
      <c r="B133" s="498"/>
      <c r="C133" s="499"/>
      <c r="D133" s="499"/>
      <c r="E133" s="499"/>
      <c r="F133" s="831"/>
      <c r="G133" s="499"/>
      <c r="H133" s="825"/>
      <c r="I133" s="828"/>
      <c r="J133" s="823"/>
      <c r="K133" s="500"/>
      <c r="L133" s="501"/>
      <c r="M133" s="501"/>
      <c r="N133" s="501"/>
      <c r="O133" s="852"/>
      <c r="P133" s="501"/>
      <c r="Q133" s="110"/>
      <c r="R133" s="827"/>
      <c r="S133" s="648"/>
      <c r="T133" s="1678"/>
    </row>
    <row r="134" spans="1:21" ht="27" customHeight="1">
      <c r="A134" s="4031" t="s">
        <v>975</v>
      </c>
      <c r="B134" s="4032"/>
      <c r="C134" s="4032"/>
      <c r="D134" s="4032"/>
      <c r="E134" s="4032"/>
      <c r="F134" s="4032"/>
      <c r="G134" s="4032"/>
      <c r="H134" s="4032"/>
      <c r="I134" s="4032"/>
      <c r="J134" s="4032"/>
      <c r="K134" s="4032"/>
      <c r="L134" s="4032"/>
      <c r="M134" s="4032"/>
      <c r="N134" s="4032"/>
      <c r="O134" s="4032"/>
      <c r="P134" s="4032"/>
      <c r="Q134" s="4032"/>
      <c r="R134" s="4032"/>
      <c r="S134" s="4033"/>
      <c r="T134" s="2064"/>
    </row>
    <row r="135" spans="1:21" ht="5.25" customHeight="1">
      <c r="A135" s="3843"/>
      <c r="B135" s="357"/>
      <c r="C135" s="366"/>
      <c r="D135" s="366"/>
      <c r="E135" s="366"/>
      <c r="F135" s="3844"/>
      <c r="G135" s="3844"/>
      <c r="H135" s="369"/>
      <c r="I135" s="366"/>
      <c r="J135" s="366"/>
      <c r="K135" s="359"/>
      <c r="L135" s="126"/>
      <c r="M135" s="126"/>
      <c r="N135" s="126"/>
      <c r="O135" s="3845"/>
      <c r="P135" s="3845"/>
      <c r="Q135" s="3869"/>
      <c r="R135" s="126"/>
      <c r="S135" s="384"/>
      <c r="T135" s="3872"/>
    </row>
    <row r="136" spans="1:21" ht="12" customHeight="1">
      <c r="A136" s="4010" t="s">
        <v>1089</v>
      </c>
      <c r="B136" s="358"/>
      <c r="C136" s="3853" t="s">
        <v>48</v>
      </c>
      <c r="D136" s="163"/>
      <c r="E136" s="382"/>
      <c r="F136" s="3851">
        <v>1</v>
      </c>
      <c r="G136" s="3851"/>
      <c r="H136" s="372"/>
      <c r="I136" s="382"/>
      <c r="J136" s="820"/>
      <c r="K136" s="96"/>
      <c r="L136" s="3859" t="s">
        <v>48</v>
      </c>
      <c r="M136" s="145"/>
      <c r="N136" s="96"/>
      <c r="O136" s="3860">
        <v>1</v>
      </c>
      <c r="P136" s="3860"/>
      <c r="Q136" s="3870"/>
      <c r="R136" s="96"/>
      <c r="S136" s="383"/>
      <c r="T136" s="3873"/>
    </row>
    <row r="137" spans="1:21" s="40" customFormat="1" ht="12.75" customHeight="1">
      <c r="A137" s="4010"/>
      <c r="B137" s="3011"/>
      <c r="C137" s="3854" t="s">
        <v>51</v>
      </c>
      <c r="D137" s="3107"/>
      <c r="E137" s="3841"/>
      <c r="F137" s="3851">
        <f>F1_Dry_Cow_Units</f>
        <v>0.14097037755756678</v>
      </c>
      <c r="G137" s="3851"/>
      <c r="H137" s="3868"/>
      <c r="I137" s="3015"/>
      <c r="J137" s="3842"/>
      <c r="K137" s="3019"/>
      <c r="L137" s="3861" t="s">
        <v>51</v>
      </c>
      <c r="M137" s="3109"/>
      <c r="N137" s="3862"/>
      <c r="O137" s="3860">
        <f>F2_Dry_Cow_Units</f>
        <v>0.14765955875110809</v>
      </c>
      <c r="P137" s="3860"/>
      <c r="Q137" s="3870"/>
      <c r="R137" s="3020"/>
      <c r="S137" s="3867"/>
      <c r="T137" s="3873"/>
    </row>
    <row r="138" spans="1:21" s="40" customFormat="1">
      <c r="A138" s="4010"/>
      <c r="B138" s="3011"/>
      <c r="C138" s="3854" t="s">
        <v>1535</v>
      </c>
      <c r="D138" s="3107"/>
      <c r="E138" s="3841"/>
      <c r="F138" s="3851">
        <f>F1_Heifer_Units</f>
        <v>0.64208606291772286</v>
      </c>
      <c r="G138" s="3851"/>
      <c r="H138" s="3868"/>
      <c r="I138" s="3015"/>
      <c r="J138" s="3842"/>
      <c r="K138" s="3019"/>
      <c r="L138" s="3861" t="s">
        <v>1535</v>
      </c>
      <c r="M138" s="3109"/>
      <c r="N138" s="3862"/>
      <c r="O138" s="3860">
        <f>F2_Heifer_Units</f>
        <v>0.53983446268238322</v>
      </c>
      <c r="P138" s="3860"/>
      <c r="Q138" s="3870"/>
      <c r="R138" s="3020"/>
      <c r="S138" s="3867"/>
      <c r="T138" s="3873"/>
    </row>
    <row r="139" spans="1:21" s="40" customFormat="1">
      <c r="A139" s="4010"/>
      <c r="B139" s="3011"/>
      <c r="C139" s="3854" t="s">
        <v>710</v>
      </c>
      <c r="D139" s="3107"/>
      <c r="E139" s="3841"/>
      <c r="F139" s="3851">
        <f>F1_Heifer_Calf_Units</f>
        <v>0.65518986012012537</v>
      </c>
      <c r="G139" s="3851"/>
      <c r="H139" s="3868"/>
      <c r="I139" s="3015"/>
      <c r="J139" s="3842"/>
      <c r="K139" s="3019"/>
      <c r="L139" s="3861" t="s">
        <v>710</v>
      </c>
      <c r="M139" s="3109"/>
      <c r="N139" s="3862"/>
      <c r="O139" s="3860">
        <f>F2_Heifer_Calf_Units</f>
        <v>0.54972959539957567</v>
      </c>
      <c r="P139" s="3860"/>
      <c r="Q139" s="3870"/>
      <c r="R139" s="3020"/>
      <c r="S139" s="3867"/>
      <c r="T139" s="3873"/>
    </row>
    <row r="140" spans="1:21" ht="5.25" customHeight="1">
      <c r="A140" s="286"/>
      <c r="B140" s="498"/>
      <c r="C140" s="499"/>
      <c r="D140" s="499"/>
      <c r="E140" s="499"/>
      <c r="F140" s="1601"/>
      <c r="G140" s="1601"/>
      <c r="H140" s="825"/>
      <c r="I140" s="499"/>
      <c r="J140" s="499"/>
      <c r="K140" s="500"/>
      <c r="L140" s="501"/>
      <c r="M140" s="501"/>
      <c r="N140" s="501"/>
      <c r="O140" s="1600"/>
      <c r="P140" s="1600"/>
      <c r="Q140" s="3871"/>
      <c r="R140" s="501"/>
      <c r="S140" s="648"/>
      <c r="T140" s="3873"/>
    </row>
    <row r="141" spans="1:21" ht="6" customHeight="1">
      <c r="A141" s="2431"/>
      <c r="B141" s="357"/>
      <c r="C141" s="366"/>
      <c r="D141" s="366"/>
      <c r="E141" s="366"/>
      <c r="F141" s="2432"/>
      <c r="G141" s="366"/>
      <c r="H141" s="369"/>
      <c r="I141" s="1974"/>
      <c r="J141" s="839"/>
      <c r="K141" s="359"/>
      <c r="L141" s="126"/>
      <c r="M141" s="126"/>
      <c r="N141" s="126"/>
      <c r="O141" s="2433"/>
      <c r="P141" s="126"/>
      <c r="Q141" s="125"/>
      <c r="R141" s="2434"/>
      <c r="S141" s="384"/>
      <c r="T141" s="3653"/>
    </row>
    <row r="142" spans="1:21" s="20" customFormat="1">
      <c r="A142" s="221" t="s">
        <v>1419</v>
      </c>
      <c r="B142" s="2383"/>
      <c r="C142" s="1032"/>
      <c r="D142" s="3787">
        <f>F1_Total_ME_kg_day*Defaults!$D$8</f>
        <v>215.01859701857458</v>
      </c>
      <c r="E142" s="1032" t="s">
        <v>215</v>
      </c>
      <c r="F142" s="3775">
        <f>F1_TME_Lact_Cow_Day_kg+(F1_TME_Dry_Cow_Day_kg*F1_Dry_Cow_Units)+(F1_TME_Heifer_Day_kg*F1_Heifer_Units)+(F1_TME_Calf_Day_kg*F1_Heifer_Calf_Units)</f>
        <v>97.530778286616155</v>
      </c>
      <c r="G142" s="1039" t="s">
        <v>165</v>
      </c>
      <c r="H142" s="2384"/>
      <c r="I142" s="2994"/>
      <c r="J142" s="1035"/>
      <c r="K142" s="1036"/>
      <c r="L142" s="1037"/>
      <c r="M142" s="3785">
        <f>F2_Total_ME_kg_day*Defaults!$D$8</f>
        <v>202.54565188650022</v>
      </c>
      <c r="N142" s="1037" t="s">
        <v>215</v>
      </c>
      <c r="O142" s="3777">
        <f>F2_TME_Lact_Cow_Day_kg+(F2_TME_Dry_Cow_Day_kg*F2_Dry_Cow_Units)+(F2_TME_Heifer_Day_kg*F2_Heifer_Units)+(F2_TME_Calf_Day_kg*F2_Heifer_Calf_Units)</f>
        <v>91.873146513712413</v>
      </c>
      <c r="P142" s="1040" t="s">
        <v>165</v>
      </c>
      <c r="Q142" s="2385"/>
      <c r="R142" s="3819"/>
      <c r="S142" s="2386"/>
      <c r="T142" s="3057"/>
    </row>
    <row r="143" spans="1:21" s="20" customFormat="1" ht="3" customHeight="1">
      <c r="A143" s="221"/>
      <c r="B143" s="2383"/>
      <c r="C143" s="1032"/>
      <c r="D143" s="3787"/>
      <c r="E143" s="1032" t="s">
        <v>215</v>
      </c>
      <c r="F143" s="1032"/>
      <c r="G143" s="1032"/>
      <c r="H143" s="2384"/>
      <c r="I143" s="2994"/>
      <c r="J143" s="1035"/>
      <c r="K143" s="1036"/>
      <c r="L143" s="1037"/>
      <c r="M143" s="3785"/>
      <c r="N143" s="1037" t="s">
        <v>215</v>
      </c>
      <c r="O143" s="1037"/>
      <c r="P143" s="1037"/>
      <c r="Q143" s="2385"/>
      <c r="R143" s="2993"/>
      <c r="S143" s="2386"/>
      <c r="T143" s="3057"/>
    </row>
    <row r="144" spans="1:21" s="20" customFormat="1">
      <c r="A144" s="221" t="s">
        <v>498</v>
      </c>
      <c r="B144" s="2383"/>
      <c r="C144" s="1032"/>
      <c r="D144" s="3787">
        <f>F1_Total_DME_kg_day*Defaults!$D$8</f>
        <v>28.309940851324388</v>
      </c>
      <c r="E144" s="1032" t="s">
        <v>215</v>
      </c>
      <c r="F144" s="3775">
        <f>F1_DME_Lact_Cow_Day_kg+(F1_DME_Dry_Cow_Day_kg*F1_Dry_Cow_Units)+(F1_DME_Heifer_Day_kg*F1_Heifer_Units)+(F1_DME_Calf_Day_kg*F1_Heifer_Calf_Units)</f>
        <v>12.841170962710805</v>
      </c>
      <c r="G144" s="1039" t="s">
        <v>165</v>
      </c>
      <c r="H144" s="3058"/>
      <c r="I144" s="2994"/>
      <c r="J144" s="3059"/>
      <c r="K144" s="1036"/>
      <c r="L144" s="1037"/>
      <c r="M144" s="3785">
        <f>F2_Total_DME_kg_day*Defaults!$D$8</f>
        <v>26.552649285319237</v>
      </c>
      <c r="N144" s="1037" t="s">
        <v>215</v>
      </c>
      <c r="O144" s="3777">
        <f>F2_DME_Lact_Cow_Day_kg+(F2_DME_Dry_Cow_Day_kg*F2_Dry_Cow_Units)+(F2_DME_Heifer_Day_kg*F2_Heifer_Units)+(F2_DME_Calf_Day_kg*F2_Heifer_Calf_Units)</f>
        <v>12.044077053228255</v>
      </c>
      <c r="P144" s="1040" t="s">
        <v>165</v>
      </c>
      <c r="Q144" s="3060"/>
      <c r="R144" s="2993"/>
      <c r="S144" s="3061"/>
      <c r="T144" s="3062"/>
    </row>
    <row r="145" spans="1:20" s="20" customFormat="1" ht="3" customHeight="1">
      <c r="A145" s="221"/>
      <c r="B145" s="2383"/>
      <c r="C145" s="1032"/>
      <c r="D145" s="3787"/>
      <c r="E145" s="1032" t="s">
        <v>215</v>
      </c>
      <c r="F145" s="1032"/>
      <c r="G145" s="1032"/>
      <c r="H145" s="2384"/>
      <c r="I145" s="2994"/>
      <c r="J145" s="1035"/>
      <c r="K145" s="1036"/>
      <c r="L145" s="1037"/>
      <c r="M145" s="3785"/>
      <c r="N145" s="1037" t="s">
        <v>215</v>
      </c>
      <c r="O145" s="1037"/>
      <c r="P145" s="1037"/>
      <c r="Q145" s="2385"/>
      <c r="R145" s="2993"/>
      <c r="S145" s="2386"/>
      <c r="T145" s="3057"/>
    </row>
    <row r="146" spans="1:20" s="20" customFormat="1">
      <c r="A146" s="221" t="s">
        <v>173</v>
      </c>
      <c r="B146" s="3063"/>
      <c r="C146" s="1032"/>
      <c r="D146" s="3788">
        <f>F1_Total_NE_kg_day*Defaults!$D$8</f>
        <v>1.3864696521470994</v>
      </c>
      <c r="E146" s="1032" t="s">
        <v>215</v>
      </c>
      <c r="F146" s="3776">
        <f>F1_NE_Lact_Cow_Day_kg+(F1_NE_Dry_Cow_Day_kg*F1_Dry_Cow_Units)+(F1_NE_Heifer_Day_kg*F1_Heifer_Units)+(F1_NE_Calf_Day_kg*F1_Heifer_Calf_Units)</f>
        <v>0.62889194757883737</v>
      </c>
      <c r="G146" s="1039" t="s">
        <v>165</v>
      </c>
      <c r="H146" s="3064"/>
      <c r="I146" s="2994"/>
      <c r="J146" s="3065"/>
      <c r="K146" s="3066"/>
      <c r="L146" s="1037"/>
      <c r="M146" s="3786">
        <f>F2_Total_NE_kg_day*Defaults!$D$8</f>
        <v>1.2908338679792963</v>
      </c>
      <c r="N146" s="1037" t="s">
        <v>215</v>
      </c>
      <c r="O146" s="3044">
        <f>F2_NE_Lact_Cow_Day_kg+(F2_NE_Dry_Cow_Day_kg*F2_Dry_Cow_Units)+(F2_NE_Heifer_Day_kg*F2_Heifer_Units)+(F2_NE_Calf_Day_kg*F2_Heifer_Calf_Units)</f>
        <v>0.58551229302211594</v>
      </c>
      <c r="P146" s="1040" t="s">
        <v>165</v>
      </c>
      <c r="Q146" s="3067"/>
      <c r="R146" s="2993"/>
      <c r="S146" s="3068"/>
      <c r="T146" s="3062"/>
    </row>
    <row r="147" spans="1:20" s="20" customFormat="1" ht="3" customHeight="1">
      <c r="A147" s="221"/>
      <c r="B147" s="2383"/>
      <c r="C147" s="1032"/>
      <c r="D147" s="3788"/>
      <c r="E147" s="1032" t="s">
        <v>215</v>
      </c>
      <c r="F147" s="3493"/>
      <c r="G147" s="1032"/>
      <c r="H147" s="2384"/>
      <c r="I147" s="2994"/>
      <c r="J147" s="1035"/>
      <c r="K147" s="1036"/>
      <c r="L147" s="1037"/>
      <c r="M147" s="3786"/>
      <c r="N147" s="1037" t="s">
        <v>215</v>
      </c>
      <c r="O147" s="3494"/>
      <c r="P147" s="1037"/>
      <c r="Q147" s="2385"/>
      <c r="R147" s="2993"/>
      <c r="S147" s="2386"/>
      <c r="T147" s="3057"/>
    </row>
    <row r="148" spans="1:20" s="20" customFormat="1">
      <c r="A148" s="221" t="s">
        <v>174</v>
      </c>
      <c r="B148" s="3069"/>
      <c r="C148" s="1032"/>
      <c r="D148" s="3788">
        <f>F1_Total_PE_kg_day*Defaults!$D$8</f>
        <v>0.2516653281009546</v>
      </c>
      <c r="E148" s="1032" t="s">
        <v>215</v>
      </c>
      <c r="F148" s="3776">
        <f>F1_PE_Lact_Cow_Day_kg+(F1_PE_Dry_Cow_Day_kg*F1_Dry_Cow_Units)+(F1_PE_Heifer_Day_kg*F1_Heifer_Units)+(F1_PE_Calf_Day_kg*F1_Heifer_Calf_Units)</f>
        <v>0.11415345303979618</v>
      </c>
      <c r="G148" s="1039" t="s">
        <v>165</v>
      </c>
      <c r="H148" s="3064"/>
      <c r="I148" s="2994"/>
      <c r="J148" s="3065"/>
      <c r="K148" s="3070"/>
      <c r="L148" s="1037"/>
      <c r="M148" s="3786">
        <f>F2_Total_PE_kg_day*Defaults!$D$8</f>
        <v>0.23321817792297911</v>
      </c>
      <c r="N148" s="1037" t="s">
        <v>215</v>
      </c>
      <c r="O148" s="3044">
        <f>F2_PE_Lact_Cow_Day_kg+(F2_PE_Dry_Cow_Day_kg*F2_Dry_Cow_Units)+(F2_PE_Heifer_Day_kg*F2_Heifer_Units)+(F2_PE_Calf_Day_kg*F2_Heifer_Calf_Units)</f>
        <v>0.10578596790606788</v>
      </c>
      <c r="P148" s="1040" t="s">
        <v>165</v>
      </c>
      <c r="Q148" s="3067"/>
      <c r="R148" s="2993"/>
      <c r="S148" s="3068"/>
      <c r="T148" s="3062"/>
    </row>
    <row r="149" spans="1:20" s="20" customFormat="1" ht="3" customHeight="1">
      <c r="A149" s="221"/>
      <c r="B149" s="2383"/>
      <c r="C149" s="1032"/>
      <c r="D149" s="3788"/>
      <c r="E149" s="1032" t="s">
        <v>215</v>
      </c>
      <c r="F149" s="3493"/>
      <c r="G149" s="1032"/>
      <c r="H149" s="2384"/>
      <c r="I149" s="2994"/>
      <c r="J149" s="1035"/>
      <c r="K149" s="1036"/>
      <c r="L149" s="1037"/>
      <c r="M149" s="3786"/>
      <c r="N149" s="1037" t="s">
        <v>215</v>
      </c>
      <c r="O149" s="3494"/>
      <c r="P149" s="1037"/>
      <c r="Q149" s="2385"/>
      <c r="R149" s="2993"/>
      <c r="S149" s="2386"/>
      <c r="T149" s="3057"/>
    </row>
    <row r="150" spans="1:20" s="20" customFormat="1">
      <c r="A150" s="221" t="s">
        <v>175</v>
      </c>
      <c r="B150" s="3071"/>
      <c r="C150" s="1032"/>
      <c r="D150" s="3788">
        <f>F1_Total_KE_kg_day*Defaults!$D$8</f>
        <v>0.83291152887546027</v>
      </c>
      <c r="E150" s="1032" t="s">
        <v>215</v>
      </c>
      <c r="F150" s="3776">
        <f>F1_KE_Lact_Cow_Day_kg+(F1_KE_Dry_Cow_Day_kg*F1_Dry_Cow_Units)+(F1_KE_Heifer_Day_kg*F1_Heifer_Units)+(F1_KE_Calf_Day_kg*F1_Heifer_Calf_Units)</f>
        <v>0.3778022495798421</v>
      </c>
      <c r="G150" s="1039" t="s">
        <v>165</v>
      </c>
      <c r="H150" s="3064"/>
      <c r="I150" s="2994"/>
      <c r="J150" s="3065"/>
      <c r="K150" s="3072"/>
      <c r="L150" s="1037"/>
      <c r="M150" s="3786">
        <f>F2_Total_KE_kg_day*Defaults!$D$8</f>
        <v>0.75213602627438925</v>
      </c>
      <c r="N150" s="1037" t="s">
        <v>215</v>
      </c>
      <c r="O150" s="3044">
        <f>F2_KE_Lact_Cow_Day_kg+(F2_KE_Dry_Cow_Day_kg*F2_Dry_Cow_Units)+(F2_KE_Heifer_Day_kg*F2_Heifer_Units)+(F2_KE_Calf_Day_kg*F2_Heifer_Calf_Units)</f>
        <v>0.34116310420166585</v>
      </c>
      <c r="P150" s="1040" t="s">
        <v>165</v>
      </c>
      <c r="Q150" s="3067"/>
      <c r="R150" s="2993"/>
      <c r="S150" s="3068"/>
      <c r="T150" s="3062"/>
    </row>
    <row r="151" spans="1:20" ht="6" customHeight="1" thickBot="1">
      <c r="A151" s="206"/>
      <c r="B151" s="358"/>
      <c r="C151" s="382"/>
      <c r="D151" s="382"/>
      <c r="E151" s="382"/>
      <c r="F151" s="829"/>
      <c r="G151" s="382"/>
      <c r="H151" s="372"/>
      <c r="I151" s="2790"/>
      <c r="J151" s="820"/>
      <c r="K151" s="360"/>
      <c r="L151" s="96"/>
      <c r="M151" s="96"/>
      <c r="N151" s="96"/>
      <c r="O151" s="851"/>
      <c r="P151" s="96"/>
      <c r="Q151" s="109"/>
      <c r="R151" s="2789"/>
      <c r="S151" s="383"/>
      <c r="T151" s="1678"/>
    </row>
    <row r="152" spans="1:20" ht="21" customHeight="1">
      <c r="A152" s="4984" t="s">
        <v>20</v>
      </c>
      <c r="B152" s="4985"/>
      <c r="C152" s="4985"/>
      <c r="D152" s="4985"/>
      <c r="E152" s="4985"/>
      <c r="F152" s="4985"/>
      <c r="G152" s="4985"/>
      <c r="H152" s="4985"/>
      <c r="I152" s="4985"/>
      <c r="J152" s="4985"/>
      <c r="K152" s="4985"/>
      <c r="L152" s="4985"/>
      <c r="M152" s="4985"/>
      <c r="N152" s="4985"/>
      <c r="O152" s="4985"/>
      <c r="P152" s="4985"/>
      <c r="Q152" s="4985"/>
      <c r="R152" s="4985"/>
      <c r="S152" s="4986"/>
      <c r="T152" s="40"/>
    </row>
    <row r="153" spans="1:20">
      <c r="A153" s="4611" t="s">
        <v>1248</v>
      </c>
      <c r="B153" s="4612"/>
      <c r="C153" s="4612"/>
      <c r="D153" s="4612"/>
      <c r="E153" s="4612"/>
      <c r="F153" s="4612"/>
      <c r="G153" s="4612"/>
      <c r="H153" s="4612"/>
      <c r="I153" s="4612"/>
      <c r="J153" s="4612"/>
      <c r="K153" s="4612"/>
      <c r="L153" s="4612"/>
      <c r="M153" s="4612"/>
      <c r="N153" s="4612"/>
      <c r="O153" s="4612"/>
      <c r="P153" s="4612"/>
      <c r="Q153" s="4612"/>
      <c r="R153" s="4612"/>
      <c r="S153" s="4613"/>
    </row>
    <row r="154" spans="1:20">
      <c r="A154" s="4432" t="s">
        <v>1241</v>
      </c>
      <c r="B154" s="4433"/>
      <c r="C154" s="4433"/>
      <c r="D154" s="4433"/>
      <c r="E154" s="4433"/>
      <c r="F154" s="4433"/>
      <c r="G154" s="4433"/>
      <c r="H154" s="4433"/>
      <c r="I154" s="4433"/>
      <c r="J154" s="4433"/>
      <c r="K154" s="4433"/>
      <c r="L154" s="4433"/>
      <c r="M154" s="4433"/>
      <c r="N154" s="4433"/>
      <c r="O154" s="4433"/>
      <c r="P154" s="4433"/>
      <c r="Q154" s="4433"/>
      <c r="R154" s="4433"/>
      <c r="S154" s="4434"/>
      <c r="T154" s="40"/>
    </row>
    <row r="155" spans="1:20">
      <c r="A155" s="4643" t="s">
        <v>100</v>
      </c>
      <c r="B155" s="4644"/>
      <c r="C155" s="4644"/>
      <c r="D155" s="4644"/>
      <c r="E155" s="4644"/>
      <c r="F155" s="4644"/>
      <c r="G155" s="4644"/>
      <c r="H155" s="4644"/>
      <c r="I155" s="4644"/>
      <c r="J155" s="4644"/>
      <c r="K155" s="4644"/>
      <c r="L155" s="4644"/>
      <c r="M155" s="4644"/>
      <c r="N155" s="4644"/>
      <c r="O155" s="4644"/>
      <c r="P155" s="4644"/>
      <c r="Q155" s="4644"/>
      <c r="R155" s="4644"/>
      <c r="S155" s="4645"/>
    </row>
    <row r="156" spans="1:20">
      <c r="A156" s="4643" t="s">
        <v>99</v>
      </c>
      <c r="B156" s="4644"/>
      <c r="C156" s="4644"/>
      <c r="D156" s="4644"/>
      <c r="E156" s="4644"/>
      <c r="F156" s="4644"/>
      <c r="G156" s="4644"/>
      <c r="H156" s="4644"/>
      <c r="I156" s="4644"/>
      <c r="J156" s="4644"/>
      <c r="K156" s="4644"/>
      <c r="L156" s="4644"/>
      <c r="M156" s="4644"/>
      <c r="N156" s="4644"/>
      <c r="O156" s="4644"/>
      <c r="P156" s="4644"/>
      <c r="Q156" s="4644"/>
      <c r="R156" s="4644"/>
      <c r="S156" s="4645"/>
    </row>
    <row r="157" spans="1:20">
      <c r="A157" s="4643" t="s">
        <v>98</v>
      </c>
      <c r="B157" s="4644"/>
      <c r="C157" s="4644"/>
      <c r="D157" s="4644"/>
      <c r="E157" s="4644"/>
      <c r="F157" s="4644"/>
      <c r="G157" s="4644"/>
      <c r="H157" s="4644"/>
      <c r="I157" s="4644"/>
      <c r="J157" s="4644"/>
      <c r="K157" s="4644"/>
      <c r="L157" s="4644"/>
      <c r="M157" s="4644"/>
      <c r="N157" s="4644"/>
      <c r="O157" s="4644"/>
      <c r="P157" s="4644"/>
      <c r="Q157" s="4644"/>
      <c r="R157" s="4644"/>
      <c r="S157" s="4645"/>
    </row>
    <row r="158" spans="1:20" ht="13.5" thickBot="1">
      <c r="A158" s="4095" t="s">
        <v>119</v>
      </c>
      <c r="B158" s="4096"/>
      <c r="C158" s="4096"/>
      <c r="D158" s="4096"/>
      <c r="E158" s="4096"/>
      <c r="F158" s="4096"/>
      <c r="G158" s="4096"/>
      <c r="H158" s="4096"/>
      <c r="I158" s="4096"/>
      <c r="J158" s="4096"/>
      <c r="K158" s="4096"/>
      <c r="L158" s="4096"/>
      <c r="M158" s="4096"/>
      <c r="N158" s="4096"/>
      <c r="O158" s="4096"/>
      <c r="P158" s="4096"/>
      <c r="Q158" s="4096"/>
      <c r="R158" s="4096"/>
      <c r="S158" s="4097"/>
    </row>
  </sheetData>
  <sheetProtection password="E0BE" sheet="1" objects="1" scenarios="1"/>
  <mergeCells count="21">
    <mergeCell ref="A41:S41"/>
    <mergeCell ref="A72:S72"/>
    <mergeCell ref="A103:S103"/>
    <mergeCell ref="A1:S1"/>
    <mergeCell ref="A157:S157"/>
    <mergeCell ref="K3:S3"/>
    <mergeCell ref="K4:S4"/>
    <mergeCell ref="Q6:S6"/>
    <mergeCell ref="A2:S2"/>
    <mergeCell ref="B3:J3"/>
    <mergeCell ref="B4:J4"/>
    <mergeCell ref="H6:J6"/>
    <mergeCell ref="A5:S5"/>
    <mergeCell ref="A134:S134"/>
    <mergeCell ref="A136:A139"/>
    <mergeCell ref="A158:S158"/>
    <mergeCell ref="A153:S153"/>
    <mergeCell ref="A152:S152"/>
    <mergeCell ref="A154:S154"/>
    <mergeCell ref="A155:S155"/>
    <mergeCell ref="A156:S156"/>
  </mergeCells>
  <printOptions horizontalCentered="1"/>
  <pageMargins left="0.7" right="0.7" top="0.75" bottom="0.75" header="0.3" footer="0.3"/>
  <pageSetup scale="59" fitToHeight="2" orientation="landscape" r:id="rId1"/>
  <headerFooter>
    <oddFooter>&amp;L&amp;A&amp;C&amp;F&amp;R&amp;D</oddFooter>
  </headerFooter>
  <rowBreaks count="1" manualBreakCount="1">
    <brk id="71" max="18" man="1"/>
  </rowBreaks>
  <legacyDrawing r:id="rId2"/>
</worksheet>
</file>

<file path=xl/worksheets/sheet31.xml><?xml version="1.0" encoding="utf-8"?>
<worksheet xmlns="http://schemas.openxmlformats.org/spreadsheetml/2006/main" xmlns:r="http://schemas.openxmlformats.org/officeDocument/2006/relationships">
  <sheetPr codeName="Sheet39"/>
  <dimension ref="A1:BE158"/>
  <sheetViews>
    <sheetView zoomScale="85" zoomScaleNormal="85" workbookViewId="0">
      <selection activeCell="V4" sqref="V4"/>
    </sheetView>
  </sheetViews>
  <sheetFormatPr defaultRowHeight="12.75"/>
  <cols>
    <col min="1" max="1" width="36" customWidth="1"/>
    <col min="2" max="2" width="1.28515625" customWidth="1"/>
    <col min="3" max="3" width="4.7109375" customWidth="1"/>
    <col min="4" max="4" width="8.85546875" customWidth="1"/>
    <col min="5" max="5" width="12" customWidth="1"/>
    <col min="6" max="6" width="8.7109375" style="1" customWidth="1"/>
    <col min="7" max="7" width="10.42578125" customWidth="1"/>
    <col min="8" max="8" width="1.28515625" customWidth="1"/>
    <col min="9" max="9" width="7.7109375" style="1" customWidth="1"/>
    <col min="10" max="11" width="1.28515625" customWidth="1"/>
    <col min="12" max="12" width="4.7109375" customWidth="1"/>
    <col min="13" max="13" width="8.85546875" customWidth="1"/>
    <col min="14" max="14" width="12" customWidth="1"/>
    <col min="15" max="15" width="8.7109375" style="1" customWidth="1"/>
    <col min="16" max="16" width="10.42578125" customWidth="1"/>
    <col min="17" max="17" width="1.28515625" customWidth="1"/>
    <col min="18" max="18" width="7.7109375" style="1" customWidth="1"/>
    <col min="19" max="19" width="1.28515625" customWidth="1"/>
    <col min="20" max="20" width="43.7109375" bestFit="1" customWidth="1"/>
  </cols>
  <sheetData>
    <row r="1" spans="1:57" s="6" customFormat="1"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3"/>
      <c r="T1" s="1706"/>
      <c r="U1" s="1706"/>
      <c r="V1" s="1706"/>
      <c r="W1" s="1706"/>
      <c r="X1" s="1706"/>
      <c r="Y1" s="1706"/>
      <c r="Z1" s="1706"/>
      <c r="AA1" s="1706"/>
      <c r="AB1" s="1706"/>
      <c r="AC1" s="1706"/>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016" t="s">
        <v>630</v>
      </c>
      <c r="B2" s="4017"/>
      <c r="C2" s="4017"/>
      <c r="D2" s="4017"/>
      <c r="E2" s="4017"/>
      <c r="F2" s="4017"/>
      <c r="G2" s="4017"/>
      <c r="H2" s="4017"/>
      <c r="I2" s="4017"/>
      <c r="J2" s="4017"/>
      <c r="K2" s="4017"/>
      <c r="L2" s="4017"/>
      <c r="M2" s="4017"/>
      <c r="N2" s="4017"/>
      <c r="O2" s="4017"/>
      <c r="P2" s="4017"/>
      <c r="Q2" s="4017"/>
      <c r="R2" s="4017"/>
      <c r="S2" s="4098"/>
      <c r="T2" s="805"/>
    </row>
    <row r="3" spans="1:57" ht="21" customHeight="1">
      <c r="A3" s="806"/>
      <c r="B3" s="4005" t="str">
        <f>'Chosen Parameters-Part I'!D4</f>
        <v>Scenario 3</v>
      </c>
      <c r="C3" s="4006"/>
      <c r="D3" s="4006"/>
      <c r="E3" s="4006"/>
      <c r="F3" s="4006"/>
      <c r="G3" s="4006"/>
      <c r="H3" s="4006"/>
      <c r="I3" s="4006"/>
      <c r="J3" s="4006"/>
      <c r="K3" s="4112" t="str">
        <f>'Chosen Parameters-Part I'!E4</f>
        <v>Scenario 4</v>
      </c>
      <c r="L3" s="4113"/>
      <c r="M3" s="4113"/>
      <c r="N3" s="4113"/>
      <c r="O3" s="4113"/>
      <c r="P3" s="4113"/>
      <c r="Q3" s="4113"/>
      <c r="R3" s="4113"/>
      <c r="S3" s="4114"/>
      <c r="T3" s="858"/>
    </row>
    <row r="4" spans="1:57" ht="36" customHeight="1">
      <c r="A4" s="807"/>
      <c r="B4" s="4040" t="str">
        <f>'Application Setup'!B6</f>
        <v>Intensive Organic Management, Holsteins</v>
      </c>
      <c r="C4" s="4041"/>
      <c r="D4" s="4041"/>
      <c r="E4" s="4041"/>
      <c r="F4" s="4041"/>
      <c r="G4" s="4041"/>
      <c r="H4" s="4041"/>
      <c r="I4" s="4041"/>
      <c r="J4" s="4041"/>
      <c r="K4" s="4115" t="str">
        <f>'Application Setup'!B7</f>
        <v>Pasture-Based Organic, Jersey Cows</v>
      </c>
      <c r="L4" s="4116"/>
      <c r="M4" s="4116"/>
      <c r="N4" s="4116"/>
      <c r="O4" s="4116"/>
      <c r="P4" s="4116"/>
      <c r="Q4" s="4116"/>
      <c r="R4" s="4116"/>
      <c r="S4" s="4117"/>
      <c r="T4" s="859"/>
    </row>
    <row r="5" spans="1:57" s="3" customFormat="1" ht="20.25" customHeight="1">
      <c r="A5" s="4552" t="s">
        <v>901</v>
      </c>
      <c r="B5" s="4553"/>
      <c r="C5" s="4553"/>
      <c r="D5" s="4553"/>
      <c r="E5" s="4553"/>
      <c r="F5" s="4553"/>
      <c r="G5" s="4553"/>
      <c r="H5" s="4553"/>
      <c r="I5" s="4553"/>
      <c r="J5" s="4553"/>
      <c r="K5" s="4553"/>
      <c r="L5" s="4553"/>
      <c r="M5" s="4553"/>
      <c r="N5" s="4553"/>
      <c r="O5" s="4553"/>
      <c r="P5" s="4553"/>
      <c r="Q5" s="4553"/>
      <c r="R5" s="4553"/>
      <c r="S5" s="4554"/>
      <c r="T5" s="2730" t="s">
        <v>203</v>
      </c>
    </row>
    <row r="6" spans="1:57" ht="26.25" customHeight="1">
      <c r="A6" s="1673"/>
      <c r="B6" s="1674"/>
      <c r="C6" s="2871" t="s">
        <v>94</v>
      </c>
      <c r="D6" s="591"/>
      <c r="E6" s="947"/>
      <c r="F6" s="947"/>
      <c r="G6" s="947"/>
      <c r="H6" s="4978" t="s">
        <v>83</v>
      </c>
      <c r="I6" s="4979"/>
      <c r="J6" s="4980"/>
      <c r="K6" s="970"/>
      <c r="L6" s="2872" t="s">
        <v>94</v>
      </c>
      <c r="M6" s="593"/>
      <c r="N6" s="971"/>
      <c r="O6" s="971"/>
      <c r="P6" s="971"/>
      <c r="Q6" s="4981" t="s">
        <v>83</v>
      </c>
      <c r="R6" s="4982"/>
      <c r="S6" s="4983"/>
      <c r="T6" s="1668"/>
    </row>
    <row r="7" spans="1:57" ht="18" customHeight="1">
      <c r="A7" s="221" t="s">
        <v>1419</v>
      </c>
      <c r="B7" s="493"/>
      <c r="C7" s="511" t="s">
        <v>118</v>
      </c>
      <c r="D7" s="494"/>
      <c r="E7" s="494"/>
      <c r="F7" s="948"/>
      <c r="G7" s="494"/>
      <c r="H7" s="603"/>
      <c r="I7" s="949"/>
      <c r="J7" s="495"/>
      <c r="K7" s="607"/>
      <c r="L7" s="465" t="s">
        <v>118</v>
      </c>
      <c r="M7" s="496"/>
      <c r="N7" s="496"/>
      <c r="O7" s="983"/>
      <c r="P7" s="496"/>
      <c r="Q7" s="611"/>
      <c r="R7" s="967"/>
      <c r="S7" s="497"/>
      <c r="T7" s="860"/>
    </row>
    <row r="8" spans="1:57" ht="3" customHeight="1">
      <c r="A8" s="206"/>
      <c r="B8" s="493"/>
      <c r="C8" s="494"/>
      <c r="D8" s="494"/>
      <c r="E8" s="494"/>
      <c r="F8" s="950"/>
      <c r="G8" s="494"/>
      <c r="H8" s="603"/>
      <c r="I8" s="949"/>
      <c r="J8" s="495"/>
      <c r="K8" s="607"/>
      <c r="L8" s="496"/>
      <c r="M8" s="496"/>
      <c r="N8" s="496"/>
      <c r="O8" s="984"/>
      <c r="P8" s="496"/>
      <c r="Q8" s="611"/>
      <c r="R8" s="967"/>
      <c r="S8" s="497"/>
      <c r="T8" s="860"/>
    </row>
    <row r="9" spans="1:57">
      <c r="A9" s="208" t="s">
        <v>702</v>
      </c>
      <c r="B9" s="951"/>
      <c r="C9" s="494"/>
      <c r="D9" s="538">
        <f>F9*Defaults!$D$8</f>
        <v>0</v>
      </c>
      <c r="E9" s="527" t="s">
        <v>215</v>
      </c>
      <c r="F9" s="2030"/>
      <c r="G9" s="527" t="s">
        <v>165</v>
      </c>
      <c r="H9" s="528"/>
      <c r="I9" s="1065"/>
      <c r="J9" s="987"/>
      <c r="K9" s="972"/>
      <c r="L9" s="496"/>
      <c r="M9" s="973">
        <f>O9*Defaults!$D$8</f>
        <v>0</v>
      </c>
      <c r="N9" s="478" t="s">
        <v>215</v>
      </c>
      <c r="O9" s="2030"/>
      <c r="P9" s="478" t="s">
        <v>165</v>
      </c>
      <c r="Q9" s="479"/>
      <c r="R9" s="1065"/>
      <c r="S9" s="990"/>
      <c r="T9" s="860"/>
      <c r="U9" s="2351" t="str">
        <f>IF(U11=FALSE,"If UR and IC values differ significantly, check accuracy of input parameter values used in the IC formula."," ")</f>
        <v xml:space="preserve"> </v>
      </c>
    </row>
    <row r="10" spans="1:57" ht="3" customHeight="1">
      <c r="A10" s="206"/>
      <c r="B10" s="493"/>
      <c r="C10" s="494"/>
      <c r="D10" s="494"/>
      <c r="E10" s="494"/>
      <c r="F10" s="950"/>
      <c r="G10" s="494"/>
      <c r="H10" s="603"/>
      <c r="I10" s="949"/>
      <c r="J10" s="495"/>
      <c r="K10" s="607"/>
      <c r="L10" s="496"/>
      <c r="M10" s="496"/>
      <c r="N10" s="496"/>
      <c r="O10" s="984"/>
      <c r="P10" s="496"/>
      <c r="Q10" s="611"/>
      <c r="R10" s="967"/>
      <c r="S10" s="497"/>
      <c r="T10" s="860"/>
      <c r="U10" s="21"/>
    </row>
    <row r="11" spans="1:57">
      <c r="A11" s="208" t="s">
        <v>712</v>
      </c>
      <c r="B11" s="951"/>
      <c r="C11" s="494"/>
      <c r="D11" s="538">
        <f>F11*Defaults!$D$8</f>
        <v>145.12245619999999</v>
      </c>
      <c r="E11" s="527" t="s">
        <v>215</v>
      </c>
      <c r="F11" s="955">
        <f>(F3_DMI_Lact_Cow_kg*2.63)+9.4</f>
        <v>65.826427557001793</v>
      </c>
      <c r="G11" s="527" t="s">
        <v>165</v>
      </c>
      <c r="H11" s="528"/>
      <c r="I11" s="1912">
        <v>1</v>
      </c>
      <c r="J11" s="987"/>
      <c r="K11" s="972"/>
      <c r="L11" s="496"/>
      <c r="M11" s="973">
        <f>O11*Defaults!$D$8</f>
        <v>123.42495619999998</v>
      </c>
      <c r="N11" s="478" t="s">
        <v>215</v>
      </c>
      <c r="O11" s="998">
        <f>(F4_DMI_Lact_Cow_kg*2.63)+9.4</f>
        <v>55.984608797059622</v>
      </c>
      <c r="P11" s="478" t="s">
        <v>165</v>
      </c>
      <c r="Q11" s="479"/>
      <c r="R11" s="649">
        <v>1</v>
      </c>
      <c r="S11" s="990"/>
      <c r="T11" s="860" t="s">
        <v>77</v>
      </c>
      <c r="U11" s="3651" t="str">
        <f>IF(Options!AS5=2,IF(Options!AT5=2," ",FALSE))</f>
        <v xml:space="preserve"> </v>
      </c>
    </row>
    <row r="12" spans="1:57" ht="5.25" customHeight="1">
      <c r="A12" s="205"/>
      <c r="B12" s="502"/>
      <c r="C12" s="503"/>
      <c r="D12" s="503"/>
      <c r="E12" s="503"/>
      <c r="F12" s="965"/>
      <c r="G12" s="503"/>
      <c r="H12" s="963"/>
      <c r="I12" s="966"/>
      <c r="J12" s="504"/>
      <c r="K12" s="917"/>
      <c r="L12" s="505"/>
      <c r="M12" s="505"/>
      <c r="N12" s="505"/>
      <c r="O12" s="992"/>
      <c r="P12" s="505"/>
      <c r="Q12" s="968"/>
      <c r="R12" s="969"/>
      <c r="S12" s="506"/>
      <c r="T12" s="860"/>
    </row>
    <row r="13" spans="1:57" ht="18" customHeight="1">
      <c r="A13" s="221" t="s">
        <v>498</v>
      </c>
      <c r="B13" s="493"/>
      <c r="C13" s="511" t="s">
        <v>118</v>
      </c>
      <c r="D13" s="494"/>
      <c r="E13" s="494"/>
      <c r="F13" s="985"/>
      <c r="G13" s="527"/>
      <c r="H13" s="528"/>
      <c r="I13" s="949"/>
      <c r="J13" s="987"/>
      <c r="K13" s="607"/>
      <c r="L13" s="465" t="s">
        <v>118</v>
      </c>
      <c r="M13" s="496"/>
      <c r="N13" s="496"/>
      <c r="O13" s="993"/>
      <c r="P13" s="478"/>
      <c r="Q13" s="479"/>
      <c r="R13" s="967"/>
      <c r="S13" s="990"/>
      <c r="T13" s="859"/>
    </row>
    <row r="14" spans="1:57" ht="3" customHeight="1">
      <c r="A14" s="206"/>
      <c r="B14" s="493"/>
      <c r="C14" s="494"/>
      <c r="D14" s="494"/>
      <c r="E14" s="494"/>
      <c r="F14" s="950"/>
      <c r="G14" s="494"/>
      <c r="H14" s="603"/>
      <c r="I14" s="949"/>
      <c r="J14" s="495"/>
      <c r="K14" s="607"/>
      <c r="L14" s="496"/>
      <c r="M14" s="496"/>
      <c r="N14" s="496"/>
      <c r="O14" s="984"/>
      <c r="P14" s="496"/>
      <c r="Q14" s="611"/>
      <c r="R14" s="967"/>
      <c r="S14" s="497"/>
      <c r="T14" s="860"/>
    </row>
    <row r="15" spans="1:57">
      <c r="A15" s="208" t="s">
        <v>702</v>
      </c>
      <c r="B15" s="952"/>
      <c r="C15" s="494"/>
      <c r="D15" s="538">
        <f>F15*Defaults!$D$8</f>
        <v>0</v>
      </c>
      <c r="E15" s="527" t="s">
        <v>215</v>
      </c>
      <c r="F15" s="647"/>
      <c r="G15" s="527" t="s">
        <v>165</v>
      </c>
      <c r="H15" s="528"/>
      <c r="I15" s="1065"/>
      <c r="J15" s="987"/>
      <c r="K15" s="974"/>
      <c r="L15" s="496"/>
      <c r="M15" s="973">
        <f>O15*Defaults!$D$8</f>
        <v>0</v>
      </c>
      <c r="N15" s="478" t="s">
        <v>215</v>
      </c>
      <c r="O15" s="647"/>
      <c r="P15" s="478" t="s">
        <v>165</v>
      </c>
      <c r="Q15" s="479"/>
      <c r="R15" s="826"/>
      <c r="S15" s="990"/>
      <c r="T15" s="860"/>
      <c r="U15" s="2351" t="str">
        <f>IF(U17=FALSE,"If UR and IC values differ significantly, check accuracy of input parameter values used in the IC formula."," ")</f>
        <v xml:space="preserve"> </v>
      </c>
    </row>
    <row r="16" spans="1:57" ht="3" customHeight="1">
      <c r="A16" s="206"/>
      <c r="B16" s="493"/>
      <c r="C16" s="494"/>
      <c r="D16" s="494"/>
      <c r="E16" s="494"/>
      <c r="F16" s="950"/>
      <c r="G16" s="494"/>
      <c r="H16" s="603"/>
      <c r="I16" s="949"/>
      <c r="J16" s="495"/>
      <c r="K16" s="607"/>
      <c r="L16" s="496"/>
      <c r="M16" s="496"/>
      <c r="N16" s="496"/>
      <c r="O16" s="984"/>
      <c r="P16" s="496"/>
      <c r="Q16" s="611"/>
      <c r="R16" s="967"/>
      <c r="S16" s="497"/>
      <c r="T16" s="860"/>
      <c r="U16" s="21"/>
    </row>
    <row r="17" spans="1:21">
      <c r="A17" s="208" t="s">
        <v>712</v>
      </c>
      <c r="B17" s="951"/>
      <c r="C17" s="494"/>
      <c r="D17" s="538">
        <f>F17*Defaults!$D$8</f>
        <v>18.602498399999995</v>
      </c>
      <c r="E17" s="527" t="s">
        <v>215</v>
      </c>
      <c r="F17" s="955">
        <f>(F3_DMI_Lact_Cow_kg*0.356)+0.8</f>
        <v>8.4379498898451093</v>
      </c>
      <c r="G17" s="527" t="s">
        <v>165</v>
      </c>
      <c r="H17" s="528"/>
      <c r="I17" s="1912">
        <v>1</v>
      </c>
      <c r="J17" s="987"/>
      <c r="K17" s="972"/>
      <c r="L17" s="496"/>
      <c r="M17" s="973">
        <f>O17*Defaults!$D$8</f>
        <v>15.665498399999999</v>
      </c>
      <c r="N17" s="478" t="s">
        <v>215</v>
      </c>
      <c r="O17" s="998">
        <f>(F4_DMI_Lact_Cow_kg*0.356)+0.8</f>
        <v>7.1057493276628234</v>
      </c>
      <c r="P17" s="478" t="s">
        <v>165</v>
      </c>
      <c r="Q17" s="479"/>
      <c r="R17" s="649">
        <v>1</v>
      </c>
      <c r="S17" s="990"/>
      <c r="T17" s="860" t="s">
        <v>78</v>
      </c>
      <c r="U17" s="3651" t="str">
        <f>IF(Options!AS10=2,IF(Options!AT10=2," ",FALSE))</f>
        <v xml:space="preserve"> </v>
      </c>
    </row>
    <row r="18" spans="1:21" ht="5.25" customHeight="1">
      <c r="A18" s="205"/>
      <c r="B18" s="502"/>
      <c r="C18" s="503"/>
      <c r="D18" s="503"/>
      <c r="E18" s="503"/>
      <c r="F18" s="965"/>
      <c r="G18" s="503"/>
      <c r="H18" s="963"/>
      <c r="I18" s="966"/>
      <c r="J18" s="504"/>
      <c r="K18" s="917"/>
      <c r="L18" s="505"/>
      <c r="M18" s="505"/>
      <c r="N18" s="505"/>
      <c r="O18" s="992"/>
      <c r="P18" s="505"/>
      <c r="Q18" s="968"/>
      <c r="R18" s="969"/>
      <c r="S18" s="506"/>
      <c r="T18" s="860"/>
    </row>
    <row r="19" spans="1:21" ht="18" customHeight="1">
      <c r="A19" s="221" t="s">
        <v>173</v>
      </c>
      <c r="B19" s="953"/>
      <c r="C19" s="511" t="s">
        <v>118</v>
      </c>
      <c r="D19" s="954"/>
      <c r="E19" s="954"/>
      <c r="F19" s="986"/>
      <c r="G19" s="954"/>
      <c r="H19" s="964"/>
      <c r="I19" s="949"/>
      <c r="J19" s="988"/>
      <c r="K19" s="975"/>
      <c r="L19" s="465" t="s">
        <v>118</v>
      </c>
      <c r="M19" s="976"/>
      <c r="N19" s="976"/>
      <c r="O19" s="994"/>
      <c r="P19" s="976"/>
      <c r="Q19" s="989"/>
      <c r="R19" s="967"/>
      <c r="S19" s="991"/>
      <c r="T19" s="859"/>
    </row>
    <row r="20" spans="1:21" ht="3" customHeight="1">
      <c r="A20" s="206"/>
      <c r="B20" s="493"/>
      <c r="C20" s="494"/>
      <c r="D20" s="494"/>
      <c r="E20" s="494"/>
      <c r="F20" s="950"/>
      <c r="G20" s="494"/>
      <c r="H20" s="603"/>
      <c r="I20" s="949"/>
      <c r="J20" s="495"/>
      <c r="K20" s="607"/>
      <c r="L20" s="496"/>
      <c r="M20" s="496"/>
      <c r="N20" s="496"/>
      <c r="O20" s="984"/>
      <c r="P20" s="496"/>
      <c r="Q20" s="611"/>
      <c r="R20" s="967"/>
      <c r="S20" s="497"/>
      <c r="T20" s="860"/>
    </row>
    <row r="21" spans="1:21">
      <c r="A21" s="208" t="s">
        <v>702</v>
      </c>
      <c r="B21" s="951"/>
      <c r="C21" s="494"/>
      <c r="D21" s="960">
        <f>F21*Defaults!$D$8</f>
        <v>0</v>
      </c>
      <c r="E21" s="527" t="s">
        <v>215</v>
      </c>
      <c r="F21" s="2197"/>
      <c r="G21" s="527" t="s">
        <v>165</v>
      </c>
      <c r="H21" s="528"/>
      <c r="I21" s="826"/>
      <c r="J21" s="987"/>
      <c r="K21" s="972"/>
      <c r="L21" s="496"/>
      <c r="M21" s="977">
        <f>O21*Defaults!$D$8</f>
        <v>0</v>
      </c>
      <c r="N21" s="478" t="s">
        <v>215</v>
      </c>
      <c r="O21" s="2197"/>
      <c r="P21" s="478" t="s">
        <v>165</v>
      </c>
      <c r="Q21" s="479"/>
      <c r="R21" s="1503"/>
      <c r="S21" s="990"/>
      <c r="T21" s="860"/>
      <c r="U21" s="2351"/>
    </row>
    <row r="22" spans="1:21" ht="3" customHeight="1">
      <c r="A22" s="206"/>
      <c r="B22" s="493"/>
      <c r="C22" s="494"/>
      <c r="D22" s="494"/>
      <c r="E22" s="494"/>
      <c r="F22" s="3789"/>
      <c r="G22" s="494"/>
      <c r="H22" s="603"/>
      <c r="I22" s="3764"/>
      <c r="J22" s="495"/>
      <c r="K22" s="607"/>
      <c r="L22" s="496"/>
      <c r="M22" s="496"/>
      <c r="N22" s="496"/>
      <c r="O22" s="3792"/>
      <c r="P22" s="496"/>
      <c r="Q22" s="611"/>
      <c r="R22" s="3767"/>
      <c r="S22" s="497"/>
      <c r="T22" s="2061"/>
    </row>
    <row r="23" spans="1:21">
      <c r="A23" s="208" t="s">
        <v>1121</v>
      </c>
      <c r="B23" s="951"/>
      <c r="C23" s="494"/>
      <c r="D23" s="960">
        <f>F23*Defaults!$D$8</f>
        <v>0.42525000000000002</v>
      </c>
      <c r="E23" s="527" t="s">
        <v>215</v>
      </c>
      <c r="F23" s="960">
        <f>F1_Unadjusted_Milk_Production_kg_day*5.67/1000</f>
        <v>0.1928901222567305</v>
      </c>
      <c r="G23" s="527" t="s">
        <v>165</v>
      </c>
      <c r="H23" s="528"/>
      <c r="I23" s="2646">
        <v>2</v>
      </c>
      <c r="J23" s="987"/>
      <c r="K23" s="972"/>
      <c r="L23" s="496"/>
      <c r="M23" s="977">
        <f>O23*Defaults!$D$8</f>
        <v>0.36855000000000004</v>
      </c>
      <c r="N23" s="478" t="s">
        <v>215</v>
      </c>
      <c r="O23" s="977">
        <f>F2_Unadjusted_Milk_Production_kg_day*5.67/1000</f>
        <v>0.16717143928916645</v>
      </c>
      <c r="P23" s="478" t="s">
        <v>165</v>
      </c>
      <c r="Q23" s="479"/>
      <c r="R23" s="649">
        <v>2</v>
      </c>
      <c r="S23" s="990"/>
      <c r="T23" s="2061" t="s">
        <v>1470</v>
      </c>
      <c r="U23" s="2351"/>
    </row>
    <row r="24" spans="1:21" ht="3" customHeight="1">
      <c r="A24" s="206"/>
      <c r="B24" s="493"/>
      <c r="C24" s="494"/>
      <c r="D24" s="494"/>
      <c r="E24" s="494"/>
      <c r="F24" s="3790"/>
      <c r="G24" s="494"/>
      <c r="H24" s="603"/>
      <c r="I24" s="949"/>
      <c r="J24" s="495"/>
      <c r="K24" s="607"/>
      <c r="L24" s="496"/>
      <c r="M24" s="496"/>
      <c r="N24" s="496"/>
      <c r="O24" s="3792"/>
      <c r="P24" s="496"/>
      <c r="Q24" s="611"/>
      <c r="R24" s="967"/>
      <c r="S24" s="497"/>
      <c r="T24" s="860"/>
      <c r="U24" s="21"/>
    </row>
    <row r="25" spans="1:21">
      <c r="A25" s="208" t="s">
        <v>1432</v>
      </c>
      <c r="B25" s="951"/>
      <c r="C25" s="494"/>
      <c r="D25" s="960">
        <f>F25*Defaults!$D$8</f>
        <v>0.94758341693801074</v>
      </c>
      <c r="E25" s="527" t="s">
        <v>215</v>
      </c>
      <c r="F25" s="960">
        <f>((F3_DMI_Lact_Cow_kg*F3_Dietary_CP_Lact_Cow*84.1) + (F3_Lact_Cow_Weight_kg*0.196))/1000</f>
        <v>0.42981653413668036</v>
      </c>
      <c r="G25" s="527" t="s">
        <v>165</v>
      </c>
      <c r="H25" s="528"/>
      <c r="I25" s="1912">
        <v>1</v>
      </c>
      <c r="J25" s="987"/>
      <c r="K25" s="972"/>
      <c r="L25" s="496"/>
      <c r="M25" s="977">
        <f>O25*Defaults!$D$8</f>
        <v>0.64551795251277888</v>
      </c>
      <c r="N25" s="478" t="s">
        <v>215</v>
      </c>
      <c r="O25" s="977">
        <f>((F4_DMI_Lact_Cow_kg*F4_Dietary_CP_Lact_Cow*84.1) + (F4_Lact_Cow_Weight_kg*0.196))/1000</f>
        <v>0.29280196773451916</v>
      </c>
      <c r="P25" s="478" t="s">
        <v>165</v>
      </c>
      <c r="Q25" s="479"/>
      <c r="R25" s="649">
        <v>1</v>
      </c>
      <c r="S25" s="990"/>
      <c r="T25" s="860" t="s">
        <v>79</v>
      </c>
      <c r="U25" s="3651" t="b">
        <f>IF(Options!AS15=2,IF(Options!AT15=2," ",FALSE))</f>
        <v>0</v>
      </c>
    </row>
    <row r="26" spans="1:21" ht="5.25" customHeight="1">
      <c r="A26" s="205"/>
      <c r="B26" s="502"/>
      <c r="C26" s="503"/>
      <c r="D26" s="503"/>
      <c r="E26" s="503"/>
      <c r="F26" s="3791"/>
      <c r="G26" s="503"/>
      <c r="H26" s="963"/>
      <c r="I26" s="966"/>
      <c r="J26" s="504"/>
      <c r="K26" s="917"/>
      <c r="L26" s="505"/>
      <c r="M26" s="505"/>
      <c r="N26" s="505"/>
      <c r="O26" s="3793"/>
      <c r="P26" s="505"/>
      <c r="Q26" s="968"/>
      <c r="R26" s="969"/>
      <c r="S26" s="506"/>
      <c r="T26" s="860"/>
    </row>
    <row r="27" spans="1:21" ht="18" customHeight="1">
      <c r="A27" s="221" t="s">
        <v>174</v>
      </c>
      <c r="B27" s="956"/>
      <c r="C27" s="511" t="s">
        <v>118</v>
      </c>
      <c r="D27" s="957"/>
      <c r="E27" s="957"/>
      <c r="F27" s="986"/>
      <c r="G27" s="954"/>
      <c r="H27" s="964"/>
      <c r="I27" s="949"/>
      <c r="J27" s="988"/>
      <c r="K27" s="978"/>
      <c r="L27" s="465" t="s">
        <v>118</v>
      </c>
      <c r="M27" s="979"/>
      <c r="N27" s="979"/>
      <c r="O27" s="994"/>
      <c r="P27" s="976"/>
      <c r="Q27" s="989"/>
      <c r="R27" s="967"/>
      <c r="S27" s="991"/>
      <c r="T27" s="859"/>
    </row>
    <row r="28" spans="1:21" ht="3" customHeight="1">
      <c r="A28" s="206"/>
      <c r="B28" s="493"/>
      <c r="C28" s="494"/>
      <c r="D28" s="494"/>
      <c r="E28" s="494"/>
      <c r="F28" s="3789"/>
      <c r="G28" s="494"/>
      <c r="H28" s="603"/>
      <c r="I28" s="949"/>
      <c r="J28" s="495"/>
      <c r="K28" s="607"/>
      <c r="L28" s="496"/>
      <c r="M28" s="496"/>
      <c r="N28" s="496"/>
      <c r="O28" s="3792"/>
      <c r="P28" s="496"/>
      <c r="Q28" s="611"/>
      <c r="R28" s="967"/>
      <c r="S28" s="497"/>
      <c r="T28" s="860"/>
    </row>
    <row r="29" spans="1:21">
      <c r="A29" s="208" t="s">
        <v>702</v>
      </c>
      <c r="B29" s="951"/>
      <c r="C29" s="494"/>
      <c r="D29" s="960">
        <f>F29*Defaults!$D$8</f>
        <v>0</v>
      </c>
      <c r="E29" s="527" t="s">
        <v>215</v>
      </c>
      <c r="F29" s="2197"/>
      <c r="G29" s="527" t="s">
        <v>165</v>
      </c>
      <c r="H29" s="528"/>
      <c r="I29" s="826"/>
      <c r="J29" s="987"/>
      <c r="K29" s="972"/>
      <c r="L29" s="496"/>
      <c r="M29" s="977">
        <f>O29*Defaults!$D$8</f>
        <v>0</v>
      </c>
      <c r="N29" s="478" t="s">
        <v>215</v>
      </c>
      <c r="O29" s="2197"/>
      <c r="P29" s="478" t="s">
        <v>165</v>
      </c>
      <c r="Q29" s="479"/>
      <c r="R29" s="826"/>
      <c r="S29" s="990"/>
      <c r="T29" s="860"/>
      <c r="U29" s="2351"/>
    </row>
    <row r="30" spans="1:21" ht="3" customHeight="1">
      <c r="A30" s="206"/>
      <c r="B30" s="493"/>
      <c r="C30" s="494"/>
      <c r="D30" s="494"/>
      <c r="E30" s="494"/>
      <c r="F30" s="3789"/>
      <c r="G30" s="494"/>
      <c r="H30" s="603"/>
      <c r="I30" s="3764"/>
      <c r="J30" s="495"/>
      <c r="K30" s="607"/>
      <c r="L30" s="496"/>
      <c r="M30" s="496"/>
      <c r="N30" s="496"/>
      <c r="O30" s="3792"/>
      <c r="P30" s="496"/>
      <c r="Q30" s="611"/>
      <c r="R30" s="3767"/>
      <c r="S30" s="497"/>
      <c r="T30" s="2061"/>
    </row>
    <row r="31" spans="1:21">
      <c r="A31" s="208" t="s">
        <v>1121</v>
      </c>
      <c r="B31" s="951"/>
      <c r="C31" s="494"/>
      <c r="D31" s="960">
        <f>F31*Defaults!$D$8</f>
        <v>0.17879999999999999</v>
      </c>
      <c r="E31" s="527" t="s">
        <v>215</v>
      </c>
      <c r="F31" s="960">
        <f>F3_Unadjusted_Milk_Production_kg_day*2.98/1000</f>
        <v>8.11023018448052E-2</v>
      </c>
      <c r="G31" s="527" t="s">
        <v>165</v>
      </c>
      <c r="H31" s="528"/>
      <c r="I31" s="2646">
        <v>2</v>
      </c>
      <c r="J31" s="987"/>
      <c r="K31" s="972"/>
      <c r="L31" s="496"/>
      <c r="M31" s="977">
        <f>O31*Defaults!$D$8</f>
        <v>0.14900000000000002</v>
      </c>
      <c r="N31" s="478" t="s">
        <v>215</v>
      </c>
      <c r="O31" s="977">
        <f>F4_Unadjusted_Milk_Production_kg_day*2.98/1000</f>
        <v>6.7585251537337673E-2</v>
      </c>
      <c r="P31" s="478" t="s">
        <v>165</v>
      </c>
      <c r="Q31" s="479"/>
      <c r="R31" s="649">
        <v>2</v>
      </c>
      <c r="S31" s="990"/>
      <c r="T31" s="2061" t="s">
        <v>1474</v>
      </c>
      <c r="U31" s="2351"/>
    </row>
    <row r="32" spans="1:21" ht="3" customHeight="1">
      <c r="A32" s="206"/>
      <c r="B32" s="493"/>
      <c r="C32" s="494"/>
      <c r="D32" s="494"/>
      <c r="E32" s="494"/>
      <c r="F32" s="3789"/>
      <c r="G32" s="494"/>
      <c r="H32" s="603"/>
      <c r="I32" s="949"/>
      <c r="J32" s="495"/>
      <c r="K32" s="607"/>
      <c r="L32" s="496"/>
      <c r="M32" s="496"/>
      <c r="N32" s="496"/>
      <c r="O32" s="3792"/>
      <c r="P32" s="496"/>
      <c r="Q32" s="611"/>
      <c r="R32" s="967"/>
      <c r="S32" s="497"/>
      <c r="T32" s="860"/>
      <c r="U32" s="21"/>
    </row>
    <row r="33" spans="1:21">
      <c r="A33" s="208" t="s">
        <v>1432</v>
      </c>
      <c r="B33" s="951"/>
      <c r="C33" s="494"/>
      <c r="D33" s="960">
        <f>F33*Defaults!$D$8</f>
        <v>0.16189247416831515</v>
      </c>
      <c r="E33" s="527" t="s">
        <v>215</v>
      </c>
      <c r="F33" s="960">
        <f>((F3_DMI_Lact_Cow_kg*F3_Dietary_P_Lact_Cow*560.7) + 21.1)/1000</f>
        <v>7.3433178447433023E-2</v>
      </c>
      <c r="G33" s="527" t="s">
        <v>165</v>
      </c>
      <c r="H33" s="528"/>
      <c r="I33" s="1912">
        <v>1</v>
      </c>
      <c r="J33" s="987"/>
      <c r="K33" s="972"/>
      <c r="L33" s="496"/>
      <c r="M33" s="977">
        <f>O33*Defaults!$D$8</f>
        <v>0.12515532469767129</v>
      </c>
      <c r="N33" s="478" t="s">
        <v>215</v>
      </c>
      <c r="O33" s="977">
        <f>((F4_DMI_Lact_Cow_kg*F4_Dietary_P_Lact_Cow*560.7) + 21.1)/1000</f>
        <v>5.6769490610263651E-2</v>
      </c>
      <c r="P33" s="478" t="s">
        <v>165</v>
      </c>
      <c r="Q33" s="479"/>
      <c r="R33" s="649">
        <v>1</v>
      </c>
      <c r="S33" s="990"/>
      <c r="T33" s="867" t="s">
        <v>80</v>
      </c>
      <c r="U33" s="3651" t="b">
        <f>IF(Options!AS21=2,IF(Options!AT21=2," ",FALSE))</f>
        <v>0</v>
      </c>
    </row>
    <row r="34" spans="1:21" ht="5.25" customHeight="1">
      <c r="A34" s="205"/>
      <c r="B34" s="502"/>
      <c r="C34" s="503"/>
      <c r="D34" s="503"/>
      <c r="E34" s="503"/>
      <c r="F34" s="3791"/>
      <c r="G34" s="503"/>
      <c r="H34" s="963"/>
      <c r="I34" s="966"/>
      <c r="J34" s="504"/>
      <c r="K34" s="917"/>
      <c r="L34" s="505"/>
      <c r="M34" s="505"/>
      <c r="N34" s="505"/>
      <c r="O34" s="3793"/>
      <c r="P34" s="505"/>
      <c r="Q34" s="968"/>
      <c r="R34" s="969"/>
      <c r="S34" s="506"/>
      <c r="T34" s="860"/>
    </row>
    <row r="35" spans="1:21" ht="18" customHeight="1">
      <c r="A35" s="221" t="s">
        <v>175</v>
      </c>
      <c r="B35" s="958"/>
      <c r="C35" s="511" t="s">
        <v>118</v>
      </c>
      <c r="D35" s="959"/>
      <c r="E35" s="959"/>
      <c r="F35" s="986"/>
      <c r="G35" s="954"/>
      <c r="H35" s="964"/>
      <c r="I35" s="949"/>
      <c r="J35" s="988"/>
      <c r="K35" s="980"/>
      <c r="L35" s="465" t="s">
        <v>118</v>
      </c>
      <c r="M35" s="981"/>
      <c r="N35" s="981"/>
      <c r="O35" s="994"/>
      <c r="P35" s="976"/>
      <c r="Q35" s="989"/>
      <c r="R35" s="967"/>
      <c r="S35" s="991"/>
      <c r="T35" s="859"/>
    </row>
    <row r="36" spans="1:21" ht="3" customHeight="1">
      <c r="A36" s="206"/>
      <c r="B36" s="493"/>
      <c r="C36" s="494"/>
      <c r="D36" s="494"/>
      <c r="E36" s="494"/>
      <c r="F36" s="3789"/>
      <c r="G36" s="494"/>
      <c r="H36" s="603"/>
      <c r="I36" s="949"/>
      <c r="J36" s="495"/>
      <c r="K36" s="607"/>
      <c r="L36" s="496"/>
      <c r="M36" s="496"/>
      <c r="N36" s="496"/>
      <c r="O36" s="3792"/>
      <c r="P36" s="496"/>
      <c r="Q36" s="611"/>
      <c r="R36" s="967"/>
      <c r="S36" s="497"/>
      <c r="T36" s="860"/>
    </row>
    <row r="37" spans="1:21">
      <c r="A37" s="208" t="s">
        <v>702</v>
      </c>
      <c r="B37" s="951"/>
      <c r="C37" s="494"/>
      <c r="D37" s="960">
        <f>F37*Defaults!$D$8</f>
        <v>0</v>
      </c>
      <c r="E37" s="527" t="s">
        <v>215</v>
      </c>
      <c r="F37" s="2197"/>
      <c r="G37" s="527" t="s">
        <v>165</v>
      </c>
      <c r="H37" s="528"/>
      <c r="I37" s="826"/>
      <c r="J37" s="987"/>
      <c r="K37" s="972"/>
      <c r="L37" s="496"/>
      <c r="M37" s="977">
        <f>O37*Defaults!$D$8</f>
        <v>0</v>
      </c>
      <c r="N37" s="478" t="s">
        <v>215</v>
      </c>
      <c r="O37" s="2197"/>
      <c r="P37" s="478" t="s">
        <v>165</v>
      </c>
      <c r="Q37" s="479"/>
      <c r="R37" s="826"/>
      <c r="S37" s="990"/>
      <c r="T37" s="860"/>
      <c r="U37" s="2351" t="str">
        <f>IF(U39=FALSE,"If UR and IC values differ significantly, check accuracy of input parameter values used in the IC formula."," ")</f>
        <v xml:space="preserve"> </v>
      </c>
    </row>
    <row r="38" spans="1:21" ht="3" customHeight="1">
      <c r="A38" s="206"/>
      <c r="B38" s="493"/>
      <c r="C38" s="494"/>
      <c r="D38" s="494"/>
      <c r="E38" s="494"/>
      <c r="F38" s="3789"/>
      <c r="G38" s="494"/>
      <c r="H38" s="603"/>
      <c r="I38" s="949"/>
      <c r="J38" s="495"/>
      <c r="K38" s="607"/>
      <c r="L38" s="496"/>
      <c r="M38" s="496"/>
      <c r="N38" s="496"/>
      <c r="O38" s="3792"/>
      <c r="P38" s="496"/>
      <c r="Q38" s="611"/>
      <c r="R38" s="967"/>
      <c r="S38" s="497"/>
      <c r="T38" s="860"/>
      <c r="U38" s="21"/>
    </row>
    <row r="39" spans="1:21">
      <c r="A39" s="208" t="s">
        <v>712</v>
      </c>
      <c r="B39" s="951"/>
      <c r="C39" s="494"/>
      <c r="D39" s="960">
        <f>F39*Defaults!$D$8</f>
        <v>0.42669281511751139</v>
      </c>
      <c r="E39" s="527" t="s">
        <v>215</v>
      </c>
      <c r="F39" s="960">
        <f>((F3_DMI_Lact_Cow_kg*7.21)+(F3_Dietary_K_Lact_Cow*15944)-164.5)/1000</f>
        <v>0.19354457207309883</v>
      </c>
      <c r="G39" s="527" t="s">
        <v>165</v>
      </c>
      <c r="H39" s="528"/>
      <c r="I39" s="1912">
        <v>1</v>
      </c>
      <c r="J39" s="987"/>
      <c r="K39" s="972"/>
      <c r="L39" s="496"/>
      <c r="M39" s="977">
        <f>O39*Defaults!$D$8</f>
        <v>0.28901491419585251</v>
      </c>
      <c r="N39" s="478" t="s">
        <v>215</v>
      </c>
      <c r="O39" s="977">
        <f>((F4_DMI_Lact_Cow_kg*7.21)+(F4_Dietary_K_Lact_Cow*15944)-164.5)/1000</f>
        <v>0.13109493740918629</v>
      </c>
      <c r="P39" s="478" t="s">
        <v>165</v>
      </c>
      <c r="Q39" s="479"/>
      <c r="R39" s="649">
        <v>1</v>
      </c>
      <c r="S39" s="990"/>
      <c r="T39" s="860" t="s">
        <v>81</v>
      </c>
      <c r="U39" s="3651" t="str">
        <f>IF(Options!AS26=2,IF(Options!AT26=2," ",FALSE))</f>
        <v xml:space="preserve"> </v>
      </c>
    </row>
    <row r="40" spans="1:21" ht="5.25" customHeight="1">
      <c r="A40" s="205"/>
      <c r="B40" s="502"/>
      <c r="C40" s="503"/>
      <c r="D40" s="503"/>
      <c r="E40" s="503"/>
      <c r="F40" s="965"/>
      <c r="G40" s="503"/>
      <c r="H40" s="963"/>
      <c r="I40" s="966"/>
      <c r="J40" s="504"/>
      <c r="K40" s="917"/>
      <c r="L40" s="505"/>
      <c r="M40" s="505"/>
      <c r="N40" s="505"/>
      <c r="O40" s="992"/>
      <c r="P40" s="505"/>
      <c r="Q40" s="968"/>
      <c r="R40" s="969"/>
      <c r="S40" s="506"/>
      <c r="T40" s="860"/>
    </row>
    <row r="41" spans="1:21" s="3" customFormat="1" ht="20.25" customHeight="1">
      <c r="A41" s="4552" t="s">
        <v>900</v>
      </c>
      <c r="B41" s="4553"/>
      <c r="C41" s="4553"/>
      <c r="D41" s="4553"/>
      <c r="E41" s="4553"/>
      <c r="F41" s="4553"/>
      <c r="G41" s="4553"/>
      <c r="H41" s="4553"/>
      <c r="I41" s="4553"/>
      <c r="J41" s="4553"/>
      <c r="K41" s="4553"/>
      <c r="L41" s="4553"/>
      <c r="M41" s="4553"/>
      <c r="N41" s="4553"/>
      <c r="O41" s="4553"/>
      <c r="P41" s="4553"/>
      <c r="Q41" s="4553"/>
      <c r="R41" s="4553"/>
      <c r="S41" s="4554"/>
      <c r="T41" s="2731"/>
    </row>
    <row r="42" spans="1:21" ht="18" customHeight="1">
      <c r="A42" s="221" t="s">
        <v>1419</v>
      </c>
      <c r="B42" s="493"/>
      <c r="C42" s="511" t="s">
        <v>118</v>
      </c>
      <c r="D42" s="494"/>
      <c r="E42" s="494"/>
      <c r="F42" s="948"/>
      <c r="G42" s="494"/>
      <c r="H42" s="603"/>
      <c r="I42" s="949"/>
      <c r="J42" s="495"/>
      <c r="K42" s="607"/>
      <c r="L42" s="465" t="s">
        <v>118</v>
      </c>
      <c r="M42" s="496"/>
      <c r="N42" s="496"/>
      <c r="O42" s="983"/>
      <c r="P42" s="496"/>
      <c r="Q42" s="611"/>
      <c r="R42" s="967"/>
      <c r="S42" s="497"/>
      <c r="T42" s="860"/>
    </row>
    <row r="43" spans="1:21" ht="3" customHeight="1">
      <c r="A43" s="206"/>
      <c r="B43" s="493"/>
      <c r="C43" s="494"/>
      <c r="D43" s="494"/>
      <c r="E43" s="494"/>
      <c r="F43" s="950"/>
      <c r="G43" s="494"/>
      <c r="H43" s="603"/>
      <c r="I43" s="949"/>
      <c r="J43" s="495"/>
      <c r="K43" s="607"/>
      <c r="L43" s="496"/>
      <c r="M43" s="496"/>
      <c r="N43" s="496"/>
      <c r="O43" s="984"/>
      <c r="P43" s="496"/>
      <c r="Q43" s="611"/>
      <c r="R43" s="967"/>
      <c r="S43" s="497"/>
      <c r="T43" s="860"/>
    </row>
    <row r="44" spans="1:21">
      <c r="A44" s="208" t="s">
        <v>702</v>
      </c>
      <c r="B44" s="951"/>
      <c r="C44" s="494"/>
      <c r="D44" s="538">
        <f>F44*Defaults!$D$8</f>
        <v>0</v>
      </c>
      <c r="E44" s="527" t="s">
        <v>215</v>
      </c>
      <c r="F44" s="647"/>
      <c r="G44" s="527" t="s">
        <v>165</v>
      </c>
      <c r="H44" s="528"/>
      <c r="I44" s="1065"/>
      <c r="J44" s="987"/>
      <c r="K44" s="972"/>
      <c r="L44" s="496"/>
      <c r="M44" s="973">
        <f>O44*Defaults!$D$8</f>
        <v>0</v>
      </c>
      <c r="N44" s="478" t="s">
        <v>215</v>
      </c>
      <c r="O44" s="647"/>
      <c r="P44" s="478" t="s">
        <v>165</v>
      </c>
      <c r="Q44" s="479"/>
      <c r="R44" s="826"/>
      <c r="S44" s="990"/>
      <c r="T44" s="860"/>
      <c r="U44" s="2351" t="str">
        <f>IF(U46=FALSE,"If UR and IC values differ significantly, check accuracy of input parameter values used in the IC formula."," ")</f>
        <v xml:space="preserve"> </v>
      </c>
    </row>
    <row r="45" spans="1:21" ht="3" customHeight="1">
      <c r="A45" s="206"/>
      <c r="B45" s="493"/>
      <c r="C45" s="494"/>
      <c r="D45" s="494"/>
      <c r="E45" s="494"/>
      <c r="F45" s="950"/>
      <c r="G45" s="494"/>
      <c r="H45" s="603"/>
      <c r="I45" s="949"/>
      <c r="J45" s="495"/>
      <c r="K45" s="607"/>
      <c r="L45" s="496"/>
      <c r="M45" s="496"/>
      <c r="N45" s="496"/>
      <c r="O45" s="984"/>
      <c r="P45" s="496"/>
      <c r="Q45" s="611"/>
      <c r="R45" s="967"/>
      <c r="S45" s="497"/>
      <c r="T45" s="860"/>
      <c r="U45" s="21"/>
    </row>
    <row r="46" spans="1:21">
      <c r="A46" s="208" t="s">
        <v>712</v>
      </c>
      <c r="B46" s="951"/>
      <c r="C46" s="494"/>
      <c r="D46" s="538">
        <f>F46*Defaults!$D$8</f>
        <v>81.024304496000013</v>
      </c>
      <c r="E46" s="527" t="s">
        <v>215</v>
      </c>
      <c r="F46" s="955">
        <f>(F3_DMI_Dry_Cow_kg*2.63)+9.4</f>
        <v>36.752000000000002</v>
      </c>
      <c r="G46" s="527" t="s">
        <v>165</v>
      </c>
      <c r="H46" s="528"/>
      <c r="I46" s="1912">
        <v>1</v>
      </c>
      <c r="J46" s="987"/>
      <c r="K46" s="972"/>
      <c r="L46" s="496"/>
      <c r="M46" s="973">
        <f>O46*Defaults!$D$8</f>
        <v>60.657792819867545</v>
      </c>
      <c r="N46" s="478" t="s">
        <v>215</v>
      </c>
      <c r="O46" s="998">
        <f>(F4_DMI_Dry_Cow_kg*2.63)+9.4</f>
        <v>27.513907284768209</v>
      </c>
      <c r="P46" s="478" t="s">
        <v>165</v>
      </c>
      <c r="Q46" s="479"/>
      <c r="R46" s="649">
        <v>1</v>
      </c>
      <c r="S46" s="990"/>
      <c r="T46" s="860" t="s">
        <v>77</v>
      </c>
      <c r="U46" s="3651" t="str">
        <f>IF(Options!AS32=2,IF(Options!AT32=2," ",FALSE))</f>
        <v xml:space="preserve"> </v>
      </c>
    </row>
    <row r="47" spans="1:21" ht="5.25" customHeight="1">
      <c r="A47" s="205"/>
      <c r="B47" s="502"/>
      <c r="C47" s="503"/>
      <c r="D47" s="503"/>
      <c r="E47" s="503"/>
      <c r="F47" s="965"/>
      <c r="G47" s="503"/>
      <c r="H47" s="963"/>
      <c r="I47" s="966"/>
      <c r="J47" s="504"/>
      <c r="K47" s="917"/>
      <c r="L47" s="505"/>
      <c r="M47" s="505"/>
      <c r="N47" s="505"/>
      <c r="O47" s="992"/>
      <c r="P47" s="505"/>
      <c r="Q47" s="968"/>
      <c r="R47" s="969"/>
      <c r="S47" s="506"/>
      <c r="T47" s="860"/>
    </row>
    <row r="48" spans="1:21" ht="18" customHeight="1">
      <c r="A48" s="221" t="s">
        <v>498</v>
      </c>
      <c r="B48" s="493"/>
      <c r="C48" s="511" t="s">
        <v>118</v>
      </c>
      <c r="D48" s="494"/>
      <c r="E48" s="494"/>
      <c r="F48" s="985"/>
      <c r="G48" s="527"/>
      <c r="H48" s="528"/>
      <c r="I48" s="949"/>
      <c r="J48" s="987"/>
      <c r="K48" s="607"/>
      <c r="L48" s="465" t="s">
        <v>118</v>
      </c>
      <c r="M48" s="496"/>
      <c r="N48" s="496"/>
      <c r="O48" s="993"/>
      <c r="P48" s="478"/>
      <c r="Q48" s="479"/>
      <c r="R48" s="967"/>
      <c r="S48" s="990"/>
      <c r="T48" s="859"/>
    </row>
    <row r="49" spans="1:21" ht="3" customHeight="1">
      <c r="A49" s="206"/>
      <c r="B49" s="493"/>
      <c r="C49" s="494"/>
      <c r="D49" s="494"/>
      <c r="E49" s="494"/>
      <c r="F49" s="950"/>
      <c r="G49" s="494"/>
      <c r="H49" s="603"/>
      <c r="I49" s="949"/>
      <c r="J49" s="495"/>
      <c r="K49" s="607"/>
      <c r="L49" s="496"/>
      <c r="M49" s="496"/>
      <c r="N49" s="496"/>
      <c r="O49" s="984"/>
      <c r="P49" s="496"/>
      <c r="Q49" s="611"/>
      <c r="R49" s="967"/>
      <c r="S49" s="497"/>
      <c r="T49" s="860"/>
    </row>
    <row r="50" spans="1:21">
      <c r="A50" s="208" t="s">
        <v>702</v>
      </c>
      <c r="B50" s="952"/>
      <c r="C50" s="494"/>
      <c r="D50" s="955">
        <f>F50*Defaults!$D$8</f>
        <v>0</v>
      </c>
      <c r="E50" s="527" t="s">
        <v>215</v>
      </c>
      <c r="F50" s="647"/>
      <c r="G50" s="527" t="s">
        <v>165</v>
      </c>
      <c r="H50" s="528"/>
      <c r="I50" s="1065"/>
      <c r="J50" s="987"/>
      <c r="K50" s="974"/>
      <c r="L50" s="496"/>
      <c r="M50" s="998">
        <f>O50*Defaults!$D$8</f>
        <v>0</v>
      </c>
      <c r="N50" s="478" t="s">
        <v>215</v>
      </c>
      <c r="O50" s="647"/>
      <c r="P50" s="478" t="s">
        <v>165</v>
      </c>
      <c r="Q50" s="479"/>
      <c r="R50" s="1065"/>
      <c r="S50" s="990"/>
      <c r="T50" s="860"/>
      <c r="U50" s="2351" t="str">
        <f>IF(U52=FALSE,"If UR and IC values differ significantly, check accuracy of input parameter values used in the IC formula."," ")</f>
        <v xml:space="preserve"> </v>
      </c>
    </row>
    <row r="51" spans="1:21" ht="3" customHeight="1">
      <c r="A51" s="206"/>
      <c r="B51" s="493"/>
      <c r="C51" s="494"/>
      <c r="D51" s="494"/>
      <c r="E51" s="494"/>
      <c r="F51" s="950"/>
      <c r="G51" s="494"/>
      <c r="H51" s="603"/>
      <c r="I51" s="949"/>
      <c r="J51" s="495"/>
      <c r="K51" s="607"/>
      <c r="L51" s="496"/>
      <c r="M51" s="496"/>
      <c r="N51" s="496"/>
      <c r="O51" s="984"/>
      <c r="P51" s="496"/>
      <c r="Q51" s="611"/>
      <c r="R51" s="967"/>
      <c r="S51" s="497"/>
      <c r="T51" s="860"/>
      <c r="U51" s="21"/>
    </row>
    <row r="52" spans="1:21">
      <c r="A52" s="208" t="s">
        <v>712</v>
      </c>
      <c r="B52" s="951"/>
      <c r="C52" s="494"/>
      <c r="D52" s="955">
        <f>F52*Defaults!$D$8</f>
        <v>9.9260945952000004</v>
      </c>
      <c r="E52" s="527" t="s">
        <v>215</v>
      </c>
      <c r="F52" s="955">
        <f>(F3_DMI_Dry_Cow_kg*0.356)+0.8</f>
        <v>4.5023999999999997</v>
      </c>
      <c r="G52" s="527" t="s">
        <v>165</v>
      </c>
      <c r="H52" s="528"/>
      <c r="I52" s="1912">
        <v>1</v>
      </c>
      <c r="J52" s="987"/>
      <c r="K52" s="972"/>
      <c r="L52" s="496"/>
      <c r="M52" s="998">
        <f>O52*Defaults!$D$8</f>
        <v>7.1692587941721868</v>
      </c>
      <c r="N52" s="478" t="s">
        <v>215</v>
      </c>
      <c r="O52" s="998">
        <f>(F4_DMI_Dry_Cow_kg*0.356)+0.8</f>
        <v>3.2519205298013247</v>
      </c>
      <c r="P52" s="478" t="s">
        <v>165</v>
      </c>
      <c r="Q52" s="479"/>
      <c r="R52" s="649">
        <v>1</v>
      </c>
      <c r="S52" s="990"/>
      <c r="T52" s="860" t="s">
        <v>78</v>
      </c>
      <c r="U52" s="3651" t="str">
        <f>IF(Options!AS37=2,IF(Options!AT37=2," ",FALSE))</f>
        <v xml:space="preserve"> </v>
      </c>
    </row>
    <row r="53" spans="1:21" ht="5.25" customHeight="1">
      <c r="A53" s="205"/>
      <c r="B53" s="502"/>
      <c r="C53" s="503"/>
      <c r="D53" s="503"/>
      <c r="E53" s="503"/>
      <c r="F53" s="965"/>
      <c r="G53" s="503"/>
      <c r="H53" s="963"/>
      <c r="I53" s="966"/>
      <c r="J53" s="504"/>
      <c r="K53" s="917"/>
      <c r="L53" s="505"/>
      <c r="M53" s="505"/>
      <c r="N53" s="505"/>
      <c r="O53" s="992"/>
      <c r="P53" s="505"/>
      <c r="Q53" s="968"/>
      <c r="R53" s="969"/>
      <c r="S53" s="506"/>
      <c r="T53" s="860"/>
    </row>
    <row r="54" spans="1:21" ht="18" customHeight="1">
      <c r="A54" s="221" t="s">
        <v>173</v>
      </c>
      <c r="B54" s="953"/>
      <c r="C54" s="511" t="s">
        <v>118</v>
      </c>
      <c r="D54" s="954"/>
      <c r="E54" s="954"/>
      <c r="F54" s="986"/>
      <c r="G54" s="954"/>
      <c r="H54" s="964"/>
      <c r="I54" s="949"/>
      <c r="J54" s="988"/>
      <c r="K54" s="975"/>
      <c r="L54" s="465" t="s">
        <v>118</v>
      </c>
      <c r="M54" s="976"/>
      <c r="N54" s="976"/>
      <c r="O54" s="994"/>
      <c r="P54" s="976"/>
      <c r="Q54" s="989"/>
      <c r="R54" s="967"/>
      <c r="S54" s="991"/>
      <c r="T54" s="859"/>
    </row>
    <row r="55" spans="1:21" ht="3" customHeight="1">
      <c r="A55" s="206"/>
      <c r="B55" s="493"/>
      <c r="C55" s="494"/>
      <c r="D55" s="494"/>
      <c r="E55" s="494"/>
      <c r="F55" s="950"/>
      <c r="G55" s="494"/>
      <c r="H55" s="603"/>
      <c r="I55" s="949"/>
      <c r="J55" s="495"/>
      <c r="K55" s="607"/>
      <c r="L55" s="496"/>
      <c r="M55" s="496"/>
      <c r="N55" s="496"/>
      <c r="O55" s="984"/>
      <c r="P55" s="496"/>
      <c r="Q55" s="611"/>
      <c r="R55" s="967"/>
      <c r="S55" s="497"/>
      <c r="T55" s="860"/>
    </row>
    <row r="56" spans="1:21">
      <c r="A56" s="208" t="s">
        <v>702</v>
      </c>
      <c r="B56" s="951"/>
      <c r="C56" s="494"/>
      <c r="D56" s="960">
        <f>F56*Defaults!$D$8</f>
        <v>0</v>
      </c>
      <c r="E56" s="527" t="s">
        <v>215</v>
      </c>
      <c r="F56" s="2197"/>
      <c r="G56" s="527" t="s">
        <v>165</v>
      </c>
      <c r="H56" s="528"/>
      <c r="I56" s="1065"/>
      <c r="J56" s="987"/>
      <c r="K56" s="972"/>
      <c r="L56" s="496"/>
      <c r="M56" s="977">
        <f>O56*Defaults!$D$8</f>
        <v>0</v>
      </c>
      <c r="N56" s="478" t="s">
        <v>215</v>
      </c>
      <c r="O56" s="2197"/>
      <c r="P56" s="478" t="s">
        <v>165</v>
      </c>
      <c r="Q56" s="479"/>
      <c r="R56" s="826"/>
      <c r="S56" s="990"/>
      <c r="T56" s="860"/>
      <c r="U56" s="2351" t="str">
        <f>IF(U58=FALSE,"If UR and IC values differ significantly, check accuracy of input parameter values used in the IC formula."," ")</f>
        <v xml:space="preserve"> </v>
      </c>
    </row>
    <row r="57" spans="1:21" ht="3" customHeight="1">
      <c r="A57" s="206"/>
      <c r="B57" s="493"/>
      <c r="C57" s="494"/>
      <c r="D57" s="494"/>
      <c r="E57" s="494"/>
      <c r="F57" s="3789"/>
      <c r="G57" s="494"/>
      <c r="H57" s="603"/>
      <c r="I57" s="949"/>
      <c r="J57" s="495"/>
      <c r="K57" s="607"/>
      <c r="L57" s="496"/>
      <c r="M57" s="496"/>
      <c r="N57" s="496"/>
      <c r="O57" s="3792"/>
      <c r="P57" s="496"/>
      <c r="Q57" s="611"/>
      <c r="R57" s="967"/>
      <c r="S57" s="497"/>
      <c r="T57" s="860"/>
      <c r="U57" s="21"/>
    </row>
    <row r="58" spans="1:21">
      <c r="A58" s="208" t="s">
        <v>712</v>
      </c>
      <c r="B58" s="951"/>
      <c r="C58" s="494"/>
      <c r="D58" s="960">
        <f>F58*Defaults!$D$8</f>
        <v>0.58269755581576022</v>
      </c>
      <c r="E58" s="527" t="s">
        <v>215</v>
      </c>
      <c r="F58" s="960">
        <f>((F3_DMI_Dry_Cow_kg*F3_Dietary_CP_Dry_Cow*84.1) + (F3_Dry_Cow_Weight_kg*0.196))/1000</f>
        <v>0.26430712000000006</v>
      </c>
      <c r="G58" s="527" t="s">
        <v>165</v>
      </c>
      <c r="H58" s="528"/>
      <c r="I58" s="1912">
        <v>1</v>
      </c>
      <c r="J58" s="987"/>
      <c r="K58" s="972"/>
      <c r="L58" s="496"/>
      <c r="M58" s="977">
        <f>O58*Defaults!$D$8</f>
        <v>0.32852945603313882</v>
      </c>
      <c r="N58" s="478" t="s">
        <v>215</v>
      </c>
      <c r="O58" s="977">
        <f>((F4_DMI_Dry_Cow_kg*F4_Dietary_CP_Dry_Cow*84.1) + (F4_Dry_Cow_Weight_kg*0.196))/1000</f>
        <v>0.14901842901627116</v>
      </c>
      <c r="P58" s="478" t="s">
        <v>165</v>
      </c>
      <c r="Q58" s="479"/>
      <c r="R58" s="649">
        <v>1</v>
      </c>
      <c r="S58" s="990"/>
      <c r="T58" s="860" t="s">
        <v>79</v>
      </c>
      <c r="U58" s="3651" t="str">
        <f>IF(Options!AS42=2,IF(Options!AT42=2," ",FALSE))</f>
        <v xml:space="preserve"> </v>
      </c>
    </row>
    <row r="59" spans="1:21" ht="5.25" customHeight="1">
      <c r="A59" s="205"/>
      <c r="B59" s="502"/>
      <c r="C59" s="503"/>
      <c r="D59" s="503"/>
      <c r="E59" s="503"/>
      <c r="F59" s="3791"/>
      <c r="G59" s="503"/>
      <c r="H59" s="963"/>
      <c r="I59" s="966"/>
      <c r="J59" s="504"/>
      <c r="K59" s="917"/>
      <c r="L59" s="505"/>
      <c r="M59" s="505"/>
      <c r="N59" s="505"/>
      <c r="O59" s="3793"/>
      <c r="P59" s="505"/>
      <c r="Q59" s="968"/>
      <c r="R59" s="969"/>
      <c r="S59" s="506"/>
      <c r="T59" s="860"/>
    </row>
    <row r="60" spans="1:21" ht="18" customHeight="1">
      <c r="A60" s="221" t="s">
        <v>174</v>
      </c>
      <c r="B60" s="956"/>
      <c r="C60" s="511" t="s">
        <v>118</v>
      </c>
      <c r="D60" s="957"/>
      <c r="E60" s="957"/>
      <c r="F60" s="986"/>
      <c r="G60" s="954"/>
      <c r="H60" s="964"/>
      <c r="I60" s="949"/>
      <c r="J60" s="988"/>
      <c r="K60" s="978"/>
      <c r="L60" s="465" t="s">
        <v>118</v>
      </c>
      <c r="M60" s="979"/>
      <c r="N60" s="979"/>
      <c r="O60" s="994"/>
      <c r="P60" s="976"/>
      <c r="Q60" s="989"/>
      <c r="R60" s="967"/>
      <c r="S60" s="991"/>
      <c r="T60" s="859"/>
    </row>
    <row r="61" spans="1:21" ht="3" customHeight="1">
      <c r="A61" s="206"/>
      <c r="B61" s="493"/>
      <c r="C61" s="494"/>
      <c r="D61" s="494"/>
      <c r="E61" s="494"/>
      <c r="F61" s="3789"/>
      <c r="G61" s="494"/>
      <c r="H61" s="603"/>
      <c r="I61" s="949"/>
      <c r="J61" s="495"/>
      <c r="K61" s="607"/>
      <c r="L61" s="496"/>
      <c r="M61" s="496"/>
      <c r="N61" s="496"/>
      <c r="O61" s="3792"/>
      <c r="P61" s="496"/>
      <c r="Q61" s="611"/>
      <c r="R61" s="967"/>
      <c r="S61" s="497"/>
      <c r="T61" s="860"/>
    </row>
    <row r="62" spans="1:21">
      <c r="A62" s="208" t="s">
        <v>702</v>
      </c>
      <c r="B62" s="951"/>
      <c r="C62" s="494"/>
      <c r="D62" s="960">
        <f>F62*Defaults!$D$8</f>
        <v>0</v>
      </c>
      <c r="E62" s="527" t="s">
        <v>215</v>
      </c>
      <c r="F62" s="2197"/>
      <c r="G62" s="527" t="s">
        <v>165</v>
      </c>
      <c r="H62" s="528"/>
      <c r="I62" s="1065"/>
      <c r="J62" s="987"/>
      <c r="K62" s="972"/>
      <c r="L62" s="496"/>
      <c r="M62" s="977">
        <f>O62*Defaults!$D$8</f>
        <v>0</v>
      </c>
      <c r="N62" s="478" t="s">
        <v>215</v>
      </c>
      <c r="O62" s="2197"/>
      <c r="P62" s="478" t="s">
        <v>165</v>
      </c>
      <c r="Q62" s="479"/>
      <c r="R62" s="826"/>
      <c r="S62" s="990"/>
      <c r="T62" s="860"/>
      <c r="U62" s="2351" t="str">
        <f>IF(U64=FALSE,"If UR and IC values differ significantly, check accuracy of input parameter values used in the IC formula."," ")</f>
        <v xml:space="preserve"> </v>
      </c>
    </row>
    <row r="63" spans="1:21" ht="3" customHeight="1">
      <c r="A63" s="206"/>
      <c r="B63" s="493"/>
      <c r="C63" s="494"/>
      <c r="D63" s="494"/>
      <c r="E63" s="494"/>
      <c r="F63" s="3789"/>
      <c r="G63" s="494"/>
      <c r="H63" s="603"/>
      <c r="I63" s="949"/>
      <c r="J63" s="495"/>
      <c r="K63" s="607"/>
      <c r="L63" s="496"/>
      <c r="M63" s="496"/>
      <c r="N63" s="496"/>
      <c r="O63" s="3792"/>
      <c r="P63" s="496"/>
      <c r="Q63" s="611"/>
      <c r="R63" s="967"/>
      <c r="S63" s="497"/>
      <c r="T63" s="860"/>
      <c r="U63" s="21"/>
    </row>
    <row r="64" spans="1:21">
      <c r="A64" s="208" t="s">
        <v>712</v>
      </c>
      <c r="B64" s="951"/>
      <c r="C64" s="494"/>
      <c r="D64" s="960">
        <f>F64*Defaults!$D$8</f>
        <v>0.10308295093273601</v>
      </c>
      <c r="E64" s="527" t="s">
        <v>215</v>
      </c>
      <c r="F64" s="960">
        <f>((F3_DMI_Dry_Cow_kg*F3_Dietary_P_Dry_Cow*560.7) + 21.1)/1000</f>
        <v>4.6757632E-2</v>
      </c>
      <c r="G64" s="527" t="s">
        <v>165</v>
      </c>
      <c r="H64" s="528"/>
      <c r="I64" s="1912">
        <v>1</v>
      </c>
      <c r="J64" s="987"/>
      <c r="K64" s="972"/>
      <c r="L64" s="496"/>
      <c r="M64" s="977">
        <f>O64*Defaults!$D$8</f>
        <v>7.1325845652061778E-2</v>
      </c>
      <c r="N64" s="478" t="s">
        <v>215</v>
      </c>
      <c r="O64" s="977">
        <f>((F4_DMI_Dry_Cow_kg*F4_Dietary_P_Dry_Cow*560.7) + 21.1)/1000</f>
        <v>3.2352853822200787E-2</v>
      </c>
      <c r="P64" s="478" t="s">
        <v>165</v>
      </c>
      <c r="Q64" s="479"/>
      <c r="R64" s="649">
        <v>1</v>
      </c>
      <c r="S64" s="990"/>
      <c r="T64" s="867" t="s">
        <v>80</v>
      </c>
      <c r="U64" s="3651" t="str">
        <f>IF(Options!AS47=2,IF(Options!AT47=2," ",FALSE))</f>
        <v xml:space="preserve"> </v>
      </c>
    </row>
    <row r="65" spans="1:21" ht="5.25" customHeight="1">
      <c r="A65" s="205"/>
      <c r="B65" s="502"/>
      <c r="C65" s="503"/>
      <c r="D65" s="503"/>
      <c r="E65" s="503"/>
      <c r="F65" s="3791"/>
      <c r="G65" s="503"/>
      <c r="H65" s="963"/>
      <c r="I65" s="966"/>
      <c r="J65" s="504"/>
      <c r="K65" s="917"/>
      <c r="L65" s="505"/>
      <c r="M65" s="505"/>
      <c r="N65" s="505"/>
      <c r="O65" s="3793"/>
      <c r="P65" s="505"/>
      <c r="Q65" s="968"/>
      <c r="R65" s="969"/>
      <c r="S65" s="506"/>
      <c r="T65" s="860"/>
    </row>
    <row r="66" spans="1:21" ht="18" customHeight="1">
      <c r="A66" s="221" t="s">
        <v>175</v>
      </c>
      <c r="B66" s="958"/>
      <c r="C66" s="511" t="s">
        <v>118</v>
      </c>
      <c r="D66" s="959"/>
      <c r="E66" s="959"/>
      <c r="F66" s="986"/>
      <c r="G66" s="954"/>
      <c r="H66" s="964"/>
      <c r="I66" s="949"/>
      <c r="J66" s="988"/>
      <c r="K66" s="980"/>
      <c r="L66" s="465" t="s">
        <v>118</v>
      </c>
      <c r="M66" s="981"/>
      <c r="N66" s="981"/>
      <c r="O66" s="994"/>
      <c r="P66" s="976"/>
      <c r="Q66" s="989"/>
      <c r="R66" s="967"/>
      <c r="S66" s="991"/>
      <c r="T66" s="859"/>
    </row>
    <row r="67" spans="1:21" ht="3" customHeight="1">
      <c r="A67" s="206"/>
      <c r="B67" s="493"/>
      <c r="C67" s="494"/>
      <c r="D67" s="494"/>
      <c r="E67" s="494"/>
      <c r="F67" s="3789"/>
      <c r="G67" s="494"/>
      <c r="H67" s="603"/>
      <c r="I67" s="949"/>
      <c r="J67" s="495"/>
      <c r="K67" s="607"/>
      <c r="L67" s="496"/>
      <c r="M67" s="496"/>
      <c r="N67" s="496"/>
      <c r="O67" s="3792"/>
      <c r="P67" s="496"/>
      <c r="Q67" s="611"/>
      <c r="R67" s="967"/>
      <c r="S67" s="497"/>
      <c r="T67" s="860"/>
    </row>
    <row r="68" spans="1:21">
      <c r="A68" s="208" t="s">
        <v>702</v>
      </c>
      <c r="B68" s="951"/>
      <c r="C68" s="494"/>
      <c r="D68" s="960">
        <f>F68*Defaults!$D$8</f>
        <v>0</v>
      </c>
      <c r="E68" s="527" t="s">
        <v>215</v>
      </c>
      <c r="F68" s="2197"/>
      <c r="G68" s="527" t="s">
        <v>165</v>
      </c>
      <c r="H68" s="528"/>
      <c r="I68" s="1065"/>
      <c r="J68" s="987"/>
      <c r="K68" s="972"/>
      <c r="L68" s="496"/>
      <c r="M68" s="977">
        <f>O68*Defaults!$D$8</f>
        <v>0</v>
      </c>
      <c r="N68" s="478" t="s">
        <v>215</v>
      </c>
      <c r="O68" s="2197"/>
      <c r="P68" s="478" t="s">
        <v>165</v>
      </c>
      <c r="Q68" s="479"/>
      <c r="R68" s="826"/>
      <c r="S68" s="990"/>
      <c r="T68" s="860"/>
      <c r="U68" s="2351" t="str">
        <f>IF(U70=FALSE,"If UR and IC values differ significantly, check accuracy of input parameter values used in the IC formula."," ")</f>
        <v xml:space="preserve"> </v>
      </c>
    </row>
    <row r="69" spans="1:21" ht="3" customHeight="1">
      <c r="A69" s="206"/>
      <c r="B69" s="493"/>
      <c r="C69" s="494"/>
      <c r="D69" s="494"/>
      <c r="E69" s="494"/>
      <c r="F69" s="3789"/>
      <c r="G69" s="494"/>
      <c r="H69" s="603"/>
      <c r="I69" s="949"/>
      <c r="J69" s="495"/>
      <c r="K69" s="607"/>
      <c r="L69" s="496"/>
      <c r="M69" s="496"/>
      <c r="N69" s="496"/>
      <c r="O69" s="3792"/>
      <c r="P69" s="496"/>
      <c r="Q69" s="611"/>
      <c r="R69" s="967"/>
      <c r="S69" s="497"/>
      <c r="T69" s="860"/>
      <c r="U69" s="21"/>
    </row>
    <row r="70" spans="1:21">
      <c r="A70" s="208" t="s">
        <v>712</v>
      </c>
      <c r="B70" s="951"/>
      <c r="C70" s="494"/>
      <c r="D70" s="960">
        <f>F70*Defaults!$D$8</f>
        <v>0.25609253507680008</v>
      </c>
      <c r="E70" s="527" t="s">
        <v>215</v>
      </c>
      <c r="F70" s="960">
        <f>((F3_DMI_Dry_Cow_kg*7.21)+(F3_Dietary_K_Dry_Cow*15944)-164.5)/1000</f>
        <v>0.11616160000000002</v>
      </c>
      <c r="G70" s="527" t="s">
        <v>165</v>
      </c>
      <c r="H70" s="528"/>
      <c r="I70" s="1912">
        <v>1</v>
      </c>
      <c r="J70" s="987"/>
      <c r="K70" s="972"/>
      <c r="L70" s="496"/>
      <c r="M70" s="977">
        <f>O70*Defaults!$D$8</f>
        <v>4.7109727478013258E-2</v>
      </c>
      <c r="N70" s="478" t="s">
        <v>215</v>
      </c>
      <c r="O70" s="977">
        <f>((F4_DMI_Dry_Cow_kg*7.21)+(F4_Dietary_K_Dry_Cow*15944)-164.5)/1000</f>
        <v>2.1368609271523183E-2</v>
      </c>
      <c r="P70" s="478" t="s">
        <v>165</v>
      </c>
      <c r="Q70" s="479"/>
      <c r="R70" s="649">
        <v>1</v>
      </c>
      <c r="S70" s="990"/>
      <c r="T70" s="860" t="s">
        <v>81</v>
      </c>
      <c r="U70" s="3651" t="str">
        <f>IF(Options!AS52=2,IF(Options!AT52=2," ",FALSE))</f>
        <v xml:space="preserve"> </v>
      </c>
    </row>
    <row r="71" spans="1:21" ht="5.25" customHeight="1">
      <c r="A71" s="205"/>
      <c r="B71" s="502"/>
      <c r="C71" s="503"/>
      <c r="D71" s="503"/>
      <c r="E71" s="503"/>
      <c r="F71" s="965"/>
      <c r="G71" s="503"/>
      <c r="H71" s="963"/>
      <c r="I71" s="966"/>
      <c r="J71" s="504"/>
      <c r="K71" s="917"/>
      <c r="L71" s="505"/>
      <c r="M71" s="505"/>
      <c r="N71" s="505"/>
      <c r="O71" s="992"/>
      <c r="P71" s="505"/>
      <c r="Q71" s="968"/>
      <c r="R71" s="969"/>
      <c r="S71" s="506"/>
      <c r="T71" s="860"/>
    </row>
    <row r="72" spans="1:21" s="3" customFormat="1" ht="20.25" customHeight="1">
      <c r="A72" s="4552" t="s">
        <v>899</v>
      </c>
      <c r="B72" s="4553"/>
      <c r="C72" s="4553"/>
      <c r="D72" s="4553"/>
      <c r="E72" s="4553"/>
      <c r="F72" s="4553"/>
      <c r="G72" s="4553"/>
      <c r="H72" s="4553"/>
      <c r="I72" s="4553"/>
      <c r="J72" s="4553"/>
      <c r="K72" s="4553"/>
      <c r="L72" s="4553"/>
      <c r="M72" s="4553"/>
      <c r="N72" s="4553"/>
      <c r="O72" s="4553"/>
      <c r="P72" s="4553"/>
      <c r="Q72" s="4553"/>
      <c r="R72" s="4553"/>
      <c r="S72" s="4554"/>
      <c r="T72" s="2731"/>
    </row>
    <row r="73" spans="1:21" ht="18" customHeight="1">
      <c r="A73" s="221" t="s">
        <v>1419</v>
      </c>
      <c r="B73" s="493"/>
      <c r="C73" s="511" t="s">
        <v>118</v>
      </c>
      <c r="D73" s="494"/>
      <c r="E73" s="494"/>
      <c r="F73" s="948"/>
      <c r="G73" s="494"/>
      <c r="H73" s="603"/>
      <c r="I73" s="949"/>
      <c r="J73" s="495"/>
      <c r="K73" s="607"/>
      <c r="L73" s="465" t="s">
        <v>118</v>
      </c>
      <c r="M73" s="496"/>
      <c r="N73" s="496"/>
      <c r="O73" s="983"/>
      <c r="P73" s="496"/>
      <c r="Q73" s="611"/>
      <c r="R73" s="967"/>
      <c r="S73" s="497"/>
      <c r="T73" s="860"/>
    </row>
    <row r="74" spans="1:21" ht="3" customHeight="1">
      <c r="A74" s="206"/>
      <c r="B74" s="493"/>
      <c r="C74" s="494"/>
      <c r="D74" s="494"/>
      <c r="E74" s="494"/>
      <c r="F74" s="950"/>
      <c r="G74" s="494"/>
      <c r="H74" s="603"/>
      <c r="I74" s="949"/>
      <c r="J74" s="495"/>
      <c r="K74" s="607"/>
      <c r="L74" s="496"/>
      <c r="M74" s="496"/>
      <c r="N74" s="496"/>
      <c r="O74" s="984"/>
      <c r="P74" s="496"/>
      <c r="Q74" s="611"/>
      <c r="R74" s="967"/>
      <c r="S74" s="497"/>
      <c r="T74" s="860"/>
    </row>
    <row r="75" spans="1:21">
      <c r="A75" s="208" t="s">
        <v>702</v>
      </c>
      <c r="B75" s="951"/>
      <c r="C75" s="494"/>
      <c r="D75" s="538">
        <f>F75*Defaults!$D$8</f>
        <v>0</v>
      </c>
      <c r="E75" s="527" t="s">
        <v>215</v>
      </c>
      <c r="F75" s="647"/>
      <c r="G75" s="527" t="s">
        <v>165</v>
      </c>
      <c r="H75" s="528"/>
      <c r="I75" s="1065"/>
      <c r="J75" s="987"/>
      <c r="K75" s="972"/>
      <c r="L75" s="496"/>
      <c r="M75" s="973">
        <f>O75*Defaults!$D$8</f>
        <v>0</v>
      </c>
      <c r="N75" s="478" t="s">
        <v>215</v>
      </c>
      <c r="O75" s="647"/>
      <c r="P75" s="478" t="s">
        <v>165</v>
      </c>
      <c r="Q75" s="479"/>
      <c r="R75" s="826"/>
      <c r="S75" s="990"/>
      <c r="T75" s="860"/>
      <c r="U75" s="2351" t="str">
        <f>IF(U77=FALSE,"If UR and IC values differ significantly, check accuracy of input parameter values used in the IC formula."," ")</f>
        <v xml:space="preserve"> </v>
      </c>
    </row>
    <row r="76" spans="1:21" ht="3" customHeight="1">
      <c r="A76" s="206"/>
      <c r="B76" s="493"/>
      <c r="C76" s="494"/>
      <c r="D76" s="494"/>
      <c r="E76" s="494"/>
      <c r="F76" s="950"/>
      <c r="G76" s="494"/>
      <c r="H76" s="603"/>
      <c r="I76" s="949"/>
      <c r="J76" s="495"/>
      <c r="K76" s="607"/>
      <c r="L76" s="496"/>
      <c r="M76" s="496"/>
      <c r="N76" s="496"/>
      <c r="O76" s="984"/>
      <c r="P76" s="496"/>
      <c r="Q76" s="611"/>
      <c r="R76" s="967"/>
      <c r="S76" s="497"/>
      <c r="T76" s="1677"/>
      <c r="U76" s="21"/>
    </row>
    <row r="77" spans="1:21">
      <c r="A77" s="208" t="s">
        <v>712</v>
      </c>
      <c r="B77" s="951"/>
      <c r="C77" s="494"/>
      <c r="D77" s="538">
        <f>F77*Defaults!$D$8</f>
        <v>52.714387813320009</v>
      </c>
      <c r="E77" s="527" t="s">
        <v>215</v>
      </c>
      <c r="F77" s="955">
        <f>(F3_DMI_Heifer_kg*4.156)-(F3_Heifer_Weight_kg * 0.0246)</f>
        <v>23.91084</v>
      </c>
      <c r="G77" s="527" t="s">
        <v>165</v>
      </c>
      <c r="H77" s="528"/>
      <c r="I77" s="1912">
        <v>1</v>
      </c>
      <c r="J77" s="987"/>
      <c r="K77" s="972"/>
      <c r="L77" s="496"/>
      <c r="M77" s="973">
        <f>O77*Defaults!$D$8</f>
        <v>33.172669676574372</v>
      </c>
      <c r="N77" s="478" t="s">
        <v>215</v>
      </c>
      <c r="O77" s="998">
        <f>(F4_DMI_Heifer_kg*4.156)-(F4_Heifer_Weight_kg * 0.0246)</f>
        <v>15.04686727688787</v>
      </c>
      <c r="P77" s="478" t="s">
        <v>165</v>
      </c>
      <c r="Q77" s="479"/>
      <c r="R77" s="649">
        <v>1</v>
      </c>
      <c r="S77" s="990"/>
      <c r="T77" s="867" t="s">
        <v>210</v>
      </c>
      <c r="U77" s="3651" t="str">
        <f>IF(Options!AS58=2,IF(Options!AT58=2," ",FALSE))</f>
        <v xml:space="preserve"> </v>
      </c>
    </row>
    <row r="78" spans="1:21" ht="5.25" customHeight="1">
      <c r="A78" s="205"/>
      <c r="B78" s="502"/>
      <c r="C78" s="503"/>
      <c r="D78" s="503"/>
      <c r="E78" s="503"/>
      <c r="F78" s="965"/>
      <c r="G78" s="503"/>
      <c r="H78" s="963"/>
      <c r="I78" s="966"/>
      <c r="J78" s="504"/>
      <c r="K78" s="917"/>
      <c r="L78" s="505"/>
      <c r="M78" s="505"/>
      <c r="N78" s="505"/>
      <c r="O78" s="992"/>
      <c r="P78" s="505"/>
      <c r="Q78" s="968"/>
      <c r="R78" s="969"/>
      <c r="S78" s="506"/>
      <c r="T78" s="860"/>
    </row>
    <row r="79" spans="1:21" ht="18" customHeight="1">
      <c r="A79" s="221" t="s">
        <v>498</v>
      </c>
      <c r="B79" s="493"/>
      <c r="C79" s="511" t="s">
        <v>118</v>
      </c>
      <c r="D79" s="494"/>
      <c r="E79" s="494"/>
      <c r="F79" s="985"/>
      <c r="G79" s="527"/>
      <c r="H79" s="528"/>
      <c r="I79" s="949"/>
      <c r="J79" s="987"/>
      <c r="K79" s="607"/>
      <c r="L79" s="465" t="s">
        <v>118</v>
      </c>
      <c r="M79" s="496"/>
      <c r="N79" s="496"/>
      <c r="O79" s="993"/>
      <c r="P79" s="478"/>
      <c r="Q79" s="479"/>
      <c r="R79" s="967"/>
      <c r="S79" s="990"/>
      <c r="T79" s="859"/>
    </row>
    <row r="80" spans="1:21" ht="3" customHeight="1">
      <c r="A80" s="206"/>
      <c r="B80" s="493"/>
      <c r="C80" s="494"/>
      <c r="D80" s="494"/>
      <c r="E80" s="494"/>
      <c r="F80" s="950"/>
      <c r="G80" s="494"/>
      <c r="H80" s="603"/>
      <c r="I80" s="949"/>
      <c r="J80" s="495"/>
      <c r="K80" s="607"/>
      <c r="L80" s="496"/>
      <c r="M80" s="496"/>
      <c r="N80" s="496"/>
      <c r="O80" s="984"/>
      <c r="P80" s="496"/>
      <c r="Q80" s="611"/>
      <c r="R80" s="967"/>
      <c r="S80" s="497"/>
      <c r="T80" s="860"/>
    </row>
    <row r="81" spans="1:21">
      <c r="A81" s="208" t="s">
        <v>702</v>
      </c>
      <c r="B81" s="952"/>
      <c r="C81" s="494"/>
      <c r="D81" s="955">
        <f>F81*Defaults!$D$8</f>
        <v>0</v>
      </c>
      <c r="E81" s="527" t="s">
        <v>215</v>
      </c>
      <c r="F81" s="647"/>
      <c r="G81" s="527" t="s">
        <v>165</v>
      </c>
      <c r="H81" s="528"/>
      <c r="I81" s="1065"/>
      <c r="J81" s="987"/>
      <c r="K81" s="974"/>
      <c r="L81" s="496"/>
      <c r="M81" s="998">
        <f>O81*Defaults!$D$8</f>
        <v>0</v>
      </c>
      <c r="N81" s="478" t="s">
        <v>215</v>
      </c>
      <c r="O81" s="647"/>
      <c r="P81" s="478" t="s">
        <v>165</v>
      </c>
      <c r="Q81" s="479"/>
      <c r="R81" s="826"/>
      <c r="S81" s="990"/>
      <c r="T81" s="860"/>
      <c r="U81" s="2351" t="str">
        <f>IF(U83=FALSE,"If UR and IC values differ significantly, check accuracy of input parameter values used in the IC formula."," ")</f>
        <v xml:space="preserve"> </v>
      </c>
    </row>
    <row r="82" spans="1:21" ht="3" customHeight="1">
      <c r="A82" s="206"/>
      <c r="B82" s="493"/>
      <c r="C82" s="494"/>
      <c r="D82" s="494"/>
      <c r="E82" s="494"/>
      <c r="F82" s="950"/>
      <c r="G82" s="494"/>
      <c r="H82" s="603"/>
      <c r="I82" s="949"/>
      <c r="J82" s="495"/>
      <c r="K82" s="607"/>
      <c r="L82" s="496"/>
      <c r="M82" s="496"/>
      <c r="N82" s="496"/>
      <c r="O82" s="984"/>
      <c r="P82" s="496"/>
      <c r="Q82" s="611"/>
      <c r="R82" s="967"/>
      <c r="S82" s="497"/>
      <c r="T82" s="860"/>
      <c r="U82" s="21"/>
    </row>
    <row r="83" spans="1:21">
      <c r="A83" s="208" t="s">
        <v>712</v>
      </c>
      <c r="B83" s="951"/>
      <c r="C83" s="494"/>
      <c r="D83" s="955">
        <f>F83*Defaults!$D$8</f>
        <v>8.3093122719199997</v>
      </c>
      <c r="E83" s="527" t="s">
        <v>215</v>
      </c>
      <c r="F83" s="955">
        <f>(F3_DMI_Heifer_kg*0.356)+0.8</f>
        <v>3.7690399999999995</v>
      </c>
      <c r="G83" s="527" t="s">
        <v>165</v>
      </c>
      <c r="H83" s="528"/>
      <c r="I83" s="1912">
        <v>1</v>
      </c>
      <c r="J83" s="987"/>
      <c r="K83" s="972"/>
      <c r="L83" s="496"/>
      <c r="M83" s="998">
        <f>O83*Defaults!$D$8</f>
        <v>5.8827917976613273</v>
      </c>
      <c r="N83" s="478" t="s">
        <v>215</v>
      </c>
      <c r="O83" s="998">
        <f>(F4_DMI_Heifer_kg*0.356)+0.8</f>
        <v>2.6683890160183066</v>
      </c>
      <c r="P83" s="478" t="s">
        <v>165</v>
      </c>
      <c r="Q83" s="479"/>
      <c r="R83" s="649">
        <v>1</v>
      </c>
      <c r="S83" s="990"/>
      <c r="T83" s="860" t="s">
        <v>78</v>
      </c>
      <c r="U83" s="3651" t="str">
        <f>IF(Options!AS63=2,IF(Options!AT63=2," ",FALSE))</f>
        <v xml:space="preserve"> </v>
      </c>
    </row>
    <row r="84" spans="1:21" ht="5.25" customHeight="1">
      <c r="A84" s="205"/>
      <c r="B84" s="502"/>
      <c r="C84" s="503"/>
      <c r="D84" s="503"/>
      <c r="E84" s="503"/>
      <c r="F84" s="965"/>
      <c r="G84" s="503"/>
      <c r="H84" s="963"/>
      <c r="I84" s="966"/>
      <c r="J84" s="504"/>
      <c r="K84" s="917"/>
      <c r="L84" s="505"/>
      <c r="M84" s="505"/>
      <c r="N84" s="505"/>
      <c r="O84" s="992"/>
      <c r="P84" s="505"/>
      <c r="Q84" s="968"/>
      <c r="R84" s="969"/>
      <c r="S84" s="506"/>
      <c r="T84" s="860"/>
    </row>
    <row r="85" spans="1:21" ht="18" customHeight="1">
      <c r="A85" s="221" t="s">
        <v>173</v>
      </c>
      <c r="B85" s="953"/>
      <c r="C85" s="511" t="s">
        <v>118</v>
      </c>
      <c r="D85" s="954"/>
      <c r="E85" s="954"/>
      <c r="F85" s="986"/>
      <c r="G85" s="954"/>
      <c r="H85" s="964"/>
      <c r="I85" s="949"/>
      <c r="J85" s="988"/>
      <c r="K85" s="975"/>
      <c r="L85" s="465" t="s">
        <v>118</v>
      </c>
      <c r="M85" s="976"/>
      <c r="N85" s="976"/>
      <c r="O85" s="994"/>
      <c r="P85" s="976"/>
      <c r="Q85" s="989"/>
      <c r="R85" s="967"/>
      <c r="S85" s="991"/>
      <c r="T85" s="859"/>
    </row>
    <row r="86" spans="1:21" ht="3" customHeight="1">
      <c r="A86" s="206"/>
      <c r="B86" s="493"/>
      <c r="C86" s="494"/>
      <c r="D86" s="494"/>
      <c r="E86" s="494"/>
      <c r="F86" s="950"/>
      <c r="G86" s="494"/>
      <c r="H86" s="603"/>
      <c r="I86" s="949"/>
      <c r="J86" s="495"/>
      <c r="K86" s="607"/>
      <c r="L86" s="496"/>
      <c r="M86" s="496"/>
      <c r="N86" s="496"/>
      <c r="O86" s="984"/>
      <c r="P86" s="496"/>
      <c r="Q86" s="611"/>
      <c r="R86" s="967"/>
      <c r="S86" s="497"/>
      <c r="T86" s="860"/>
    </row>
    <row r="87" spans="1:21">
      <c r="A87" s="208" t="s">
        <v>702</v>
      </c>
      <c r="B87" s="951"/>
      <c r="C87" s="494"/>
      <c r="D87" s="960">
        <f>F87*Defaults!$D$8</f>
        <v>0</v>
      </c>
      <c r="E87" s="527" t="s">
        <v>215</v>
      </c>
      <c r="F87" s="2197"/>
      <c r="G87" s="527" t="s">
        <v>165</v>
      </c>
      <c r="H87" s="528"/>
      <c r="I87" s="1065"/>
      <c r="J87" s="987"/>
      <c r="K87" s="972"/>
      <c r="L87" s="496"/>
      <c r="M87" s="977">
        <f>O87*Defaults!$D$8</f>
        <v>0</v>
      </c>
      <c r="N87" s="478" t="s">
        <v>215</v>
      </c>
      <c r="O87" s="2197"/>
      <c r="P87" s="478" t="s">
        <v>165</v>
      </c>
      <c r="Q87" s="479"/>
      <c r="R87" s="826"/>
      <c r="S87" s="990"/>
      <c r="T87" s="860"/>
      <c r="U87" s="2351" t="str">
        <f>IF(U89=FALSE,"If UR and IC values differ significantly, check accuracy of input parameter values used in the IC formula."," ")</f>
        <v xml:space="preserve"> </v>
      </c>
    </row>
    <row r="88" spans="1:21" ht="3" customHeight="1">
      <c r="A88" s="206"/>
      <c r="B88" s="493"/>
      <c r="C88" s="494"/>
      <c r="D88" s="494"/>
      <c r="E88" s="494"/>
      <c r="F88" s="3789"/>
      <c r="G88" s="494"/>
      <c r="H88" s="603"/>
      <c r="I88" s="949"/>
      <c r="J88" s="495"/>
      <c r="K88" s="607"/>
      <c r="L88" s="496"/>
      <c r="M88" s="496"/>
      <c r="N88" s="496"/>
      <c r="O88" s="3792"/>
      <c r="P88" s="496"/>
      <c r="Q88" s="611"/>
      <c r="R88" s="967"/>
      <c r="S88" s="497"/>
      <c r="T88" s="860"/>
      <c r="U88" s="21"/>
    </row>
    <row r="89" spans="1:21">
      <c r="A89" s="208" t="s">
        <v>712</v>
      </c>
      <c r="B89" s="951"/>
      <c r="C89" s="494"/>
      <c r="D89" s="960">
        <f>F89*Defaults!$D$8</f>
        <v>0.27474569860173764</v>
      </c>
      <c r="E89" s="527" t="s">
        <v>215</v>
      </c>
      <c r="F89" s="960">
        <f>(( F3_DMI_Heifer_kg * F3_Dietary_CP_Heifer * 78.39) + 51.4)/1000</f>
        <v>0.1246225312</v>
      </c>
      <c r="G89" s="527" t="s">
        <v>165</v>
      </c>
      <c r="H89" s="528"/>
      <c r="I89" s="1912">
        <v>1</v>
      </c>
      <c r="J89" s="987"/>
      <c r="K89" s="972"/>
      <c r="L89" s="496"/>
      <c r="M89" s="977">
        <f>O89*Defaults!$D$8</f>
        <v>0.17724421907112259</v>
      </c>
      <c r="N89" s="478" t="s">
        <v>215</v>
      </c>
      <c r="O89" s="977">
        <f>(( F4_DMI_Heifer_kg * F4_Dietary_CP_Heifer * 78.39) + 51.4)/1000</f>
        <v>8.0396611607119486E-2</v>
      </c>
      <c r="P89" s="478" t="s">
        <v>165</v>
      </c>
      <c r="Q89" s="479"/>
      <c r="R89" s="649">
        <v>1</v>
      </c>
      <c r="S89" s="990"/>
      <c r="T89" s="867" t="s">
        <v>214</v>
      </c>
      <c r="U89" s="3651" t="str">
        <f>IF(Options!AS68=2,IF(Options!AT68=2," ",FALSE))</f>
        <v xml:space="preserve"> </v>
      </c>
    </row>
    <row r="90" spans="1:21" ht="5.25" customHeight="1">
      <c r="A90" s="205"/>
      <c r="B90" s="502"/>
      <c r="C90" s="503"/>
      <c r="D90" s="503"/>
      <c r="E90" s="503"/>
      <c r="F90" s="3791"/>
      <c r="G90" s="503"/>
      <c r="H90" s="963"/>
      <c r="I90" s="966"/>
      <c r="J90" s="504"/>
      <c r="K90" s="917"/>
      <c r="L90" s="505"/>
      <c r="M90" s="505"/>
      <c r="N90" s="505"/>
      <c r="O90" s="3793"/>
      <c r="P90" s="505"/>
      <c r="Q90" s="968"/>
      <c r="R90" s="969"/>
      <c r="S90" s="506"/>
      <c r="T90" s="860"/>
    </row>
    <row r="91" spans="1:21" ht="18" customHeight="1">
      <c r="A91" s="221" t="s">
        <v>174</v>
      </c>
      <c r="B91" s="956"/>
      <c r="C91" s="511" t="s">
        <v>118</v>
      </c>
      <c r="D91" s="957"/>
      <c r="E91" s="957"/>
      <c r="F91" s="986"/>
      <c r="G91" s="954"/>
      <c r="H91" s="964"/>
      <c r="I91" s="949"/>
      <c r="J91" s="988"/>
      <c r="K91" s="978"/>
      <c r="L91" s="465" t="s">
        <v>118</v>
      </c>
      <c r="M91" s="979"/>
      <c r="N91" s="979"/>
      <c r="O91" s="994"/>
      <c r="P91" s="976"/>
      <c r="Q91" s="989"/>
      <c r="R91" s="967"/>
      <c r="S91" s="991"/>
      <c r="T91" s="859"/>
    </row>
    <row r="92" spans="1:21" ht="3" customHeight="1">
      <c r="A92" s="206"/>
      <c r="B92" s="493"/>
      <c r="C92" s="494"/>
      <c r="D92" s="494"/>
      <c r="E92" s="494"/>
      <c r="F92" s="3789"/>
      <c r="G92" s="494"/>
      <c r="H92" s="603"/>
      <c r="I92" s="949"/>
      <c r="J92" s="495"/>
      <c r="K92" s="607"/>
      <c r="L92" s="496"/>
      <c r="M92" s="496"/>
      <c r="N92" s="496"/>
      <c r="O92" s="3792"/>
      <c r="P92" s="496"/>
      <c r="Q92" s="611"/>
      <c r="R92" s="967"/>
      <c r="S92" s="497"/>
      <c r="T92" s="860"/>
    </row>
    <row r="93" spans="1:21">
      <c r="A93" s="208" t="s">
        <v>702</v>
      </c>
      <c r="B93" s="951"/>
      <c r="C93" s="494"/>
      <c r="D93" s="960">
        <f>F93*Defaults!$D$8</f>
        <v>0</v>
      </c>
      <c r="E93" s="527" t="s">
        <v>215</v>
      </c>
      <c r="F93" s="2197"/>
      <c r="G93" s="527" t="s">
        <v>165</v>
      </c>
      <c r="H93" s="528"/>
      <c r="I93" s="1065"/>
      <c r="J93" s="987"/>
      <c r="K93" s="972"/>
      <c r="L93" s="496"/>
      <c r="M93" s="977">
        <f>O93*Defaults!$D$8</f>
        <v>0</v>
      </c>
      <c r="N93" s="478" t="s">
        <v>215</v>
      </c>
      <c r="O93" s="2197"/>
      <c r="P93" s="478" t="s">
        <v>165</v>
      </c>
      <c r="Q93" s="479"/>
      <c r="R93" s="826"/>
      <c r="S93" s="990"/>
      <c r="T93" s="860"/>
      <c r="U93" s="2351" t="str">
        <f>IF(U95=FALSE,"If UR and IC values differ significantly, check accuracy of input parameter values used in the IC formula."," ")</f>
        <v xml:space="preserve"> </v>
      </c>
    </row>
    <row r="94" spans="1:21" ht="3" customHeight="1">
      <c r="A94" s="206"/>
      <c r="B94" s="493"/>
      <c r="C94" s="494"/>
      <c r="D94" s="494"/>
      <c r="E94" s="494"/>
      <c r="F94" s="3789"/>
      <c r="G94" s="494"/>
      <c r="H94" s="603"/>
      <c r="I94" s="949"/>
      <c r="J94" s="495"/>
      <c r="K94" s="607"/>
      <c r="L94" s="496"/>
      <c r="M94" s="496"/>
      <c r="N94" s="496"/>
      <c r="O94" s="3792"/>
      <c r="P94" s="496"/>
      <c r="Q94" s="611"/>
      <c r="R94" s="967"/>
      <c r="S94" s="497"/>
      <c r="T94" s="860"/>
      <c r="U94" s="21"/>
    </row>
    <row r="95" spans="1:21">
      <c r="A95" s="208" t="s">
        <v>712</v>
      </c>
      <c r="B95" s="951"/>
      <c r="C95" s="494"/>
      <c r="D95" s="960">
        <f>F95*Defaults!$D$8</f>
        <v>7.6414636659994609E-2</v>
      </c>
      <c r="E95" s="527" t="s">
        <v>215</v>
      </c>
      <c r="F95" s="960">
        <f>((F3_DMI_Heifer_kg*F3_Dietary_P_Heifer*560.7) + 21.1)/1000</f>
        <v>3.4661090200000001E-2</v>
      </c>
      <c r="G95" s="527" t="s">
        <v>165</v>
      </c>
      <c r="H95" s="528"/>
      <c r="I95" s="1912">
        <v>1</v>
      </c>
      <c r="J95" s="987"/>
      <c r="K95" s="972"/>
      <c r="L95" s="496"/>
      <c r="M95" s="977">
        <f>O95*Defaults!$D$8</f>
        <v>5.8356993242334065E-2</v>
      </c>
      <c r="N95" s="478" t="s">
        <v>215</v>
      </c>
      <c r="O95" s="977">
        <f>((F4_DMI_Heifer_kg*F4_Dietary_P_Heifer*560.7) + 21.1)/1000</f>
        <v>2.6470282330509142E-2</v>
      </c>
      <c r="P95" s="478" t="s">
        <v>165</v>
      </c>
      <c r="Q95" s="479"/>
      <c r="R95" s="649">
        <v>1</v>
      </c>
      <c r="S95" s="990"/>
      <c r="T95" s="867" t="s">
        <v>80</v>
      </c>
      <c r="U95" s="3651" t="str">
        <f>IF(Options!AS73=2,IF(Options!AT73=2," ",FALSE))</f>
        <v xml:space="preserve"> </v>
      </c>
    </row>
    <row r="96" spans="1:21" ht="5.25" customHeight="1">
      <c r="A96" s="205"/>
      <c r="B96" s="502"/>
      <c r="C96" s="503"/>
      <c r="D96" s="503"/>
      <c r="E96" s="503"/>
      <c r="F96" s="3791"/>
      <c r="G96" s="503"/>
      <c r="H96" s="963"/>
      <c r="I96" s="966"/>
      <c r="J96" s="504"/>
      <c r="K96" s="917"/>
      <c r="L96" s="505"/>
      <c r="M96" s="505"/>
      <c r="N96" s="505"/>
      <c r="O96" s="3793"/>
      <c r="P96" s="505"/>
      <c r="Q96" s="968"/>
      <c r="R96" s="969"/>
      <c r="S96" s="506"/>
      <c r="T96" s="860"/>
    </row>
    <row r="97" spans="1:21" ht="18" customHeight="1">
      <c r="A97" s="221" t="s">
        <v>175</v>
      </c>
      <c r="B97" s="958"/>
      <c r="C97" s="511" t="s">
        <v>118</v>
      </c>
      <c r="D97" s="959"/>
      <c r="E97" s="959"/>
      <c r="F97" s="986"/>
      <c r="G97" s="954"/>
      <c r="H97" s="964"/>
      <c r="I97" s="949"/>
      <c r="J97" s="988"/>
      <c r="K97" s="980"/>
      <c r="L97" s="465" t="s">
        <v>118</v>
      </c>
      <c r="M97" s="981"/>
      <c r="N97" s="981"/>
      <c r="O97" s="994"/>
      <c r="P97" s="976"/>
      <c r="Q97" s="989"/>
      <c r="R97" s="967"/>
      <c r="S97" s="991"/>
      <c r="T97" s="859"/>
    </row>
    <row r="98" spans="1:21" ht="3" customHeight="1">
      <c r="A98" s="206"/>
      <c r="B98" s="493"/>
      <c r="C98" s="494"/>
      <c r="D98" s="494"/>
      <c r="E98" s="494"/>
      <c r="F98" s="3789"/>
      <c r="G98" s="494"/>
      <c r="H98" s="603"/>
      <c r="I98" s="949"/>
      <c r="J98" s="495"/>
      <c r="K98" s="607"/>
      <c r="L98" s="496"/>
      <c r="M98" s="496"/>
      <c r="N98" s="496"/>
      <c r="O98" s="3792"/>
      <c r="P98" s="496"/>
      <c r="Q98" s="611"/>
      <c r="R98" s="967"/>
      <c r="S98" s="497"/>
      <c r="T98" s="860"/>
    </row>
    <row r="99" spans="1:21">
      <c r="A99" s="208" t="s">
        <v>702</v>
      </c>
      <c r="B99" s="951"/>
      <c r="C99" s="494"/>
      <c r="D99" s="960">
        <f>F99*Defaults!$D$8</f>
        <v>0</v>
      </c>
      <c r="E99" s="527" t="s">
        <v>215</v>
      </c>
      <c r="F99" s="2197"/>
      <c r="G99" s="527" t="s">
        <v>165</v>
      </c>
      <c r="H99" s="528"/>
      <c r="I99" s="826"/>
      <c r="J99" s="987"/>
      <c r="K99" s="972"/>
      <c r="L99" s="496"/>
      <c r="M99" s="977">
        <f>O99*Defaults!$D$8</f>
        <v>0</v>
      </c>
      <c r="N99" s="478" t="s">
        <v>215</v>
      </c>
      <c r="O99" s="2197"/>
      <c r="P99" s="478" t="s">
        <v>165</v>
      </c>
      <c r="Q99" s="479"/>
      <c r="R99" s="826"/>
      <c r="S99" s="990"/>
      <c r="T99" s="860"/>
      <c r="U99" s="2351" t="str">
        <f>IF(U101=FALSE,"If UR and IC values differ significantly, check accuracy of input parameter values used in the IC formula."," ")</f>
        <v xml:space="preserve"> </v>
      </c>
    </row>
    <row r="100" spans="1:21" ht="3" customHeight="1">
      <c r="A100" s="206"/>
      <c r="B100" s="493"/>
      <c r="C100" s="494"/>
      <c r="D100" s="494"/>
      <c r="E100" s="494"/>
      <c r="F100" s="3789"/>
      <c r="G100" s="494"/>
      <c r="H100" s="603"/>
      <c r="I100" s="949"/>
      <c r="J100" s="495"/>
      <c r="K100" s="607"/>
      <c r="L100" s="496"/>
      <c r="M100" s="496"/>
      <c r="N100" s="496"/>
      <c r="O100" s="3792"/>
      <c r="P100" s="496"/>
      <c r="Q100" s="611"/>
      <c r="R100" s="967"/>
      <c r="S100" s="497"/>
      <c r="T100" s="860"/>
      <c r="U100" s="21"/>
    </row>
    <row r="101" spans="1:21">
      <c r="A101" s="208" t="s">
        <v>712</v>
      </c>
      <c r="B101" s="951"/>
      <c r="C101" s="494"/>
      <c r="D101" s="960">
        <f>F101*Defaults!$D$8</f>
        <v>0.28661906790860003</v>
      </c>
      <c r="E101" s="527" t="s">
        <v>215</v>
      </c>
      <c r="F101" s="955">
        <f>((F3_DMI_Heifer_kg*7.21)+(F3_Dietary_K_Heifer*15944)-164.5)/1000</f>
        <v>0.13000819999999999</v>
      </c>
      <c r="G101" s="527" t="s">
        <v>165</v>
      </c>
      <c r="H101" s="528"/>
      <c r="I101" s="1912">
        <v>1</v>
      </c>
      <c r="J101" s="987"/>
      <c r="K101" s="972"/>
      <c r="L101" s="496"/>
      <c r="M101" s="977">
        <f>O101*Defaults!$D$8</f>
        <v>4.5925046562620205E-2</v>
      </c>
      <c r="N101" s="478" t="s">
        <v>215</v>
      </c>
      <c r="O101" s="977">
        <f>((F4_DMI_Heifer_kg*7.21)+(F4_Dietary_K_Heifer*15944)-164.5)/1000</f>
        <v>2.083124713958813E-2</v>
      </c>
      <c r="P101" s="478" t="s">
        <v>165</v>
      </c>
      <c r="Q101" s="479"/>
      <c r="R101" s="649">
        <v>1</v>
      </c>
      <c r="S101" s="990"/>
      <c r="T101" s="860" t="s">
        <v>81</v>
      </c>
      <c r="U101" s="3651" t="str">
        <f>IF(Options!AS77=2,IF(Options!AT77=2," ",FALSE))</f>
        <v xml:space="preserve"> </v>
      </c>
    </row>
    <row r="102" spans="1:21" ht="5.25" customHeight="1">
      <c r="A102" s="205"/>
      <c r="B102" s="502"/>
      <c r="C102" s="503"/>
      <c r="D102" s="503"/>
      <c r="E102" s="503"/>
      <c r="F102" s="965"/>
      <c r="G102" s="503"/>
      <c r="H102" s="963"/>
      <c r="I102" s="966"/>
      <c r="J102" s="504"/>
      <c r="K102" s="917"/>
      <c r="L102" s="505"/>
      <c r="M102" s="505"/>
      <c r="N102" s="505"/>
      <c r="O102" s="992"/>
      <c r="P102" s="505"/>
      <c r="Q102" s="968"/>
      <c r="R102" s="969"/>
      <c r="S102" s="506"/>
      <c r="T102" s="860"/>
    </row>
    <row r="103" spans="1:21" s="3" customFormat="1" ht="20.25" customHeight="1">
      <c r="A103" s="4552" t="s">
        <v>898</v>
      </c>
      <c r="B103" s="4553"/>
      <c r="C103" s="4553"/>
      <c r="D103" s="4553"/>
      <c r="E103" s="4553"/>
      <c r="F103" s="4553"/>
      <c r="G103" s="4553"/>
      <c r="H103" s="4553"/>
      <c r="I103" s="4553"/>
      <c r="J103" s="4553"/>
      <c r="K103" s="4553"/>
      <c r="L103" s="4553"/>
      <c r="M103" s="4553"/>
      <c r="N103" s="4553"/>
      <c r="O103" s="4553"/>
      <c r="P103" s="4553"/>
      <c r="Q103" s="4553"/>
      <c r="R103" s="4553"/>
      <c r="S103" s="4554"/>
      <c r="T103" s="2731"/>
    </row>
    <row r="104" spans="1:21" ht="18" customHeight="1">
      <c r="A104" s="221" t="s">
        <v>1419</v>
      </c>
      <c r="B104" s="493"/>
      <c r="C104" s="511" t="s">
        <v>118</v>
      </c>
      <c r="D104" s="494"/>
      <c r="E104" s="494"/>
      <c r="F104" s="948"/>
      <c r="G104" s="494"/>
      <c r="H104" s="603"/>
      <c r="I104" s="949"/>
      <c r="J104" s="495"/>
      <c r="K104" s="607"/>
      <c r="L104" s="465" t="s">
        <v>118</v>
      </c>
      <c r="M104" s="496"/>
      <c r="N104" s="496"/>
      <c r="O104" s="983"/>
      <c r="P104" s="496"/>
      <c r="Q104" s="611"/>
      <c r="R104" s="967"/>
      <c r="S104" s="497"/>
      <c r="T104" s="860"/>
    </row>
    <row r="105" spans="1:21" ht="3" customHeight="1">
      <c r="A105" s="206"/>
      <c r="B105" s="493"/>
      <c r="C105" s="494"/>
      <c r="D105" s="494"/>
      <c r="E105" s="494"/>
      <c r="F105" s="950"/>
      <c r="G105" s="494"/>
      <c r="H105" s="603"/>
      <c r="I105" s="949"/>
      <c r="J105" s="495"/>
      <c r="K105" s="607"/>
      <c r="L105" s="496"/>
      <c r="M105" s="496"/>
      <c r="N105" s="496"/>
      <c r="O105" s="984"/>
      <c r="P105" s="496"/>
      <c r="Q105" s="611"/>
      <c r="R105" s="967"/>
      <c r="S105" s="497"/>
      <c r="T105" s="860"/>
    </row>
    <row r="106" spans="1:21">
      <c r="A106" s="208" t="s">
        <v>702</v>
      </c>
      <c r="B106" s="951"/>
      <c r="C106" s="494"/>
      <c r="D106" s="955">
        <f>F106*Defaults!$D$8</f>
        <v>0</v>
      </c>
      <c r="E106" s="527" t="s">
        <v>215</v>
      </c>
      <c r="F106" s="647"/>
      <c r="G106" s="527" t="s">
        <v>165</v>
      </c>
      <c r="H106" s="528"/>
      <c r="I106" s="826"/>
      <c r="J106" s="987"/>
      <c r="K106" s="972"/>
      <c r="L106" s="496"/>
      <c r="M106" s="998">
        <f>O106*Defaults!$D$8</f>
        <v>0</v>
      </c>
      <c r="N106" s="478" t="s">
        <v>215</v>
      </c>
      <c r="O106" s="647"/>
      <c r="P106" s="478" t="s">
        <v>165</v>
      </c>
      <c r="Q106" s="479"/>
      <c r="R106" s="826"/>
      <c r="S106" s="990"/>
      <c r="T106" s="860"/>
      <c r="U106" s="2351" t="str">
        <f>IF(U108=FALSE,"If UR and IC values differ significantly, check accuracy of input parameter values used in the IC formula."," ")</f>
        <v xml:space="preserve"> </v>
      </c>
    </row>
    <row r="107" spans="1:21" ht="3" customHeight="1">
      <c r="A107" s="206"/>
      <c r="B107" s="493"/>
      <c r="C107" s="494"/>
      <c r="D107" s="494"/>
      <c r="E107" s="494"/>
      <c r="F107" s="950"/>
      <c r="G107" s="494"/>
      <c r="H107" s="603"/>
      <c r="I107" s="949"/>
      <c r="J107" s="495"/>
      <c r="K107" s="607"/>
      <c r="L107" s="496"/>
      <c r="M107" s="496"/>
      <c r="N107" s="496"/>
      <c r="O107" s="984"/>
      <c r="P107" s="496"/>
      <c r="Q107" s="611"/>
      <c r="R107" s="967"/>
      <c r="S107" s="497"/>
      <c r="T107" s="1677"/>
      <c r="U107" s="21"/>
    </row>
    <row r="108" spans="1:21">
      <c r="A108" s="208" t="s">
        <v>712</v>
      </c>
      <c r="B108" s="951"/>
      <c r="C108" s="494"/>
      <c r="D108" s="538">
        <f>F108*Defaults!$D$8</f>
        <v>25.665599112261127</v>
      </c>
      <c r="E108" s="527" t="s">
        <v>215</v>
      </c>
      <c r="F108" s="955">
        <f>(F3_DMI_Heifer_Calf_kg*3.45)</f>
        <v>11.641717931937173</v>
      </c>
      <c r="G108" s="527" t="s">
        <v>165</v>
      </c>
      <c r="H108" s="528"/>
      <c r="I108" s="1912">
        <v>1</v>
      </c>
      <c r="J108" s="987"/>
      <c r="K108" s="972"/>
      <c r="L108" s="496"/>
      <c r="M108" s="973">
        <f>O108*Defaults!$D$8</f>
        <v>16.774901380562831</v>
      </c>
      <c r="N108" s="478" t="s">
        <v>215</v>
      </c>
      <c r="O108" s="998">
        <f>(F4_DMI_Heifer_Calf_kg*3.45)</f>
        <v>7.6089659685863875</v>
      </c>
      <c r="P108" s="478" t="s">
        <v>165</v>
      </c>
      <c r="Q108" s="479"/>
      <c r="R108" s="649">
        <v>1</v>
      </c>
      <c r="S108" s="990"/>
      <c r="T108" s="867" t="s">
        <v>211</v>
      </c>
      <c r="U108" s="3651" t="str">
        <f>IF(Options!AS83=2,IF(Options!AT83=2," ",FALSE))</f>
        <v xml:space="preserve"> </v>
      </c>
    </row>
    <row r="109" spans="1:21" ht="5.25" customHeight="1">
      <c r="A109" s="205"/>
      <c r="B109" s="502"/>
      <c r="C109" s="503"/>
      <c r="D109" s="503"/>
      <c r="E109" s="503"/>
      <c r="F109" s="965"/>
      <c r="G109" s="503"/>
      <c r="H109" s="963"/>
      <c r="I109" s="966"/>
      <c r="J109" s="504"/>
      <c r="K109" s="917"/>
      <c r="L109" s="505"/>
      <c r="M109" s="505"/>
      <c r="N109" s="505"/>
      <c r="O109" s="992"/>
      <c r="P109" s="505"/>
      <c r="Q109" s="968"/>
      <c r="R109" s="969"/>
      <c r="S109" s="506"/>
      <c r="T109" s="860"/>
    </row>
    <row r="110" spans="1:21" ht="18" customHeight="1">
      <c r="A110" s="221" t="s">
        <v>498</v>
      </c>
      <c r="B110" s="493"/>
      <c r="C110" s="511" t="s">
        <v>118</v>
      </c>
      <c r="D110" s="494"/>
      <c r="E110" s="494"/>
      <c r="F110" s="985"/>
      <c r="G110" s="527"/>
      <c r="H110" s="528"/>
      <c r="I110" s="949"/>
      <c r="J110" s="987"/>
      <c r="K110" s="607"/>
      <c r="L110" s="465" t="s">
        <v>118</v>
      </c>
      <c r="M110" s="496"/>
      <c r="N110" s="496"/>
      <c r="O110" s="993"/>
      <c r="P110" s="478"/>
      <c r="Q110" s="479"/>
      <c r="R110" s="967"/>
      <c r="S110" s="990"/>
      <c r="T110" s="859"/>
    </row>
    <row r="111" spans="1:21" ht="3" customHeight="1">
      <c r="A111" s="206"/>
      <c r="B111" s="493"/>
      <c r="C111" s="494"/>
      <c r="D111" s="494"/>
      <c r="E111" s="494"/>
      <c r="F111" s="950"/>
      <c r="G111" s="494"/>
      <c r="H111" s="603"/>
      <c r="I111" s="949"/>
      <c r="J111" s="495"/>
      <c r="K111" s="607"/>
      <c r="L111" s="496"/>
      <c r="M111" s="496"/>
      <c r="N111" s="496"/>
      <c r="O111" s="984"/>
      <c r="P111" s="496"/>
      <c r="Q111" s="611"/>
      <c r="R111" s="967"/>
      <c r="S111" s="497"/>
      <c r="T111" s="860"/>
    </row>
    <row r="112" spans="1:21">
      <c r="A112" s="208" t="s">
        <v>702</v>
      </c>
      <c r="B112" s="952"/>
      <c r="C112" s="494"/>
      <c r="D112" s="955">
        <f>F112*Defaults!$D$8</f>
        <v>0</v>
      </c>
      <c r="E112" s="527" t="s">
        <v>215</v>
      </c>
      <c r="F112" s="647"/>
      <c r="G112" s="527" t="s">
        <v>165</v>
      </c>
      <c r="H112" s="528"/>
      <c r="I112" s="826"/>
      <c r="J112" s="987"/>
      <c r="K112" s="974"/>
      <c r="L112" s="496"/>
      <c r="M112" s="998">
        <f>O112*Defaults!$D$8</f>
        <v>0</v>
      </c>
      <c r="N112" s="478" t="s">
        <v>215</v>
      </c>
      <c r="O112" s="647"/>
      <c r="P112" s="478" t="s">
        <v>165</v>
      </c>
      <c r="Q112" s="479"/>
      <c r="R112" s="826"/>
      <c r="S112" s="990"/>
      <c r="T112" s="860"/>
      <c r="U112" s="2351" t="str">
        <f>IF(U114=FALSE,"If UR and IC values differ significantly, check accuracy of input parameter values used in the IC formula."," ")</f>
        <v xml:space="preserve"> </v>
      </c>
    </row>
    <row r="113" spans="1:21" ht="3" customHeight="1">
      <c r="A113" s="206"/>
      <c r="B113" s="493"/>
      <c r="C113" s="494"/>
      <c r="D113" s="494"/>
      <c r="E113" s="494"/>
      <c r="F113" s="950"/>
      <c r="G113" s="494"/>
      <c r="H113" s="603"/>
      <c r="I113" s="949"/>
      <c r="J113" s="495"/>
      <c r="K113" s="607"/>
      <c r="L113" s="496"/>
      <c r="M113" s="496"/>
      <c r="N113" s="496"/>
      <c r="O113" s="984"/>
      <c r="P113" s="496"/>
      <c r="Q113" s="611"/>
      <c r="R113" s="967"/>
      <c r="S113" s="497"/>
      <c r="T113" s="860"/>
      <c r="U113" s="21"/>
    </row>
    <row r="114" spans="1:21">
      <c r="A114" s="208" t="s">
        <v>712</v>
      </c>
      <c r="B114" s="951"/>
      <c r="C114" s="494"/>
      <c r="D114" s="955">
        <f>F114*Defaults!$D$8</f>
        <v>2.9236465075706155</v>
      </c>
      <c r="E114" s="527" t="s">
        <v>215</v>
      </c>
      <c r="F114" s="955">
        <f>(F3_DMI_Heifer_Calf_kg*0.393)</f>
        <v>1.3261435209424084</v>
      </c>
      <c r="G114" s="527" t="s">
        <v>165</v>
      </c>
      <c r="H114" s="528"/>
      <c r="I114" s="1912">
        <v>1</v>
      </c>
      <c r="J114" s="987"/>
      <c r="K114" s="972"/>
      <c r="L114" s="496"/>
      <c r="M114" s="998">
        <f>O114*Defaults!$D$8</f>
        <v>1.9108800703075917</v>
      </c>
      <c r="N114" s="478" t="s">
        <v>215</v>
      </c>
      <c r="O114" s="998">
        <f>(F4_DMI_Heifer_Calf_kg*0.393)</f>
        <v>0.86676047120418842</v>
      </c>
      <c r="P114" s="478" t="s">
        <v>165</v>
      </c>
      <c r="Q114" s="479"/>
      <c r="R114" s="649">
        <v>1</v>
      </c>
      <c r="S114" s="990"/>
      <c r="T114" s="867" t="s">
        <v>212</v>
      </c>
      <c r="U114" s="3651" t="str">
        <f>IF(Options!AS88=2,IF(Options!AT88=2," ",FALSE))</f>
        <v xml:space="preserve"> </v>
      </c>
    </row>
    <row r="115" spans="1:21" ht="5.25" customHeight="1">
      <c r="A115" s="205"/>
      <c r="B115" s="502"/>
      <c r="C115" s="503"/>
      <c r="D115" s="503"/>
      <c r="E115" s="503"/>
      <c r="F115" s="965"/>
      <c r="G115" s="503"/>
      <c r="H115" s="963"/>
      <c r="I115" s="966"/>
      <c r="J115" s="504"/>
      <c r="K115" s="917"/>
      <c r="L115" s="505"/>
      <c r="M115" s="505"/>
      <c r="N115" s="505"/>
      <c r="O115" s="992"/>
      <c r="P115" s="505"/>
      <c r="Q115" s="968"/>
      <c r="R115" s="969"/>
      <c r="S115" s="506"/>
      <c r="T115" s="860"/>
    </row>
    <row r="116" spans="1:21" ht="18" customHeight="1">
      <c r="A116" s="221" t="s">
        <v>173</v>
      </c>
      <c r="B116" s="953"/>
      <c r="C116" s="511" t="s">
        <v>118</v>
      </c>
      <c r="D116" s="954"/>
      <c r="E116" s="954"/>
      <c r="F116" s="986"/>
      <c r="G116" s="954"/>
      <c r="H116" s="964"/>
      <c r="I116" s="949"/>
      <c r="J116" s="988"/>
      <c r="K116" s="975"/>
      <c r="L116" s="465" t="s">
        <v>118</v>
      </c>
      <c r="M116" s="976"/>
      <c r="N116" s="976"/>
      <c r="O116" s="994"/>
      <c r="P116" s="976"/>
      <c r="Q116" s="989"/>
      <c r="R116" s="967"/>
      <c r="S116" s="991"/>
      <c r="T116" s="859"/>
    </row>
    <row r="117" spans="1:21" ht="3" customHeight="1">
      <c r="A117" s="206"/>
      <c r="B117" s="493"/>
      <c r="C117" s="494"/>
      <c r="D117" s="494"/>
      <c r="E117" s="494"/>
      <c r="F117" s="950"/>
      <c r="G117" s="494"/>
      <c r="H117" s="603"/>
      <c r="I117" s="949"/>
      <c r="J117" s="495"/>
      <c r="K117" s="607"/>
      <c r="L117" s="496"/>
      <c r="M117" s="496"/>
      <c r="N117" s="496"/>
      <c r="O117" s="984"/>
      <c r="P117" s="496"/>
      <c r="Q117" s="611"/>
      <c r="R117" s="967"/>
      <c r="S117" s="497"/>
      <c r="T117" s="860"/>
    </row>
    <row r="118" spans="1:21">
      <c r="A118" s="208" t="s">
        <v>702</v>
      </c>
      <c r="B118" s="951"/>
      <c r="C118" s="494"/>
      <c r="D118" s="960">
        <f>F118*Defaults!$D$8</f>
        <v>0</v>
      </c>
      <c r="E118" s="527" t="s">
        <v>215</v>
      </c>
      <c r="F118" s="2197"/>
      <c r="G118" s="527" t="s">
        <v>165</v>
      </c>
      <c r="H118" s="528"/>
      <c r="I118" s="826"/>
      <c r="J118" s="987"/>
      <c r="K118" s="972"/>
      <c r="L118" s="496"/>
      <c r="M118" s="977">
        <f>O118*Defaults!$D$8</f>
        <v>0</v>
      </c>
      <c r="N118" s="478" t="s">
        <v>215</v>
      </c>
      <c r="O118" s="2197"/>
      <c r="P118" s="478" t="s">
        <v>165</v>
      </c>
      <c r="Q118" s="479"/>
      <c r="R118" s="826"/>
      <c r="S118" s="990"/>
      <c r="T118" s="860"/>
      <c r="U118" s="2351" t="str">
        <f>IF(U120=FALSE,"If UR and IC values differ significantly, check accuracy of input parameter values used in the IC formula."," ")</f>
        <v xml:space="preserve"> </v>
      </c>
    </row>
    <row r="119" spans="1:21" ht="3" customHeight="1">
      <c r="A119" s="206"/>
      <c r="B119" s="493"/>
      <c r="C119" s="494"/>
      <c r="D119" s="494"/>
      <c r="E119" s="494"/>
      <c r="F119" s="3789"/>
      <c r="G119" s="494"/>
      <c r="H119" s="603"/>
      <c r="I119" s="949"/>
      <c r="J119" s="495"/>
      <c r="K119" s="607"/>
      <c r="L119" s="496"/>
      <c r="M119" s="496"/>
      <c r="N119" s="496"/>
      <c r="O119" s="3792"/>
      <c r="P119" s="496"/>
      <c r="Q119" s="611"/>
      <c r="R119" s="967"/>
      <c r="S119" s="497"/>
      <c r="T119" s="860"/>
      <c r="U119" s="21"/>
    </row>
    <row r="120" spans="1:21">
      <c r="A120" s="208" t="s">
        <v>712</v>
      </c>
      <c r="B120" s="951"/>
      <c r="C120" s="494"/>
      <c r="D120" s="960">
        <f>F120*Defaults!$D$8</f>
        <v>0.13917267517982881</v>
      </c>
      <c r="E120" s="527" t="s">
        <v>215</v>
      </c>
      <c r="F120" s="960">
        <f>(F3_DMI_Heifer_Calf_kg*F3_Dietary_CP_Calf*112.55)/1000</f>
        <v>6.312765274599276E-2</v>
      </c>
      <c r="G120" s="527" t="s">
        <v>165</v>
      </c>
      <c r="H120" s="528"/>
      <c r="I120" s="1912">
        <v>1</v>
      </c>
      <c r="J120" s="987"/>
      <c r="K120" s="972"/>
      <c r="L120" s="496"/>
      <c r="M120" s="977">
        <f>O120*Defaults!$D$8</f>
        <v>5.9452635815211603E-2</v>
      </c>
      <c r="N120" s="478" t="s">
        <v>215</v>
      </c>
      <c r="O120" s="977">
        <f>(F4_DMI_Heifer_Calf_kg*F4_Dietary_CP_Calf*112.55)/1000</f>
        <v>2.6967257356569171E-2</v>
      </c>
      <c r="P120" s="478" t="s">
        <v>165</v>
      </c>
      <c r="Q120" s="479"/>
      <c r="R120" s="649">
        <v>1</v>
      </c>
      <c r="S120" s="990"/>
      <c r="T120" s="867" t="s">
        <v>217</v>
      </c>
      <c r="U120" s="3651" t="str">
        <f>IF(Options!AS93=2,IF(Options!AT93=2," ",FALSE))</f>
        <v xml:space="preserve"> </v>
      </c>
    </row>
    <row r="121" spans="1:21" ht="5.25" customHeight="1">
      <c r="A121" s="205"/>
      <c r="B121" s="502"/>
      <c r="C121" s="503"/>
      <c r="D121" s="503"/>
      <c r="E121" s="503"/>
      <c r="F121" s="3791"/>
      <c r="G121" s="503"/>
      <c r="H121" s="963"/>
      <c r="I121" s="966"/>
      <c r="J121" s="504"/>
      <c r="K121" s="917"/>
      <c r="L121" s="505"/>
      <c r="M121" s="505"/>
      <c r="N121" s="505"/>
      <c r="O121" s="3793"/>
      <c r="P121" s="505"/>
      <c r="Q121" s="968"/>
      <c r="R121" s="969"/>
      <c r="S121" s="506"/>
      <c r="T121" s="860"/>
    </row>
    <row r="122" spans="1:21" ht="18" customHeight="1">
      <c r="A122" s="221" t="s">
        <v>174</v>
      </c>
      <c r="B122" s="956"/>
      <c r="C122" s="511" t="s">
        <v>118</v>
      </c>
      <c r="D122" s="957"/>
      <c r="E122" s="957"/>
      <c r="F122" s="986"/>
      <c r="G122" s="954"/>
      <c r="H122" s="964"/>
      <c r="I122" s="949"/>
      <c r="J122" s="988"/>
      <c r="K122" s="978"/>
      <c r="L122" s="465" t="s">
        <v>118</v>
      </c>
      <c r="M122" s="979"/>
      <c r="N122" s="979"/>
      <c r="O122" s="994"/>
      <c r="P122" s="976"/>
      <c r="Q122" s="989"/>
      <c r="R122" s="967"/>
      <c r="S122" s="991"/>
      <c r="T122" s="859"/>
    </row>
    <row r="123" spans="1:21" ht="3" customHeight="1">
      <c r="A123" s="206"/>
      <c r="B123" s="493"/>
      <c r="C123" s="494"/>
      <c r="D123" s="494"/>
      <c r="E123" s="494"/>
      <c r="F123" s="3789"/>
      <c r="G123" s="494"/>
      <c r="H123" s="603"/>
      <c r="I123" s="949"/>
      <c r="J123" s="495"/>
      <c r="K123" s="607"/>
      <c r="L123" s="496"/>
      <c r="M123" s="496"/>
      <c r="N123" s="496"/>
      <c r="O123" s="3792"/>
      <c r="P123" s="496"/>
      <c r="Q123" s="611"/>
      <c r="R123" s="967"/>
      <c r="S123" s="497"/>
      <c r="T123" s="860"/>
    </row>
    <row r="124" spans="1:21">
      <c r="A124" s="208" t="s">
        <v>702</v>
      </c>
      <c r="B124" s="951"/>
      <c r="C124" s="494"/>
      <c r="D124" s="960">
        <f>F124*Defaults!$D$8</f>
        <v>0</v>
      </c>
      <c r="E124" s="527" t="s">
        <v>215</v>
      </c>
      <c r="F124" s="2197"/>
      <c r="G124" s="527" t="s">
        <v>165</v>
      </c>
      <c r="H124" s="528"/>
      <c r="I124" s="826"/>
      <c r="J124" s="987"/>
      <c r="K124" s="972"/>
      <c r="L124" s="496"/>
      <c r="M124" s="977">
        <f>O124*Defaults!$D$8</f>
        <v>0</v>
      </c>
      <c r="N124" s="478" t="s">
        <v>215</v>
      </c>
      <c r="O124" s="2197"/>
      <c r="P124" s="478" t="s">
        <v>165</v>
      </c>
      <c r="Q124" s="479"/>
      <c r="R124" s="826"/>
      <c r="S124" s="990"/>
      <c r="T124" s="860"/>
      <c r="U124" s="2351" t="str">
        <f>IF(U126=FALSE,"If UR and IC values differ significantly, check accuracy of input parameter values used in the IC formula."," ")</f>
        <v xml:space="preserve"> </v>
      </c>
    </row>
    <row r="125" spans="1:21" ht="3" customHeight="1">
      <c r="A125" s="206"/>
      <c r="B125" s="493"/>
      <c r="C125" s="494"/>
      <c r="D125" s="494"/>
      <c r="E125" s="494"/>
      <c r="F125" s="3789"/>
      <c r="G125" s="494"/>
      <c r="H125" s="603"/>
      <c r="I125" s="949"/>
      <c r="J125" s="495"/>
      <c r="K125" s="607"/>
      <c r="L125" s="496"/>
      <c r="M125" s="496"/>
      <c r="N125" s="496"/>
      <c r="O125" s="3792"/>
      <c r="P125" s="496"/>
      <c r="Q125" s="611"/>
      <c r="R125" s="967"/>
      <c r="S125" s="497"/>
      <c r="T125" s="860"/>
      <c r="U125" s="21"/>
    </row>
    <row r="126" spans="1:21">
      <c r="A126" s="208" t="s">
        <v>712</v>
      </c>
      <c r="B126" s="951"/>
      <c r="C126" s="494"/>
      <c r="D126" s="962">
        <f>F126*Defaults!$D$8</f>
        <v>1.7144050720472453E-2</v>
      </c>
      <c r="E126" s="527" t="s">
        <v>215</v>
      </c>
      <c r="F126" s="960">
        <f>(F3_DMI_Heifer_Calf_kg*F3_Dietary_P_Calf*622.03)/1000</f>
        <v>7.7764092638389661E-3</v>
      </c>
      <c r="G126" s="527" t="s">
        <v>165</v>
      </c>
      <c r="H126" s="528"/>
      <c r="I126" s="1912">
        <v>1</v>
      </c>
      <c r="J126" s="987"/>
      <c r="K126" s="972"/>
      <c r="L126" s="496"/>
      <c r="M126" s="1069">
        <f>O126*Defaults!$D$8</f>
        <v>7.3237005939905397E-3</v>
      </c>
      <c r="N126" s="478" t="s">
        <v>215</v>
      </c>
      <c r="O126" s="977">
        <f>(F4_DMI_Heifer_Calf_kg*F4_Dietary_P_Calf*622.03)/1000</f>
        <v>3.3219741397919459E-3</v>
      </c>
      <c r="P126" s="478" t="s">
        <v>165</v>
      </c>
      <c r="Q126" s="479"/>
      <c r="R126" s="649">
        <v>1</v>
      </c>
      <c r="S126" s="990"/>
      <c r="T126" s="867" t="s">
        <v>213</v>
      </c>
      <c r="U126" s="3651" t="str">
        <f>IF(Options!AS98=2,IF(Options!AT98=2," ",FALSE))</f>
        <v xml:space="preserve"> </v>
      </c>
    </row>
    <row r="127" spans="1:21" ht="5.25" customHeight="1">
      <c r="A127" s="205"/>
      <c r="B127" s="502"/>
      <c r="C127" s="503"/>
      <c r="D127" s="503"/>
      <c r="E127" s="503"/>
      <c r="F127" s="3791"/>
      <c r="G127" s="503"/>
      <c r="H127" s="963"/>
      <c r="I127" s="966"/>
      <c r="J127" s="504"/>
      <c r="K127" s="917"/>
      <c r="L127" s="505"/>
      <c r="M127" s="505"/>
      <c r="N127" s="505"/>
      <c r="O127" s="3793"/>
      <c r="P127" s="505"/>
      <c r="Q127" s="968"/>
      <c r="R127" s="969"/>
      <c r="S127" s="506"/>
      <c r="T127" s="860"/>
    </row>
    <row r="128" spans="1:21" ht="18" customHeight="1">
      <c r="A128" s="221" t="s">
        <v>175</v>
      </c>
      <c r="B128" s="958"/>
      <c r="C128" s="511" t="s">
        <v>118</v>
      </c>
      <c r="D128" s="959"/>
      <c r="E128" s="959"/>
      <c r="F128" s="997"/>
      <c r="G128" s="954"/>
      <c r="H128" s="964"/>
      <c r="I128" s="949"/>
      <c r="J128" s="988"/>
      <c r="K128" s="980"/>
      <c r="L128" s="465" t="s">
        <v>118</v>
      </c>
      <c r="M128" s="981"/>
      <c r="N128" s="981"/>
      <c r="O128" s="994"/>
      <c r="P128" s="976"/>
      <c r="Q128" s="989"/>
      <c r="R128" s="967"/>
      <c r="S128" s="991"/>
      <c r="T128" s="859"/>
    </row>
    <row r="129" spans="1:21" ht="3" customHeight="1">
      <c r="A129" s="206"/>
      <c r="B129" s="493"/>
      <c r="C129" s="494"/>
      <c r="D129" s="494"/>
      <c r="E129" s="494"/>
      <c r="F129" s="3789"/>
      <c r="G129" s="494"/>
      <c r="H129" s="603"/>
      <c r="I129" s="949"/>
      <c r="J129" s="495"/>
      <c r="K129" s="607"/>
      <c r="L129" s="496"/>
      <c r="M129" s="496"/>
      <c r="N129" s="496"/>
      <c r="O129" s="3792"/>
      <c r="P129" s="496"/>
      <c r="Q129" s="611"/>
      <c r="R129" s="967"/>
      <c r="S129" s="497"/>
      <c r="T129" s="860"/>
    </row>
    <row r="130" spans="1:21">
      <c r="A130" s="208" t="s">
        <v>702</v>
      </c>
      <c r="B130" s="951"/>
      <c r="C130" s="494"/>
      <c r="D130" s="960">
        <f>F130*Defaults!$D$8</f>
        <v>0</v>
      </c>
      <c r="E130" s="527" t="s">
        <v>215</v>
      </c>
      <c r="F130" s="2197"/>
      <c r="G130" s="527" t="s">
        <v>165</v>
      </c>
      <c r="H130" s="528"/>
      <c r="I130" s="826"/>
      <c r="J130" s="987"/>
      <c r="K130" s="972"/>
      <c r="L130" s="496"/>
      <c r="M130" s="977">
        <f>O130*Defaults!$D$8</f>
        <v>0</v>
      </c>
      <c r="N130" s="478" t="s">
        <v>215</v>
      </c>
      <c r="O130" s="2197"/>
      <c r="P130" s="478" t="s">
        <v>165</v>
      </c>
      <c r="Q130" s="479"/>
      <c r="R130" s="826"/>
      <c r="S130" s="990"/>
      <c r="T130" s="860"/>
      <c r="U130" s="2351" t="str">
        <f>IF(U132=FALSE,"If UR and IC values differ significantly, check accuracy of input parameter values used in the IC formula."," ")</f>
        <v xml:space="preserve"> </v>
      </c>
    </row>
    <row r="131" spans="1:21" ht="3" customHeight="1">
      <c r="A131" s="206"/>
      <c r="B131" s="493"/>
      <c r="C131" s="494"/>
      <c r="D131" s="494"/>
      <c r="E131" s="494"/>
      <c r="F131" s="3789"/>
      <c r="G131" s="494"/>
      <c r="H131" s="603"/>
      <c r="I131" s="949"/>
      <c r="J131" s="495"/>
      <c r="K131" s="607"/>
      <c r="L131" s="496"/>
      <c r="M131" s="496"/>
      <c r="N131" s="496"/>
      <c r="O131" s="3792"/>
      <c r="P131" s="496"/>
      <c r="Q131" s="611"/>
      <c r="R131" s="967"/>
      <c r="S131" s="497"/>
      <c r="T131" s="860"/>
      <c r="U131" s="21"/>
    </row>
    <row r="132" spans="1:21">
      <c r="A132" s="208" t="s">
        <v>712</v>
      </c>
      <c r="B132" s="951"/>
      <c r="C132" s="494"/>
      <c r="D132" s="960">
        <f>F132*Defaults!$D$8</f>
        <v>0.208365708179748</v>
      </c>
      <c r="E132" s="527" t="s">
        <v>215</v>
      </c>
      <c r="F132" s="960">
        <f>((F3_DMI_Heifer_Calf_kg*7.21)+(F3_Dietary_K_Calf*15944)-164.5)/1000</f>
        <v>9.4513079188481647E-2</v>
      </c>
      <c r="G132" s="527" t="s">
        <v>165</v>
      </c>
      <c r="H132" s="528"/>
      <c r="I132" s="1912">
        <v>1</v>
      </c>
      <c r="J132" s="987"/>
      <c r="K132" s="972"/>
      <c r="L132" s="496"/>
      <c r="M132" s="977">
        <f>O132*Defaults!$D$8</f>
        <v>1.0559249624018305E-2</v>
      </c>
      <c r="N132" s="478" t="s">
        <v>215</v>
      </c>
      <c r="O132" s="977">
        <f>((F4_DMI_Heifer_Calf_kg*7.21)+(F4_Dietary_K_Calf*15944)-164.5)/1000</f>
        <v>4.7895942408376869E-3</v>
      </c>
      <c r="P132" s="478" t="s">
        <v>165</v>
      </c>
      <c r="Q132" s="479"/>
      <c r="R132" s="649">
        <v>1</v>
      </c>
      <c r="S132" s="990"/>
      <c r="T132" s="867" t="s">
        <v>81</v>
      </c>
      <c r="U132" s="3651" t="str">
        <f>IF(Options!AS103=2,IF(Options!AT103=2," ",FALSE))</f>
        <v xml:space="preserve"> </v>
      </c>
    </row>
    <row r="133" spans="1:21" ht="5.25" customHeight="1">
      <c r="A133" s="205"/>
      <c r="B133" s="502"/>
      <c r="C133" s="503"/>
      <c r="D133" s="503"/>
      <c r="E133" s="503"/>
      <c r="F133" s="965"/>
      <c r="G133" s="503"/>
      <c r="H133" s="963"/>
      <c r="I133" s="966"/>
      <c r="J133" s="504"/>
      <c r="K133" s="917"/>
      <c r="L133" s="505"/>
      <c r="M133" s="505"/>
      <c r="N133" s="505"/>
      <c r="O133" s="992"/>
      <c r="P133" s="505"/>
      <c r="Q133" s="968"/>
      <c r="R133" s="969"/>
      <c r="S133" s="506"/>
      <c r="T133" s="1678"/>
    </row>
    <row r="134" spans="1:21" ht="27" customHeight="1">
      <c r="A134" s="4031" t="s">
        <v>897</v>
      </c>
      <c r="B134" s="4032"/>
      <c r="C134" s="4032"/>
      <c r="D134" s="4032"/>
      <c r="E134" s="4032"/>
      <c r="F134" s="4032"/>
      <c r="G134" s="4032"/>
      <c r="H134" s="4032"/>
      <c r="I134" s="4032"/>
      <c r="J134" s="4032"/>
      <c r="K134" s="4032"/>
      <c r="L134" s="4032"/>
      <c r="M134" s="4032"/>
      <c r="N134" s="4032"/>
      <c r="O134" s="4032"/>
      <c r="P134" s="4032"/>
      <c r="Q134" s="4032"/>
      <c r="R134" s="4032"/>
      <c r="S134" s="4033"/>
      <c r="T134" s="2064"/>
    </row>
    <row r="135" spans="1:21" ht="5.25" customHeight="1">
      <c r="A135" s="3843"/>
      <c r="B135" s="597"/>
      <c r="C135" s="604"/>
      <c r="D135" s="604"/>
      <c r="E135" s="604"/>
      <c r="F135" s="3846"/>
      <c r="G135" s="3846"/>
      <c r="H135" s="598"/>
      <c r="I135" s="604"/>
      <c r="J135" s="604"/>
      <c r="K135" s="612"/>
      <c r="L135" s="595"/>
      <c r="M135" s="595"/>
      <c r="N135" s="595"/>
      <c r="O135" s="3847"/>
      <c r="P135" s="3847"/>
      <c r="Q135" s="3875"/>
      <c r="R135" s="595"/>
      <c r="S135" s="614"/>
      <c r="T135" s="3872"/>
    </row>
    <row r="136" spans="1:21" ht="12" customHeight="1">
      <c r="A136" s="4010" t="s">
        <v>1089</v>
      </c>
      <c r="B136" s="493"/>
      <c r="C136" s="3863" t="s">
        <v>48</v>
      </c>
      <c r="D136" s="388"/>
      <c r="E136" s="494"/>
      <c r="F136" s="3864">
        <v>1</v>
      </c>
      <c r="G136" s="3864"/>
      <c r="H136" s="603"/>
      <c r="I136" s="494"/>
      <c r="J136" s="495"/>
      <c r="K136" s="496"/>
      <c r="L136" s="3855" t="s">
        <v>48</v>
      </c>
      <c r="M136" s="397"/>
      <c r="N136" s="496"/>
      <c r="O136" s="3856">
        <v>1</v>
      </c>
      <c r="P136" s="3856"/>
      <c r="Q136" s="3876"/>
      <c r="R136" s="496"/>
      <c r="S136" s="497"/>
      <c r="T136" s="3873"/>
    </row>
    <row r="137" spans="1:21" s="40" customFormat="1" ht="12.75" customHeight="1">
      <c r="A137" s="4010"/>
      <c r="B137" s="3021"/>
      <c r="C137" s="3865" t="s">
        <v>51</v>
      </c>
      <c r="D137" s="3111"/>
      <c r="E137" s="3866"/>
      <c r="F137" s="3864">
        <f>F3_Dry_Cow_Units</f>
        <v>0.17159515651767643</v>
      </c>
      <c r="G137" s="3864"/>
      <c r="H137" s="3874"/>
      <c r="I137" s="3025"/>
      <c r="J137" s="3026"/>
      <c r="K137" s="3027"/>
      <c r="L137" s="3857" t="s">
        <v>51</v>
      </c>
      <c r="M137" s="3113"/>
      <c r="N137" s="3858"/>
      <c r="O137" s="3856">
        <f>F4_Dry_Cow_Units</f>
        <v>0.18494816331754776</v>
      </c>
      <c r="P137" s="3856"/>
      <c r="Q137" s="3876"/>
      <c r="R137" s="3030"/>
      <c r="S137" s="3031"/>
      <c r="T137" s="3873"/>
    </row>
    <row r="138" spans="1:21" s="40" customFormat="1">
      <c r="A138" s="4010"/>
      <c r="B138" s="3021"/>
      <c r="C138" s="3865" t="s">
        <v>1535</v>
      </c>
      <c r="D138" s="3111"/>
      <c r="E138" s="3866"/>
      <c r="F138" s="3864">
        <f>F3_Heifer_Units</f>
        <v>0.41681153564123852</v>
      </c>
      <c r="G138" s="3864"/>
      <c r="H138" s="3874"/>
      <c r="I138" s="3025"/>
      <c r="J138" s="3026"/>
      <c r="K138" s="3027"/>
      <c r="L138" s="3857" t="s">
        <v>1535</v>
      </c>
      <c r="M138" s="3113"/>
      <c r="N138" s="3858"/>
      <c r="O138" s="3856">
        <f>F4_Heifer_Units</f>
        <v>0.34160339708622189</v>
      </c>
      <c r="P138" s="3856"/>
      <c r="Q138" s="3876"/>
      <c r="R138" s="3030"/>
      <c r="S138" s="3031"/>
      <c r="T138" s="3873"/>
    </row>
    <row r="139" spans="1:21" s="40" customFormat="1">
      <c r="A139" s="4010"/>
      <c r="B139" s="3021"/>
      <c r="C139" s="3865" t="s">
        <v>710</v>
      </c>
      <c r="D139" s="3111"/>
      <c r="E139" s="3866"/>
      <c r="F139" s="3864">
        <f>F3_Heifer_Calf_Units</f>
        <v>0.42187402392837908</v>
      </c>
      <c r="G139" s="3864"/>
      <c r="H139" s="3874"/>
      <c r="I139" s="3025"/>
      <c r="J139" s="3026"/>
      <c r="K139" s="3027"/>
      <c r="L139" s="3857" t="s">
        <v>710</v>
      </c>
      <c r="M139" s="3113"/>
      <c r="N139" s="3858"/>
      <c r="O139" s="3856">
        <f>F4_Heifer_Calf_Units</f>
        <v>0.34505393645072924</v>
      </c>
      <c r="P139" s="3856"/>
      <c r="Q139" s="3876"/>
      <c r="R139" s="3030"/>
      <c r="S139" s="3031"/>
      <c r="T139" s="3873"/>
    </row>
    <row r="140" spans="1:21" ht="5.25" customHeight="1">
      <c r="A140" s="286"/>
      <c r="B140" s="502"/>
      <c r="C140" s="503"/>
      <c r="D140" s="503"/>
      <c r="E140" s="503"/>
      <c r="F140" s="1602"/>
      <c r="G140" s="1602"/>
      <c r="H140" s="963"/>
      <c r="I140" s="503"/>
      <c r="J140" s="503"/>
      <c r="K140" s="917"/>
      <c r="L140" s="505"/>
      <c r="M140" s="505"/>
      <c r="N140" s="505"/>
      <c r="O140" s="1604"/>
      <c r="P140" s="1604"/>
      <c r="Q140" s="3877"/>
      <c r="R140" s="505"/>
      <c r="S140" s="506"/>
      <c r="T140" s="3873"/>
    </row>
    <row r="141" spans="1:21" ht="6" customHeight="1">
      <c r="A141" s="2431"/>
      <c r="B141" s="597"/>
      <c r="C141" s="604"/>
      <c r="D141" s="604"/>
      <c r="E141" s="604"/>
      <c r="F141" s="3073"/>
      <c r="G141" s="604"/>
      <c r="H141" s="598"/>
      <c r="I141" s="2974"/>
      <c r="J141" s="634"/>
      <c r="K141" s="612"/>
      <c r="L141" s="595"/>
      <c r="M141" s="595"/>
      <c r="N141" s="595"/>
      <c r="O141" s="3081"/>
      <c r="P141" s="595"/>
      <c r="Q141" s="613"/>
      <c r="R141" s="3082"/>
      <c r="S141" s="614"/>
      <c r="T141" s="2061"/>
    </row>
    <row r="142" spans="1:21" s="20" customFormat="1">
      <c r="A142" s="221" t="s">
        <v>1419</v>
      </c>
      <c r="B142" s="2053"/>
      <c r="C142" s="1050"/>
      <c r="D142" s="3782">
        <f>F3_Total_ME_kg_day*Defaults!$D$8</f>
        <v>191.8254489206069</v>
      </c>
      <c r="E142" s="1050" t="s">
        <v>215</v>
      </c>
      <c r="F142" s="3778">
        <f>F3_TME_Lact_Cow_Day_kg+(F3_TME_Dry_Cow_Day_kg*F3_Dry_Cow_Units)+(F3_TME_Heifer_Day_kg*F3_Heifer_Units)+(F3_TME_Calf_Day_kg*F3_Heifer_Calf_Units)</f>
        <v>87.010545077596888</v>
      </c>
      <c r="G142" s="1052" t="s">
        <v>165</v>
      </c>
      <c r="H142" s="2843"/>
      <c r="I142" s="2991"/>
      <c r="J142" s="1053"/>
      <c r="K142" s="2054"/>
      <c r="L142" s="1054"/>
      <c r="M142" s="3783">
        <f>F4_Total_ME_kg_day*Defaults!$D$8</f>
        <v>151.7636459798037</v>
      </c>
      <c r="N142" s="1054"/>
      <c r="O142" s="3779">
        <f>F4_TME_Lact_Cow_Day_kg+(F4_TME_Dry_Cow_Day_kg*F4_Dry_Cow_Units)+(F4_TME_Heifer_Day_kg*F4_Heifer_Units)+(F4_TME_Calf_Day_kg*F4_Heifer_Calf_Units)</f>
        <v>68.838820052137564</v>
      </c>
      <c r="P142" s="1056" t="s">
        <v>165</v>
      </c>
      <c r="Q142" s="2854"/>
      <c r="R142" s="3818"/>
      <c r="S142" s="2055"/>
      <c r="T142" s="3057"/>
    </row>
    <row r="143" spans="1:21" s="20" customFormat="1" ht="3" customHeight="1">
      <c r="A143" s="221"/>
      <c r="B143" s="2053"/>
      <c r="C143" s="1050"/>
      <c r="D143" s="3782"/>
      <c r="E143" s="1050" t="s">
        <v>215</v>
      </c>
      <c r="F143" s="1050"/>
      <c r="G143" s="1050"/>
      <c r="H143" s="2843"/>
      <c r="I143" s="2991"/>
      <c r="J143" s="1053"/>
      <c r="K143" s="2054"/>
      <c r="L143" s="1054"/>
      <c r="M143" s="1426"/>
      <c r="N143" s="1054"/>
      <c r="O143" s="1054"/>
      <c r="P143" s="1054"/>
      <c r="Q143" s="2854"/>
      <c r="R143" s="3818"/>
      <c r="S143" s="2055"/>
      <c r="T143" s="3057"/>
    </row>
    <row r="144" spans="1:21" s="20" customFormat="1">
      <c r="A144" s="221" t="s">
        <v>498</v>
      </c>
      <c r="B144" s="2053"/>
      <c r="C144" s="1050"/>
      <c r="D144" s="3782">
        <f>F3_Total_DME_kg_day*Defaults!$D$8</f>
        <v>25.002595880547137</v>
      </c>
      <c r="E144" s="1050" t="s">
        <v>215</v>
      </c>
      <c r="F144" s="3778">
        <f>F3_DME_Lact_Cow_Day_kg+(F3_DME_Dry_Cow_Day_kg*F3_Dry_Cow_Units)+(F3_DME_Heifer_Day_kg*F3_Heifer_Units)+(F3_DME_Calf_Day_kg*F3_Heifer_Calf_Units)</f>
        <v>11.340984776330073</v>
      </c>
      <c r="G144" s="1052" t="s">
        <v>165</v>
      </c>
      <c r="H144" s="3074"/>
      <c r="I144" s="2991"/>
      <c r="J144" s="3075"/>
      <c r="K144" s="2054"/>
      <c r="L144" s="1054"/>
      <c r="M144" s="3783">
        <f>F4_Total_DME_kg_day*Defaults!$D$8</f>
        <v>19.660377999107272</v>
      </c>
      <c r="N144" s="1054"/>
      <c r="O144" s="3779">
        <f>F4_DME_Lact_Cow_Day_kg+(F4_DME_Dry_Cow_Day_kg*F4_Dry_Cow_Units)+(F4_DME_Heifer_Day_kg*F4_Heifer_Units)+(F4_DME_Calf_Day_kg*F4_Heifer_Calf_Units)</f>
        <v>8.9177959220725125</v>
      </c>
      <c r="P144" s="1056" t="s">
        <v>165</v>
      </c>
      <c r="Q144" s="3083"/>
      <c r="R144" s="3818"/>
      <c r="S144" s="3084"/>
      <c r="T144" s="3062"/>
    </row>
    <row r="145" spans="1:20" s="20" customFormat="1" ht="3" customHeight="1">
      <c r="A145" s="221"/>
      <c r="B145" s="2053"/>
      <c r="C145" s="1050"/>
      <c r="D145" s="3782"/>
      <c r="E145" s="1050" t="s">
        <v>215</v>
      </c>
      <c r="F145" s="1050"/>
      <c r="G145" s="1050"/>
      <c r="H145" s="2843"/>
      <c r="I145" s="2991"/>
      <c r="J145" s="1053"/>
      <c r="K145" s="2054"/>
      <c r="L145" s="1054"/>
      <c r="M145" s="1426"/>
      <c r="N145" s="1054"/>
      <c r="O145" s="1054"/>
      <c r="P145" s="1054"/>
      <c r="Q145" s="2854"/>
      <c r="R145" s="2992"/>
      <c r="S145" s="2055"/>
      <c r="T145" s="3057"/>
    </row>
    <row r="146" spans="1:20" s="20" customFormat="1">
      <c r="A146" s="221" t="s">
        <v>173</v>
      </c>
      <c r="B146" s="3076"/>
      <c r="C146" s="1050"/>
      <c r="D146" s="3781">
        <f>F3_Total_NE_kg_day*Defaults!$D$8</f>
        <v>1.2208020082746902</v>
      </c>
      <c r="E146" s="1050" t="s">
        <v>215</v>
      </c>
      <c r="F146" s="3045">
        <f>F3_NE_Lact_Cow_Day_kg+(F3_NE_Dry_Cow_Day_kg*F3_Dry_Cow_Units)+(F3_NE_Heifer_Day_kg*F3_Heifer_Units)+(F3_NE_Calf_Day_kg*F3_Heifer_Calf_Units)</f>
        <v>0.55374638125189213</v>
      </c>
      <c r="G146" s="1052" t="s">
        <v>165</v>
      </c>
      <c r="H146" s="3077"/>
      <c r="I146" s="2991"/>
      <c r="J146" s="3078"/>
      <c r="K146" s="3085"/>
      <c r="L146" s="1054"/>
      <c r="M146" s="3784">
        <f>F4_Total_NE_kg_day*Defaults!$D$8</f>
        <v>0.78734046537082136</v>
      </c>
      <c r="N146" s="3086"/>
      <c r="O146" s="3780">
        <f>F4_NE_Lact_Cow_Day_kg+(F4_NE_Dry_Cow_Day_kg*F4_Dry_Cow_Units)+(F4_NE_Heifer_Day_kg*F4_Heifer_Units)+(F4_NE_Calf_Day_kg*F4_Heifer_Calf_Units)</f>
        <v>0.35713156642692256</v>
      </c>
      <c r="P146" s="1056" t="s">
        <v>165</v>
      </c>
      <c r="Q146" s="3087"/>
      <c r="R146" s="2992"/>
      <c r="S146" s="3088"/>
      <c r="T146" s="3062"/>
    </row>
    <row r="147" spans="1:20" s="20" customFormat="1" ht="3" customHeight="1">
      <c r="A147" s="221"/>
      <c r="B147" s="2053"/>
      <c r="C147" s="1050"/>
      <c r="D147" s="3781"/>
      <c r="E147" s="1050" t="s">
        <v>215</v>
      </c>
      <c r="F147" s="3492"/>
      <c r="G147" s="1050"/>
      <c r="H147" s="2843"/>
      <c r="I147" s="2991"/>
      <c r="J147" s="1053"/>
      <c r="K147" s="2054"/>
      <c r="L147" s="1054"/>
      <c r="M147" s="3784"/>
      <c r="N147" s="1054"/>
      <c r="O147" s="1054"/>
      <c r="P147" s="1054"/>
      <c r="Q147" s="2854"/>
      <c r="R147" s="2992"/>
      <c r="S147" s="2055"/>
      <c r="T147" s="3057"/>
    </row>
    <row r="148" spans="1:20" s="20" customFormat="1">
      <c r="A148" s="221" t="s">
        <v>174</v>
      </c>
      <c r="B148" s="3079"/>
      <c r="C148" s="1050"/>
      <c r="D148" s="3781">
        <f>F3_Total_PE_kg_day*Defaults!$D$8</f>
        <v>0.21866414098351955</v>
      </c>
      <c r="E148" s="1050" t="s">
        <v>215</v>
      </c>
      <c r="F148" s="3045">
        <f>F3_PE_Lact_Cow_Day_kg+(F3_PE_Dry_Cow_Day_kg*F3_Dry_Cow_Units)+(F3_PE_Heifer_Day_kg*F3_Heifer_Units)+(F3_PE_Calf_Day_kg*F3_Heifer_Calf_Units)</f>
        <v>9.9184368929980102E-2</v>
      </c>
      <c r="G148" s="1052" t="s">
        <v>165</v>
      </c>
      <c r="H148" s="3077"/>
      <c r="I148" s="2991"/>
      <c r="J148" s="3078"/>
      <c r="K148" s="3089"/>
      <c r="L148" s="1054"/>
      <c r="M148" s="3784">
        <f>F4_Total_PE_kg_day*Defaults!$D$8</f>
        <v>0.16080892770275301</v>
      </c>
      <c r="N148" s="3090"/>
      <c r="O148" s="3780">
        <f>F4_PE_Lact_Cow_Day_kg+(F4_PE_Dry_Cow_Day_kg*F4_Dry_Cow_Units)+(F4_PE_Heifer_Day_kg*F4_Heifer_Units)+(F4_PE_Calf_Day_kg*F4_Heifer_Calf_Units)</f>
        <v>7.2941690122416844E-2</v>
      </c>
      <c r="P148" s="1056" t="s">
        <v>165</v>
      </c>
      <c r="Q148" s="3087"/>
      <c r="R148" s="2992"/>
      <c r="S148" s="3088"/>
      <c r="T148" s="3062"/>
    </row>
    <row r="149" spans="1:20" s="20" customFormat="1" ht="3" customHeight="1">
      <c r="A149" s="221"/>
      <c r="B149" s="2053"/>
      <c r="C149" s="1050"/>
      <c r="D149" s="3781"/>
      <c r="E149" s="1050" t="s">
        <v>215</v>
      </c>
      <c r="F149" s="3492"/>
      <c r="G149" s="1050"/>
      <c r="H149" s="2843"/>
      <c r="I149" s="2991"/>
      <c r="J149" s="1053"/>
      <c r="K149" s="2054"/>
      <c r="L149" s="1054"/>
      <c r="M149" s="3784"/>
      <c r="N149" s="1054"/>
      <c r="O149" s="1054"/>
      <c r="P149" s="1054"/>
      <c r="Q149" s="2854"/>
      <c r="R149" s="2992"/>
      <c r="S149" s="2055"/>
      <c r="T149" s="3057"/>
    </row>
    <row r="150" spans="1:20" s="20" customFormat="1">
      <c r="A150" s="221" t="s">
        <v>175</v>
      </c>
      <c r="B150" s="3080"/>
      <c r="C150" s="1050"/>
      <c r="D150" s="3781">
        <f>F3_Total_KE_kg_day*Defaults!$D$8</f>
        <v>0.67800726735454409</v>
      </c>
      <c r="E150" s="1050" t="s">
        <v>215</v>
      </c>
      <c r="F150" s="3045">
        <f>F3_KE_Lact_Cow_Day_kg+(F3_KE_Dry_Cow_Day_kg*F3_Dry_Cow_Units)+(F3_KE_Heifer_Day_kg*F3_Heifer_Units)+(F3_KE_Calf_Day_kg*F3_Heifer_Calf_Units)</f>
        <v>0.30753887052550211</v>
      </c>
      <c r="G150" s="1052" t="s">
        <v>165</v>
      </c>
      <c r="H150" s="3077"/>
      <c r="I150" s="2991"/>
      <c r="J150" s="3078"/>
      <c r="K150" s="3091"/>
      <c r="L150" s="1054"/>
      <c r="M150" s="3784">
        <f>F4_Total_KE_kg_day*Defaults!$D$8</f>
        <v>0.31705943433316863</v>
      </c>
      <c r="N150" s="3092"/>
      <c r="O150" s="3780">
        <f>F4_KE_Lact_Cow_Day_kg+(F4_KE_Dry_Cow_Day_kg*F4_Dry_Cow_Units)+(F4_KE_Heifer_Day_kg*F4_Heifer_Units)+(F4_KE_Calf_Day_kg*F4_Heifer_Calf_Units)</f>
        <v>0.14381571558183354</v>
      </c>
      <c r="P150" s="1056" t="s">
        <v>165</v>
      </c>
      <c r="Q150" s="3087"/>
      <c r="R150" s="2992"/>
      <c r="S150" s="3088"/>
      <c r="T150" s="3062"/>
    </row>
    <row r="151" spans="1:20" ht="6" customHeight="1">
      <c r="A151" s="206"/>
      <c r="B151" s="493"/>
      <c r="C151" s="494"/>
      <c r="D151" s="494"/>
      <c r="E151" s="494"/>
      <c r="F151" s="950"/>
      <c r="G151" s="494"/>
      <c r="H151" s="603"/>
      <c r="I151" s="2990"/>
      <c r="J151" s="495"/>
      <c r="K151" s="607"/>
      <c r="L151" s="496"/>
      <c r="M151" s="496"/>
      <c r="N151" s="496"/>
      <c r="O151" s="984"/>
      <c r="P151" s="496"/>
      <c r="Q151" s="611"/>
      <c r="R151" s="2989"/>
      <c r="S151" s="497"/>
      <c r="T151" s="1678"/>
    </row>
    <row r="152" spans="1:20" ht="21" customHeight="1">
      <c r="A152" s="4993" t="s">
        <v>20</v>
      </c>
      <c r="B152" s="4994"/>
      <c r="C152" s="4994"/>
      <c r="D152" s="4994"/>
      <c r="E152" s="4994"/>
      <c r="F152" s="4994"/>
      <c r="G152" s="4994"/>
      <c r="H152" s="4994"/>
      <c r="I152" s="4994"/>
      <c r="J152" s="4994"/>
      <c r="K152" s="4994"/>
      <c r="L152" s="4994"/>
      <c r="M152" s="4994"/>
      <c r="N152" s="4994"/>
      <c r="O152" s="4994"/>
      <c r="P152" s="4994"/>
      <c r="Q152" s="4994"/>
      <c r="R152" s="4994"/>
      <c r="S152" s="4995"/>
      <c r="T152" s="40"/>
    </row>
    <row r="153" spans="1:20">
      <c r="A153" s="4611" t="s">
        <v>1249</v>
      </c>
      <c r="B153" s="4612"/>
      <c r="C153" s="4612"/>
      <c r="D153" s="4612"/>
      <c r="E153" s="4612"/>
      <c r="F153" s="4612"/>
      <c r="G153" s="4612"/>
      <c r="H153" s="4612"/>
      <c r="I153" s="4612"/>
      <c r="J153" s="4612"/>
      <c r="K153" s="4612"/>
      <c r="L153" s="4612"/>
      <c r="M153" s="4612"/>
      <c r="N153" s="4612"/>
      <c r="O153" s="4612"/>
      <c r="P153" s="4612"/>
      <c r="Q153" s="4612"/>
      <c r="R153" s="4612"/>
      <c r="S153" s="4613"/>
      <c r="T153" s="40"/>
    </row>
    <row r="154" spans="1:20">
      <c r="A154" s="4432" t="s">
        <v>1241</v>
      </c>
      <c r="B154" s="4433"/>
      <c r="C154" s="4433"/>
      <c r="D154" s="4433"/>
      <c r="E154" s="4433"/>
      <c r="F154" s="4433"/>
      <c r="G154" s="4433"/>
      <c r="H154" s="4433"/>
      <c r="I154" s="4433"/>
      <c r="J154" s="4433"/>
      <c r="K154" s="4433"/>
      <c r="L154" s="4433"/>
      <c r="M154" s="4433"/>
      <c r="N154" s="4433"/>
      <c r="O154" s="4433"/>
      <c r="P154" s="4433"/>
      <c r="Q154" s="4433"/>
      <c r="R154" s="4433"/>
      <c r="S154" s="4434"/>
    </row>
    <row r="155" spans="1:20">
      <c r="A155" s="4643" t="s">
        <v>100</v>
      </c>
      <c r="B155" s="4644"/>
      <c r="C155" s="4644"/>
      <c r="D155" s="4644"/>
      <c r="E155" s="4644"/>
      <c r="F155" s="4644"/>
      <c r="G155" s="4644"/>
      <c r="H155" s="4644"/>
      <c r="I155" s="4644"/>
      <c r="J155" s="4644"/>
      <c r="K155" s="4644"/>
      <c r="L155" s="4644"/>
      <c r="M155" s="4644"/>
      <c r="N155" s="4644"/>
      <c r="O155" s="4644"/>
      <c r="P155" s="4644"/>
      <c r="Q155" s="4644"/>
      <c r="R155" s="4644"/>
      <c r="S155" s="4645"/>
    </row>
    <row r="156" spans="1:20">
      <c r="A156" s="4643" t="s">
        <v>99</v>
      </c>
      <c r="B156" s="4644"/>
      <c r="C156" s="4644"/>
      <c r="D156" s="4644"/>
      <c r="E156" s="4644"/>
      <c r="F156" s="4644"/>
      <c r="G156" s="4644"/>
      <c r="H156" s="4644"/>
      <c r="I156" s="4644"/>
      <c r="J156" s="4644"/>
      <c r="K156" s="4644"/>
      <c r="L156" s="4644"/>
      <c r="M156" s="4644"/>
      <c r="N156" s="4644"/>
      <c r="O156" s="4644"/>
      <c r="P156" s="4644"/>
      <c r="Q156" s="4644"/>
      <c r="R156" s="4644"/>
      <c r="S156" s="4645"/>
    </row>
    <row r="157" spans="1:20">
      <c r="A157" s="4643" t="s">
        <v>98</v>
      </c>
      <c r="B157" s="4644"/>
      <c r="C157" s="4644"/>
      <c r="D157" s="4644"/>
      <c r="E157" s="4644"/>
      <c r="F157" s="4644"/>
      <c r="G157" s="4644"/>
      <c r="H157" s="4644"/>
      <c r="I157" s="4644"/>
      <c r="J157" s="4644"/>
      <c r="K157" s="4644"/>
      <c r="L157" s="4644"/>
      <c r="M157" s="4644"/>
      <c r="N157" s="4644"/>
      <c r="O157" s="4644"/>
      <c r="P157" s="4644"/>
      <c r="Q157" s="4644"/>
      <c r="R157" s="4644"/>
      <c r="S157" s="4645"/>
    </row>
    <row r="158" spans="1:20" ht="13.5" thickBot="1">
      <c r="A158" s="4095" t="s">
        <v>119</v>
      </c>
      <c r="B158" s="4096"/>
      <c r="C158" s="4096"/>
      <c r="D158" s="4096"/>
      <c r="E158" s="4096"/>
      <c r="F158" s="4096"/>
      <c r="G158" s="4096"/>
      <c r="H158" s="4096"/>
      <c r="I158" s="4096"/>
      <c r="J158" s="4096"/>
      <c r="K158" s="4096"/>
      <c r="L158" s="4096"/>
      <c r="M158" s="4096"/>
      <c r="N158" s="4096"/>
      <c r="O158" s="4096"/>
      <c r="P158" s="4096"/>
      <c r="Q158" s="4096"/>
      <c r="R158" s="4096"/>
      <c r="S158" s="4097"/>
    </row>
  </sheetData>
  <sheetProtection password="E0BE" sheet="1" objects="1" scenarios="1"/>
  <mergeCells count="21">
    <mergeCell ref="A5:S5"/>
    <mergeCell ref="A41:S41"/>
    <mergeCell ref="A72:S72"/>
    <mergeCell ref="A103:S103"/>
    <mergeCell ref="A1:S1"/>
    <mergeCell ref="A2:S2"/>
    <mergeCell ref="B3:J3"/>
    <mergeCell ref="K3:S3"/>
    <mergeCell ref="B4:J4"/>
    <mergeCell ref="K4:S4"/>
    <mergeCell ref="A155:S155"/>
    <mergeCell ref="A157:S157"/>
    <mergeCell ref="A158:S158"/>
    <mergeCell ref="H6:J6"/>
    <mergeCell ref="Q6:S6"/>
    <mergeCell ref="A152:S152"/>
    <mergeCell ref="A153:S153"/>
    <mergeCell ref="A154:S154"/>
    <mergeCell ref="A134:S134"/>
    <mergeCell ref="A156:S156"/>
    <mergeCell ref="A136:A139"/>
  </mergeCells>
  <printOptions horizontalCentered="1"/>
  <pageMargins left="0.7" right="0.7" top="0.75" bottom="0.75" header="0.3" footer="0.3"/>
  <pageSetup scale="60" fitToHeight="2" orientation="landscape" r:id="rId1"/>
  <headerFooter>
    <oddFooter>&amp;L&amp;A&amp;C&amp;F&amp;R&amp;D</oddFooter>
  </headerFooter>
  <rowBreaks count="1" manualBreakCount="1">
    <brk id="71" max="18" man="1"/>
  </rowBreaks>
  <legacyDrawing r:id="rId2"/>
</worksheet>
</file>

<file path=xl/worksheets/sheet32.xml><?xml version="1.0" encoding="utf-8"?>
<worksheet xmlns="http://schemas.openxmlformats.org/spreadsheetml/2006/main" xmlns:r="http://schemas.openxmlformats.org/officeDocument/2006/relationships">
  <sheetPr codeName="Sheet40"/>
  <dimension ref="A1:BK94"/>
  <sheetViews>
    <sheetView zoomScale="85" zoomScaleNormal="85" workbookViewId="0">
      <selection activeCell="C11" sqref="C11:D11"/>
    </sheetView>
  </sheetViews>
  <sheetFormatPr defaultRowHeight="12.75"/>
  <cols>
    <col min="1" max="1" width="39.28515625" customWidth="1"/>
    <col min="2" max="2" width="1.28515625" customWidth="1"/>
    <col min="3" max="3" width="4.7109375" customWidth="1"/>
    <col min="4" max="4" width="5.7109375" customWidth="1"/>
    <col min="5" max="5" width="4.7109375" customWidth="1"/>
    <col min="6" max="6" width="8.7109375" customWidth="1"/>
    <col min="7" max="7" width="2" customWidth="1"/>
    <col min="8" max="8" width="11.140625" customWidth="1"/>
    <col min="9" max="9" width="1.42578125" customWidth="1"/>
    <col min="10" max="10" width="1.28515625" customWidth="1"/>
    <col min="11" max="11" width="7.7109375" customWidth="1"/>
    <col min="12" max="13" width="1.28515625" customWidth="1"/>
    <col min="14" max="14" width="4.7109375" customWidth="1"/>
    <col min="15" max="16" width="5.7109375" customWidth="1"/>
    <col min="17" max="17" width="8.7109375" customWidth="1"/>
    <col min="18" max="18" width="2" customWidth="1"/>
    <col min="19" max="19" width="11.140625" customWidth="1"/>
    <col min="20" max="20" width="1.42578125" customWidth="1"/>
    <col min="21" max="21" width="1.28515625" customWidth="1"/>
    <col min="22" max="22" width="7.7109375" customWidth="1"/>
    <col min="23" max="23" width="1.28515625" customWidth="1"/>
    <col min="24" max="24" width="51.42578125" bestFit="1" customWidth="1"/>
    <col min="25" max="25" width="59.42578125" bestFit="1" customWidth="1"/>
  </cols>
  <sheetData>
    <row r="1" spans="1:63" s="6" customFormat="1"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2"/>
      <c r="T1" s="4692"/>
      <c r="U1" s="4692"/>
      <c r="V1" s="4692"/>
      <c r="W1" s="4693"/>
      <c r="X1" s="1706"/>
      <c r="Y1" s="1706"/>
      <c r="Z1" s="1706"/>
      <c r="AA1" s="1706"/>
      <c r="AB1" s="1706"/>
      <c r="AC1" s="1706"/>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706"/>
      <c r="BF1" s="1706"/>
      <c r="BG1" s="1706"/>
      <c r="BH1" s="1706"/>
      <c r="BI1" s="1706"/>
      <c r="BJ1" s="1706"/>
      <c r="BK1" s="103"/>
    </row>
    <row r="2" spans="1:63" ht="30" customHeight="1">
      <c r="A2" s="3967" t="s">
        <v>1098</v>
      </c>
      <c r="B2" s="3968"/>
      <c r="C2" s="3968"/>
      <c r="D2" s="3968"/>
      <c r="E2" s="3968"/>
      <c r="F2" s="3968"/>
      <c r="G2" s="3968"/>
      <c r="H2" s="3968"/>
      <c r="I2" s="3968"/>
      <c r="J2" s="3968"/>
      <c r="K2" s="3968"/>
      <c r="L2" s="3968"/>
      <c r="M2" s="3968"/>
      <c r="N2" s="3968"/>
      <c r="O2" s="3968"/>
      <c r="P2" s="3968"/>
      <c r="Q2" s="3968"/>
      <c r="R2" s="3968"/>
      <c r="S2" s="3968"/>
      <c r="T2" s="3968"/>
      <c r="U2" s="3968"/>
      <c r="V2" s="3968"/>
      <c r="W2" s="3969"/>
    </row>
    <row r="3" spans="1:63" ht="21.75" customHeight="1">
      <c r="A3" s="265"/>
      <c r="B3" s="3999" t="str">
        <f>'Chosen Parameters-Part I'!B4</f>
        <v>Scenario 1</v>
      </c>
      <c r="C3" s="4000"/>
      <c r="D3" s="4000"/>
      <c r="E3" s="4000"/>
      <c r="F3" s="4000"/>
      <c r="G3" s="4000"/>
      <c r="H3" s="4000"/>
      <c r="I3" s="4000"/>
      <c r="J3" s="4000"/>
      <c r="K3" s="4000"/>
      <c r="L3" s="4001"/>
      <c r="M3" s="4002" t="str">
        <f>'Chosen Parameters-Part I'!C4</f>
        <v>Scenario 2</v>
      </c>
      <c r="N3" s="4003"/>
      <c r="O3" s="4003"/>
      <c r="P3" s="4003"/>
      <c r="Q3" s="4003"/>
      <c r="R3" s="4003"/>
      <c r="S3" s="4003"/>
      <c r="T3" s="4003"/>
      <c r="U3" s="4003"/>
      <c r="V3" s="4003"/>
      <c r="W3" s="4004"/>
    </row>
    <row r="4" spans="1:63" ht="36" customHeight="1">
      <c r="A4" s="1494"/>
      <c r="B4" s="4118" t="str">
        <f>'Step 1 -- Herd Profile'!B4</f>
        <v>Intensive Conventional Management with Holsteins and rbST</v>
      </c>
      <c r="C4" s="4119"/>
      <c r="D4" s="4119"/>
      <c r="E4" s="4119"/>
      <c r="F4" s="4119"/>
      <c r="G4" s="4119"/>
      <c r="H4" s="4119"/>
      <c r="I4" s="4119"/>
      <c r="J4" s="4119"/>
      <c r="K4" s="4119"/>
      <c r="L4" s="4120"/>
      <c r="M4" s="4121" t="str">
        <f>'Step 1 -- Herd Profile'!M4</f>
        <v>Conventional Management, Holsteins</v>
      </c>
      <c r="N4" s="4122"/>
      <c r="O4" s="4122"/>
      <c r="P4" s="4122"/>
      <c r="Q4" s="4122"/>
      <c r="R4" s="4122"/>
      <c r="S4" s="4122"/>
      <c r="T4" s="4122"/>
      <c r="U4" s="4122"/>
      <c r="V4" s="4122"/>
      <c r="W4" s="4123"/>
    </row>
    <row r="5" spans="1:63" ht="28.5" customHeight="1">
      <c r="A5" s="2870" t="s">
        <v>1125</v>
      </c>
      <c r="B5" s="358"/>
      <c r="C5" s="382"/>
      <c r="D5" s="382"/>
      <c r="E5" s="382"/>
      <c r="F5" s="382"/>
      <c r="G5" s="382"/>
      <c r="H5" s="382"/>
      <c r="I5" s="382"/>
      <c r="J5" s="5038"/>
      <c r="K5" s="5039"/>
      <c r="L5" s="5040"/>
      <c r="M5" s="360"/>
      <c r="N5" s="96"/>
      <c r="O5" s="96"/>
      <c r="P5" s="96"/>
      <c r="Q5" s="96"/>
      <c r="R5" s="96"/>
      <c r="S5" s="96"/>
      <c r="T5" s="96"/>
      <c r="U5" s="5035"/>
      <c r="V5" s="5036"/>
      <c r="W5" s="5037"/>
    </row>
    <row r="6" spans="1:63" ht="20.25" customHeight="1">
      <c r="A6" s="4552" t="s">
        <v>1500</v>
      </c>
      <c r="B6" s="4553"/>
      <c r="C6" s="4553"/>
      <c r="D6" s="4553"/>
      <c r="E6" s="4553"/>
      <c r="F6" s="4553"/>
      <c r="G6" s="4553"/>
      <c r="H6" s="4553"/>
      <c r="I6" s="4553"/>
      <c r="J6" s="4553"/>
      <c r="K6" s="4553"/>
      <c r="L6" s="4553"/>
      <c r="M6" s="4553"/>
      <c r="N6" s="4553"/>
      <c r="O6" s="4553"/>
      <c r="P6" s="4553"/>
      <c r="Q6" s="4553"/>
      <c r="R6" s="4553"/>
      <c r="S6" s="4553"/>
      <c r="T6" s="4553"/>
      <c r="U6" s="4553"/>
      <c r="V6" s="4553"/>
      <c r="W6" s="4554"/>
    </row>
    <row r="7" spans="1:63" ht="6" customHeight="1">
      <c r="A7" s="281"/>
      <c r="B7" s="358"/>
      <c r="C7" s="382"/>
      <c r="D7" s="382"/>
      <c r="E7" s="382"/>
      <c r="F7" s="382"/>
      <c r="G7" s="382"/>
      <c r="H7" s="382"/>
      <c r="I7" s="382"/>
      <c r="J7" s="5043" t="s">
        <v>83</v>
      </c>
      <c r="K7" s="5044"/>
      <c r="L7" s="5045"/>
      <c r="M7" s="360"/>
      <c r="N7" s="96"/>
      <c r="O7" s="96"/>
      <c r="P7" s="96"/>
      <c r="Q7" s="96"/>
      <c r="R7" s="96"/>
      <c r="S7" s="96"/>
      <c r="T7" s="96"/>
      <c r="U7" s="5048" t="s">
        <v>83</v>
      </c>
      <c r="V7" s="4345"/>
      <c r="W7" s="5049"/>
    </row>
    <row r="8" spans="1:63" ht="12" customHeight="1">
      <c r="A8" s="281"/>
      <c r="B8" s="2035"/>
      <c r="C8" s="4086" t="s">
        <v>591</v>
      </c>
      <c r="D8" s="4086"/>
      <c r="E8" s="2036"/>
      <c r="F8" s="2036"/>
      <c r="G8" s="2036"/>
      <c r="H8" s="5039" t="s">
        <v>627</v>
      </c>
      <c r="I8" s="2009"/>
      <c r="J8" s="5038"/>
      <c r="K8" s="5039"/>
      <c r="L8" s="5040"/>
      <c r="M8" s="2037"/>
      <c r="N8" s="5036" t="s">
        <v>591</v>
      </c>
      <c r="O8" s="5036"/>
      <c r="P8" s="2038"/>
      <c r="Q8" s="2038"/>
      <c r="R8" s="2038"/>
      <c r="S8" s="5036" t="s">
        <v>628</v>
      </c>
      <c r="T8" s="96"/>
      <c r="U8" s="5035"/>
      <c r="V8" s="5036"/>
      <c r="W8" s="5037"/>
    </row>
    <row r="9" spans="1:63">
      <c r="A9" s="620" t="s">
        <v>271</v>
      </c>
      <c r="B9" s="2035"/>
      <c r="C9" s="4358"/>
      <c r="D9" s="4358"/>
      <c r="E9" s="2036"/>
      <c r="F9" s="2206" t="s">
        <v>409</v>
      </c>
      <c r="G9" s="2036"/>
      <c r="H9" s="5041"/>
      <c r="I9" s="2009"/>
      <c r="J9" s="5046"/>
      <c r="K9" s="5041"/>
      <c r="L9" s="5047"/>
      <c r="M9" s="2037"/>
      <c r="N9" s="5042"/>
      <c r="O9" s="5042"/>
      <c r="P9" s="2038"/>
      <c r="Q9" s="2205" t="s">
        <v>409</v>
      </c>
      <c r="R9" s="2038"/>
      <c r="S9" s="5042"/>
      <c r="T9" s="2202"/>
      <c r="U9" s="5050"/>
      <c r="V9" s="5042"/>
      <c r="W9" s="5051"/>
    </row>
    <row r="10" spans="1:63" ht="3" customHeight="1">
      <c r="A10" s="620"/>
      <c r="B10" s="358"/>
      <c r="C10" s="382"/>
      <c r="D10" s="382"/>
      <c r="E10" s="382"/>
      <c r="F10" s="382"/>
      <c r="G10" s="382"/>
      <c r="H10" s="382"/>
      <c r="I10" s="382"/>
      <c r="J10" s="372"/>
      <c r="K10" s="382"/>
      <c r="L10" s="382"/>
      <c r="M10" s="360"/>
      <c r="N10" s="96"/>
      <c r="O10" s="96"/>
      <c r="P10" s="96"/>
      <c r="Q10" s="2203"/>
      <c r="R10" s="96"/>
      <c r="S10" s="96"/>
      <c r="T10" s="96"/>
      <c r="U10" s="109"/>
      <c r="V10" s="96"/>
      <c r="W10" s="383"/>
    </row>
    <row r="11" spans="1:63">
      <c r="A11" s="209" t="s">
        <v>226</v>
      </c>
      <c r="B11" s="358"/>
      <c r="C11" s="5052">
        <v>0.69</v>
      </c>
      <c r="D11" s="5053"/>
      <c r="E11" s="382"/>
      <c r="F11" s="2201">
        <f>VLOOKUP(Options!AW10,Defaults!H20:J69,3,FALSE)</f>
        <v>0.63</v>
      </c>
      <c r="G11" s="382"/>
      <c r="H11" s="2004">
        <f>C11*F11</f>
        <v>0.43469999999999998</v>
      </c>
      <c r="I11" s="2201"/>
      <c r="J11" s="1190"/>
      <c r="K11" s="2056">
        <v>1</v>
      </c>
      <c r="L11" s="382"/>
      <c r="M11" s="360"/>
      <c r="N11" s="5052">
        <v>0.6</v>
      </c>
      <c r="O11" s="5053"/>
      <c r="P11" s="96"/>
      <c r="Q11" s="3561">
        <f>VLOOKUP(Options!AX10,Defaults!H20:J69,3,FALSE)</f>
        <v>0.63</v>
      </c>
      <c r="R11" s="96"/>
      <c r="S11" s="2013">
        <f>N11*Q11</f>
        <v>0.378</v>
      </c>
      <c r="T11" s="2203"/>
      <c r="U11" s="1192"/>
      <c r="V11" s="2057">
        <v>1</v>
      </c>
      <c r="W11" s="383"/>
    </row>
    <row r="12" spans="1:63" ht="3" customHeight="1">
      <c r="A12" s="620"/>
      <c r="B12" s="358"/>
      <c r="C12" s="382"/>
      <c r="D12" s="382"/>
      <c r="E12" s="382"/>
      <c r="F12" s="2201"/>
      <c r="G12" s="382"/>
      <c r="H12" s="2004"/>
      <c r="I12" s="2201"/>
      <c r="J12" s="372"/>
      <c r="K12" s="382"/>
      <c r="L12" s="382"/>
      <c r="M12" s="360"/>
      <c r="N12" s="96"/>
      <c r="O12" s="96"/>
      <c r="P12" s="96"/>
      <c r="Q12" s="2203"/>
      <c r="R12" s="96"/>
      <c r="S12" s="2013"/>
      <c r="T12" s="2203"/>
      <c r="U12" s="109"/>
      <c r="V12" s="96"/>
      <c r="W12" s="383"/>
    </row>
    <row r="13" spans="1:63">
      <c r="A13" s="209" t="s">
        <v>225</v>
      </c>
      <c r="B13" s="358"/>
      <c r="C13" s="5052"/>
      <c r="D13" s="5053"/>
      <c r="E13" s="382"/>
      <c r="F13" s="3562">
        <f>VLOOKUP(Options!AW10,Defaults!H20:K69,4,FALSE)</f>
        <v>0.21</v>
      </c>
      <c r="G13" s="382"/>
      <c r="H13" s="2201">
        <f>C13*F13</f>
        <v>0</v>
      </c>
      <c r="I13" s="2201"/>
      <c r="J13" s="372"/>
      <c r="K13" s="2198"/>
      <c r="L13" s="382"/>
      <c r="M13" s="360"/>
      <c r="N13" s="5052"/>
      <c r="O13" s="5053"/>
      <c r="P13" s="96"/>
      <c r="Q13" s="3561">
        <f>VLOOKUP(Options!AX10,Defaults!H20:K69,4,FALSE)</f>
        <v>0.21</v>
      </c>
      <c r="R13" s="96"/>
      <c r="S13" s="2203">
        <f>N13*Q13</f>
        <v>0</v>
      </c>
      <c r="T13" s="2203"/>
      <c r="U13" s="109"/>
      <c r="V13" s="1491"/>
      <c r="W13" s="383"/>
    </row>
    <row r="14" spans="1:63" ht="6" customHeight="1">
      <c r="A14" s="281"/>
      <c r="B14" s="358"/>
      <c r="C14" s="382"/>
      <c r="D14" s="382"/>
      <c r="E14" s="382"/>
      <c r="F14" s="382"/>
      <c r="G14" s="382"/>
      <c r="H14" s="2004"/>
      <c r="I14" s="2201"/>
      <c r="J14" s="372"/>
      <c r="K14" s="1132"/>
      <c r="L14" s="382"/>
      <c r="M14" s="360"/>
      <c r="N14" s="96"/>
      <c r="O14" s="96"/>
      <c r="P14" s="96"/>
      <c r="Q14" s="2203"/>
      <c r="R14" s="96"/>
      <c r="S14" s="96"/>
      <c r="T14" s="96"/>
      <c r="U14" s="109"/>
      <c r="V14" s="1492"/>
      <c r="W14" s="383"/>
    </row>
    <row r="15" spans="1:63">
      <c r="A15" s="620" t="s">
        <v>272</v>
      </c>
      <c r="B15" s="358"/>
      <c r="C15" s="186"/>
      <c r="D15" s="382"/>
      <c r="E15" s="382"/>
      <c r="F15" s="382"/>
      <c r="G15" s="382"/>
      <c r="H15" s="2004"/>
      <c r="I15" s="2201"/>
      <c r="J15" s="372"/>
      <c r="K15" s="1132"/>
      <c r="L15" s="382"/>
      <c r="M15" s="360"/>
      <c r="N15" s="44"/>
      <c r="O15" s="96"/>
      <c r="P15" s="96"/>
      <c r="Q15" s="2203"/>
      <c r="R15" s="96"/>
      <c r="S15" s="96"/>
      <c r="T15" s="96"/>
      <c r="U15" s="109"/>
      <c r="V15" s="1492"/>
      <c r="W15" s="383"/>
    </row>
    <row r="16" spans="1:63">
      <c r="A16" s="1569" t="s">
        <v>19</v>
      </c>
      <c r="B16" s="358"/>
      <c r="C16" s="5052">
        <v>0.01</v>
      </c>
      <c r="D16" s="5053"/>
      <c r="E16" s="382"/>
      <c r="F16" s="2201">
        <f>IF(F1_Climate="cold",Defaults!J82,IF(F1_Climate="Hot",Defaults!L82,Defaults!K82))</f>
        <v>1.4999999999999999E-2</v>
      </c>
      <c r="G16" s="382"/>
      <c r="H16" s="2201">
        <f>C16*F16</f>
        <v>1.4999999999999999E-4</v>
      </c>
      <c r="I16" s="2201"/>
      <c r="J16" s="372"/>
      <c r="K16" s="2056">
        <v>1</v>
      </c>
      <c r="L16" s="382"/>
      <c r="M16" s="360"/>
      <c r="N16" s="5052">
        <v>0.05</v>
      </c>
      <c r="O16" s="5053"/>
      <c r="P16" s="96"/>
      <c r="Q16" s="2203">
        <f>IF(F2_Climate="cold",Defaults!J82,IF(F2_Climate="Hot",Defaults!L82,Defaults!K82))</f>
        <v>1.4999999999999999E-2</v>
      </c>
      <c r="R16" s="96"/>
      <c r="S16" s="2203">
        <f>N16*Q16</f>
        <v>7.5000000000000002E-4</v>
      </c>
      <c r="T16" s="2203"/>
      <c r="U16" s="109"/>
      <c r="V16" s="2057">
        <v>1</v>
      </c>
      <c r="W16" s="383"/>
    </row>
    <row r="17" spans="1:24" ht="3" customHeight="1">
      <c r="A17" s="620"/>
      <c r="B17" s="358"/>
      <c r="C17" s="382">
        <v>0</v>
      </c>
      <c r="D17" s="382"/>
      <c r="E17" s="382"/>
      <c r="F17" s="2201"/>
      <c r="G17" s="382"/>
      <c r="H17" s="2004"/>
      <c r="I17" s="2201"/>
      <c r="J17" s="372"/>
      <c r="K17" s="1132"/>
      <c r="L17" s="382"/>
      <c r="M17" s="360"/>
      <c r="N17" s="96">
        <v>0</v>
      </c>
      <c r="O17" s="96"/>
      <c r="P17" s="96"/>
      <c r="Q17" s="2203"/>
      <c r="R17" s="96"/>
      <c r="S17" s="2013"/>
      <c r="T17" s="2203"/>
      <c r="U17" s="109"/>
      <c r="V17" s="1492"/>
      <c r="W17" s="383"/>
    </row>
    <row r="18" spans="1:24">
      <c r="A18" s="209" t="s">
        <v>229</v>
      </c>
      <c r="B18" s="358"/>
      <c r="C18" s="5052"/>
      <c r="D18" s="5053"/>
      <c r="E18" s="382"/>
      <c r="F18" s="2034">
        <f>IF(F1_Climate="cold",Defaults!J79,IF(F1_Climate="Hot",Defaults!L79,Defaults!K79))</f>
        <v>5.0000000000000001E-3</v>
      </c>
      <c r="G18" s="382"/>
      <c r="H18" s="2201">
        <f>C18*F18</f>
        <v>0</v>
      </c>
      <c r="I18" s="2034"/>
      <c r="J18" s="372"/>
      <c r="K18" s="2198"/>
      <c r="L18" s="382"/>
      <c r="M18" s="360"/>
      <c r="N18" s="5052"/>
      <c r="O18" s="5053"/>
      <c r="P18" s="96"/>
      <c r="Q18" s="1616">
        <f>IF(F2_Climate="cold",Defaults!J79,IF(F2_Climate="Hot",Defaults!L79,Defaults!K79))</f>
        <v>5.0000000000000001E-3</v>
      </c>
      <c r="R18" s="96"/>
      <c r="S18" s="2203">
        <f>N18*Q18</f>
        <v>0</v>
      </c>
      <c r="T18" s="1616"/>
      <c r="U18" s="109"/>
      <c r="V18" s="1491"/>
      <c r="W18" s="383"/>
    </row>
    <row r="19" spans="1:24" ht="3" customHeight="1">
      <c r="A19" s="620"/>
      <c r="B19" s="358"/>
      <c r="C19" s="382"/>
      <c r="D19" s="382"/>
      <c r="E19" s="382"/>
      <c r="F19" s="2201"/>
      <c r="G19" s="382"/>
      <c r="H19" s="2201"/>
      <c r="I19" s="2201"/>
      <c r="J19" s="372"/>
      <c r="K19" s="1132"/>
      <c r="L19" s="382"/>
      <c r="M19" s="360"/>
      <c r="N19" s="96"/>
      <c r="O19" s="96"/>
      <c r="P19" s="96"/>
      <c r="Q19" s="2203"/>
      <c r="R19" s="96"/>
      <c r="S19" s="2013"/>
      <c r="T19" s="2203"/>
      <c r="U19" s="109"/>
      <c r="V19" s="1492"/>
      <c r="W19" s="383"/>
    </row>
    <row r="20" spans="1:24">
      <c r="A20" s="209" t="s">
        <v>224</v>
      </c>
      <c r="B20" s="358"/>
      <c r="C20" s="5052"/>
      <c r="D20" s="5053"/>
      <c r="E20" s="382"/>
      <c r="F20" s="2201">
        <f>IF(F1_Climate="cold",Defaults!J83,IF(F1_Climate="Hot",Defaults!L83,Defaults!K83))</f>
        <v>0.04</v>
      </c>
      <c r="G20" s="382"/>
      <c r="H20" s="2201">
        <f>C20*F20</f>
        <v>0</v>
      </c>
      <c r="I20" s="2201"/>
      <c r="J20" s="372"/>
      <c r="K20" s="2198"/>
      <c r="L20" s="382"/>
      <c r="M20" s="360"/>
      <c r="N20" s="5052"/>
      <c r="O20" s="5053"/>
      <c r="P20" s="96"/>
      <c r="Q20" s="2203">
        <f>IF(F2_Climate="cold",Defaults!J83,IF(F2_Climate="Hot",Defaults!L83,Defaults!K83))</f>
        <v>0.04</v>
      </c>
      <c r="R20" s="96"/>
      <c r="S20" s="2203">
        <f>N20*Q20</f>
        <v>0</v>
      </c>
      <c r="T20" s="2203"/>
      <c r="U20" s="109"/>
      <c r="V20" s="1491"/>
      <c r="W20" s="383"/>
    </row>
    <row r="21" spans="1:24" ht="3" customHeight="1">
      <c r="A21" s="620"/>
      <c r="B21" s="358"/>
      <c r="C21" s="382"/>
      <c r="D21" s="382"/>
      <c r="E21" s="382"/>
      <c r="F21" s="2201"/>
      <c r="G21" s="382"/>
      <c r="H21" s="2004"/>
      <c r="I21" s="2201"/>
      <c r="J21" s="372"/>
      <c r="K21" s="1132"/>
      <c r="L21" s="382"/>
      <c r="M21" s="360"/>
      <c r="N21" s="96"/>
      <c r="O21" s="96"/>
      <c r="P21" s="96"/>
      <c r="Q21" s="2203"/>
      <c r="R21" s="96"/>
      <c r="S21" s="2013"/>
      <c r="T21" s="2203"/>
      <c r="U21" s="109"/>
      <c r="V21" s="1492"/>
      <c r="W21" s="383"/>
    </row>
    <row r="22" spans="1:24">
      <c r="A22" s="209" t="s">
        <v>227</v>
      </c>
      <c r="B22" s="358"/>
      <c r="C22" s="5052"/>
      <c r="D22" s="5053"/>
      <c r="E22" s="382"/>
      <c r="F22" s="2201">
        <f>IF(F1_Climate="cold",Defaults!J81,IF(F1_Climate="Hot",Defaults!L81,Defaults!K81))</f>
        <v>0</v>
      </c>
      <c r="G22" s="382"/>
      <c r="H22" s="2201">
        <f>C22*F22</f>
        <v>0</v>
      </c>
      <c r="I22" s="2201"/>
      <c r="J22" s="1191"/>
      <c r="K22" s="2198"/>
      <c r="L22" s="382"/>
      <c r="M22" s="360"/>
      <c r="N22" s="5052"/>
      <c r="O22" s="5053"/>
      <c r="P22" s="96"/>
      <c r="Q22" s="2203">
        <f>IF(F2_Climate="cold",Defaults!J81,IF(F2_Climate="Hot",Defaults!L81,Defaults!K81))</f>
        <v>0</v>
      </c>
      <c r="R22" s="96"/>
      <c r="S22" s="2203">
        <f>N22*Q22</f>
        <v>0</v>
      </c>
      <c r="T22" s="2203"/>
      <c r="U22" s="1193"/>
      <c r="V22" s="1491"/>
      <c r="W22" s="383"/>
    </row>
    <row r="23" spans="1:24" ht="3" customHeight="1">
      <c r="A23" s="620"/>
      <c r="B23" s="358"/>
      <c r="C23" s="382"/>
      <c r="D23" s="382"/>
      <c r="E23" s="382"/>
      <c r="F23" s="2201"/>
      <c r="G23" s="382"/>
      <c r="H23" s="2004"/>
      <c r="I23" s="2201"/>
      <c r="J23" s="372"/>
      <c r="K23" s="1132"/>
      <c r="L23" s="382"/>
      <c r="M23" s="360"/>
      <c r="N23" s="96"/>
      <c r="O23" s="96"/>
      <c r="P23" s="96"/>
      <c r="Q23" s="2203"/>
      <c r="R23" s="96"/>
      <c r="S23" s="2013"/>
      <c r="T23" s="2203"/>
      <c r="U23" s="109"/>
      <c r="V23" s="1492"/>
      <c r="W23" s="383"/>
    </row>
    <row r="24" spans="1:24">
      <c r="A24" s="209" t="s">
        <v>268</v>
      </c>
      <c r="B24" s="358"/>
      <c r="C24" s="5052">
        <v>0.2</v>
      </c>
      <c r="D24" s="5053"/>
      <c r="E24" s="382"/>
      <c r="F24" s="2201">
        <f>IF(F1_Climate="cold",Defaults!J78,IF(F1_Climate="Hot",Defaults!L78,Defaults!K78))</f>
        <v>0.01</v>
      </c>
      <c r="G24" s="382"/>
      <c r="H24" s="2201">
        <f>C24*F24</f>
        <v>2E-3</v>
      </c>
      <c r="I24" s="2201"/>
      <c r="J24" s="1191"/>
      <c r="K24" s="2198"/>
      <c r="L24" s="382"/>
      <c r="M24" s="360"/>
      <c r="N24" s="5052">
        <v>0.15</v>
      </c>
      <c r="O24" s="5053"/>
      <c r="P24" s="96"/>
      <c r="Q24" s="2203">
        <f>IF(F2_Climate="cold",Defaults!J78,IF(F2_Climate="Hot",Defaults!L78,Defaults!K78))</f>
        <v>0.01</v>
      </c>
      <c r="R24" s="96"/>
      <c r="S24" s="2203">
        <f>N24*Q24</f>
        <v>1.5E-3</v>
      </c>
      <c r="T24" s="2203"/>
      <c r="U24" s="1193"/>
      <c r="V24" s="1491"/>
      <c r="W24" s="383"/>
    </row>
    <row r="25" spans="1:24" ht="3" customHeight="1">
      <c r="A25" s="620"/>
      <c r="B25" s="358"/>
      <c r="C25" s="382"/>
      <c r="D25" s="382"/>
      <c r="E25" s="382"/>
      <c r="F25" s="2201"/>
      <c r="G25" s="382"/>
      <c r="H25" s="2004"/>
      <c r="I25" s="2201"/>
      <c r="J25" s="372"/>
      <c r="K25" s="1132"/>
      <c r="L25" s="382"/>
      <c r="M25" s="360"/>
      <c r="N25" s="96"/>
      <c r="O25" s="96"/>
      <c r="P25" s="96"/>
      <c r="Q25" s="2203"/>
      <c r="R25" s="96"/>
      <c r="S25" s="2013"/>
      <c r="T25" s="2203"/>
      <c r="U25" s="109"/>
      <c r="V25" s="1492"/>
      <c r="W25" s="383"/>
    </row>
    <row r="26" spans="1:24">
      <c r="A26" s="1570" t="s">
        <v>230</v>
      </c>
      <c r="B26" s="358"/>
      <c r="C26" s="5052">
        <v>0.1</v>
      </c>
      <c r="D26" s="5053"/>
      <c r="E26" s="382"/>
      <c r="F26" s="2201">
        <f>IF(F1_Climate="cold",Defaults!J80,IF(F1_Climate="Hot",Defaults!L80,Defaults!K80))</f>
        <v>1.4999999999999999E-2</v>
      </c>
      <c r="G26" s="382"/>
      <c r="H26" s="2201">
        <f>C26*F26</f>
        <v>1.5E-3</v>
      </c>
      <c r="I26" s="2201"/>
      <c r="J26" s="1191"/>
      <c r="K26" s="2198"/>
      <c r="L26" s="382"/>
      <c r="M26" s="360"/>
      <c r="N26" s="5052">
        <v>0.2</v>
      </c>
      <c r="O26" s="5053"/>
      <c r="P26" s="96"/>
      <c r="Q26" s="2203">
        <f>IF(F2_Climate="cold",Defaults!J80,IF(F2_Climate="Hot",Defaults!L80,Defaults!K80))</f>
        <v>1.4999999999999999E-2</v>
      </c>
      <c r="R26" s="96"/>
      <c r="S26" s="2203">
        <f>N26*Q26</f>
        <v>3.0000000000000001E-3</v>
      </c>
      <c r="T26" s="2203"/>
      <c r="U26" s="1193"/>
      <c r="V26" s="1491"/>
      <c r="W26" s="383"/>
    </row>
    <row r="27" spans="1:24" ht="6" customHeight="1">
      <c r="A27" s="620"/>
      <c r="B27" s="358"/>
      <c r="C27" s="382"/>
      <c r="D27" s="382"/>
      <c r="E27" s="322"/>
      <c r="F27" s="322"/>
      <c r="G27" s="322"/>
      <c r="H27" s="2210"/>
      <c r="I27" s="2210"/>
      <c r="J27" s="372"/>
      <c r="K27" s="1132"/>
      <c r="L27" s="382"/>
      <c r="M27" s="360"/>
      <c r="N27" s="96"/>
      <c r="O27" s="96"/>
      <c r="P27" s="2046"/>
      <c r="Q27" s="2046"/>
      <c r="R27" s="2046"/>
      <c r="S27" s="2046"/>
      <c r="T27" s="2046"/>
      <c r="U27" s="109"/>
      <c r="V27" s="1492"/>
      <c r="W27" s="383"/>
    </row>
    <row r="28" spans="1:24">
      <c r="A28" s="1194" t="str">
        <f>IF(C28=100%,IF(N28=100%,"Total WMS: ","Total must equal 100%"), "Total must equal 100%")</f>
        <v xml:space="preserve">Total WMS: </v>
      </c>
      <c r="B28" s="358"/>
      <c r="C28" s="5060">
        <f>C11+C13+C16+C18+C20+C22+C24+C26</f>
        <v>0.99999999999999989</v>
      </c>
      <c r="D28" s="5060"/>
      <c r="E28" s="2008"/>
      <c r="F28" s="2008"/>
      <c r="G28" s="2008"/>
      <c r="H28" s="2009">
        <f>H11+H13+H16+H18+H20+H22+H24+H26</f>
        <v>0.43834999999999996</v>
      </c>
      <c r="I28" s="2009"/>
      <c r="J28" s="1191"/>
      <c r="K28" s="876"/>
      <c r="L28" s="382"/>
      <c r="M28" s="360"/>
      <c r="N28" s="5061">
        <f>N11+N13+N16+N18+N20+N22+N24+N26</f>
        <v>1</v>
      </c>
      <c r="O28" s="5061"/>
      <c r="P28" s="2046"/>
      <c r="Q28" s="2046"/>
      <c r="R28" s="2046"/>
      <c r="S28" s="2207">
        <f>S11+S13+S16+S18+S20+S22+S24+S26</f>
        <v>0.38324999999999998</v>
      </c>
      <c r="T28" s="2207"/>
      <c r="U28" s="1193"/>
      <c r="V28" s="44"/>
      <c r="W28" s="383"/>
    </row>
    <row r="29" spans="1:24" ht="6" customHeight="1">
      <c r="A29" s="286"/>
      <c r="B29" s="498"/>
      <c r="C29" s="499"/>
      <c r="D29" s="499"/>
      <c r="E29" s="2007"/>
      <c r="F29" s="2007"/>
      <c r="G29" s="2007"/>
      <c r="H29" s="2007"/>
      <c r="I29" s="2007"/>
      <c r="J29" s="825"/>
      <c r="K29" s="899"/>
      <c r="L29" s="499"/>
      <c r="M29" s="500"/>
      <c r="N29" s="501"/>
      <c r="O29" s="501"/>
      <c r="P29" s="2047"/>
      <c r="Q29" s="2047"/>
      <c r="R29" s="2047"/>
      <c r="S29" s="2047"/>
      <c r="T29" s="2047"/>
      <c r="U29" s="110"/>
      <c r="V29" s="501"/>
      <c r="W29" s="648"/>
    </row>
    <row r="30" spans="1:24" ht="6" customHeight="1">
      <c r="A30" s="281"/>
      <c r="B30" s="358"/>
      <c r="C30" s="382"/>
      <c r="D30" s="382"/>
      <c r="E30" s="382"/>
      <c r="F30" s="382"/>
      <c r="G30" s="382"/>
      <c r="H30" s="382"/>
      <c r="I30" s="382"/>
      <c r="J30" s="372"/>
      <c r="K30" s="1132"/>
      <c r="L30" s="382"/>
      <c r="M30" s="360"/>
      <c r="N30" s="96"/>
      <c r="O30" s="96"/>
      <c r="P30" s="96"/>
      <c r="Q30" s="96"/>
      <c r="R30" s="96"/>
      <c r="S30" s="96"/>
      <c r="T30" s="96"/>
      <c r="U30" s="109"/>
      <c r="V30" s="96"/>
      <c r="W30" s="383"/>
    </row>
    <row r="31" spans="1:24" ht="12" customHeight="1">
      <c r="A31" s="221" t="s">
        <v>1501</v>
      </c>
      <c r="B31" s="358"/>
      <c r="C31" s="1501" t="s">
        <v>118</v>
      </c>
      <c r="D31" s="2018"/>
      <c r="E31" s="382"/>
      <c r="F31" s="1132"/>
      <c r="G31" s="1132"/>
      <c r="H31" s="2198"/>
      <c r="I31" s="2198"/>
      <c r="J31" s="3382"/>
      <c r="K31" s="2198"/>
      <c r="L31" s="382"/>
      <c r="M31" s="360"/>
      <c r="N31" s="1502" t="s">
        <v>118</v>
      </c>
      <c r="O31" s="96"/>
      <c r="P31" s="96"/>
      <c r="Q31" s="1159"/>
      <c r="R31" s="1159"/>
      <c r="S31" s="1159"/>
      <c r="T31" s="1159"/>
      <c r="U31" s="109"/>
      <c r="V31" s="1491"/>
      <c r="W31" s="383"/>
    </row>
    <row r="32" spans="1:24" ht="12" customHeight="1">
      <c r="A32" s="208" t="s">
        <v>702</v>
      </c>
      <c r="B32" s="358"/>
      <c r="C32" s="2018"/>
      <c r="D32" s="5068"/>
      <c r="E32" s="5069"/>
      <c r="F32" s="2209"/>
      <c r="G32" s="2209"/>
      <c r="H32" s="2198"/>
      <c r="I32" s="2198"/>
      <c r="J32" s="3444"/>
      <c r="K32" s="826"/>
      <c r="L32" s="382"/>
      <c r="M32" s="360"/>
      <c r="N32" s="96"/>
      <c r="O32" s="5070"/>
      <c r="P32" s="5071"/>
      <c r="Q32" s="2211"/>
      <c r="R32" s="2211"/>
      <c r="S32" s="1159"/>
      <c r="T32" s="1159"/>
      <c r="U32" s="2006"/>
      <c r="V32" s="826"/>
      <c r="W32" s="383"/>
      <c r="X32" s="2351" t="str">
        <f>IF(X34=FALSE,"If UR and IC values differ significantly, check accuracy of input parameter values used in the IC formula."," ")</f>
        <v xml:space="preserve"> </v>
      </c>
    </row>
    <row r="33" spans="1:32" ht="2.25" customHeight="1">
      <c r="A33" s="209"/>
      <c r="B33" s="358"/>
      <c r="C33" s="382"/>
      <c r="D33" s="499"/>
      <c r="E33" s="382"/>
      <c r="F33" s="1132"/>
      <c r="G33" s="1132"/>
      <c r="H33" s="1132"/>
      <c r="I33" s="1132"/>
      <c r="J33" s="3382"/>
      <c r="K33" s="499"/>
      <c r="L33" s="382"/>
      <c r="M33" s="360"/>
      <c r="N33" s="96"/>
      <c r="O33" s="501"/>
      <c r="P33" s="96"/>
      <c r="Q33" s="1159"/>
      <c r="R33" s="1159"/>
      <c r="S33" s="1159"/>
      <c r="T33" s="1159"/>
      <c r="U33" s="109"/>
      <c r="V33" s="501"/>
      <c r="W33" s="383"/>
      <c r="X33" s="21"/>
    </row>
    <row r="34" spans="1:32" ht="12" customHeight="1">
      <c r="A34" s="208" t="s">
        <v>712</v>
      </c>
      <c r="B34" s="358"/>
      <c r="C34" s="2018"/>
      <c r="D34" s="5027">
        <f>H28</f>
        <v>0.43834999999999996</v>
      </c>
      <c r="E34" s="5028"/>
      <c r="F34" s="2209"/>
      <c r="G34" s="2209"/>
      <c r="H34" s="2198"/>
      <c r="I34" s="2198"/>
      <c r="J34" s="3444"/>
      <c r="K34" s="2056" t="s">
        <v>592</v>
      </c>
      <c r="L34" s="382"/>
      <c r="M34" s="360"/>
      <c r="N34" s="96"/>
      <c r="O34" s="5033">
        <f>S28</f>
        <v>0.38324999999999998</v>
      </c>
      <c r="P34" s="5034"/>
      <c r="Q34" s="2211"/>
      <c r="R34" s="2211"/>
      <c r="S34" s="1159"/>
      <c r="T34" s="1159"/>
      <c r="U34" s="2006"/>
      <c r="V34" s="2057" t="s">
        <v>592</v>
      </c>
      <c r="W34" s="383"/>
      <c r="X34" s="3651" t="str">
        <f>IF(Options!AW14=2,IF(Options!AX14=2," ",FALSE))</f>
        <v xml:space="preserve"> </v>
      </c>
    </row>
    <row r="35" spans="1:32" ht="5.25" customHeight="1">
      <c r="A35" s="286"/>
      <c r="B35" s="498"/>
      <c r="C35" s="499"/>
      <c r="D35" s="499"/>
      <c r="E35" s="499"/>
      <c r="F35" s="899"/>
      <c r="G35" s="899"/>
      <c r="H35" s="899"/>
      <c r="I35" s="899"/>
      <c r="J35" s="3387"/>
      <c r="K35" s="499"/>
      <c r="L35" s="499"/>
      <c r="M35" s="500"/>
      <c r="N35" s="501"/>
      <c r="O35" s="501"/>
      <c r="P35" s="501"/>
      <c r="Q35" s="906"/>
      <c r="R35" s="906"/>
      <c r="S35" s="906"/>
      <c r="T35" s="906"/>
      <c r="U35" s="110"/>
      <c r="V35" s="501"/>
      <c r="W35" s="648"/>
    </row>
    <row r="36" spans="1:32" ht="5.25" customHeight="1">
      <c r="A36" s="281"/>
      <c r="B36" s="358"/>
      <c r="C36" s="382"/>
      <c r="D36" s="382"/>
      <c r="E36" s="382"/>
      <c r="F36" s="1132"/>
      <c r="G36" s="1132"/>
      <c r="H36" s="1132"/>
      <c r="I36" s="1132"/>
      <c r="J36" s="3382"/>
      <c r="K36" s="382"/>
      <c r="L36" s="382"/>
      <c r="M36" s="360"/>
      <c r="N36" s="96"/>
      <c r="O36" s="96"/>
      <c r="P36" s="96"/>
      <c r="Q36" s="1159"/>
      <c r="R36" s="1159"/>
      <c r="S36" s="1159"/>
      <c r="T36" s="1159"/>
      <c r="U36" s="109"/>
      <c r="V36" s="96"/>
      <c r="W36" s="383"/>
    </row>
    <row r="37" spans="1:32" ht="12" customHeight="1">
      <c r="A37" s="221" t="s">
        <v>1140</v>
      </c>
      <c r="B37" s="358"/>
      <c r="C37" s="5000">
        <f>Defaults!$J$88</f>
        <v>0.24</v>
      </c>
      <c r="D37" s="5001"/>
      <c r="E37" s="382"/>
      <c r="F37" s="1132"/>
      <c r="G37" s="1132"/>
      <c r="H37" s="1132"/>
      <c r="I37" s="1132"/>
      <c r="J37" s="3382"/>
      <c r="K37" s="2056">
        <v>2</v>
      </c>
      <c r="L37" s="382"/>
      <c r="M37" s="360"/>
      <c r="N37" s="4996">
        <f>Defaults!$J$88</f>
        <v>0.24</v>
      </c>
      <c r="O37" s="4997"/>
      <c r="P37" s="96"/>
      <c r="Q37" s="1159"/>
      <c r="R37" s="1159"/>
      <c r="S37" s="1159"/>
      <c r="T37" s="1159"/>
      <c r="U37" s="109"/>
      <c r="V37" s="2057">
        <v>2</v>
      </c>
      <c r="W37" s="383"/>
    </row>
    <row r="38" spans="1:32" ht="5.25" customHeight="1">
      <c r="A38" s="286"/>
      <c r="B38" s="498"/>
      <c r="C38" s="499"/>
      <c r="D38" s="499"/>
      <c r="E38" s="499"/>
      <c r="F38" s="899"/>
      <c r="G38" s="899"/>
      <c r="H38" s="899"/>
      <c r="I38" s="899"/>
      <c r="J38" s="3387"/>
      <c r="K38" s="499"/>
      <c r="L38" s="499"/>
      <c r="M38" s="500"/>
      <c r="N38" s="501"/>
      <c r="O38" s="501"/>
      <c r="P38" s="501"/>
      <c r="Q38" s="906"/>
      <c r="R38" s="906"/>
      <c r="S38" s="906"/>
      <c r="T38" s="906"/>
      <c r="U38" s="110"/>
      <c r="V38" s="501"/>
      <c r="W38" s="648"/>
    </row>
    <row r="39" spans="1:32" ht="6" customHeight="1">
      <c r="A39" s="281"/>
      <c r="B39" s="358"/>
      <c r="C39" s="382"/>
      <c r="D39" s="382"/>
      <c r="E39" s="382"/>
      <c r="F39" s="1132"/>
      <c r="G39" s="1132"/>
      <c r="H39" s="1132"/>
      <c r="I39" s="1132"/>
      <c r="J39" s="3382"/>
      <c r="K39" s="382"/>
      <c r="L39" s="382"/>
      <c r="M39" s="360"/>
      <c r="N39" s="96"/>
      <c r="O39" s="96"/>
      <c r="P39" s="96"/>
      <c r="Q39" s="1159"/>
      <c r="R39" s="1159"/>
      <c r="S39" s="1159"/>
      <c r="T39" s="1159"/>
      <c r="U39" s="109"/>
      <c r="V39" s="96"/>
      <c r="W39" s="383"/>
    </row>
    <row r="40" spans="1:32">
      <c r="A40" s="3218" t="s">
        <v>1101</v>
      </c>
      <c r="B40" s="358"/>
      <c r="C40" s="1501" t="s">
        <v>118</v>
      </c>
      <c r="D40" s="382"/>
      <c r="E40" s="382"/>
      <c r="F40" s="1132"/>
      <c r="G40" s="1132"/>
      <c r="H40" s="1132"/>
      <c r="I40" s="1132"/>
      <c r="J40" s="3382"/>
      <c r="K40" s="382"/>
      <c r="L40" s="382"/>
      <c r="M40" s="360"/>
      <c r="N40" s="1502" t="s">
        <v>118</v>
      </c>
      <c r="O40" s="96"/>
      <c r="P40" s="96"/>
      <c r="Q40" s="1159"/>
      <c r="R40" s="1159"/>
      <c r="S40" s="1159"/>
      <c r="T40" s="1159"/>
      <c r="U40" s="109"/>
      <c r="V40" s="96"/>
      <c r="W40" s="383"/>
    </row>
    <row r="41" spans="1:32" s="21" customFormat="1" ht="12" customHeight="1">
      <c r="A41" s="208" t="s">
        <v>702</v>
      </c>
      <c r="B41" s="227"/>
      <c r="C41" s="186"/>
      <c r="D41" s="5062"/>
      <c r="E41" s="5063"/>
      <c r="F41" s="3445"/>
      <c r="G41" s="3445"/>
      <c r="H41" s="876"/>
      <c r="I41" s="876"/>
      <c r="J41" s="878"/>
      <c r="K41" s="2028"/>
      <c r="L41" s="280"/>
      <c r="M41" s="44"/>
      <c r="N41" s="44"/>
      <c r="O41" s="5062"/>
      <c r="P41" s="5063"/>
      <c r="Q41" s="3291"/>
      <c r="R41" s="3291"/>
      <c r="S41" s="880"/>
      <c r="T41" s="880"/>
      <c r="U41" s="41"/>
      <c r="V41" s="2028"/>
      <c r="W41" s="279"/>
      <c r="X41" s="1508"/>
    </row>
    <row r="42" spans="1:32" s="21" customFormat="1" ht="2.25" customHeight="1">
      <c r="A42" s="206"/>
      <c r="B42" s="227"/>
      <c r="C42" s="186"/>
      <c r="D42" s="186"/>
      <c r="E42" s="171"/>
      <c r="F42" s="316"/>
      <c r="G42" s="316"/>
      <c r="H42" s="876"/>
      <c r="I42" s="876"/>
      <c r="J42" s="878"/>
      <c r="K42" s="171"/>
      <c r="L42" s="280"/>
      <c r="M42" s="44"/>
      <c r="N42" s="44"/>
      <c r="O42" s="44"/>
      <c r="P42" s="42"/>
      <c r="Q42" s="317"/>
      <c r="R42" s="317"/>
      <c r="S42" s="880"/>
      <c r="T42" s="880"/>
      <c r="U42" s="41"/>
      <c r="V42" s="42"/>
      <c r="W42" s="279"/>
      <c r="X42" s="23"/>
    </row>
    <row r="43" spans="1:32" s="21" customFormat="1" ht="12" customHeight="1">
      <c r="A43" s="208" t="s">
        <v>631</v>
      </c>
      <c r="B43" s="227"/>
      <c r="C43" s="186"/>
      <c r="D43" s="5064">
        <f>VLOOKUP(Options!AW10,Defaults!H20:L69,5,FALSE)</f>
        <v>0.65</v>
      </c>
      <c r="E43" s="5065"/>
      <c r="F43" s="3445"/>
      <c r="G43" s="3445"/>
      <c r="H43" s="876"/>
      <c r="I43" s="876"/>
      <c r="J43" s="878"/>
      <c r="K43" s="2056">
        <v>3</v>
      </c>
      <c r="L43" s="280"/>
      <c r="M43" s="44"/>
      <c r="N43" s="44"/>
      <c r="O43" s="5066">
        <f>VLOOKUP(Options!AX10,Defaults!H20:L69,5,FALSE)</f>
        <v>0.65</v>
      </c>
      <c r="P43" s="5067"/>
      <c r="Q43" s="3291"/>
      <c r="R43" s="3291"/>
      <c r="S43" s="880"/>
      <c r="T43" s="880"/>
      <c r="U43" s="41"/>
      <c r="V43" s="2057">
        <v>3</v>
      </c>
      <c r="W43" s="279"/>
      <c r="X43" s="2005"/>
    </row>
    <row r="44" spans="1:32" ht="6" customHeight="1">
      <c r="A44" s="286"/>
      <c r="B44" s="498"/>
      <c r="C44" s="499"/>
      <c r="D44" s="499"/>
      <c r="E44" s="499"/>
      <c r="F44" s="899"/>
      <c r="G44" s="899"/>
      <c r="H44" s="899"/>
      <c r="I44" s="899"/>
      <c r="J44" s="3387"/>
      <c r="K44" s="499"/>
      <c r="L44" s="499"/>
      <c r="M44" s="500"/>
      <c r="N44" s="501"/>
      <c r="O44" s="501"/>
      <c r="P44" s="501"/>
      <c r="Q44" s="501"/>
      <c r="R44" s="501"/>
      <c r="S44" s="501"/>
      <c r="T44" s="501"/>
      <c r="U44" s="110"/>
      <c r="V44" s="501"/>
      <c r="W44" s="648"/>
    </row>
    <row r="45" spans="1:32" ht="20.25" customHeight="1">
      <c r="A45" s="4552" t="s">
        <v>976</v>
      </c>
      <c r="B45" s="4553"/>
      <c r="C45" s="4553"/>
      <c r="D45" s="4553"/>
      <c r="E45" s="4553"/>
      <c r="F45" s="4553"/>
      <c r="G45" s="4553"/>
      <c r="H45" s="4553"/>
      <c r="I45" s="4553"/>
      <c r="J45" s="4553"/>
      <c r="K45" s="4553"/>
      <c r="L45" s="4553"/>
      <c r="M45" s="4553"/>
      <c r="N45" s="4553"/>
      <c r="O45" s="4553"/>
      <c r="P45" s="4553"/>
      <c r="Q45" s="4553"/>
      <c r="R45" s="4553"/>
      <c r="S45" s="4553"/>
      <c r="T45" s="4553"/>
      <c r="U45" s="4553"/>
      <c r="V45" s="4553"/>
      <c r="W45" s="4554"/>
      <c r="X45" s="1029" t="s">
        <v>866</v>
      </c>
      <c r="Y45" s="3598" t="s">
        <v>1</v>
      </c>
      <c r="Z45" s="6"/>
      <c r="AA45" s="6"/>
      <c r="AB45" s="6"/>
      <c r="AC45" s="6"/>
      <c r="AD45" s="6"/>
      <c r="AE45" s="6"/>
      <c r="AF45" s="23"/>
    </row>
    <row r="46" spans="1:32" ht="5.25" customHeight="1">
      <c r="A46" s="281"/>
      <c r="B46" s="358"/>
      <c r="C46" s="382"/>
      <c r="D46" s="382"/>
      <c r="E46" s="382"/>
      <c r="F46" s="382"/>
      <c r="G46" s="382"/>
      <c r="H46" s="382"/>
      <c r="I46" s="382"/>
      <c r="J46" s="372"/>
      <c r="K46" s="382"/>
      <c r="L46" s="382"/>
      <c r="M46" s="360"/>
      <c r="N46" s="96"/>
      <c r="O46" s="96"/>
      <c r="P46" s="96"/>
      <c r="Q46" s="96"/>
      <c r="R46" s="96"/>
      <c r="S46" s="96"/>
      <c r="T46" s="96"/>
      <c r="U46" s="109"/>
      <c r="V46" s="96"/>
      <c r="W46" s="383"/>
      <c r="Y46" s="3599"/>
      <c r="Z46" s="6"/>
      <c r="AA46" s="6"/>
      <c r="AB46" s="6"/>
      <c r="AC46" s="6"/>
      <c r="AD46" s="6"/>
      <c r="AE46" s="6"/>
      <c r="AF46" s="6"/>
    </row>
    <row r="47" spans="1:32">
      <c r="A47" s="267" t="s">
        <v>304</v>
      </c>
      <c r="B47" s="358"/>
      <c r="C47" s="186"/>
      <c r="D47" s="382"/>
      <c r="E47" s="382"/>
      <c r="F47" s="382"/>
      <c r="G47" s="382"/>
      <c r="H47" s="382"/>
      <c r="I47" s="382"/>
      <c r="J47" s="372"/>
      <c r="K47" s="382"/>
      <c r="L47" s="382"/>
      <c r="M47" s="360"/>
      <c r="N47" s="96"/>
      <c r="O47" s="96"/>
      <c r="P47" s="96"/>
      <c r="Q47" s="96"/>
      <c r="R47" s="96"/>
      <c r="S47" s="96"/>
      <c r="T47" s="96"/>
      <c r="U47" s="109"/>
      <c r="V47" s="96"/>
      <c r="W47" s="383"/>
      <c r="Y47" s="3599"/>
      <c r="Z47" s="6"/>
      <c r="AA47" s="6"/>
      <c r="AB47" s="6"/>
      <c r="AC47" s="6"/>
      <c r="AD47" s="6"/>
      <c r="AE47" s="6"/>
      <c r="AF47" s="6"/>
    </row>
    <row r="48" spans="1:32" ht="3" customHeight="1">
      <c r="A48" s="620"/>
      <c r="B48" s="358"/>
      <c r="C48" s="382"/>
      <c r="D48" s="382"/>
      <c r="E48" s="382"/>
      <c r="F48" s="382"/>
      <c r="G48" s="382"/>
      <c r="H48" s="382"/>
      <c r="I48" s="382"/>
      <c r="J48" s="372"/>
      <c r="K48" s="382"/>
      <c r="L48" s="382"/>
      <c r="M48" s="360"/>
      <c r="N48" s="96"/>
      <c r="O48" s="96"/>
      <c r="P48" s="96"/>
      <c r="Q48" s="96"/>
      <c r="R48" s="96"/>
      <c r="S48" s="96"/>
      <c r="T48" s="96"/>
      <c r="U48" s="109"/>
      <c r="V48" s="96"/>
      <c r="W48" s="383"/>
      <c r="Y48" s="3599"/>
      <c r="Z48" s="6"/>
      <c r="AA48" s="6"/>
      <c r="AB48" s="6"/>
      <c r="AC48" s="6"/>
      <c r="AD48" s="6"/>
      <c r="AE48" s="6"/>
      <c r="AF48" s="6"/>
    </row>
    <row r="49" spans="1:32" ht="12" customHeight="1">
      <c r="A49" s="209" t="s">
        <v>302</v>
      </c>
      <c r="B49" s="358"/>
      <c r="C49" s="5000">
        <f>0.386*(F1_Lact_Cow_Weight_kg^0.75)</f>
        <v>46.801140587329108</v>
      </c>
      <c r="D49" s="5001"/>
      <c r="E49" s="382"/>
      <c r="F49" s="382"/>
      <c r="G49" s="382"/>
      <c r="H49" s="382"/>
      <c r="I49" s="382"/>
      <c r="J49" s="1191"/>
      <c r="K49" s="2056">
        <v>4</v>
      </c>
      <c r="L49" s="382"/>
      <c r="M49" s="360"/>
      <c r="N49" s="4996">
        <f>0.386*(F2_Lact_Cow_Weight_kg^0.75)</f>
        <v>46.801140587329108</v>
      </c>
      <c r="O49" s="4997"/>
      <c r="P49" s="96"/>
      <c r="Q49" s="96"/>
      <c r="R49" s="96"/>
      <c r="S49" s="96"/>
      <c r="T49" s="96"/>
      <c r="U49" s="1193"/>
      <c r="V49" s="2057">
        <v>4</v>
      </c>
      <c r="W49" s="383"/>
      <c r="X49" s="3595" t="s">
        <v>1142</v>
      </c>
      <c r="Y49" s="3600" t="s">
        <v>1138</v>
      </c>
      <c r="Z49" s="6"/>
      <c r="AA49" s="6"/>
      <c r="AB49" s="6"/>
      <c r="AC49" s="6"/>
      <c r="AD49" s="6"/>
      <c r="AE49" s="6"/>
      <c r="AF49" s="6"/>
    </row>
    <row r="50" spans="1:32" ht="3" customHeight="1">
      <c r="A50" s="1493"/>
      <c r="B50" s="358"/>
      <c r="C50" s="1497"/>
      <c r="D50" s="1497"/>
      <c r="E50" s="382"/>
      <c r="F50" s="382"/>
      <c r="G50" s="382"/>
      <c r="H50" s="382"/>
      <c r="I50" s="382"/>
      <c r="J50" s="372"/>
      <c r="K50" s="382"/>
      <c r="L50" s="382"/>
      <c r="M50" s="360"/>
      <c r="N50" s="1496"/>
      <c r="O50" s="1496"/>
      <c r="P50" s="96"/>
      <c r="Q50" s="96"/>
      <c r="R50" s="96"/>
      <c r="S50" s="96"/>
      <c r="T50" s="96"/>
      <c r="U50" s="109"/>
      <c r="V50" s="96"/>
      <c r="W50" s="383"/>
      <c r="X50" s="3596"/>
      <c r="Y50" s="3599"/>
      <c r="Z50" s="6"/>
      <c r="AA50" s="6"/>
      <c r="AB50" s="6"/>
      <c r="AC50" s="6"/>
      <c r="AD50" s="6"/>
      <c r="AE50" s="6"/>
      <c r="AF50" s="6"/>
    </row>
    <row r="51" spans="1:32" ht="12.75" customHeight="1">
      <c r="A51" s="209" t="s">
        <v>357</v>
      </c>
      <c r="B51" s="358"/>
      <c r="C51" s="5000">
        <f>F1_NE_maintenance*IF(F1_Organic=TRUE,0.17,0)</f>
        <v>0</v>
      </c>
      <c r="D51" s="5001"/>
      <c r="E51" s="382"/>
      <c r="F51" s="382"/>
      <c r="G51" s="382"/>
      <c r="H51" s="382"/>
      <c r="I51" s="382"/>
      <c r="J51" s="372"/>
      <c r="K51" s="2056">
        <v>4</v>
      </c>
      <c r="L51" s="382"/>
      <c r="M51" s="360"/>
      <c r="N51" s="4996">
        <f>F2_NE_maintenance*IF(F2_Organic=TRUE,0.17,0)</f>
        <v>0</v>
      </c>
      <c r="O51" s="4997"/>
      <c r="P51" s="96"/>
      <c r="Q51" s="96"/>
      <c r="R51" s="96"/>
      <c r="S51" s="96"/>
      <c r="T51" s="96"/>
      <c r="U51" s="109"/>
      <c r="V51" s="2057">
        <v>4</v>
      </c>
      <c r="W51" s="383"/>
      <c r="X51" s="1506" t="s">
        <v>1143</v>
      </c>
      <c r="Y51" s="3600" t="s">
        <v>1139</v>
      </c>
      <c r="Z51" s="6"/>
      <c r="AA51" s="6"/>
      <c r="AB51" s="6"/>
      <c r="AC51" s="6"/>
      <c r="AD51" s="6"/>
      <c r="AE51" s="23"/>
      <c r="AF51" s="23"/>
    </row>
    <row r="52" spans="1:32" ht="3" customHeight="1">
      <c r="A52" s="620"/>
      <c r="B52" s="358"/>
      <c r="C52" s="1497"/>
      <c r="D52" s="1497"/>
      <c r="E52" s="382"/>
      <c r="F52" s="382"/>
      <c r="G52" s="382"/>
      <c r="H52" s="382"/>
      <c r="I52" s="382"/>
      <c r="J52" s="372"/>
      <c r="K52" s="382"/>
      <c r="L52" s="382"/>
      <c r="M52" s="360"/>
      <c r="N52" s="1496"/>
      <c r="O52" s="1496"/>
      <c r="P52" s="96"/>
      <c r="Q52" s="96"/>
      <c r="R52" s="96"/>
      <c r="S52" s="96"/>
      <c r="T52" s="96"/>
      <c r="U52" s="109"/>
      <c r="V52" s="96"/>
      <c r="W52" s="383"/>
      <c r="X52" s="3596"/>
      <c r="Y52" s="3599"/>
      <c r="Z52" s="6"/>
      <c r="AA52" s="6"/>
      <c r="AB52" s="6"/>
      <c r="AC52" s="6"/>
      <c r="AD52" s="6"/>
      <c r="AE52" s="6"/>
      <c r="AF52" s="6"/>
    </row>
    <row r="53" spans="1:32" ht="12.75" customHeight="1">
      <c r="A53" s="209" t="s">
        <v>359</v>
      </c>
      <c r="B53" s="358"/>
      <c r="C53" s="5000">
        <f>F1_Unadjusted_Milk_Production_kg_day*(1.47+0.4*F1_Percent_Milk_Fat)</f>
        <v>97.635740895382114</v>
      </c>
      <c r="D53" s="5001"/>
      <c r="E53" s="382"/>
      <c r="F53" s="382"/>
      <c r="G53" s="382"/>
      <c r="H53" s="382"/>
      <c r="I53" s="382"/>
      <c r="J53" s="1191"/>
      <c r="K53" s="2056">
        <v>4</v>
      </c>
      <c r="L53" s="382"/>
      <c r="M53" s="360"/>
      <c r="N53" s="4996">
        <f>F2_Unadjusted_Milk_Production_kg_day*(1.47+0.4*F2_Percent_Milk_Fat)</f>
        <v>86.150784056956667</v>
      </c>
      <c r="O53" s="4997"/>
      <c r="P53" s="1498"/>
      <c r="Q53" s="1498"/>
      <c r="R53" s="1498"/>
      <c r="S53" s="44"/>
      <c r="T53" s="44"/>
      <c r="U53" s="1193"/>
      <c r="V53" s="2057">
        <v>4</v>
      </c>
      <c r="W53" s="383"/>
      <c r="X53" s="1507" t="s">
        <v>1144</v>
      </c>
      <c r="Y53" s="3599" t="s">
        <v>1141</v>
      </c>
      <c r="Z53" s="6"/>
      <c r="AA53" s="6"/>
      <c r="AB53" s="6"/>
      <c r="AC53" s="6"/>
      <c r="AD53" s="6"/>
      <c r="AE53" s="6"/>
      <c r="AF53" s="6"/>
    </row>
    <row r="54" spans="1:32" ht="3" customHeight="1">
      <c r="A54" s="620"/>
      <c r="B54" s="358"/>
      <c r="C54" s="1497"/>
      <c r="D54" s="1497"/>
      <c r="E54" s="382"/>
      <c r="F54" s="382"/>
      <c r="G54" s="382"/>
      <c r="H54" s="382"/>
      <c r="I54" s="382"/>
      <c r="J54" s="372"/>
      <c r="K54" s="382"/>
      <c r="L54" s="382"/>
      <c r="M54" s="360"/>
      <c r="N54" s="1496"/>
      <c r="O54" s="1496"/>
      <c r="P54" s="96"/>
      <c r="Q54" s="96"/>
      <c r="R54" s="96"/>
      <c r="S54" s="96"/>
      <c r="T54" s="96"/>
      <c r="U54" s="109"/>
      <c r="V54" s="96"/>
      <c r="W54" s="383"/>
      <c r="Y54" s="3599"/>
      <c r="Z54" s="6"/>
      <c r="AA54" s="6"/>
      <c r="AB54" s="6"/>
      <c r="AC54" s="6"/>
      <c r="AD54" s="6"/>
      <c r="AE54" s="6"/>
      <c r="AF54" s="6"/>
    </row>
    <row r="55" spans="1:32">
      <c r="A55" s="209" t="s">
        <v>358</v>
      </c>
      <c r="B55" s="358"/>
      <c r="C55" s="5000">
        <f>F1_NE_maintenance*0.1</f>
        <v>4.6801140587329106</v>
      </c>
      <c r="D55" s="5001"/>
      <c r="E55" s="382"/>
      <c r="F55" s="382"/>
      <c r="G55" s="382"/>
      <c r="H55" s="382"/>
      <c r="I55" s="382"/>
      <c r="J55" s="1191"/>
      <c r="K55" s="2056">
        <v>4</v>
      </c>
      <c r="L55" s="382"/>
      <c r="M55" s="360"/>
      <c r="N55" s="4996">
        <f>F2_NE_maintenance*0.1</f>
        <v>4.6801140587329106</v>
      </c>
      <c r="O55" s="4997"/>
      <c r="P55" s="96"/>
      <c r="Q55" s="96"/>
      <c r="R55" s="96"/>
      <c r="S55" s="96"/>
      <c r="T55" s="96"/>
      <c r="U55" s="1193"/>
      <c r="V55" s="2057">
        <v>4</v>
      </c>
      <c r="W55" s="383"/>
      <c r="Y55" s="3599"/>
      <c r="Z55" s="6"/>
      <c r="AA55" s="6"/>
      <c r="AB55" s="6"/>
      <c r="AC55" s="6"/>
      <c r="AD55" s="6"/>
      <c r="AE55" s="6"/>
      <c r="AF55" s="6"/>
    </row>
    <row r="56" spans="1:32" ht="6" customHeight="1">
      <c r="A56" s="620"/>
      <c r="B56" s="358"/>
      <c r="C56" s="1497"/>
      <c r="D56" s="1497"/>
      <c r="E56" s="382"/>
      <c r="F56" s="382"/>
      <c r="G56" s="382"/>
      <c r="H56" s="382"/>
      <c r="I56" s="382"/>
      <c r="J56" s="372"/>
      <c r="K56" s="382"/>
      <c r="L56" s="382"/>
      <c r="M56" s="360"/>
      <c r="N56" s="1496"/>
      <c r="O56" s="1496"/>
      <c r="P56" s="96"/>
      <c r="Q56" s="96"/>
      <c r="R56" s="96"/>
      <c r="S56" s="96"/>
      <c r="T56" s="96"/>
      <c r="U56" s="109"/>
      <c r="V56" s="96"/>
      <c r="W56" s="383"/>
      <c r="Y56" s="3599"/>
      <c r="Z56" s="6"/>
      <c r="AA56" s="6"/>
      <c r="AB56" s="6"/>
      <c r="AC56" s="6"/>
      <c r="AD56" s="6"/>
      <c r="AE56" s="6"/>
      <c r="AF56" s="6"/>
    </row>
    <row r="57" spans="1:32">
      <c r="A57" s="220" t="s">
        <v>303</v>
      </c>
      <c r="B57" s="358"/>
      <c r="C57" s="5029">
        <f>(F1_NE_maintenance+F1_NE_activity+F1_NE_lactation+F1_NE_pregnancy)</f>
        <v>149.11699554144411</v>
      </c>
      <c r="D57" s="5030"/>
      <c r="E57" s="1032" t="s">
        <v>583</v>
      </c>
      <c r="F57" s="1032"/>
      <c r="G57" s="1032"/>
      <c r="H57" s="1032"/>
      <c r="I57" s="1032"/>
      <c r="J57" s="2048"/>
      <c r="K57" s="1032"/>
      <c r="L57" s="1032"/>
      <c r="M57" s="1036"/>
      <c r="N57" s="5031">
        <f>(F2_NE_maintenance+F2_NE_activity+F2_NE_lactation+F2_NE_pregnancy)</f>
        <v>137.63203870301868</v>
      </c>
      <c r="O57" s="5032"/>
      <c r="P57" s="1037" t="s">
        <v>583</v>
      </c>
      <c r="Q57" s="1037"/>
      <c r="R57" s="1037"/>
      <c r="S57" s="1037"/>
      <c r="T57" s="1037"/>
      <c r="U57" s="1193"/>
      <c r="V57" s="44"/>
      <c r="W57" s="383"/>
      <c r="X57" s="21"/>
      <c r="Y57" s="3599"/>
      <c r="Z57" s="6"/>
      <c r="AA57" s="6"/>
      <c r="AB57" s="6"/>
      <c r="AC57" s="6"/>
      <c r="AD57" s="6"/>
      <c r="AE57" s="6"/>
      <c r="AF57" s="6"/>
    </row>
    <row r="58" spans="1:32" ht="5.25" customHeight="1">
      <c r="A58" s="286"/>
      <c r="B58" s="498"/>
      <c r="C58" s="2049"/>
      <c r="D58" s="2049"/>
      <c r="E58" s="2049"/>
      <c r="F58" s="2049"/>
      <c r="G58" s="2049"/>
      <c r="H58" s="2049"/>
      <c r="I58" s="2049"/>
      <c r="J58" s="2050"/>
      <c r="K58" s="2049"/>
      <c r="L58" s="2049"/>
      <c r="M58" s="2051"/>
      <c r="N58" s="2052"/>
      <c r="O58" s="2052"/>
      <c r="P58" s="2052"/>
      <c r="Q58" s="2052"/>
      <c r="R58" s="2052"/>
      <c r="S58" s="2052"/>
      <c r="T58" s="2052"/>
      <c r="U58" s="110"/>
      <c r="V58" s="501"/>
      <c r="W58" s="648"/>
      <c r="Y58" s="3599"/>
      <c r="Z58" s="6"/>
      <c r="AA58" s="6"/>
      <c r="AB58" s="6"/>
      <c r="AC58" s="6"/>
      <c r="AD58" s="6"/>
      <c r="AE58" s="6"/>
      <c r="AF58" s="6"/>
    </row>
    <row r="59" spans="1:32" ht="6" customHeight="1">
      <c r="A59" s="281"/>
      <c r="B59" s="358"/>
      <c r="C59" s="382"/>
      <c r="D59" s="382"/>
      <c r="E59" s="382"/>
      <c r="F59" s="382"/>
      <c r="G59" s="382"/>
      <c r="H59" s="382"/>
      <c r="I59" s="382"/>
      <c r="J59" s="372"/>
      <c r="K59" s="382"/>
      <c r="L59" s="382"/>
      <c r="M59" s="360"/>
      <c r="N59" s="96"/>
      <c r="O59" s="96"/>
      <c r="P59" s="96"/>
      <c r="Q59" s="96"/>
      <c r="R59" s="96"/>
      <c r="S59" s="96"/>
      <c r="T59" s="96"/>
      <c r="U59" s="109"/>
      <c r="V59" s="96"/>
      <c r="W59" s="383"/>
      <c r="X59" s="6"/>
      <c r="Y59" s="3599"/>
      <c r="Z59" s="6"/>
      <c r="AA59" s="6"/>
      <c r="AB59" s="6"/>
      <c r="AC59" s="6"/>
      <c r="AD59" s="6"/>
      <c r="AE59" s="6"/>
      <c r="AF59" s="6"/>
    </row>
    <row r="60" spans="1:32">
      <c r="A60" s="1571" t="s">
        <v>499</v>
      </c>
      <c r="B60" s="358"/>
      <c r="C60" s="5027">
        <f xml:space="preserve"> (1.123-(0.004092*F1_Diet_Digestibility*100)+(0.00001126*((F1_Diet_Digestibility*100)^2)))-(25.4/(F1_Diet_Digestibility*100))</f>
        <v>0.51382426923076918</v>
      </c>
      <c r="D60" s="5028"/>
      <c r="E60" s="186" t="s">
        <v>58</v>
      </c>
      <c r="F60" s="186"/>
      <c r="G60" s="186"/>
      <c r="H60" s="382"/>
      <c r="I60" s="382"/>
      <c r="J60" s="372"/>
      <c r="K60" s="2056">
        <v>4</v>
      </c>
      <c r="L60" s="382"/>
      <c r="M60" s="360"/>
      <c r="N60" s="5033">
        <f xml:space="preserve"> (1.123-(0.004092*F2_Diet_Digestibility*100)+(0.00001126*((F2_Diet_Digestibility*100)^2)))-(25.4/(F2_Diet_Digestibility*100))</f>
        <v>0.51382426923076918</v>
      </c>
      <c r="O60" s="5034"/>
      <c r="P60" s="44" t="s">
        <v>58</v>
      </c>
      <c r="Q60" s="44"/>
      <c r="R60" s="44"/>
      <c r="S60" s="96"/>
      <c r="T60" s="96"/>
      <c r="U60" s="109"/>
      <c r="V60" s="2057">
        <v>4</v>
      </c>
      <c r="W60" s="383"/>
      <c r="X60" s="3597" t="s">
        <v>1102</v>
      </c>
      <c r="Y60" s="3599"/>
      <c r="Z60" s="6"/>
      <c r="AA60" s="6"/>
      <c r="AB60" s="6"/>
      <c r="AC60" s="6"/>
      <c r="AD60" s="6"/>
      <c r="AE60" s="6"/>
      <c r="AF60" s="6"/>
    </row>
    <row r="61" spans="1:32" ht="6" customHeight="1">
      <c r="A61" s="286"/>
      <c r="B61" s="498"/>
      <c r="C61" s="499"/>
      <c r="D61" s="499"/>
      <c r="E61" s="499"/>
      <c r="F61" s="499"/>
      <c r="G61" s="499"/>
      <c r="H61" s="499"/>
      <c r="I61" s="499"/>
      <c r="J61" s="825"/>
      <c r="K61" s="499"/>
      <c r="L61" s="499"/>
      <c r="M61" s="500"/>
      <c r="N61" s="501"/>
      <c r="O61" s="501"/>
      <c r="P61" s="501"/>
      <c r="Q61" s="501"/>
      <c r="R61" s="501"/>
      <c r="S61" s="501"/>
      <c r="T61" s="501"/>
      <c r="U61" s="110"/>
      <c r="V61" s="501"/>
      <c r="W61" s="648"/>
      <c r="X61" s="6"/>
      <c r="Y61" s="3599"/>
      <c r="Z61" s="6"/>
      <c r="AA61" s="6"/>
      <c r="AB61" s="6"/>
      <c r="AC61" s="6"/>
      <c r="AD61" s="6"/>
      <c r="AE61" s="6"/>
      <c r="AF61" s="6"/>
    </row>
    <row r="62" spans="1:32" ht="6" customHeight="1">
      <c r="A62" s="620"/>
      <c r="B62" s="358"/>
      <c r="C62" s="382"/>
      <c r="D62" s="382"/>
      <c r="E62" s="382"/>
      <c r="F62" s="382"/>
      <c r="G62" s="382"/>
      <c r="H62" s="382"/>
      <c r="I62" s="382"/>
      <c r="J62" s="372"/>
      <c r="K62" s="382"/>
      <c r="L62" s="382"/>
      <c r="M62" s="360"/>
      <c r="N62" s="96"/>
      <c r="O62" s="96"/>
      <c r="P62" s="96"/>
      <c r="Q62" s="96"/>
      <c r="R62" s="96"/>
      <c r="S62" s="96"/>
      <c r="T62" s="96"/>
      <c r="U62" s="109"/>
      <c r="V62" s="96"/>
      <c r="W62" s="383"/>
      <c r="Y62" s="3599"/>
      <c r="Z62" s="6"/>
      <c r="AA62" s="6"/>
      <c r="AB62" s="6"/>
      <c r="AC62" s="6"/>
      <c r="AD62" s="6"/>
      <c r="AE62" s="6"/>
      <c r="AF62" s="6"/>
    </row>
    <row r="63" spans="1:32" ht="15" customHeight="1">
      <c r="A63" s="267" t="s">
        <v>307</v>
      </c>
      <c r="B63" s="358"/>
      <c r="C63" s="1501" t="s">
        <v>118</v>
      </c>
      <c r="D63" s="186"/>
      <c r="E63" s="382"/>
      <c r="F63" s="1132"/>
      <c r="G63" s="1132"/>
      <c r="H63" s="1132"/>
      <c r="I63" s="1132"/>
      <c r="J63" s="372"/>
      <c r="K63" s="382"/>
      <c r="L63" s="382"/>
      <c r="M63" s="360"/>
      <c r="N63" s="1502" t="s">
        <v>118</v>
      </c>
      <c r="O63" s="44"/>
      <c r="P63" s="96"/>
      <c r="Q63" s="1159"/>
      <c r="R63" s="1159"/>
      <c r="S63" s="1159"/>
      <c r="T63" s="1159"/>
      <c r="U63" s="3383"/>
      <c r="V63" s="96"/>
      <c r="W63" s="383"/>
      <c r="X63" s="1061"/>
      <c r="Y63" s="3599"/>
      <c r="Z63" s="6"/>
      <c r="AA63" s="6"/>
      <c r="AB63" s="6"/>
      <c r="AC63" s="6"/>
      <c r="AD63" s="6"/>
      <c r="AE63" s="6"/>
      <c r="AF63" s="6"/>
    </row>
    <row r="64" spans="1:32">
      <c r="A64" s="208" t="s">
        <v>702</v>
      </c>
      <c r="B64" s="358"/>
      <c r="C64" s="1499"/>
      <c r="D64" s="4998"/>
      <c r="E64" s="4999"/>
      <c r="F64" s="876" t="s">
        <v>583</v>
      </c>
      <c r="G64" s="2198"/>
      <c r="H64" s="876"/>
      <c r="I64" s="876"/>
      <c r="J64" s="1191"/>
      <c r="K64" s="826"/>
      <c r="L64" s="382"/>
      <c r="M64" s="360"/>
      <c r="N64" s="1500"/>
      <c r="O64" s="5002"/>
      <c r="P64" s="5003"/>
      <c r="Q64" s="880" t="s">
        <v>583</v>
      </c>
      <c r="R64" s="3450"/>
      <c r="S64" s="880"/>
      <c r="T64" s="880"/>
      <c r="U64" s="3451"/>
      <c r="V64" s="826"/>
      <c r="W64" s="383"/>
      <c r="X64" s="1061"/>
      <c r="Y64" s="3604" t="str">
        <f>IF(Y66=FALSE,"If UR and IC values differ significantly, check accuracy of input parameter values used in the IC formula."," ")</f>
        <v xml:space="preserve"> </v>
      </c>
      <c r="Z64" s="6"/>
      <c r="AA64" s="6"/>
      <c r="AB64" s="6"/>
      <c r="AC64" s="6"/>
      <c r="AD64" s="6"/>
      <c r="AE64" s="6"/>
      <c r="AF64" s="6"/>
    </row>
    <row r="65" spans="1:32" ht="3" customHeight="1">
      <c r="A65" s="620"/>
      <c r="B65" s="358"/>
      <c r="C65" s="1132"/>
      <c r="D65" s="382"/>
      <c r="E65" s="382"/>
      <c r="F65" s="876"/>
      <c r="G65" s="1132"/>
      <c r="H65" s="876"/>
      <c r="I65" s="876"/>
      <c r="J65" s="372"/>
      <c r="K65" s="382"/>
      <c r="L65" s="382"/>
      <c r="M65" s="360"/>
      <c r="N65" s="1500"/>
      <c r="O65" s="96"/>
      <c r="P65" s="96"/>
      <c r="Q65" s="1159"/>
      <c r="R65" s="1159"/>
      <c r="S65" s="1159"/>
      <c r="T65" s="1159"/>
      <c r="U65" s="3383"/>
      <c r="V65" s="96"/>
      <c r="W65" s="383"/>
      <c r="X65" s="1061"/>
      <c r="Y65" s="3600"/>
      <c r="Z65" s="6"/>
      <c r="AA65" s="6"/>
      <c r="AB65" s="6"/>
      <c r="AC65" s="6"/>
      <c r="AD65" s="6"/>
      <c r="AE65" s="6"/>
      <c r="AF65" s="6"/>
    </row>
    <row r="66" spans="1:32">
      <c r="A66" s="208" t="s">
        <v>712</v>
      </c>
      <c r="B66" s="358"/>
      <c r="C66" s="1132"/>
      <c r="D66" s="5000">
        <f>F1_Total_Net_Energy/F1_REM</f>
        <v>290.21010581046056</v>
      </c>
      <c r="E66" s="5001"/>
      <c r="F66" s="876" t="s">
        <v>583</v>
      </c>
      <c r="G66" s="3446"/>
      <c r="H66" s="876"/>
      <c r="I66" s="876"/>
      <c r="J66" s="1191"/>
      <c r="K66" s="2056">
        <v>4</v>
      </c>
      <c r="L66" s="382"/>
      <c r="M66" s="360"/>
      <c r="N66" s="1500"/>
      <c r="O66" s="4996">
        <f>F2_Total_Net_Energy/F2_REM</f>
        <v>267.85818993926358</v>
      </c>
      <c r="P66" s="4997"/>
      <c r="Q66" s="880" t="s">
        <v>583</v>
      </c>
      <c r="R66" s="2465"/>
      <c r="S66" s="880"/>
      <c r="T66" s="880"/>
      <c r="U66" s="3451"/>
      <c r="V66" s="2057">
        <v>4</v>
      </c>
      <c r="W66" s="383"/>
      <c r="X66" s="3605" t="s">
        <v>581</v>
      </c>
      <c r="Y66" s="3662" t="str">
        <f>IF(Options!AW24=2,IF(Options!AX24=2," ",FALSE))</f>
        <v xml:space="preserve"> </v>
      </c>
      <c r="Z66" s="6"/>
      <c r="AA66" s="6"/>
      <c r="AB66" s="6"/>
      <c r="AC66" s="6"/>
      <c r="AD66" s="6"/>
      <c r="AE66" s="6"/>
      <c r="AF66" s="6"/>
    </row>
    <row r="67" spans="1:32">
      <c r="A67" s="2073" t="s">
        <v>1502</v>
      </c>
      <c r="B67" s="2069"/>
      <c r="C67" s="1132"/>
      <c r="D67" s="3446"/>
      <c r="E67" s="3446"/>
      <c r="F67" s="876"/>
      <c r="G67" s="3446"/>
      <c r="H67" s="876"/>
      <c r="I67" s="876"/>
      <c r="J67" s="3453"/>
      <c r="K67" s="2198"/>
      <c r="L67" s="1132"/>
      <c r="M67" s="2070"/>
      <c r="N67" s="1159"/>
      <c r="O67" s="2465"/>
      <c r="P67" s="2465"/>
      <c r="Q67" s="880"/>
      <c r="R67" s="2465"/>
      <c r="S67" s="880"/>
      <c r="T67" s="880"/>
      <c r="U67" s="3451"/>
      <c r="V67" s="3454"/>
      <c r="W67" s="383"/>
      <c r="X67" s="3605"/>
      <c r="Y67" s="3599"/>
      <c r="Z67" s="6"/>
      <c r="AA67" s="6"/>
      <c r="AB67" s="6"/>
      <c r="AC67" s="6"/>
      <c r="AD67" s="6"/>
      <c r="AE67" s="6"/>
      <c r="AF67" s="6"/>
    </row>
    <row r="68" spans="1:32" ht="6" customHeight="1">
      <c r="A68" s="3455"/>
      <c r="B68" s="2082"/>
      <c r="C68" s="899"/>
      <c r="D68" s="899"/>
      <c r="E68" s="899"/>
      <c r="F68" s="899"/>
      <c r="G68" s="899"/>
      <c r="H68" s="899"/>
      <c r="I68" s="899"/>
      <c r="J68" s="3387"/>
      <c r="K68" s="899"/>
      <c r="L68" s="899"/>
      <c r="M68" s="903"/>
      <c r="N68" s="906"/>
      <c r="O68" s="906"/>
      <c r="P68" s="906"/>
      <c r="Q68" s="906"/>
      <c r="R68" s="906"/>
      <c r="S68" s="906"/>
      <c r="T68" s="906"/>
      <c r="U68" s="3388"/>
      <c r="V68" s="906"/>
      <c r="W68" s="648"/>
      <c r="X68" s="1061"/>
      <c r="Y68" s="3599"/>
      <c r="Z68" s="6"/>
      <c r="AA68" s="6"/>
      <c r="AB68" s="6"/>
      <c r="AC68" s="6"/>
      <c r="AD68" s="6"/>
      <c r="AE68" s="6"/>
      <c r="AF68" s="6"/>
    </row>
    <row r="69" spans="1:32" ht="6" customHeight="1">
      <c r="A69" s="2072"/>
      <c r="B69" s="2069"/>
      <c r="C69" s="1132"/>
      <c r="D69" s="1132"/>
      <c r="E69" s="1132"/>
      <c r="F69" s="1132"/>
      <c r="G69" s="1132"/>
      <c r="H69" s="1132"/>
      <c r="I69" s="1132"/>
      <c r="J69" s="3382"/>
      <c r="K69" s="1132"/>
      <c r="L69" s="1132"/>
      <c r="M69" s="2070"/>
      <c r="N69" s="1159"/>
      <c r="O69" s="1159"/>
      <c r="P69" s="1159"/>
      <c r="Q69" s="1159"/>
      <c r="R69" s="1159"/>
      <c r="S69" s="1159"/>
      <c r="T69" s="1159"/>
      <c r="U69" s="3383"/>
      <c r="V69" s="1159"/>
      <c r="W69" s="383"/>
      <c r="X69" s="1061"/>
      <c r="Y69" s="3599"/>
      <c r="Z69" s="6"/>
      <c r="AA69" s="6"/>
      <c r="AB69" s="6"/>
      <c r="AC69" s="6"/>
      <c r="AD69" s="6"/>
      <c r="AE69" s="6"/>
      <c r="AF69" s="6"/>
    </row>
    <row r="70" spans="1:32">
      <c r="A70" s="3456" t="s">
        <v>582</v>
      </c>
      <c r="B70" s="2069"/>
      <c r="C70" s="876" t="s">
        <v>118</v>
      </c>
      <c r="D70" s="876"/>
      <c r="E70" s="1132"/>
      <c r="F70" s="1132"/>
      <c r="G70" s="1132"/>
      <c r="H70" s="1132"/>
      <c r="I70" s="1132"/>
      <c r="J70" s="3382"/>
      <c r="K70" s="1132"/>
      <c r="L70" s="1132"/>
      <c r="M70" s="2070"/>
      <c r="N70" s="880" t="s">
        <v>118</v>
      </c>
      <c r="O70" s="880"/>
      <c r="P70" s="1159"/>
      <c r="Q70" s="1159"/>
      <c r="R70" s="1159"/>
      <c r="S70" s="1159"/>
      <c r="T70" s="1159"/>
      <c r="U70" s="3383"/>
      <c r="V70" s="1159"/>
      <c r="W70" s="383"/>
      <c r="X70" s="1061"/>
      <c r="Y70" s="3599"/>
      <c r="Z70" s="6"/>
      <c r="AA70" s="6"/>
      <c r="AB70" s="6"/>
      <c r="AC70" s="6"/>
      <c r="AD70" s="6"/>
      <c r="AE70" s="6"/>
      <c r="AF70" s="6"/>
    </row>
    <row r="71" spans="1:32" s="21" customFormat="1" ht="12" customHeight="1">
      <c r="A71" s="208" t="s">
        <v>702</v>
      </c>
      <c r="B71" s="227"/>
      <c r="C71" s="186"/>
      <c r="D71" s="4160"/>
      <c r="E71" s="4161"/>
      <c r="F71" s="876" t="s">
        <v>583</v>
      </c>
      <c r="G71" s="316"/>
      <c r="H71" s="876"/>
      <c r="I71" s="876"/>
      <c r="J71" s="216"/>
      <c r="K71" s="1505"/>
      <c r="L71" s="280"/>
      <c r="M71" s="44"/>
      <c r="N71" s="44"/>
      <c r="O71" s="4160"/>
      <c r="P71" s="4161"/>
      <c r="Q71" s="880" t="s">
        <v>583</v>
      </c>
      <c r="R71" s="317"/>
      <c r="S71" s="880"/>
      <c r="T71" s="880"/>
      <c r="U71" s="2133"/>
      <c r="V71" s="1505"/>
      <c r="W71" s="279"/>
      <c r="X71" s="3605"/>
      <c r="Y71" s="3604" t="str">
        <f>IF(Y73=FALSE,"If UR and IC values differ significantly, check accuracy of input parameter values used in the IC formula."," ")</f>
        <v xml:space="preserve"> </v>
      </c>
      <c r="Z71" s="23"/>
      <c r="AA71" s="23"/>
      <c r="AB71" s="23"/>
      <c r="AC71" s="23"/>
      <c r="AD71" s="23"/>
      <c r="AE71" s="23"/>
      <c r="AF71" s="23"/>
    </row>
    <row r="72" spans="1:32" s="21" customFormat="1" ht="2.25" customHeight="1">
      <c r="A72" s="206"/>
      <c r="B72" s="227"/>
      <c r="C72" s="186"/>
      <c r="D72" s="186"/>
      <c r="E72" s="171"/>
      <c r="F72" s="876"/>
      <c r="G72" s="316"/>
      <c r="H72" s="876"/>
      <c r="I72" s="876"/>
      <c r="J72" s="216"/>
      <c r="K72" s="171"/>
      <c r="L72" s="280"/>
      <c r="M72" s="44"/>
      <c r="N72" s="44"/>
      <c r="O72" s="44"/>
      <c r="P72" s="42"/>
      <c r="Q72" s="1159"/>
      <c r="R72" s="317"/>
      <c r="S72" s="880"/>
      <c r="T72" s="880"/>
      <c r="U72" s="2133"/>
      <c r="V72" s="42"/>
      <c r="W72" s="279"/>
      <c r="X72" s="3605"/>
      <c r="Y72" s="3600"/>
      <c r="Z72" s="23"/>
      <c r="AA72" s="23"/>
      <c r="AB72" s="23"/>
      <c r="AC72" s="23"/>
      <c r="AD72" s="23"/>
      <c r="AE72" s="23"/>
      <c r="AF72" s="23"/>
    </row>
    <row r="73" spans="1:32" s="21" customFormat="1" ht="12" customHeight="1">
      <c r="A73" s="208" t="s">
        <v>712</v>
      </c>
      <c r="B73" s="227"/>
      <c r="C73" s="186"/>
      <c r="D73" s="5000">
        <f>F1_Total_Net_Energy/F1_REM/F1_Diet_Digestibility</f>
        <v>446.47708586224701</v>
      </c>
      <c r="E73" s="5001"/>
      <c r="F73" s="876" t="s">
        <v>583</v>
      </c>
      <c r="G73" s="2807"/>
      <c r="H73" s="876"/>
      <c r="I73" s="876"/>
      <c r="J73" s="216"/>
      <c r="K73" s="2056">
        <v>4</v>
      </c>
      <c r="L73" s="280"/>
      <c r="M73" s="44"/>
      <c r="N73" s="44"/>
      <c r="O73" s="4996">
        <f>F2_Total_Net_Energy/F2_REM/F2_Diet_Digestibility</f>
        <v>412.08952298348242</v>
      </c>
      <c r="P73" s="4997"/>
      <c r="Q73" s="880" t="s">
        <v>583</v>
      </c>
      <c r="R73" s="2464"/>
      <c r="S73" s="880"/>
      <c r="T73" s="880"/>
      <c r="U73" s="2133"/>
      <c r="V73" s="2057">
        <v>4</v>
      </c>
      <c r="W73" s="279"/>
      <c r="X73" s="3606" t="s">
        <v>1103</v>
      </c>
      <c r="Y73" s="3662" t="str">
        <f>IF(Options!AW29=2,IF(Options!AX29=2," ",FALSE))</f>
        <v xml:space="preserve"> </v>
      </c>
      <c r="Z73" s="23"/>
      <c r="AA73" s="23"/>
      <c r="AB73" s="23"/>
      <c r="AC73" s="23"/>
      <c r="AD73" s="23"/>
      <c r="AE73" s="23"/>
      <c r="AF73" s="23"/>
    </row>
    <row r="74" spans="1:32" ht="6" customHeight="1">
      <c r="A74" s="1495"/>
      <c r="B74" s="498"/>
      <c r="C74" s="499"/>
      <c r="D74" s="499"/>
      <c r="E74" s="499"/>
      <c r="F74" s="899"/>
      <c r="G74" s="899"/>
      <c r="H74" s="899"/>
      <c r="I74" s="899"/>
      <c r="J74" s="825"/>
      <c r="K74" s="499"/>
      <c r="L74" s="499"/>
      <c r="M74" s="500"/>
      <c r="N74" s="501"/>
      <c r="O74" s="501"/>
      <c r="P74" s="501"/>
      <c r="Q74" s="906"/>
      <c r="R74" s="906"/>
      <c r="S74" s="906"/>
      <c r="T74" s="906"/>
      <c r="U74" s="3388"/>
      <c r="V74" s="501"/>
      <c r="W74" s="648"/>
      <c r="X74" s="1061"/>
      <c r="Y74" s="3599"/>
      <c r="Z74" s="6"/>
      <c r="AA74" s="6"/>
      <c r="AB74" s="6"/>
      <c r="AC74" s="6"/>
      <c r="AD74" s="6"/>
      <c r="AE74" s="6"/>
      <c r="AF74" s="6"/>
    </row>
    <row r="75" spans="1:32" ht="6" customHeight="1">
      <c r="A75" s="281"/>
      <c r="B75" s="358"/>
      <c r="C75" s="382"/>
      <c r="D75" s="382"/>
      <c r="E75" s="382"/>
      <c r="F75" s="1132"/>
      <c r="G75" s="1132"/>
      <c r="H75" s="1132"/>
      <c r="I75" s="1132"/>
      <c r="J75" s="372"/>
      <c r="K75" s="382"/>
      <c r="L75" s="382"/>
      <c r="M75" s="360"/>
      <c r="N75" s="96"/>
      <c r="O75" s="96"/>
      <c r="P75" s="96"/>
      <c r="Q75" s="1159"/>
      <c r="R75" s="1159"/>
      <c r="S75" s="1159"/>
      <c r="T75" s="1159"/>
      <c r="U75" s="3383"/>
      <c r="V75" s="96"/>
      <c r="W75" s="383"/>
      <c r="X75" s="1061"/>
      <c r="Y75" s="3599"/>
      <c r="Z75" s="6"/>
      <c r="AA75" s="6"/>
      <c r="AB75" s="6"/>
      <c r="AC75" s="6"/>
      <c r="AD75" s="6"/>
      <c r="AE75" s="6"/>
      <c r="AF75" s="6"/>
    </row>
    <row r="76" spans="1:32" ht="12" customHeight="1">
      <c r="A76" s="1571" t="s">
        <v>625</v>
      </c>
      <c r="B76" s="358"/>
      <c r="C76" s="5008">
        <f>VLOOKUP(Options!AW10,Defaults!H20:M69,6,FALSE)</f>
        <v>5.8000000000000003E-2</v>
      </c>
      <c r="D76" s="5009"/>
      <c r="E76" s="186"/>
      <c r="F76" s="876"/>
      <c r="G76" s="876"/>
      <c r="H76" s="1132"/>
      <c r="I76" s="1132"/>
      <c r="J76" s="372"/>
      <c r="K76" s="2056">
        <v>5</v>
      </c>
      <c r="L76" s="382"/>
      <c r="M76" s="360"/>
      <c r="N76" s="5004">
        <f>VLOOKUP(Options!AX10,Defaults!H20:M69,6,FALSE)</f>
        <v>5.8000000000000003E-2</v>
      </c>
      <c r="O76" s="5005"/>
      <c r="P76" s="44"/>
      <c r="Q76" s="880"/>
      <c r="R76" s="880"/>
      <c r="S76" s="1159"/>
      <c r="T76" s="1159"/>
      <c r="U76" s="3383"/>
      <c r="V76" s="2057">
        <v>5</v>
      </c>
      <c r="W76" s="383"/>
      <c r="X76" s="3607"/>
      <c r="Y76" s="3599"/>
      <c r="Z76" s="6"/>
      <c r="AA76" s="6"/>
      <c r="AB76" s="6"/>
      <c r="AC76" s="6"/>
      <c r="AD76" s="6"/>
      <c r="AE76" s="6"/>
      <c r="AF76" s="6"/>
    </row>
    <row r="77" spans="1:32" ht="6" customHeight="1">
      <c r="A77" s="286"/>
      <c r="B77" s="498"/>
      <c r="C77" s="499"/>
      <c r="D77" s="499"/>
      <c r="E77" s="499"/>
      <c r="F77" s="899"/>
      <c r="G77" s="899"/>
      <c r="H77" s="899"/>
      <c r="I77" s="899"/>
      <c r="J77" s="825"/>
      <c r="K77" s="499"/>
      <c r="L77" s="499"/>
      <c r="M77" s="500"/>
      <c r="N77" s="501"/>
      <c r="O77" s="501"/>
      <c r="P77" s="501"/>
      <c r="Q77" s="906"/>
      <c r="R77" s="906"/>
      <c r="S77" s="906"/>
      <c r="T77" s="906"/>
      <c r="U77" s="3388"/>
      <c r="V77" s="501"/>
      <c r="W77" s="648"/>
      <c r="X77" s="1061"/>
      <c r="Y77" s="3599"/>
      <c r="Z77" s="6"/>
      <c r="AA77" s="6"/>
      <c r="AB77" s="6"/>
      <c r="AC77" s="6"/>
      <c r="AD77" s="6"/>
      <c r="AE77" s="6"/>
      <c r="AF77" s="6"/>
    </row>
    <row r="78" spans="1:32" ht="6" customHeight="1">
      <c r="A78" s="281"/>
      <c r="B78" s="358"/>
      <c r="C78" s="382"/>
      <c r="D78" s="382"/>
      <c r="E78" s="382"/>
      <c r="F78" s="1132"/>
      <c r="G78" s="1132"/>
      <c r="H78" s="1132"/>
      <c r="I78" s="1132"/>
      <c r="J78" s="372"/>
      <c r="K78" s="382"/>
      <c r="L78" s="382"/>
      <c r="M78" s="360"/>
      <c r="N78" s="96"/>
      <c r="O78" s="96"/>
      <c r="P78" s="96"/>
      <c r="Q78" s="1159"/>
      <c r="R78" s="1159"/>
      <c r="S78" s="1159"/>
      <c r="T78" s="1159"/>
      <c r="U78" s="3383"/>
      <c r="V78" s="96"/>
      <c r="W78" s="383"/>
      <c r="X78" s="1061"/>
      <c r="Y78" s="3599"/>
      <c r="Z78" s="6"/>
      <c r="AA78" s="6"/>
      <c r="AB78" s="6"/>
      <c r="AC78" s="6"/>
      <c r="AD78" s="6"/>
      <c r="AE78" s="6"/>
      <c r="AF78" s="6"/>
    </row>
    <row r="79" spans="1:32" ht="15" customHeight="1">
      <c r="A79" s="220" t="s">
        <v>594</v>
      </c>
      <c r="B79" s="358"/>
      <c r="C79" s="186" t="s">
        <v>118</v>
      </c>
      <c r="D79" s="186"/>
      <c r="E79" s="382"/>
      <c r="F79" s="1132"/>
      <c r="G79" s="1132"/>
      <c r="H79" s="1132"/>
      <c r="I79" s="1132"/>
      <c r="J79" s="372"/>
      <c r="K79" s="382"/>
      <c r="L79" s="382"/>
      <c r="M79" s="360"/>
      <c r="N79" s="44" t="s">
        <v>118</v>
      </c>
      <c r="O79" s="44"/>
      <c r="P79" s="96"/>
      <c r="Q79" s="1159"/>
      <c r="R79" s="1159"/>
      <c r="S79" s="1159"/>
      <c r="T79" s="1159"/>
      <c r="U79" s="3383"/>
      <c r="V79" s="96"/>
      <c r="W79" s="383"/>
      <c r="X79" s="1061"/>
      <c r="Y79" s="3599"/>
      <c r="Z79" s="6"/>
      <c r="AA79" s="6"/>
      <c r="AB79" s="6"/>
      <c r="AC79" s="6"/>
      <c r="AD79" s="6"/>
      <c r="AE79" s="6"/>
      <c r="AF79" s="6"/>
    </row>
    <row r="80" spans="1:32">
      <c r="A80" s="208" t="s">
        <v>702</v>
      </c>
      <c r="B80" s="358"/>
      <c r="C80" s="186"/>
      <c r="D80" s="5006"/>
      <c r="E80" s="5007"/>
      <c r="F80" s="3447" t="s">
        <v>58</v>
      </c>
      <c r="G80" s="3448"/>
      <c r="H80" s="876"/>
      <c r="I80" s="876"/>
      <c r="J80" s="372"/>
      <c r="K80" s="826"/>
      <c r="L80" s="382"/>
      <c r="M80" s="360"/>
      <c r="N80" s="96"/>
      <c r="O80" s="5006"/>
      <c r="P80" s="5007"/>
      <c r="Q80" s="880" t="s">
        <v>58</v>
      </c>
      <c r="R80" s="3452"/>
      <c r="S80" s="880"/>
      <c r="T80" s="880"/>
      <c r="U80" s="3383"/>
      <c r="V80" s="826"/>
      <c r="W80" s="383"/>
      <c r="X80" s="1061"/>
      <c r="Y80" s="3604" t="str">
        <f>IF(Y82=FALSE,"If UR and IC values differ significantly, check accuracy of input parameter values used in the IC formula."," ")</f>
        <v xml:space="preserve"> </v>
      </c>
      <c r="Z80" s="6"/>
      <c r="AA80" s="6"/>
      <c r="AB80" s="6"/>
      <c r="AC80" s="6"/>
      <c r="AD80" s="6"/>
      <c r="AE80" s="6"/>
      <c r="AF80" s="6"/>
    </row>
    <row r="81" spans="1:32" ht="2.25" customHeight="1">
      <c r="A81" s="209"/>
      <c r="B81" s="358"/>
      <c r="C81" s="382"/>
      <c r="D81" s="382"/>
      <c r="E81" s="382"/>
      <c r="F81" s="3449"/>
      <c r="G81" s="1132"/>
      <c r="H81" s="1132"/>
      <c r="I81" s="1132"/>
      <c r="J81" s="372"/>
      <c r="K81" s="382"/>
      <c r="L81" s="382"/>
      <c r="M81" s="360"/>
      <c r="N81" s="96"/>
      <c r="O81" s="96"/>
      <c r="P81" s="96"/>
      <c r="Q81" s="1159"/>
      <c r="R81" s="1159"/>
      <c r="S81" s="1159"/>
      <c r="T81" s="1159"/>
      <c r="U81" s="3383"/>
      <c r="V81" s="96"/>
      <c r="W81" s="383"/>
      <c r="X81" s="1061"/>
      <c r="Y81" s="3600"/>
      <c r="Z81" s="6"/>
      <c r="AA81" s="6"/>
      <c r="AB81" s="6"/>
      <c r="AC81" s="6"/>
      <c r="AD81" s="6"/>
      <c r="AE81" s="6"/>
      <c r="AF81" s="6"/>
    </row>
    <row r="82" spans="1:32">
      <c r="A82" s="208" t="s">
        <v>712</v>
      </c>
      <c r="B82" s="358"/>
      <c r="C82" s="186"/>
      <c r="D82" s="5000">
        <f>(F1_Gross_Energy-F1_Digestible_Energy+(0.02*F1_Gross_Energy))/20.1</f>
        <v>8.2187324263199688</v>
      </c>
      <c r="E82" s="5001"/>
      <c r="F82" s="3447" t="s">
        <v>58</v>
      </c>
      <c r="G82" s="3448"/>
      <c r="H82" s="876"/>
      <c r="I82" s="876"/>
      <c r="J82" s="372"/>
      <c r="K82" s="2056">
        <v>6</v>
      </c>
      <c r="L82" s="382"/>
      <c r="M82" s="360"/>
      <c r="N82" s="96"/>
      <c r="O82" s="4996">
        <f>(F2_Gross_Energy-F2_Digestible_Energy+(0.02*F2_Gross_Energy))/20.1</f>
        <v>7.58572753750689</v>
      </c>
      <c r="P82" s="4997"/>
      <c r="Q82" s="880" t="s">
        <v>58</v>
      </c>
      <c r="R82" s="3452"/>
      <c r="S82" s="880"/>
      <c r="T82" s="880"/>
      <c r="U82" s="3383"/>
      <c r="V82" s="2057">
        <v>6</v>
      </c>
      <c r="W82" s="383"/>
      <c r="X82" s="1061" t="s">
        <v>626</v>
      </c>
      <c r="Y82" s="3662" t="str">
        <f>IF(Options!AW34=2,IF(Options!AX34=2," ",FALSE))</f>
        <v xml:space="preserve"> </v>
      </c>
      <c r="Z82" s="6"/>
      <c r="AA82" s="6"/>
      <c r="AB82" s="6"/>
      <c r="AC82" s="6"/>
      <c r="AD82" s="6"/>
      <c r="AE82" s="6"/>
      <c r="AF82" s="6"/>
    </row>
    <row r="83" spans="1:32" ht="6" customHeight="1" thickBot="1">
      <c r="A83" s="281"/>
      <c r="B83" s="358"/>
      <c r="C83" s="382"/>
      <c r="D83" s="382"/>
      <c r="E83" s="382"/>
      <c r="F83" s="382"/>
      <c r="G83" s="382"/>
      <c r="H83" s="382"/>
      <c r="I83" s="382"/>
      <c r="J83" s="372"/>
      <c r="K83" s="382"/>
      <c r="L83" s="382"/>
      <c r="M83" s="360"/>
      <c r="N83" s="96"/>
      <c r="O83" s="96"/>
      <c r="P83" s="96"/>
      <c r="Q83" s="96"/>
      <c r="R83" s="96"/>
      <c r="S83" s="96"/>
      <c r="T83" s="96"/>
      <c r="U83" s="109"/>
      <c r="V83" s="96"/>
      <c r="W83" s="383"/>
      <c r="X83" s="80"/>
      <c r="Y83" s="3601"/>
      <c r="Z83" s="6"/>
      <c r="AA83" s="6"/>
      <c r="AB83" s="6"/>
      <c r="AC83" s="6"/>
      <c r="AD83" s="6"/>
      <c r="AE83" s="6"/>
      <c r="AF83" s="6"/>
    </row>
    <row r="84" spans="1:32" ht="30" customHeight="1">
      <c r="A84" s="5016" t="s">
        <v>20</v>
      </c>
      <c r="B84" s="5017"/>
      <c r="C84" s="5017"/>
      <c r="D84" s="5017"/>
      <c r="E84" s="5017"/>
      <c r="F84" s="5017"/>
      <c r="G84" s="5017"/>
      <c r="H84" s="5017"/>
      <c r="I84" s="5017"/>
      <c r="J84" s="5017"/>
      <c r="K84" s="5017"/>
      <c r="L84" s="5017"/>
      <c r="M84" s="5017"/>
      <c r="N84" s="5017"/>
      <c r="O84" s="5017"/>
      <c r="P84" s="5017"/>
      <c r="Q84" s="5017"/>
      <c r="R84" s="5017"/>
      <c r="S84" s="5017"/>
      <c r="T84" s="5017"/>
      <c r="U84" s="5017"/>
      <c r="V84" s="5017"/>
      <c r="W84" s="5018"/>
      <c r="Z84" s="6"/>
      <c r="AA84" s="6"/>
      <c r="AB84" s="6"/>
      <c r="AC84" s="6"/>
      <c r="AD84" s="6"/>
      <c r="AE84" s="6"/>
      <c r="AF84" s="6"/>
    </row>
    <row r="85" spans="1:32" ht="38.25" customHeight="1">
      <c r="A85" s="5019" t="s">
        <v>1134</v>
      </c>
      <c r="B85" s="5020"/>
      <c r="C85" s="5020"/>
      <c r="D85" s="5020"/>
      <c r="E85" s="5020"/>
      <c r="F85" s="5020"/>
      <c r="G85" s="5020"/>
      <c r="H85" s="5020"/>
      <c r="I85" s="5020"/>
      <c r="J85" s="5020"/>
      <c r="K85" s="5020"/>
      <c r="L85" s="5020"/>
      <c r="M85" s="5020"/>
      <c r="N85" s="5020"/>
      <c r="O85" s="5020"/>
      <c r="P85" s="5020"/>
      <c r="Q85" s="5020"/>
      <c r="R85" s="5020"/>
      <c r="S85" s="5020"/>
      <c r="T85" s="5020"/>
      <c r="U85" s="5020"/>
      <c r="V85" s="5020"/>
      <c r="W85" s="5021"/>
    </row>
    <row r="86" spans="1:32" ht="25.5" customHeight="1">
      <c r="A86" s="4847" t="s">
        <v>1245</v>
      </c>
      <c r="B86" s="5022"/>
      <c r="C86" s="5022"/>
      <c r="D86" s="5022"/>
      <c r="E86" s="5022"/>
      <c r="F86" s="5022"/>
      <c r="G86" s="5022"/>
      <c r="H86" s="5022"/>
      <c r="I86" s="5022"/>
      <c r="J86" s="5022"/>
      <c r="K86" s="5022"/>
      <c r="L86" s="5022"/>
      <c r="M86" s="5022"/>
      <c r="N86" s="5022"/>
      <c r="O86" s="5022"/>
      <c r="P86" s="5022"/>
      <c r="Q86" s="5022"/>
      <c r="R86" s="5022"/>
      <c r="S86" s="5022"/>
      <c r="T86" s="5022"/>
      <c r="U86" s="5022"/>
      <c r="V86" s="5022"/>
      <c r="W86" s="5023"/>
    </row>
    <row r="87" spans="1:32" ht="26.25" customHeight="1">
      <c r="A87" s="5019" t="s">
        <v>1135</v>
      </c>
      <c r="B87" s="5024"/>
      <c r="C87" s="5024"/>
      <c r="D87" s="5024"/>
      <c r="E87" s="5024"/>
      <c r="F87" s="5024"/>
      <c r="G87" s="5024"/>
      <c r="H87" s="5024"/>
      <c r="I87" s="5024"/>
      <c r="J87" s="5024"/>
      <c r="K87" s="5024"/>
      <c r="L87" s="5024"/>
      <c r="M87" s="5024"/>
      <c r="N87" s="5024"/>
      <c r="O87" s="5024"/>
      <c r="P87" s="5024"/>
      <c r="Q87" s="5024"/>
      <c r="R87" s="5024"/>
      <c r="S87" s="5024"/>
      <c r="T87" s="5024"/>
      <c r="U87" s="5024"/>
      <c r="V87" s="5024"/>
      <c r="W87" s="5025"/>
    </row>
    <row r="88" spans="1:32" ht="26.25" customHeight="1">
      <c r="A88" s="5019" t="s">
        <v>1136</v>
      </c>
      <c r="B88" s="5020"/>
      <c r="C88" s="5020"/>
      <c r="D88" s="5020"/>
      <c r="E88" s="5020"/>
      <c r="F88" s="5020"/>
      <c r="G88" s="5020"/>
      <c r="H88" s="5020"/>
      <c r="I88" s="5020"/>
      <c r="J88" s="5020"/>
      <c r="K88" s="5020"/>
      <c r="L88" s="5020"/>
      <c r="M88" s="5020"/>
      <c r="N88" s="5020"/>
      <c r="O88" s="5020"/>
      <c r="P88" s="5020"/>
      <c r="Q88" s="5020"/>
      <c r="R88" s="5020"/>
      <c r="S88" s="5020"/>
      <c r="T88" s="5020"/>
      <c r="U88" s="5020"/>
      <c r="V88" s="5020"/>
      <c r="W88" s="5021"/>
    </row>
    <row r="89" spans="1:32" ht="26.25" customHeight="1">
      <c r="A89" s="5010" t="s">
        <v>1531</v>
      </c>
      <c r="B89" s="5011"/>
      <c r="C89" s="5011"/>
      <c r="D89" s="5011"/>
      <c r="E89" s="5011"/>
      <c r="F89" s="5011"/>
      <c r="G89" s="5011"/>
      <c r="H89" s="5011"/>
      <c r="I89" s="5011"/>
      <c r="J89" s="5011"/>
      <c r="K89" s="5011"/>
      <c r="L89" s="5011"/>
      <c r="M89" s="5011"/>
      <c r="N89" s="5011"/>
      <c r="O89" s="5011"/>
      <c r="P89" s="5011"/>
      <c r="Q89" s="5011"/>
      <c r="R89" s="5011"/>
      <c r="S89" s="5011"/>
      <c r="T89" s="5011"/>
      <c r="U89" s="5011"/>
      <c r="V89" s="5011"/>
      <c r="W89" s="5012"/>
    </row>
    <row r="90" spans="1:32" ht="25.5" customHeight="1">
      <c r="A90" s="5026" t="s">
        <v>1137</v>
      </c>
      <c r="B90" s="5020"/>
      <c r="C90" s="5020"/>
      <c r="D90" s="5020"/>
      <c r="E90" s="5020"/>
      <c r="F90" s="5020"/>
      <c r="G90" s="5020"/>
      <c r="H90" s="5020"/>
      <c r="I90" s="5020"/>
      <c r="J90" s="5020"/>
      <c r="K90" s="5020"/>
      <c r="L90" s="5020"/>
      <c r="M90" s="5020"/>
      <c r="N90" s="5020"/>
      <c r="O90" s="5020"/>
      <c r="P90" s="5020"/>
      <c r="Q90" s="5020"/>
      <c r="R90" s="5020"/>
      <c r="S90" s="5020"/>
      <c r="T90" s="5020"/>
      <c r="U90" s="5020"/>
      <c r="V90" s="5020"/>
      <c r="W90" s="5021"/>
    </row>
    <row r="91" spans="1:32">
      <c r="A91" s="5013" t="s">
        <v>823</v>
      </c>
      <c r="B91" s="5014"/>
      <c r="C91" s="5014"/>
      <c r="D91" s="5014"/>
      <c r="E91" s="5014"/>
      <c r="F91" s="5014"/>
      <c r="G91" s="5014"/>
      <c r="H91" s="5014"/>
      <c r="I91" s="5014"/>
      <c r="J91" s="5014"/>
      <c r="K91" s="5014"/>
      <c r="L91" s="5014"/>
      <c r="M91" s="5014"/>
      <c r="N91" s="5014"/>
      <c r="O91" s="5014"/>
      <c r="P91" s="5014"/>
      <c r="Q91" s="5014"/>
      <c r="R91" s="5014"/>
      <c r="S91" s="5014"/>
      <c r="T91" s="5014"/>
      <c r="U91" s="5014"/>
      <c r="V91" s="5014"/>
      <c r="W91" s="5015"/>
    </row>
    <row r="92" spans="1:32">
      <c r="A92" s="5013" t="s">
        <v>575</v>
      </c>
      <c r="B92" s="5014"/>
      <c r="C92" s="5014"/>
      <c r="D92" s="5014"/>
      <c r="E92" s="5014"/>
      <c r="F92" s="5014"/>
      <c r="G92" s="5014"/>
      <c r="H92" s="5014"/>
      <c r="I92" s="5014"/>
      <c r="J92" s="5014"/>
      <c r="K92" s="5014"/>
      <c r="L92" s="5014"/>
      <c r="M92" s="5014"/>
      <c r="N92" s="5014"/>
      <c r="O92" s="5014"/>
      <c r="P92" s="5014"/>
      <c r="Q92" s="5014"/>
      <c r="R92" s="5014"/>
      <c r="S92" s="5014"/>
      <c r="T92" s="5014"/>
      <c r="U92" s="5014"/>
      <c r="V92" s="5014"/>
      <c r="W92" s="5015"/>
    </row>
    <row r="93" spans="1:32">
      <c r="A93" s="5054" t="s">
        <v>824</v>
      </c>
      <c r="B93" s="5055"/>
      <c r="C93" s="5055"/>
      <c r="D93" s="5055"/>
      <c r="E93" s="5055"/>
      <c r="F93" s="5055"/>
      <c r="G93" s="5055"/>
      <c r="H93" s="5055"/>
      <c r="I93" s="5055"/>
      <c r="J93" s="5055"/>
      <c r="K93" s="5055"/>
      <c r="L93" s="5055"/>
      <c r="M93" s="5055"/>
      <c r="N93" s="5055"/>
      <c r="O93" s="5055"/>
      <c r="P93" s="5055"/>
      <c r="Q93" s="5055"/>
      <c r="R93" s="5055"/>
      <c r="S93" s="5055"/>
      <c r="T93" s="5055"/>
      <c r="U93" s="5055"/>
      <c r="V93" s="5055"/>
      <c r="W93" s="5056"/>
    </row>
    <row r="94" spans="1:32" ht="13.5" thickBot="1">
      <c r="A94" s="5057" t="s">
        <v>577</v>
      </c>
      <c r="B94" s="5058"/>
      <c r="C94" s="5058"/>
      <c r="D94" s="5058"/>
      <c r="E94" s="5058"/>
      <c r="F94" s="5058"/>
      <c r="G94" s="5058"/>
      <c r="H94" s="5058"/>
      <c r="I94" s="5058"/>
      <c r="J94" s="5058"/>
      <c r="K94" s="5058"/>
      <c r="L94" s="5058"/>
      <c r="M94" s="5058"/>
      <c r="N94" s="5058"/>
      <c r="O94" s="5058"/>
      <c r="P94" s="5058"/>
      <c r="Q94" s="5058"/>
      <c r="R94" s="5058"/>
      <c r="S94" s="5058"/>
      <c r="T94" s="5058"/>
      <c r="U94" s="5058"/>
      <c r="V94" s="5058"/>
      <c r="W94" s="5059"/>
    </row>
  </sheetData>
  <sheetProtection password="E0BE" sheet="1" objects="1" scenarios="1"/>
  <mergeCells count="81">
    <mergeCell ref="A93:W93"/>
    <mergeCell ref="A94:W94"/>
    <mergeCell ref="C28:D28"/>
    <mergeCell ref="N28:O28"/>
    <mergeCell ref="C26:D26"/>
    <mergeCell ref="D41:E41"/>
    <mergeCell ref="A45:W45"/>
    <mergeCell ref="O41:P41"/>
    <mergeCell ref="D43:E43"/>
    <mergeCell ref="O43:P43"/>
    <mergeCell ref="D32:E32"/>
    <mergeCell ref="C37:D37"/>
    <mergeCell ref="N37:O37"/>
    <mergeCell ref="D34:E34"/>
    <mergeCell ref="O34:P34"/>
    <mergeCell ref="O32:P32"/>
    <mergeCell ref="N20:O20"/>
    <mergeCell ref="N26:O26"/>
    <mergeCell ref="N24:O24"/>
    <mergeCell ref="N22:O22"/>
    <mergeCell ref="C20:D20"/>
    <mergeCell ref="C24:D24"/>
    <mergeCell ref="C22:D22"/>
    <mergeCell ref="N18:O18"/>
    <mergeCell ref="N16:O16"/>
    <mergeCell ref="N13:O13"/>
    <mergeCell ref="N11:O11"/>
    <mergeCell ref="C11:D11"/>
    <mergeCell ref="C13:D13"/>
    <mergeCell ref="C16:D16"/>
    <mergeCell ref="C18:D18"/>
    <mergeCell ref="H8:H9"/>
    <mergeCell ref="S8:S9"/>
    <mergeCell ref="A6:W6"/>
    <mergeCell ref="J7:L9"/>
    <mergeCell ref="U7:W9"/>
    <mergeCell ref="C8:D9"/>
    <mergeCell ref="N8:O9"/>
    <mergeCell ref="A1:W1"/>
    <mergeCell ref="U5:W5"/>
    <mergeCell ref="A2:W2"/>
    <mergeCell ref="B3:L3"/>
    <mergeCell ref="M3:W3"/>
    <mergeCell ref="B4:L4"/>
    <mergeCell ref="M4:W4"/>
    <mergeCell ref="J5:L5"/>
    <mergeCell ref="C55:D55"/>
    <mergeCell ref="N49:O49"/>
    <mergeCell ref="N51:O51"/>
    <mergeCell ref="N55:O55"/>
    <mergeCell ref="C60:D60"/>
    <mergeCell ref="C57:D57"/>
    <mergeCell ref="N57:O57"/>
    <mergeCell ref="N60:O60"/>
    <mergeCell ref="C49:D49"/>
    <mergeCell ref="C51:D51"/>
    <mergeCell ref="C53:D53"/>
    <mergeCell ref="N53:O53"/>
    <mergeCell ref="A89:W89"/>
    <mergeCell ref="A92:W92"/>
    <mergeCell ref="A84:W84"/>
    <mergeCell ref="A91:W91"/>
    <mergeCell ref="A85:W85"/>
    <mergeCell ref="A86:W86"/>
    <mergeCell ref="A87:W87"/>
    <mergeCell ref="A88:W88"/>
    <mergeCell ref="A90:W90"/>
    <mergeCell ref="O82:P82"/>
    <mergeCell ref="D71:E71"/>
    <mergeCell ref="O71:P71"/>
    <mergeCell ref="D64:E64"/>
    <mergeCell ref="D66:E66"/>
    <mergeCell ref="O66:P66"/>
    <mergeCell ref="O64:P64"/>
    <mergeCell ref="D82:E82"/>
    <mergeCell ref="N76:O76"/>
    <mergeCell ref="D73:E73"/>
    <mergeCell ref="O73:P73"/>
    <mergeCell ref="D80:E80"/>
    <mergeCell ref="O80:P80"/>
    <mergeCell ref="C76:D76"/>
  </mergeCells>
  <conditionalFormatting sqref="C28:D28">
    <cfRule type="cellIs" dxfId="7" priority="3" operator="lessThan">
      <formula>1</formula>
    </cfRule>
    <cfRule type="cellIs" dxfId="6" priority="4" operator="greaterThan">
      <formula>1</formula>
    </cfRule>
  </conditionalFormatting>
  <conditionalFormatting sqref="N28:O28">
    <cfRule type="cellIs" dxfId="5" priority="1" operator="lessThan">
      <formula>100%</formula>
    </cfRule>
    <cfRule type="cellIs" dxfId="4" priority="2" operator="greaterThan">
      <formula>100%</formula>
    </cfRule>
  </conditionalFormatting>
  <printOptions horizontalCentered="1"/>
  <pageMargins left="0.7" right="0.7" top="0.75" bottom="0.75" header="0.3" footer="0.3"/>
  <pageSetup scale="65" orientation="landscape" horizontalDpi="1200" verticalDpi="1200" r:id="rId1"/>
  <headerFooter>
    <oddFooter>&amp;L&amp;A&amp;C&amp;F&amp;R&amp;D</oddFooter>
  </headerFooter>
  <rowBreaks count="1" manualBreakCount="1">
    <brk id="44" max="22" man="1"/>
  </rowBreaks>
  <ignoredErrors>
    <ignoredError sqref="C50:D50 N50:O50 C54:D54 D51 D52 N52:O55 O49 D49 D53 D55" unlockedFormula="1"/>
  </ignoredErrors>
  <legacyDrawing r:id="rId2"/>
</worksheet>
</file>

<file path=xl/worksheets/sheet33.xml><?xml version="1.0" encoding="utf-8"?>
<worksheet xmlns="http://schemas.openxmlformats.org/spreadsheetml/2006/main" xmlns:r="http://schemas.openxmlformats.org/officeDocument/2006/relationships">
  <dimension ref="A1:BK93"/>
  <sheetViews>
    <sheetView zoomScale="85" zoomScaleNormal="85" workbookViewId="0">
      <selection activeCell="C10" sqref="C10:D10"/>
    </sheetView>
  </sheetViews>
  <sheetFormatPr defaultRowHeight="12.75"/>
  <cols>
    <col min="1" max="1" width="39.28515625" style="3147" customWidth="1"/>
    <col min="2" max="2" width="1.28515625" style="3147" customWidth="1"/>
    <col min="3" max="3" width="4.7109375" style="3147" customWidth="1"/>
    <col min="4" max="4" width="5.7109375" style="3147" customWidth="1"/>
    <col min="5" max="5" width="4.7109375" style="3147" customWidth="1"/>
    <col min="6" max="6" width="8.7109375" style="3147" customWidth="1"/>
    <col min="7" max="7" width="2" style="3147" customWidth="1"/>
    <col min="8" max="8" width="11.140625" style="3147" customWidth="1"/>
    <col min="9" max="9" width="1.42578125" style="3147" customWidth="1"/>
    <col min="10" max="10" width="1.28515625" style="3147" customWidth="1"/>
    <col min="11" max="11" width="7.7109375" style="3147" customWidth="1"/>
    <col min="12" max="13" width="1.28515625" style="3147" customWidth="1"/>
    <col min="14" max="14" width="4.7109375" style="3147" customWidth="1"/>
    <col min="15" max="15" width="5.7109375" style="3147" customWidth="1"/>
    <col min="16" max="16" width="4.7109375" style="3147" customWidth="1"/>
    <col min="17" max="17" width="8.7109375" style="3147" customWidth="1"/>
    <col min="18" max="18" width="2" style="3147" customWidth="1"/>
    <col min="19" max="19" width="11.140625" style="3147" customWidth="1"/>
    <col min="20" max="20" width="1.42578125" style="3147" customWidth="1"/>
    <col min="21" max="21" width="1.28515625" style="3147" customWidth="1"/>
    <col min="22" max="22" width="7.7109375" style="3147" customWidth="1"/>
    <col min="23" max="23" width="1.28515625" style="3147" customWidth="1"/>
    <col min="24" max="24" width="51.42578125" style="3147" bestFit="1" customWidth="1"/>
    <col min="25" max="25" width="59.42578125" style="3147" bestFit="1" customWidth="1"/>
    <col min="26" max="16384" width="9.140625" style="3147"/>
  </cols>
  <sheetData>
    <row r="1" spans="1:63" s="3146" customFormat="1" ht="30" customHeight="1">
      <c r="A1" s="5072" t="str">
        <f>CONCATENATE("Application: ",Application_Name)</f>
        <v>Application: Conventional and Organic Farm Environmental Footprints (COFEF)</v>
      </c>
      <c r="B1" s="5073"/>
      <c r="C1" s="5073"/>
      <c r="D1" s="5073"/>
      <c r="E1" s="5073"/>
      <c r="F1" s="5073"/>
      <c r="G1" s="5073"/>
      <c r="H1" s="5073"/>
      <c r="I1" s="5073"/>
      <c r="J1" s="5073"/>
      <c r="K1" s="5073"/>
      <c r="L1" s="5073"/>
      <c r="M1" s="5073"/>
      <c r="N1" s="5073"/>
      <c r="O1" s="5073"/>
      <c r="P1" s="5073"/>
      <c r="Q1" s="5073"/>
      <c r="R1" s="5073"/>
      <c r="S1" s="5073"/>
      <c r="T1" s="5073"/>
      <c r="U1" s="5073"/>
      <c r="V1" s="5073"/>
      <c r="W1" s="5074"/>
      <c r="X1" s="3144"/>
      <c r="Y1" s="3144"/>
      <c r="Z1" s="3144"/>
      <c r="AA1" s="3144"/>
      <c r="AB1" s="3144"/>
      <c r="AC1" s="3144"/>
      <c r="AD1" s="3144"/>
      <c r="AE1" s="3144"/>
      <c r="AF1" s="3144"/>
      <c r="AG1" s="3144"/>
      <c r="AH1" s="3144"/>
      <c r="AI1" s="3144"/>
      <c r="AJ1" s="3144"/>
      <c r="AK1" s="3144"/>
      <c r="AL1" s="3144"/>
      <c r="AM1" s="3144"/>
      <c r="AN1" s="3144"/>
      <c r="AO1" s="3144"/>
      <c r="AP1" s="3144"/>
      <c r="AQ1" s="3144"/>
      <c r="AR1" s="3144"/>
      <c r="AS1" s="3144"/>
      <c r="AT1" s="3144"/>
      <c r="AU1" s="3144"/>
      <c r="AV1" s="3144"/>
      <c r="AW1" s="3144"/>
      <c r="AX1" s="3144"/>
      <c r="AY1" s="3144"/>
      <c r="AZ1" s="3144"/>
      <c r="BA1" s="3144"/>
      <c r="BB1" s="3144"/>
      <c r="BC1" s="3144"/>
      <c r="BD1" s="3144"/>
      <c r="BE1" s="3144"/>
      <c r="BF1" s="3144"/>
      <c r="BG1" s="3144"/>
      <c r="BH1" s="3144"/>
      <c r="BI1" s="3144"/>
      <c r="BJ1" s="3144"/>
      <c r="BK1" s="3145"/>
    </row>
    <row r="2" spans="1:63" ht="30" customHeight="1">
      <c r="A2" s="5075" t="s">
        <v>1099</v>
      </c>
      <c r="B2" s="5076"/>
      <c r="C2" s="5076"/>
      <c r="D2" s="5076"/>
      <c r="E2" s="5076"/>
      <c r="F2" s="5076"/>
      <c r="G2" s="5076"/>
      <c r="H2" s="5076"/>
      <c r="I2" s="5076"/>
      <c r="J2" s="5076"/>
      <c r="K2" s="5076"/>
      <c r="L2" s="5076"/>
      <c r="M2" s="5076"/>
      <c r="N2" s="5076"/>
      <c r="O2" s="5076"/>
      <c r="P2" s="5076"/>
      <c r="Q2" s="5076"/>
      <c r="R2" s="5076"/>
      <c r="S2" s="5076"/>
      <c r="T2" s="5076"/>
      <c r="U2" s="5076"/>
      <c r="V2" s="5076"/>
      <c r="W2" s="5077"/>
    </row>
    <row r="3" spans="1:63" ht="21.75" customHeight="1">
      <c r="A3" s="3148"/>
      <c r="B3" s="5078" t="str">
        <f>'Chosen Parameters-Part I'!D4</f>
        <v>Scenario 3</v>
      </c>
      <c r="C3" s="5079"/>
      <c r="D3" s="5079"/>
      <c r="E3" s="5079"/>
      <c r="F3" s="5079"/>
      <c r="G3" s="5079"/>
      <c r="H3" s="5079"/>
      <c r="I3" s="5079"/>
      <c r="J3" s="5079"/>
      <c r="K3" s="5079"/>
      <c r="L3" s="5080"/>
      <c r="M3" s="5081" t="str">
        <f>'Chosen Parameters-Part I'!E4</f>
        <v>Scenario 4</v>
      </c>
      <c r="N3" s="5082"/>
      <c r="O3" s="5082"/>
      <c r="P3" s="5082"/>
      <c r="Q3" s="5082"/>
      <c r="R3" s="5082"/>
      <c r="S3" s="5082"/>
      <c r="T3" s="5082"/>
      <c r="U3" s="5082"/>
      <c r="V3" s="5082"/>
      <c r="W3" s="5083"/>
    </row>
    <row r="4" spans="1:63" ht="36" customHeight="1">
      <c r="A4" s="3149"/>
      <c r="B4" s="5084" t="str">
        <f>'Application Setup'!B6</f>
        <v>Intensive Organic Management, Holsteins</v>
      </c>
      <c r="C4" s="5085"/>
      <c r="D4" s="5085"/>
      <c r="E4" s="5085"/>
      <c r="F4" s="5085"/>
      <c r="G4" s="5085"/>
      <c r="H4" s="5085"/>
      <c r="I4" s="5085"/>
      <c r="J4" s="5085"/>
      <c r="K4" s="5085"/>
      <c r="L4" s="5086"/>
      <c r="M4" s="5087" t="str">
        <f>'Application Setup'!B7</f>
        <v>Pasture-Based Organic, Jersey Cows</v>
      </c>
      <c r="N4" s="5088"/>
      <c r="O4" s="5088"/>
      <c r="P4" s="5088"/>
      <c r="Q4" s="5088"/>
      <c r="R4" s="5088"/>
      <c r="S4" s="5088"/>
      <c r="T4" s="5088"/>
      <c r="U4" s="5088"/>
      <c r="V4" s="5088"/>
      <c r="W4" s="5089"/>
    </row>
    <row r="5" spans="1:63" ht="28.5" customHeight="1">
      <c r="A5" s="3150" t="s">
        <v>1125</v>
      </c>
      <c r="B5" s="3151"/>
      <c r="C5" s="3152"/>
      <c r="D5" s="3152"/>
      <c r="E5" s="3152"/>
      <c r="F5" s="3152"/>
      <c r="G5" s="3152"/>
      <c r="H5" s="3152"/>
      <c r="I5" s="3152"/>
      <c r="J5" s="5090"/>
      <c r="K5" s="5091"/>
      <c r="L5" s="5092"/>
      <c r="M5" s="3153"/>
      <c r="N5" s="3154"/>
      <c r="O5" s="3154"/>
      <c r="P5" s="3154"/>
      <c r="Q5" s="3154"/>
      <c r="R5" s="3154"/>
      <c r="S5" s="3154"/>
      <c r="T5" s="3154"/>
      <c r="U5" s="5093"/>
      <c r="V5" s="5094"/>
      <c r="W5" s="5095"/>
    </row>
    <row r="6" spans="1:63" ht="20.25" customHeight="1">
      <c r="A6" s="5096" t="s">
        <v>1005</v>
      </c>
      <c r="B6" s="5097"/>
      <c r="C6" s="5097"/>
      <c r="D6" s="5097"/>
      <c r="E6" s="5097"/>
      <c r="F6" s="5097"/>
      <c r="G6" s="5097"/>
      <c r="H6" s="5097"/>
      <c r="I6" s="5097"/>
      <c r="J6" s="5097"/>
      <c r="K6" s="5097"/>
      <c r="L6" s="5097"/>
      <c r="M6" s="5097"/>
      <c r="N6" s="5097"/>
      <c r="O6" s="5097"/>
      <c r="P6" s="5097"/>
      <c r="Q6" s="5097"/>
      <c r="R6" s="5097"/>
      <c r="S6" s="5097"/>
      <c r="T6" s="5097"/>
      <c r="U6" s="5097"/>
      <c r="V6" s="5097"/>
      <c r="W6" s="5098"/>
    </row>
    <row r="7" spans="1:63" ht="6" customHeight="1">
      <c r="A7" s="3155"/>
      <c r="B7" s="3156"/>
      <c r="C7" s="5099" t="s">
        <v>591</v>
      </c>
      <c r="D7" s="5099"/>
      <c r="E7" s="3157"/>
      <c r="F7" s="3157"/>
      <c r="G7" s="3157"/>
      <c r="H7" s="5091" t="s">
        <v>627</v>
      </c>
      <c r="I7" s="3158"/>
      <c r="J7" s="5090" t="s">
        <v>83</v>
      </c>
      <c r="K7" s="5091"/>
      <c r="L7" s="5092"/>
      <c r="M7" s="3159"/>
      <c r="N7" s="5094" t="s">
        <v>591</v>
      </c>
      <c r="O7" s="5094"/>
      <c r="P7" s="3160"/>
      <c r="Q7" s="3160"/>
      <c r="R7" s="3160"/>
      <c r="S7" s="5094" t="s">
        <v>628</v>
      </c>
      <c r="T7" s="3154"/>
      <c r="U7" s="5093" t="s">
        <v>83</v>
      </c>
      <c r="V7" s="5094"/>
      <c r="W7" s="5095"/>
    </row>
    <row r="8" spans="1:63" ht="24" customHeight="1">
      <c r="A8" s="3161" t="s">
        <v>271</v>
      </c>
      <c r="B8" s="3156"/>
      <c r="C8" s="5100"/>
      <c r="D8" s="5100"/>
      <c r="E8" s="3157"/>
      <c r="F8" s="3740" t="s">
        <v>409</v>
      </c>
      <c r="G8" s="3157"/>
      <c r="H8" s="5100"/>
      <c r="I8" s="3158"/>
      <c r="J8" s="5101"/>
      <c r="K8" s="5100"/>
      <c r="L8" s="5102"/>
      <c r="M8" s="3159"/>
      <c r="N8" s="5103"/>
      <c r="O8" s="5103"/>
      <c r="P8" s="3160"/>
      <c r="Q8" s="3162" t="s">
        <v>409</v>
      </c>
      <c r="R8" s="3160"/>
      <c r="S8" s="5103"/>
      <c r="T8" s="3163"/>
      <c r="U8" s="5104"/>
      <c r="V8" s="5103"/>
      <c r="W8" s="5105"/>
    </row>
    <row r="9" spans="1:63" ht="3" customHeight="1">
      <c r="A9" s="3161"/>
      <c r="B9" s="3151"/>
      <c r="C9" s="3152"/>
      <c r="D9" s="3152"/>
      <c r="E9" s="3152"/>
      <c r="F9" s="3152"/>
      <c r="G9" s="3152"/>
      <c r="H9" s="3152"/>
      <c r="I9" s="3152"/>
      <c r="J9" s="3164"/>
      <c r="K9" s="3152"/>
      <c r="L9" s="3152"/>
      <c r="M9" s="3153"/>
      <c r="N9" s="3154"/>
      <c r="O9" s="3154"/>
      <c r="P9" s="3154"/>
      <c r="Q9" s="3165"/>
      <c r="R9" s="3154"/>
      <c r="S9" s="3154"/>
      <c r="T9" s="3154"/>
      <c r="U9" s="3166"/>
      <c r="V9" s="3154"/>
      <c r="W9" s="3167"/>
    </row>
    <row r="10" spans="1:63">
      <c r="A10" s="3168" t="s">
        <v>226</v>
      </c>
      <c r="B10" s="3151"/>
      <c r="C10" s="4332">
        <v>0.2</v>
      </c>
      <c r="D10" s="4333"/>
      <c r="E10" s="3152"/>
      <c r="F10" s="3169">
        <f>VLOOKUP(Options!AY10,Defaults!H20:J69,3,FALSE)</f>
        <v>0.63</v>
      </c>
      <c r="G10" s="3152"/>
      <c r="H10" s="3169">
        <f>C10*F10</f>
        <v>0.126</v>
      </c>
      <c r="I10" s="3169"/>
      <c r="J10" s="3170"/>
      <c r="K10" s="3213">
        <v>1</v>
      </c>
      <c r="L10" s="3152"/>
      <c r="M10" s="3153"/>
      <c r="N10" s="4332">
        <v>0.1</v>
      </c>
      <c r="O10" s="4333"/>
      <c r="P10" s="3154"/>
      <c r="Q10" s="3165">
        <f>VLOOKUP(Options!AZ10,Defaults!H20:J69,3,FALSE)</f>
        <v>0.63</v>
      </c>
      <c r="R10" s="3154"/>
      <c r="S10" s="3165">
        <f>N10*Q10</f>
        <v>6.3E-2</v>
      </c>
      <c r="T10" s="3165"/>
      <c r="U10" s="3172"/>
      <c r="V10" s="3214">
        <v>1</v>
      </c>
      <c r="W10" s="3167"/>
    </row>
    <row r="11" spans="1:63" ht="3" customHeight="1">
      <c r="A11" s="3161"/>
      <c r="B11" s="3151"/>
      <c r="C11" s="3152"/>
      <c r="D11" s="3152"/>
      <c r="E11" s="3152"/>
      <c r="F11" s="3169"/>
      <c r="G11" s="3152"/>
      <c r="H11" s="3169"/>
      <c r="I11" s="3169"/>
      <c r="J11" s="3164"/>
      <c r="K11" s="3152"/>
      <c r="L11" s="3152"/>
      <c r="M11" s="3153"/>
      <c r="N11" s="3154"/>
      <c r="O11" s="3154"/>
      <c r="P11" s="3154"/>
      <c r="Q11" s="3165"/>
      <c r="R11" s="3154"/>
      <c r="S11" s="3165"/>
      <c r="T11" s="3165"/>
      <c r="U11" s="3166"/>
      <c r="V11" s="3154"/>
      <c r="W11" s="3167"/>
    </row>
    <row r="12" spans="1:63">
      <c r="A12" s="3168" t="s">
        <v>225</v>
      </c>
      <c r="B12" s="3151"/>
      <c r="C12" s="4332"/>
      <c r="D12" s="4333"/>
      <c r="E12" s="3152"/>
      <c r="F12" s="3169">
        <f>VLOOKUP(Options!AY10,Defaults!H20:K69,4,FALSE)</f>
        <v>0.21</v>
      </c>
      <c r="G12" s="3152"/>
      <c r="H12" s="3169">
        <f>C12*F12</f>
        <v>0</v>
      </c>
      <c r="I12" s="3169"/>
      <c r="J12" s="3164"/>
      <c r="K12" s="3173"/>
      <c r="L12" s="3152"/>
      <c r="M12" s="3153"/>
      <c r="N12" s="4332"/>
      <c r="O12" s="4333"/>
      <c r="P12" s="3154"/>
      <c r="Q12" s="3165">
        <f>VLOOKUP(Options!AZ10,Defaults!H20:K69,4,FALSE)</f>
        <v>0.21</v>
      </c>
      <c r="R12" s="3154"/>
      <c r="S12" s="3165">
        <f>N12*Q12</f>
        <v>0</v>
      </c>
      <c r="T12" s="3165"/>
      <c r="U12" s="3166"/>
      <c r="V12" s="3174"/>
      <c r="W12" s="3167"/>
    </row>
    <row r="13" spans="1:63" ht="6" customHeight="1">
      <c r="A13" s="3155"/>
      <c r="B13" s="3151"/>
      <c r="C13" s="3152"/>
      <c r="D13" s="3152"/>
      <c r="E13" s="3152"/>
      <c r="F13" s="3152"/>
      <c r="G13" s="3152"/>
      <c r="H13" s="3169"/>
      <c r="I13" s="3169"/>
      <c r="J13" s="3164"/>
      <c r="K13" s="3175"/>
      <c r="L13" s="3152"/>
      <c r="M13" s="3153"/>
      <c r="N13" s="3154"/>
      <c r="O13" s="3154"/>
      <c r="P13" s="3154"/>
      <c r="Q13" s="3165"/>
      <c r="R13" s="3154"/>
      <c r="S13" s="3154"/>
      <c r="T13" s="3154"/>
      <c r="U13" s="3166"/>
      <c r="V13" s="3176"/>
      <c r="W13" s="3167"/>
    </row>
    <row r="14" spans="1:63">
      <c r="A14" s="3161" t="s">
        <v>272</v>
      </c>
      <c r="B14" s="3151"/>
      <c r="C14" s="3177"/>
      <c r="D14" s="3152"/>
      <c r="E14" s="3152"/>
      <c r="F14" s="3152"/>
      <c r="G14" s="3152"/>
      <c r="H14" s="3169"/>
      <c r="I14" s="3169"/>
      <c r="J14" s="3164"/>
      <c r="K14" s="3175"/>
      <c r="L14" s="3152"/>
      <c r="M14" s="3153"/>
      <c r="N14" s="3178"/>
      <c r="O14" s="3154"/>
      <c r="P14" s="3154"/>
      <c r="Q14" s="3165"/>
      <c r="R14" s="3154"/>
      <c r="S14" s="3154"/>
      <c r="T14" s="3154"/>
      <c r="U14" s="3166"/>
      <c r="V14" s="3176"/>
      <c r="W14" s="3167"/>
    </row>
    <row r="15" spans="1:63">
      <c r="A15" s="3179" t="s">
        <v>19</v>
      </c>
      <c r="B15" s="3151"/>
      <c r="C15" s="4332">
        <v>0.17</v>
      </c>
      <c r="D15" s="4333"/>
      <c r="E15" s="3152"/>
      <c r="F15" s="3169">
        <f>IF(F3_Climate="cold",Defaults!J82,IF(F3_Climate="Hot",Defaults!L82,Defaults!K82))</f>
        <v>1.4999999999999999E-2</v>
      </c>
      <c r="G15" s="3152"/>
      <c r="H15" s="3169">
        <f>C15*F15</f>
        <v>2.5500000000000002E-3</v>
      </c>
      <c r="I15" s="3169"/>
      <c r="J15" s="3164"/>
      <c r="K15" s="3213">
        <v>1</v>
      </c>
      <c r="L15" s="3152"/>
      <c r="M15" s="3153"/>
      <c r="N15" s="4332">
        <v>0.45</v>
      </c>
      <c r="O15" s="4333"/>
      <c r="P15" s="3154"/>
      <c r="Q15" s="3165">
        <f>IF(F4_Climate="cold",Defaults!J82,IF(F4_Climate="Hot",Defaults!L82,Defaults!K82))</f>
        <v>1.4999999999999999E-2</v>
      </c>
      <c r="R15" s="3154"/>
      <c r="S15" s="3165">
        <f>N15*Q15</f>
        <v>6.7499999999999999E-3</v>
      </c>
      <c r="T15" s="3165"/>
      <c r="U15" s="3166"/>
      <c r="V15" s="3214">
        <v>1</v>
      </c>
      <c r="W15" s="3167"/>
    </row>
    <row r="16" spans="1:63" ht="3" customHeight="1">
      <c r="A16" s="3161"/>
      <c r="B16" s="3151"/>
      <c r="C16" s="3152">
        <v>0</v>
      </c>
      <c r="D16" s="3152"/>
      <c r="E16" s="3152"/>
      <c r="F16" s="3169"/>
      <c r="G16" s="3152"/>
      <c r="H16" s="3169"/>
      <c r="I16" s="3169"/>
      <c r="J16" s="3164"/>
      <c r="K16" s="3175"/>
      <c r="L16" s="3152"/>
      <c r="M16" s="3153"/>
      <c r="N16" s="3154">
        <v>0</v>
      </c>
      <c r="O16" s="3154"/>
      <c r="P16" s="3154"/>
      <c r="Q16" s="3165"/>
      <c r="R16" s="3154"/>
      <c r="S16" s="3165"/>
      <c r="T16" s="3165"/>
      <c r="U16" s="3166"/>
      <c r="V16" s="3176"/>
      <c r="W16" s="3167"/>
    </row>
    <row r="17" spans="1:24">
      <c r="A17" s="3168" t="s">
        <v>229</v>
      </c>
      <c r="B17" s="3151"/>
      <c r="C17" s="4332"/>
      <c r="D17" s="4333"/>
      <c r="E17" s="3152"/>
      <c r="F17" s="3180">
        <f>IF(F3_Climate="cold",Defaults!J79,IF(F3_Climate="Hot",Defaults!L79,Defaults!K79))</f>
        <v>5.0000000000000001E-3</v>
      </c>
      <c r="G17" s="3152"/>
      <c r="H17" s="3169">
        <f>C17*F17</f>
        <v>0</v>
      </c>
      <c r="I17" s="3180"/>
      <c r="J17" s="3164"/>
      <c r="K17" s="3173"/>
      <c r="L17" s="3152"/>
      <c r="M17" s="3153"/>
      <c r="N17" s="4332"/>
      <c r="O17" s="4333"/>
      <c r="P17" s="3154"/>
      <c r="Q17" s="3181">
        <f>IF(F4_Climate="cold",Defaults!J79,IF(F4_Climate="Hot",Defaults!L79,Defaults!K79))</f>
        <v>5.0000000000000001E-3</v>
      </c>
      <c r="R17" s="3154"/>
      <c r="S17" s="3165">
        <f>N17*Q17</f>
        <v>0</v>
      </c>
      <c r="T17" s="3181"/>
      <c r="U17" s="3166"/>
      <c r="V17" s="3174"/>
      <c r="W17" s="3167"/>
    </row>
    <row r="18" spans="1:24" ht="3" customHeight="1">
      <c r="A18" s="3161"/>
      <c r="B18" s="3151"/>
      <c r="C18" s="3152"/>
      <c r="D18" s="3152"/>
      <c r="E18" s="3152"/>
      <c r="F18" s="3169"/>
      <c r="G18" s="3152"/>
      <c r="H18" s="3169"/>
      <c r="I18" s="3169"/>
      <c r="J18" s="3164"/>
      <c r="K18" s="3175"/>
      <c r="L18" s="3152"/>
      <c r="M18" s="3153"/>
      <c r="N18" s="3154"/>
      <c r="O18" s="3154"/>
      <c r="P18" s="3154"/>
      <c r="Q18" s="3165"/>
      <c r="R18" s="3154"/>
      <c r="S18" s="3165"/>
      <c r="T18" s="3165"/>
      <c r="U18" s="3166"/>
      <c r="V18" s="3176"/>
      <c r="W18" s="3167"/>
    </row>
    <row r="19" spans="1:24">
      <c r="A19" s="3168" t="s">
        <v>224</v>
      </c>
      <c r="B19" s="3151"/>
      <c r="C19" s="4332"/>
      <c r="D19" s="4333"/>
      <c r="E19" s="3152"/>
      <c r="F19" s="3169">
        <f>IF(F3_Climate="cold",Defaults!J83,IF(F3_Climate="Hot",Defaults!L83,Defaults!K83))</f>
        <v>0.04</v>
      </c>
      <c r="G19" s="3152"/>
      <c r="H19" s="3169">
        <f>C19*F19</f>
        <v>0</v>
      </c>
      <c r="I19" s="3169"/>
      <c r="J19" s="3164"/>
      <c r="K19" s="3173"/>
      <c r="L19" s="3152"/>
      <c r="M19" s="3153"/>
      <c r="N19" s="4332">
        <v>0.1</v>
      </c>
      <c r="O19" s="4333"/>
      <c r="P19" s="3154"/>
      <c r="Q19" s="3165">
        <f>IF(F4_Climate="cold",Defaults!J83,IF(F4_Climate="Hot",Defaults!L83,Defaults!K83))</f>
        <v>0.04</v>
      </c>
      <c r="R19" s="3154"/>
      <c r="S19" s="3165">
        <f>N19*Q19</f>
        <v>4.0000000000000001E-3</v>
      </c>
      <c r="T19" s="3165"/>
      <c r="U19" s="3166"/>
      <c r="V19" s="3174"/>
      <c r="W19" s="3167"/>
    </row>
    <row r="20" spans="1:24" ht="3" customHeight="1">
      <c r="A20" s="3161"/>
      <c r="B20" s="3151"/>
      <c r="C20" s="3152"/>
      <c r="D20" s="3152"/>
      <c r="E20" s="3152"/>
      <c r="F20" s="3169"/>
      <c r="G20" s="3152"/>
      <c r="H20" s="3169"/>
      <c r="I20" s="3169"/>
      <c r="J20" s="3164"/>
      <c r="K20" s="3175"/>
      <c r="L20" s="3152"/>
      <c r="M20" s="3153"/>
      <c r="N20" s="3154"/>
      <c r="O20" s="3154"/>
      <c r="P20" s="3154"/>
      <c r="Q20" s="3165"/>
      <c r="R20" s="3154"/>
      <c r="S20" s="3165"/>
      <c r="T20" s="3165"/>
      <c r="U20" s="3166"/>
      <c r="V20" s="3176"/>
      <c r="W20" s="3167"/>
    </row>
    <row r="21" spans="1:24">
      <c r="A21" s="3168" t="s">
        <v>227</v>
      </c>
      <c r="B21" s="3151"/>
      <c r="C21" s="4332"/>
      <c r="D21" s="4333"/>
      <c r="E21" s="3152"/>
      <c r="F21" s="3169">
        <f>IF(F3_Climate="cold",Defaults!J81,IF(F3_Climate="Hot",Defaults!L81,Defaults!K81))</f>
        <v>0</v>
      </c>
      <c r="G21" s="3152"/>
      <c r="H21" s="3169">
        <f>C21*F21</f>
        <v>0</v>
      </c>
      <c r="I21" s="3169"/>
      <c r="J21" s="3182"/>
      <c r="K21" s="3173"/>
      <c r="L21" s="3152"/>
      <c r="M21" s="3153"/>
      <c r="N21" s="4332"/>
      <c r="O21" s="4333"/>
      <c r="P21" s="3154"/>
      <c r="Q21" s="3165">
        <f>IF(F4_Climate="cold",Defaults!J81,IF(F4_Climate="Hot",Defaults!L81,Defaults!K81))</f>
        <v>0</v>
      </c>
      <c r="R21" s="3154"/>
      <c r="S21" s="3165">
        <f>N21*Q21</f>
        <v>0</v>
      </c>
      <c r="T21" s="3165"/>
      <c r="U21" s="3183"/>
      <c r="V21" s="3174"/>
      <c r="W21" s="3167"/>
    </row>
    <row r="22" spans="1:24" ht="3" customHeight="1">
      <c r="A22" s="3161"/>
      <c r="B22" s="3151"/>
      <c r="C22" s="3152"/>
      <c r="D22" s="3152"/>
      <c r="E22" s="3152"/>
      <c r="F22" s="3169"/>
      <c r="G22" s="3152"/>
      <c r="H22" s="3169"/>
      <c r="I22" s="3169"/>
      <c r="J22" s="3164"/>
      <c r="K22" s="3175"/>
      <c r="L22" s="3152"/>
      <c r="M22" s="3153"/>
      <c r="N22" s="3154"/>
      <c r="O22" s="3154"/>
      <c r="P22" s="3154"/>
      <c r="Q22" s="3165"/>
      <c r="R22" s="3154"/>
      <c r="S22" s="3165"/>
      <c r="T22" s="3165"/>
      <c r="U22" s="3166"/>
      <c r="V22" s="3176"/>
      <c r="W22" s="3167"/>
    </row>
    <row r="23" spans="1:24">
      <c r="A23" s="3168" t="s">
        <v>268</v>
      </c>
      <c r="B23" s="3151"/>
      <c r="C23" s="4332">
        <v>0.4</v>
      </c>
      <c r="D23" s="4333"/>
      <c r="E23" s="3152"/>
      <c r="F23" s="3169">
        <f>IF(F3_Climate="cold",Defaults!J78,IF(F3_Climate="Hot",Defaults!L78,Defaults!K78))</f>
        <v>0.01</v>
      </c>
      <c r="G23" s="3152"/>
      <c r="H23" s="3169">
        <f>C23*F23</f>
        <v>4.0000000000000001E-3</v>
      </c>
      <c r="I23" s="3169"/>
      <c r="J23" s="3182"/>
      <c r="K23" s="3173"/>
      <c r="L23" s="3152"/>
      <c r="M23" s="3153"/>
      <c r="N23" s="4332">
        <v>0.15</v>
      </c>
      <c r="O23" s="4333"/>
      <c r="P23" s="3154"/>
      <c r="Q23" s="3165">
        <f>IF(F4_Climate="cold",Defaults!J78,IF(F4_Climate="Hot",Defaults!L78,Defaults!K78))</f>
        <v>0.01</v>
      </c>
      <c r="R23" s="3154"/>
      <c r="S23" s="3165">
        <f>N23*Q23</f>
        <v>1.5E-3</v>
      </c>
      <c r="T23" s="3165"/>
      <c r="U23" s="3183"/>
      <c r="V23" s="3174"/>
      <c r="W23" s="3167"/>
    </row>
    <row r="24" spans="1:24" ht="3" customHeight="1">
      <c r="A24" s="3161"/>
      <c r="B24" s="3151"/>
      <c r="C24" s="3152"/>
      <c r="D24" s="3152"/>
      <c r="E24" s="3152"/>
      <c r="F24" s="3169"/>
      <c r="G24" s="3152"/>
      <c r="H24" s="3169"/>
      <c r="I24" s="3169"/>
      <c r="J24" s="3164"/>
      <c r="K24" s="3175"/>
      <c r="L24" s="3152"/>
      <c r="M24" s="3153"/>
      <c r="N24" s="3154"/>
      <c r="O24" s="3154"/>
      <c r="P24" s="3154"/>
      <c r="Q24" s="3165"/>
      <c r="R24" s="3154"/>
      <c r="S24" s="3165"/>
      <c r="T24" s="3165"/>
      <c r="U24" s="3166"/>
      <c r="V24" s="3176"/>
      <c r="W24" s="3167"/>
    </row>
    <row r="25" spans="1:24">
      <c r="A25" s="3184" t="s">
        <v>230</v>
      </c>
      <c r="B25" s="3151"/>
      <c r="C25" s="4332">
        <v>0.23</v>
      </c>
      <c r="D25" s="4333"/>
      <c r="E25" s="3152"/>
      <c r="F25" s="3169">
        <f>IF(F3_Climate="cold",Defaults!J80,IF(F3_Climate="Hot",Defaults!L80,Defaults!K80))</f>
        <v>1.4999999999999999E-2</v>
      </c>
      <c r="G25" s="3152"/>
      <c r="H25" s="3169">
        <f>C25*F25</f>
        <v>3.4499999999999999E-3</v>
      </c>
      <c r="I25" s="3169"/>
      <c r="J25" s="3182"/>
      <c r="K25" s="3173"/>
      <c r="L25" s="3152"/>
      <c r="M25" s="3153"/>
      <c r="N25" s="4332">
        <v>0.2</v>
      </c>
      <c r="O25" s="4333"/>
      <c r="P25" s="3154"/>
      <c r="Q25" s="3165">
        <f>IF(F4_Climate="cold",Defaults!J80,IF(F4_Climate="Hot",Defaults!L80,Defaults!K80))</f>
        <v>1.4999999999999999E-2</v>
      </c>
      <c r="R25" s="3154"/>
      <c r="S25" s="3165">
        <f>N25*Q25</f>
        <v>3.0000000000000001E-3</v>
      </c>
      <c r="T25" s="3165"/>
      <c r="U25" s="3183"/>
      <c r="V25" s="3174"/>
      <c r="W25" s="3167"/>
    </row>
    <row r="26" spans="1:24" ht="6" customHeight="1">
      <c r="A26" s="3161"/>
      <c r="B26" s="3151"/>
      <c r="C26" s="3152"/>
      <c r="D26" s="3152"/>
      <c r="E26" s="3185"/>
      <c r="F26" s="3185"/>
      <c r="G26" s="3185"/>
      <c r="H26" s="3186"/>
      <c r="I26" s="3186"/>
      <c r="J26" s="3164"/>
      <c r="K26" s="3175"/>
      <c r="L26" s="3152"/>
      <c r="M26" s="3153"/>
      <c r="N26" s="3154"/>
      <c r="O26" s="3154"/>
      <c r="P26" s="3187"/>
      <c r="Q26" s="3187"/>
      <c r="R26" s="3187"/>
      <c r="S26" s="3187"/>
      <c r="T26" s="3187"/>
      <c r="U26" s="3166"/>
      <c r="V26" s="3176"/>
      <c r="W26" s="3167"/>
    </row>
    <row r="27" spans="1:24">
      <c r="A27" s="3188" t="str">
        <f>IF(C27=100%,IF(N27=100%,"Total WMS: ","Total must equal 100%"), "Total must equal 100%")</f>
        <v xml:space="preserve">Total WMS: </v>
      </c>
      <c r="B27" s="3151"/>
      <c r="C27" s="5106">
        <f>C10+C12+C15+C17+C19+C21+C23+C25</f>
        <v>1</v>
      </c>
      <c r="D27" s="5106"/>
      <c r="E27" s="3189"/>
      <c r="F27" s="3189"/>
      <c r="G27" s="3189"/>
      <c r="H27" s="3158">
        <f>H10+H12+H15+H17+H19+H21+H23+H25</f>
        <v>0.13600000000000001</v>
      </c>
      <c r="I27" s="3158"/>
      <c r="J27" s="3182"/>
      <c r="K27" s="3190"/>
      <c r="L27" s="3152"/>
      <c r="M27" s="3153"/>
      <c r="N27" s="5107">
        <f>N10+N12+N15+N17+N19+N21+N23+N25</f>
        <v>1</v>
      </c>
      <c r="O27" s="5107"/>
      <c r="P27" s="3187"/>
      <c r="Q27" s="3187"/>
      <c r="R27" s="3187"/>
      <c r="S27" s="3191">
        <f>S10+S12+S15+S17+S19+S21+S23+S25</f>
        <v>7.8250000000000014E-2</v>
      </c>
      <c r="T27" s="3191"/>
      <c r="U27" s="3183"/>
      <c r="V27" s="3178"/>
      <c r="W27" s="3167"/>
    </row>
    <row r="28" spans="1:24" ht="6" customHeight="1">
      <c r="A28" s="3192"/>
      <c r="B28" s="3193"/>
      <c r="C28" s="3194"/>
      <c r="D28" s="3194"/>
      <c r="E28" s="3195"/>
      <c r="F28" s="3195"/>
      <c r="G28" s="3195"/>
      <c r="H28" s="3195"/>
      <c r="I28" s="3195"/>
      <c r="J28" s="3196"/>
      <c r="K28" s="3197"/>
      <c r="L28" s="3194"/>
      <c r="M28" s="3198"/>
      <c r="N28" s="3199"/>
      <c r="O28" s="3199"/>
      <c r="P28" s="3200"/>
      <c r="Q28" s="3200"/>
      <c r="R28" s="3200"/>
      <c r="S28" s="3200"/>
      <c r="T28" s="3200"/>
      <c r="U28" s="3201"/>
      <c r="V28" s="3199"/>
      <c r="W28" s="3202"/>
    </row>
    <row r="29" spans="1:24" ht="6" customHeight="1">
      <c r="A29" s="3155"/>
      <c r="B29" s="3151"/>
      <c r="C29" s="3152"/>
      <c r="D29" s="3152"/>
      <c r="E29" s="3152"/>
      <c r="F29" s="3152"/>
      <c r="G29" s="3152"/>
      <c r="H29" s="3152"/>
      <c r="I29" s="3152"/>
      <c r="J29" s="3164"/>
      <c r="K29" s="3175"/>
      <c r="L29" s="3152"/>
      <c r="M29" s="3153"/>
      <c r="N29" s="3154"/>
      <c r="O29" s="3154"/>
      <c r="P29" s="3154"/>
      <c r="Q29" s="3154"/>
      <c r="R29" s="3154"/>
      <c r="S29" s="3154"/>
      <c r="T29" s="3154"/>
      <c r="U29" s="3166"/>
      <c r="V29" s="3154"/>
      <c r="W29" s="3167"/>
    </row>
    <row r="30" spans="1:24" ht="12" customHeight="1">
      <c r="A30" s="3203" t="s">
        <v>1501</v>
      </c>
      <c r="B30" s="3151"/>
      <c r="C30" s="3204" t="s">
        <v>118</v>
      </c>
      <c r="D30" s="3169"/>
      <c r="E30" s="3152"/>
      <c r="F30" s="3175"/>
      <c r="G30" s="3175"/>
      <c r="H30" s="3173"/>
      <c r="I30" s="3173"/>
      <c r="J30" s="3205"/>
      <c r="K30" s="3173"/>
      <c r="L30" s="3152"/>
      <c r="M30" s="3153"/>
      <c r="N30" s="3206" t="s">
        <v>118</v>
      </c>
      <c r="O30" s="3154"/>
      <c r="P30" s="3154"/>
      <c r="Q30" s="3176"/>
      <c r="R30" s="3176"/>
      <c r="S30" s="3176"/>
      <c r="T30" s="3176"/>
      <c r="U30" s="3207"/>
      <c r="V30" s="3174"/>
      <c r="W30" s="3167"/>
    </row>
    <row r="31" spans="1:24" ht="12" customHeight="1">
      <c r="A31" s="3208" t="s">
        <v>702</v>
      </c>
      <c r="B31" s="3151"/>
      <c r="C31" s="3169"/>
      <c r="D31" s="5112"/>
      <c r="E31" s="5113"/>
      <c r="F31" s="3209"/>
      <c r="G31" s="3209"/>
      <c r="H31" s="3173"/>
      <c r="I31" s="3173"/>
      <c r="J31" s="3210"/>
      <c r="K31" s="3171"/>
      <c r="L31" s="3152"/>
      <c r="M31" s="3153"/>
      <c r="N31" s="3154"/>
      <c r="O31" s="5112"/>
      <c r="P31" s="5113"/>
      <c r="Q31" s="3211"/>
      <c r="R31" s="3211"/>
      <c r="S31" s="3176"/>
      <c r="T31" s="3176"/>
      <c r="U31" s="3212"/>
      <c r="V31" s="3171"/>
      <c r="W31" s="3167"/>
      <c r="X31" s="2351" t="str">
        <f>IF(X33=FALSE,"If UR and IC values differ significantly, check accuracy of input parameter values used in the IC formula."," ")</f>
        <v xml:space="preserve"> </v>
      </c>
    </row>
    <row r="32" spans="1:24" ht="2.25" customHeight="1">
      <c r="A32" s="3168"/>
      <c r="B32" s="3151"/>
      <c r="C32" s="3152"/>
      <c r="D32" s="3194"/>
      <c r="E32" s="3152"/>
      <c r="F32" s="3175"/>
      <c r="G32" s="3175"/>
      <c r="H32" s="3175"/>
      <c r="I32" s="3175"/>
      <c r="J32" s="3205"/>
      <c r="K32" s="3194"/>
      <c r="L32" s="3152"/>
      <c r="M32" s="3153"/>
      <c r="N32" s="3154"/>
      <c r="O32" s="3199"/>
      <c r="P32" s="3154"/>
      <c r="Q32" s="3176"/>
      <c r="R32" s="3176"/>
      <c r="S32" s="3176"/>
      <c r="T32" s="3176"/>
      <c r="U32" s="3207"/>
      <c r="V32" s="3199"/>
      <c r="W32" s="3167"/>
      <c r="X32" s="21"/>
    </row>
    <row r="33" spans="1:32" ht="12" customHeight="1">
      <c r="A33" s="3208" t="s">
        <v>712</v>
      </c>
      <c r="B33" s="3151"/>
      <c r="C33" s="3169"/>
      <c r="D33" s="5114">
        <f>H27</f>
        <v>0.13600000000000001</v>
      </c>
      <c r="E33" s="5115"/>
      <c r="F33" s="3209"/>
      <c r="G33" s="3209"/>
      <c r="H33" s="3173"/>
      <c r="I33" s="3173"/>
      <c r="J33" s="3210"/>
      <c r="K33" s="3213" t="s">
        <v>592</v>
      </c>
      <c r="L33" s="3152"/>
      <c r="M33" s="3153"/>
      <c r="N33" s="3154"/>
      <c r="O33" s="5116">
        <f>S27</f>
        <v>7.8250000000000014E-2</v>
      </c>
      <c r="P33" s="5117"/>
      <c r="Q33" s="3211"/>
      <c r="R33" s="3211"/>
      <c r="S33" s="3176"/>
      <c r="T33" s="3176"/>
      <c r="U33" s="3212"/>
      <c r="V33" s="3214" t="s">
        <v>592</v>
      </c>
      <c r="W33" s="3167"/>
      <c r="X33" s="3651" t="str">
        <f>IF(Options!AY14=2,IF(Options!AZ14=2," ",FALSE))</f>
        <v xml:space="preserve"> </v>
      </c>
    </row>
    <row r="34" spans="1:32" ht="5.25" customHeight="1">
      <c r="A34" s="3192"/>
      <c r="B34" s="3193"/>
      <c r="C34" s="3194"/>
      <c r="D34" s="3194"/>
      <c r="E34" s="3194"/>
      <c r="F34" s="3197"/>
      <c r="G34" s="3197"/>
      <c r="H34" s="3197"/>
      <c r="I34" s="3197"/>
      <c r="J34" s="3215"/>
      <c r="K34" s="3194"/>
      <c r="L34" s="3194"/>
      <c r="M34" s="3198"/>
      <c r="N34" s="3199"/>
      <c r="O34" s="3199"/>
      <c r="P34" s="3199"/>
      <c r="Q34" s="3216"/>
      <c r="R34" s="3216"/>
      <c r="S34" s="3216"/>
      <c r="T34" s="3216"/>
      <c r="U34" s="3217"/>
      <c r="V34" s="3199"/>
      <c r="W34" s="3202"/>
    </row>
    <row r="35" spans="1:32" ht="5.25" customHeight="1">
      <c r="A35" s="3155"/>
      <c r="B35" s="3151"/>
      <c r="C35" s="3152"/>
      <c r="D35" s="3152"/>
      <c r="E35" s="3152"/>
      <c r="F35" s="3175"/>
      <c r="G35" s="3175"/>
      <c r="H35" s="3175"/>
      <c r="I35" s="3175"/>
      <c r="J35" s="3205"/>
      <c r="K35" s="3152"/>
      <c r="L35" s="3152"/>
      <c r="M35" s="3153"/>
      <c r="N35" s="3154"/>
      <c r="O35" s="3154"/>
      <c r="P35" s="3154"/>
      <c r="Q35" s="3176"/>
      <c r="R35" s="3176"/>
      <c r="S35" s="3176"/>
      <c r="T35" s="3176"/>
      <c r="U35" s="3207"/>
      <c r="V35" s="3154"/>
      <c r="W35" s="3167"/>
    </row>
    <row r="36" spans="1:32" ht="12" customHeight="1">
      <c r="A36" s="3203" t="s">
        <v>602</v>
      </c>
      <c r="B36" s="3151"/>
      <c r="C36" s="5118">
        <f>Defaults!$J$88</f>
        <v>0.24</v>
      </c>
      <c r="D36" s="5119"/>
      <c r="E36" s="3152"/>
      <c r="F36" s="3175"/>
      <c r="G36" s="3175"/>
      <c r="H36" s="3175"/>
      <c r="I36" s="3175"/>
      <c r="J36" s="3205"/>
      <c r="K36" s="3213">
        <v>2</v>
      </c>
      <c r="L36" s="3152"/>
      <c r="M36" s="3153"/>
      <c r="N36" s="5120">
        <f>Defaults!$J$88</f>
        <v>0.24</v>
      </c>
      <c r="O36" s="5121"/>
      <c r="P36" s="3154"/>
      <c r="Q36" s="3176"/>
      <c r="R36" s="3176"/>
      <c r="S36" s="3176"/>
      <c r="T36" s="3176"/>
      <c r="U36" s="3207"/>
      <c r="V36" s="3214">
        <v>2</v>
      </c>
      <c r="W36" s="3167"/>
    </row>
    <row r="37" spans="1:32" ht="5.25" customHeight="1">
      <c r="A37" s="3192"/>
      <c r="B37" s="3193"/>
      <c r="C37" s="3194"/>
      <c r="D37" s="3194"/>
      <c r="E37" s="3194"/>
      <c r="F37" s="3197"/>
      <c r="G37" s="3197"/>
      <c r="H37" s="3197"/>
      <c r="I37" s="3197"/>
      <c r="J37" s="3215"/>
      <c r="K37" s="3194"/>
      <c r="L37" s="3194"/>
      <c r="M37" s="3198"/>
      <c r="N37" s="3199"/>
      <c r="O37" s="3199"/>
      <c r="P37" s="3199"/>
      <c r="Q37" s="3216"/>
      <c r="R37" s="3216"/>
      <c r="S37" s="3216"/>
      <c r="T37" s="3216"/>
      <c r="U37" s="3217"/>
      <c r="V37" s="3199"/>
      <c r="W37" s="3202"/>
    </row>
    <row r="38" spans="1:32" ht="6" customHeight="1">
      <c r="A38" s="3155"/>
      <c r="B38" s="3151"/>
      <c r="C38" s="3152"/>
      <c r="D38" s="3152"/>
      <c r="E38" s="3152"/>
      <c r="F38" s="3175"/>
      <c r="G38" s="3175"/>
      <c r="H38" s="3175"/>
      <c r="I38" s="3175"/>
      <c r="J38" s="3205"/>
      <c r="K38" s="3152"/>
      <c r="L38" s="3152"/>
      <c r="M38" s="3153"/>
      <c r="N38" s="3154"/>
      <c r="O38" s="3154"/>
      <c r="P38" s="3154"/>
      <c r="Q38" s="3176"/>
      <c r="R38" s="3176"/>
      <c r="S38" s="3176"/>
      <c r="T38" s="3176"/>
      <c r="U38" s="3207"/>
      <c r="V38" s="3154"/>
      <c r="W38" s="3167"/>
    </row>
    <row r="39" spans="1:32">
      <c r="A39" s="3218" t="s">
        <v>1101</v>
      </c>
      <c r="B39" s="3151"/>
      <c r="C39" s="3204" t="s">
        <v>118</v>
      </c>
      <c r="D39" s="3152"/>
      <c r="E39" s="3152"/>
      <c r="F39" s="3175"/>
      <c r="G39" s="3175"/>
      <c r="H39" s="3175"/>
      <c r="I39" s="3175"/>
      <c r="J39" s="3205"/>
      <c r="K39" s="3152"/>
      <c r="L39" s="3152"/>
      <c r="M39" s="3153"/>
      <c r="N39" s="3206" t="s">
        <v>118</v>
      </c>
      <c r="O39" s="3154"/>
      <c r="P39" s="3154"/>
      <c r="Q39" s="3176"/>
      <c r="R39" s="3176"/>
      <c r="S39" s="3176"/>
      <c r="T39" s="3176"/>
      <c r="U39" s="3207"/>
      <c r="V39" s="3154"/>
      <c r="W39" s="3167"/>
    </row>
    <row r="40" spans="1:32" s="3228" customFormat="1" ht="12" customHeight="1">
      <c r="A40" s="3208" t="s">
        <v>702</v>
      </c>
      <c r="B40" s="3219"/>
      <c r="C40" s="3177"/>
      <c r="D40" s="4332"/>
      <c r="E40" s="4333"/>
      <c r="F40" s="3220"/>
      <c r="G40" s="3220"/>
      <c r="H40" s="3190"/>
      <c r="I40" s="3190"/>
      <c r="J40" s="3221"/>
      <c r="K40" s="3171"/>
      <c r="L40" s="3222"/>
      <c r="M40" s="3178"/>
      <c r="N40" s="3178"/>
      <c r="O40" s="4332"/>
      <c r="P40" s="4333"/>
      <c r="Q40" s="3223"/>
      <c r="R40" s="3223"/>
      <c r="S40" s="3224"/>
      <c r="T40" s="3224"/>
      <c r="U40" s="3225"/>
      <c r="V40" s="3171"/>
      <c r="W40" s="3226"/>
      <c r="X40" s="3227"/>
    </row>
    <row r="41" spans="1:32" s="3228" customFormat="1" ht="2.25" customHeight="1">
      <c r="A41" s="3229"/>
      <c r="B41" s="3219"/>
      <c r="C41" s="3177"/>
      <c r="D41" s="3177"/>
      <c r="E41" s="3230"/>
      <c r="F41" s="3231"/>
      <c r="G41" s="3231"/>
      <c r="H41" s="3190"/>
      <c r="I41" s="3190"/>
      <c r="J41" s="3221"/>
      <c r="K41" s="3230"/>
      <c r="L41" s="3222"/>
      <c r="M41" s="3178"/>
      <c r="N41" s="3178"/>
      <c r="O41" s="3178"/>
      <c r="P41" s="3232"/>
      <c r="Q41" s="3233"/>
      <c r="R41" s="3233"/>
      <c r="S41" s="3224"/>
      <c r="T41" s="3224"/>
      <c r="U41" s="3225"/>
      <c r="V41" s="3232"/>
      <c r="W41" s="3226"/>
      <c r="X41" s="3234"/>
    </row>
    <row r="42" spans="1:32" s="3228" customFormat="1" ht="12" customHeight="1">
      <c r="A42" s="3208" t="s">
        <v>631</v>
      </c>
      <c r="B42" s="3219"/>
      <c r="C42" s="3177"/>
      <c r="D42" s="5122">
        <f>VLOOKUP(Options!AY10,Defaults!H20:L69,5,FALSE)</f>
        <v>0.65</v>
      </c>
      <c r="E42" s="5123"/>
      <c r="F42" s="3220"/>
      <c r="G42" s="3220"/>
      <c r="H42" s="3190"/>
      <c r="I42" s="3190"/>
      <c r="J42" s="3221"/>
      <c r="K42" s="3213">
        <v>3</v>
      </c>
      <c r="L42" s="3222"/>
      <c r="M42" s="3178"/>
      <c r="N42" s="3178"/>
      <c r="O42" s="5124">
        <f>VLOOKUP(Options!AZ10,Defaults!H20:L69,5,FALSE)</f>
        <v>0.65</v>
      </c>
      <c r="P42" s="5125"/>
      <c r="Q42" s="3223"/>
      <c r="R42" s="3223"/>
      <c r="S42" s="3224"/>
      <c r="T42" s="3224"/>
      <c r="U42" s="3225"/>
      <c r="V42" s="3214">
        <v>3</v>
      </c>
      <c r="W42" s="3226"/>
      <c r="X42" s="3235"/>
    </row>
    <row r="43" spans="1:32" ht="6" customHeight="1">
      <c r="A43" s="3192"/>
      <c r="B43" s="3193"/>
      <c r="C43" s="3194"/>
      <c r="D43" s="3194"/>
      <c r="E43" s="3194"/>
      <c r="F43" s="3197"/>
      <c r="G43" s="3197"/>
      <c r="H43" s="3197"/>
      <c r="I43" s="3197"/>
      <c r="J43" s="3215"/>
      <c r="K43" s="3194"/>
      <c r="L43" s="3194"/>
      <c r="M43" s="3198"/>
      <c r="N43" s="3199"/>
      <c r="O43" s="3199"/>
      <c r="P43" s="3199"/>
      <c r="Q43" s="3216"/>
      <c r="R43" s="3216"/>
      <c r="S43" s="3216"/>
      <c r="T43" s="3216"/>
      <c r="U43" s="3217"/>
      <c r="V43" s="3199"/>
      <c r="W43" s="3202"/>
    </row>
    <row r="44" spans="1:32" ht="20.25" customHeight="1">
      <c r="A44" s="5096" t="s">
        <v>1004</v>
      </c>
      <c r="B44" s="5097"/>
      <c r="C44" s="5097"/>
      <c r="D44" s="5097"/>
      <c r="E44" s="5097"/>
      <c r="F44" s="5097"/>
      <c r="G44" s="5097"/>
      <c r="H44" s="5097"/>
      <c r="I44" s="5097"/>
      <c r="J44" s="5097"/>
      <c r="K44" s="5097"/>
      <c r="L44" s="5097"/>
      <c r="M44" s="5097"/>
      <c r="N44" s="5097"/>
      <c r="O44" s="5097"/>
      <c r="P44" s="5097"/>
      <c r="Q44" s="5097"/>
      <c r="R44" s="5097"/>
      <c r="S44" s="5097"/>
      <c r="T44" s="5097"/>
      <c r="U44" s="5097"/>
      <c r="V44" s="5097"/>
      <c r="W44" s="5098"/>
      <c r="X44" s="1029" t="s">
        <v>866</v>
      </c>
      <c r="Y44" s="1709" t="s">
        <v>1</v>
      </c>
      <c r="Z44" s="3602"/>
      <c r="AA44" s="3146"/>
      <c r="AB44" s="3146"/>
      <c r="AC44" s="3146"/>
      <c r="AD44" s="3146"/>
      <c r="AE44" s="3146"/>
      <c r="AF44" s="3234"/>
    </row>
    <row r="45" spans="1:32" ht="5.25" customHeight="1">
      <c r="A45" s="3155"/>
      <c r="B45" s="3151"/>
      <c r="C45" s="3152"/>
      <c r="D45" s="3152"/>
      <c r="E45" s="3152"/>
      <c r="F45" s="3175"/>
      <c r="G45" s="3175"/>
      <c r="H45" s="3175"/>
      <c r="I45" s="3175"/>
      <c r="J45" s="3205"/>
      <c r="K45" s="3152"/>
      <c r="L45" s="3152"/>
      <c r="M45" s="3153"/>
      <c r="N45" s="3154"/>
      <c r="O45" s="3154"/>
      <c r="P45" s="3154"/>
      <c r="Q45" s="3154"/>
      <c r="R45" s="3154"/>
      <c r="S45" s="3154"/>
      <c r="T45" s="3154"/>
      <c r="U45" s="3166"/>
      <c r="V45" s="3154"/>
      <c r="W45" s="3167"/>
      <c r="X45"/>
      <c r="Y45" s="2494"/>
      <c r="Z45" s="3602"/>
      <c r="AA45" s="3146"/>
      <c r="AB45" s="3146"/>
      <c r="AC45" s="3146"/>
      <c r="AD45" s="3146"/>
      <c r="AE45" s="3146"/>
      <c r="AF45" s="3146"/>
    </row>
    <row r="46" spans="1:32">
      <c r="A46" s="3236" t="s">
        <v>304</v>
      </c>
      <c r="B46" s="3151"/>
      <c r="C46" s="3177"/>
      <c r="D46" s="3152"/>
      <c r="E46" s="3152"/>
      <c r="F46" s="3175"/>
      <c r="G46" s="3175"/>
      <c r="H46" s="3175"/>
      <c r="I46" s="3175"/>
      <c r="J46" s="3205"/>
      <c r="K46" s="3152"/>
      <c r="L46" s="3152"/>
      <c r="M46" s="3153"/>
      <c r="N46" s="3154"/>
      <c r="O46" s="3154"/>
      <c r="P46" s="3154"/>
      <c r="Q46" s="3176"/>
      <c r="R46" s="3176"/>
      <c r="S46" s="3176"/>
      <c r="T46" s="3176"/>
      <c r="U46" s="3207"/>
      <c r="V46" s="3154"/>
      <c r="W46" s="3167"/>
      <c r="X46"/>
      <c r="Y46" s="2494"/>
      <c r="Z46" s="3602"/>
      <c r="AA46" s="3146"/>
      <c r="AB46" s="3146"/>
      <c r="AC46" s="3146"/>
      <c r="AD46" s="3146"/>
      <c r="AE46" s="3146"/>
      <c r="AF46" s="3146"/>
    </row>
    <row r="47" spans="1:32" ht="3" customHeight="1">
      <c r="A47" s="3161"/>
      <c r="B47" s="3151"/>
      <c r="C47" s="3152"/>
      <c r="D47" s="3152"/>
      <c r="E47" s="3152"/>
      <c r="F47" s="3175"/>
      <c r="G47" s="3175"/>
      <c r="H47" s="3175"/>
      <c r="I47" s="3175"/>
      <c r="J47" s="3205"/>
      <c r="K47" s="3152"/>
      <c r="L47" s="3152"/>
      <c r="M47" s="3153"/>
      <c r="N47" s="3154"/>
      <c r="O47" s="3154"/>
      <c r="P47" s="3154"/>
      <c r="Q47" s="3176"/>
      <c r="R47" s="3176"/>
      <c r="S47" s="3176"/>
      <c r="T47" s="3176"/>
      <c r="U47" s="3207"/>
      <c r="V47" s="3154"/>
      <c r="W47" s="3167"/>
      <c r="X47"/>
      <c r="Y47" s="2494"/>
      <c r="Z47" s="3602"/>
      <c r="AA47" s="3146"/>
      <c r="AB47" s="3146"/>
      <c r="AC47" s="3146"/>
      <c r="AD47" s="3146"/>
      <c r="AE47" s="3146"/>
      <c r="AF47" s="3146"/>
    </row>
    <row r="48" spans="1:32" ht="12" customHeight="1">
      <c r="A48" s="3168" t="s">
        <v>302</v>
      </c>
      <c r="B48" s="3151"/>
      <c r="C48" s="5108">
        <f>0.386*(F3_Lact_Cow_Weight_kg^0.75)</f>
        <v>46.801140587329108</v>
      </c>
      <c r="D48" s="5109"/>
      <c r="E48" s="3152"/>
      <c r="F48" s="3175"/>
      <c r="G48" s="3175"/>
      <c r="H48" s="3175"/>
      <c r="I48" s="3175"/>
      <c r="J48" s="3237"/>
      <c r="K48" s="3213">
        <v>4</v>
      </c>
      <c r="L48" s="3152"/>
      <c r="M48" s="3153"/>
      <c r="N48" s="5110">
        <f>0.386*(F4_Lact_Cow_Weight_kg^0.75)</f>
        <v>35.056490461573247</v>
      </c>
      <c r="O48" s="5111"/>
      <c r="P48" s="3154"/>
      <c r="Q48" s="3176"/>
      <c r="R48" s="3176"/>
      <c r="S48" s="3176"/>
      <c r="T48" s="3176"/>
      <c r="U48" s="3238"/>
      <c r="V48" s="3214">
        <v>4</v>
      </c>
      <c r="W48" s="3167"/>
      <c r="X48" s="3595" t="s">
        <v>1142</v>
      </c>
      <c r="Y48" s="22" t="s">
        <v>1138</v>
      </c>
      <c r="Z48" s="3602"/>
      <c r="AA48" s="3146"/>
      <c r="AB48" s="3146"/>
      <c r="AC48" s="3146"/>
      <c r="AD48" s="3146"/>
      <c r="AE48" s="3146"/>
      <c r="AF48" s="3146"/>
    </row>
    <row r="49" spans="1:32" ht="3" customHeight="1">
      <c r="A49" s="3239"/>
      <c r="B49" s="3151"/>
      <c r="C49" s="3240"/>
      <c r="D49" s="3240"/>
      <c r="E49" s="3152"/>
      <c r="F49" s="3175"/>
      <c r="G49" s="3175"/>
      <c r="H49" s="3175"/>
      <c r="I49" s="3175"/>
      <c r="J49" s="3205"/>
      <c r="K49" s="3152"/>
      <c r="L49" s="3152"/>
      <c r="M49" s="3153"/>
      <c r="N49" s="3241"/>
      <c r="O49" s="3241"/>
      <c r="P49" s="3154"/>
      <c r="Q49" s="3176"/>
      <c r="R49" s="3176"/>
      <c r="S49" s="3176"/>
      <c r="T49" s="3176"/>
      <c r="U49" s="3207"/>
      <c r="V49" s="3154"/>
      <c r="W49" s="3167"/>
      <c r="X49" s="3596"/>
      <c r="Y49" s="2494"/>
      <c r="Z49" s="3602"/>
      <c r="AA49" s="3146"/>
      <c r="AB49" s="3146"/>
      <c r="AC49" s="3146"/>
      <c r="AD49" s="3146"/>
      <c r="AE49" s="3146"/>
      <c r="AF49" s="3146"/>
    </row>
    <row r="50" spans="1:32" ht="12.75" customHeight="1">
      <c r="A50" s="3168" t="s">
        <v>357</v>
      </c>
      <c r="B50" s="3151"/>
      <c r="C50" s="5108">
        <f>F3_NE_maintenance*IF(F3_Organic =TRUE,0.17,0)</f>
        <v>7.9561938998459487</v>
      </c>
      <c r="D50" s="5109"/>
      <c r="E50" s="3152"/>
      <c r="F50" s="3175"/>
      <c r="G50" s="3175"/>
      <c r="H50" s="3175"/>
      <c r="I50" s="3175"/>
      <c r="J50" s="3205"/>
      <c r="K50" s="3213">
        <v>4</v>
      </c>
      <c r="L50" s="3152"/>
      <c r="M50" s="3153"/>
      <c r="N50" s="5110">
        <f>F4_NE_maintenance*IF(F4_Organic=TRUE,0.17,0)</f>
        <v>5.9596033784674525</v>
      </c>
      <c r="O50" s="5111"/>
      <c r="P50" s="3154"/>
      <c r="Q50" s="3176"/>
      <c r="R50" s="3176"/>
      <c r="S50" s="3176"/>
      <c r="T50" s="3176"/>
      <c r="U50" s="3207"/>
      <c r="V50" s="3214">
        <v>4</v>
      </c>
      <c r="W50" s="3167"/>
      <c r="X50" s="1506" t="s">
        <v>1143</v>
      </c>
      <c r="Y50" s="22" t="s">
        <v>1139</v>
      </c>
      <c r="Z50" s="3602"/>
      <c r="AA50" s="3146"/>
      <c r="AB50" s="3146"/>
      <c r="AC50" s="3146"/>
      <c r="AD50" s="3146"/>
      <c r="AE50" s="3234"/>
      <c r="AF50" s="3234"/>
    </row>
    <row r="51" spans="1:32" ht="3" customHeight="1">
      <c r="A51" s="3161"/>
      <c r="B51" s="3151"/>
      <c r="C51" s="3240"/>
      <c r="D51" s="3240"/>
      <c r="E51" s="3152"/>
      <c r="F51" s="3175"/>
      <c r="G51" s="3175"/>
      <c r="H51" s="3175"/>
      <c r="I51" s="3175"/>
      <c r="J51" s="3205"/>
      <c r="K51" s="3152"/>
      <c r="L51" s="3152"/>
      <c r="M51" s="3153"/>
      <c r="N51" s="3241"/>
      <c r="O51" s="3241"/>
      <c r="P51" s="3154"/>
      <c r="Q51" s="3176"/>
      <c r="R51" s="3176"/>
      <c r="S51" s="3176"/>
      <c r="T51" s="3176"/>
      <c r="U51" s="3207"/>
      <c r="V51" s="3154"/>
      <c r="W51" s="3167"/>
      <c r="X51" s="3596"/>
      <c r="Y51" s="2494"/>
      <c r="Z51" s="3602"/>
      <c r="AA51" s="3146"/>
      <c r="AB51" s="3146"/>
      <c r="AC51" s="3146"/>
      <c r="AD51" s="3146"/>
      <c r="AE51" s="3146"/>
      <c r="AF51" s="3146"/>
    </row>
    <row r="52" spans="1:32" ht="12.75" customHeight="1">
      <c r="A52" s="3168" t="s">
        <v>359</v>
      </c>
      <c r="B52" s="3151"/>
      <c r="C52" s="5108">
        <f>F3_Unadjusted_Milk_Production_kg_day*(1.47+0.4*F3_Percent_Milk_Fat)</f>
        <v>81.374457220123347</v>
      </c>
      <c r="D52" s="5109"/>
      <c r="E52" s="3152"/>
      <c r="F52" s="3175"/>
      <c r="G52" s="3175"/>
      <c r="H52" s="3175"/>
      <c r="I52" s="3175"/>
      <c r="J52" s="3237"/>
      <c r="K52" s="3213">
        <v>4</v>
      </c>
      <c r="L52" s="3152"/>
      <c r="M52" s="3153"/>
      <c r="N52" s="5110">
        <f>F4_Unadjusted_Milk_Production_kg_day*(1.47+0.4*F4_Percent_Milk_Fat)</f>
        <v>77.79107811176786</v>
      </c>
      <c r="O52" s="5111"/>
      <c r="P52" s="3242"/>
      <c r="Q52" s="3243"/>
      <c r="R52" s="3243"/>
      <c r="S52" s="3224"/>
      <c r="T52" s="3224"/>
      <c r="U52" s="3238"/>
      <c r="V52" s="3214">
        <v>4</v>
      </c>
      <c r="W52" s="3167"/>
      <c r="X52" s="1507" t="s">
        <v>1144</v>
      </c>
      <c r="Y52" s="2494" t="s">
        <v>1141</v>
      </c>
      <c r="Z52" s="3602"/>
      <c r="AA52" s="3146"/>
      <c r="AB52" s="3146"/>
      <c r="AC52" s="3146"/>
      <c r="AD52" s="3146"/>
      <c r="AE52" s="3146"/>
      <c r="AF52" s="3146"/>
    </row>
    <row r="53" spans="1:32" ht="3" customHeight="1">
      <c r="A53" s="3161"/>
      <c r="B53" s="3151"/>
      <c r="C53" s="3240"/>
      <c r="D53" s="3240"/>
      <c r="E53" s="3152"/>
      <c r="F53" s="3175"/>
      <c r="G53" s="3175"/>
      <c r="H53" s="3175"/>
      <c r="I53" s="3175"/>
      <c r="J53" s="3205"/>
      <c r="K53" s="3152"/>
      <c r="L53" s="3152"/>
      <c r="M53" s="3153"/>
      <c r="N53" s="3241"/>
      <c r="O53" s="3241"/>
      <c r="P53" s="3154"/>
      <c r="Q53" s="3176"/>
      <c r="R53" s="3176"/>
      <c r="S53" s="3176"/>
      <c r="T53" s="3176"/>
      <c r="U53" s="3207"/>
      <c r="V53" s="3154"/>
      <c r="W53" s="3167"/>
      <c r="X53"/>
      <c r="Y53" s="2494"/>
      <c r="Z53" s="3602"/>
      <c r="AA53" s="3146"/>
      <c r="AB53" s="3146"/>
      <c r="AC53" s="3146"/>
      <c r="AD53" s="3146"/>
      <c r="AE53" s="3146"/>
      <c r="AF53" s="3146"/>
    </row>
    <row r="54" spans="1:32">
      <c r="A54" s="3168" t="s">
        <v>358</v>
      </c>
      <c r="B54" s="3151"/>
      <c r="C54" s="5108">
        <f>F3_NE_maintenance*0.1</f>
        <v>4.6801140587329106</v>
      </c>
      <c r="D54" s="5109"/>
      <c r="E54" s="3152"/>
      <c r="F54" s="3175"/>
      <c r="G54" s="3175"/>
      <c r="H54" s="3175"/>
      <c r="I54" s="3175"/>
      <c r="J54" s="3237"/>
      <c r="K54" s="3213">
        <v>4</v>
      </c>
      <c r="L54" s="3152"/>
      <c r="M54" s="3153"/>
      <c r="N54" s="5110">
        <f>F4_NE_maintenance*0.1</f>
        <v>3.5056490461573251</v>
      </c>
      <c r="O54" s="5111"/>
      <c r="P54" s="3154"/>
      <c r="Q54" s="3176"/>
      <c r="R54" s="3176"/>
      <c r="S54" s="3176"/>
      <c r="T54" s="3176"/>
      <c r="U54" s="3238"/>
      <c r="V54" s="3214">
        <v>4</v>
      </c>
      <c r="W54" s="3167"/>
      <c r="X54"/>
      <c r="Y54" s="2494"/>
      <c r="Z54" s="3602"/>
      <c r="AA54" s="3146"/>
      <c r="AB54" s="3146"/>
      <c r="AC54" s="3146"/>
      <c r="AD54" s="3146"/>
      <c r="AE54" s="3146"/>
      <c r="AF54" s="3146"/>
    </row>
    <row r="55" spans="1:32" ht="6" customHeight="1">
      <c r="A55" s="3161"/>
      <c r="B55" s="3151"/>
      <c r="C55" s="3240"/>
      <c r="D55" s="3240"/>
      <c r="E55" s="3152"/>
      <c r="F55" s="3175"/>
      <c r="G55" s="3175"/>
      <c r="H55" s="3175"/>
      <c r="I55" s="3175"/>
      <c r="J55" s="3205"/>
      <c r="K55" s="3152"/>
      <c r="L55" s="3152"/>
      <c r="M55" s="3153"/>
      <c r="N55" s="3241"/>
      <c r="O55" s="3241"/>
      <c r="P55" s="3154"/>
      <c r="Q55" s="3176"/>
      <c r="R55" s="3176"/>
      <c r="S55" s="3176"/>
      <c r="T55" s="3176"/>
      <c r="U55" s="3207"/>
      <c r="V55" s="3154"/>
      <c r="W55" s="3167"/>
      <c r="X55"/>
      <c r="Y55" s="2494"/>
      <c r="Z55" s="3602"/>
      <c r="AA55" s="3146"/>
      <c r="AB55" s="3146"/>
      <c r="AC55" s="3146"/>
      <c r="AD55" s="3146"/>
      <c r="AE55" s="3146"/>
      <c r="AF55" s="3146"/>
    </row>
    <row r="56" spans="1:32">
      <c r="A56" s="3244" t="s">
        <v>303</v>
      </c>
      <c r="B56" s="3151"/>
      <c r="C56" s="5126">
        <f>(F3_NE_maintenance+F3_NE_activity+F3_NE_lactation+F3_NE_pregnancy)</f>
        <v>140.81190576603132</v>
      </c>
      <c r="D56" s="5127"/>
      <c r="E56" s="3245" t="s">
        <v>583</v>
      </c>
      <c r="F56" s="3246"/>
      <c r="G56" s="3246"/>
      <c r="H56" s="3246"/>
      <c r="I56" s="3246"/>
      <c r="J56" s="3247"/>
      <c r="K56" s="3245"/>
      <c r="L56" s="3245"/>
      <c r="M56" s="3248"/>
      <c r="N56" s="5128">
        <f>(F4_NE_maintenance+F4_NE_activity+F4_NE_lactation+F4_NE_pregnancy)</f>
        <v>122.31282099796589</v>
      </c>
      <c r="O56" s="5129"/>
      <c r="P56" s="3249" t="s">
        <v>583</v>
      </c>
      <c r="Q56" s="3250"/>
      <c r="R56" s="3250"/>
      <c r="S56" s="3250"/>
      <c r="T56" s="3250"/>
      <c r="U56" s="3238"/>
      <c r="V56" s="3178"/>
      <c r="W56" s="3167"/>
      <c r="X56" s="21"/>
      <c r="Y56" s="2494"/>
      <c r="Z56" s="3602"/>
      <c r="AA56" s="3146"/>
      <c r="AB56" s="3146"/>
      <c r="AC56" s="3146"/>
      <c r="AD56" s="3146"/>
      <c r="AE56" s="3146"/>
      <c r="AF56" s="3146"/>
    </row>
    <row r="57" spans="1:32" ht="5.25" customHeight="1">
      <c r="A57" s="3192"/>
      <c r="B57" s="3193"/>
      <c r="C57" s="3251"/>
      <c r="D57" s="3251"/>
      <c r="E57" s="3251"/>
      <c r="F57" s="3252"/>
      <c r="G57" s="3252"/>
      <c r="H57" s="3252"/>
      <c r="I57" s="3252"/>
      <c r="J57" s="3253"/>
      <c r="K57" s="3251"/>
      <c r="L57" s="3251"/>
      <c r="M57" s="3254"/>
      <c r="N57" s="3255"/>
      <c r="O57" s="3255"/>
      <c r="P57" s="3255"/>
      <c r="Q57" s="3256"/>
      <c r="R57" s="3256"/>
      <c r="S57" s="3256"/>
      <c r="T57" s="3256"/>
      <c r="U57" s="3217"/>
      <c r="V57" s="3199"/>
      <c r="W57" s="3202"/>
      <c r="X57"/>
      <c r="Y57" s="2494"/>
      <c r="Z57" s="3602"/>
      <c r="AA57" s="3146"/>
      <c r="AB57" s="3146"/>
      <c r="AC57" s="3146"/>
      <c r="AD57" s="3146"/>
      <c r="AE57" s="3146"/>
      <c r="AF57" s="3146"/>
    </row>
    <row r="58" spans="1:32" ht="6" customHeight="1">
      <c r="A58" s="3155"/>
      <c r="B58" s="3151"/>
      <c r="C58" s="3152"/>
      <c r="D58" s="3152"/>
      <c r="E58" s="3152"/>
      <c r="F58" s="3175"/>
      <c r="G58" s="3175"/>
      <c r="H58" s="3175"/>
      <c r="I58" s="3175"/>
      <c r="J58" s="3205"/>
      <c r="K58" s="3152"/>
      <c r="L58" s="3152"/>
      <c r="M58" s="3153"/>
      <c r="N58" s="3154"/>
      <c r="O58" s="3154"/>
      <c r="P58" s="3154"/>
      <c r="Q58" s="3176"/>
      <c r="R58" s="3176"/>
      <c r="S58" s="3176"/>
      <c r="T58" s="3176"/>
      <c r="U58" s="3207"/>
      <c r="V58" s="3154"/>
      <c r="W58" s="3167"/>
      <c r="X58" s="6"/>
      <c r="Y58" s="2494"/>
      <c r="Z58" s="3602"/>
      <c r="AA58" s="3146"/>
      <c r="AB58" s="3146"/>
      <c r="AC58" s="3146"/>
      <c r="AD58" s="3146"/>
      <c r="AE58" s="3146"/>
      <c r="AF58" s="3146"/>
    </row>
    <row r="59" spans="1:32">
      <c r="A59" s="3218" t="s">
        <v>499</v>
      </c>
      <c r="B59" s="3151"/>
      <c r="C59" s="5114">
        <f xml:space="preserve"> (1.123-(0.004092*F3_Diet_Digestibility*100)+(0.00001126*((F3_Diet_Digestibility*100)^2)))-(25.4/(F3_Diet_Digestibility*100))</f>
        <v>0.51382426923076918</v>
      </c>
      <c r="D59" s="5115"/>
      <c r="E59" s="3177" t="s">
        <v>58</v>
      </c>
      <c r="F59" s="3190"/>
      <c r="G59" s="3190"/>
      <c r="H59" s="3175"/>
      <c r="I59" s="3175"/>
      <c r="J59" s="3205"/>
      <c r="K59" s="3213">
        <v>4</v>
      </c>
      <c r="L59" s="3152"/>
      <c r="M59" s="3153"/>
      <c r="N59" s="5116">
        <f xml:space="preserve"> (1.123-(0.004092*F4_Diet_Digestibility*100)+(0.00001126*((F4_Diet_Digestibility*100)^2)))-(25.4/(F4_Diet_Digestibility*100))</f>
        <v>0.51382426923076918</v>
      </c>
      <c r="O59" s="5117"/>
      <c r="P59" s="3178" t="s">
        <v>58</v>
      </c>
      <c r="Q59" s="3224"/>
      <c r="R59" s="3224"/>
      <c r="S59" s="3176"/>
      <c r="T59" s="3176"/>
      <c r="U59" s="3207"/>
      <c r="V59" s="3214">
        <v>4</v>
      </c>
      <c r="W59" s="3167"/>
      <c r="X59" s="3597" t="s">
        <v>1102</v>
      </c>
      <c r="Y59" s="2494"/>
      <c r="Z59" s="3602"/>
      <c r="AA59" s="3146"/>
      <c r="AB59" s="3146"/>
      <c r="AC59" s="3146"/>
      <c r="AD59" s="3146"/>
      <c r="AE59" s="3146"/>
      <c r="AF59" s="3146"/>
    </row>
    <row r="60" spans="1:32" ht="6" customHeight="1">
      <c r="A60" s="3192"/>
      <c r="B60" s="3193"/>
      <c r="C60" s="3194"/>
      <c r="D60" s="3194"/>
      <c r="E60" s="3194"/>
      <c r="F60" s="3197"/>
      <c r="G60" s="3197"/>
      <c r="H60" s="3197"/>
      <c r="I60" s="3197"/>
      <c r="J60" s="3215"/>
      <c r="K60" s="3194"/>
      <c r="L60" s="3194"/>
      <c r="M60" s="3198"/>
      <c r="N60" s="3199"/>
      <c r="O60" s="3199"/>
      <c r="P60" s="3199"/>
      <c r="Q60" s="3216"/>
      <c r="R60" s="3216"/>
      <c r="S60" s="3216"/>
      <c r="T60" s="3216"/>
      <c r="U60" s="3217"/>
      <c r="V60" s="3199"/>
      <c r="W60" s="3202"/>
      <c r="X60" s="6"/>
      <c r="Y60" s="2494"/>
      <c r="Z60" s="3602"/>
      <c r="AA60" s="3146"/>
      <c r="AB60" s="3146"/>
      <c r="AC60" s="3146"/>
      <c r="AD60" s="3146"/>
      <c r="AE60" s="3146"/>
      <c r="AF60" s="3146"/>
    </row>
    <row r="61" spans="1:32" ht="6" customHeight="1">
      <c r="A61" s="3161"/>
      <c r="B61" s="3151"/>
      <c r="C61" s="3152"/>
      <c r="D61" s="3152"/>
      <c r="E61" s="3152"/>
      <c r="F61" s="3175"/>
      <c r="G61" s="3175"/>
      <c r="H61" s="3175"/>
      <c r="I61" s="3175"/>
      <c r="J61" s="3205"/>
      <c r="K61" s="3152"/>
      <c r="L61" s="3152"/>
      <c r="M61" s="3153"/>
      <c r="N61" s="3154"/>
      <c r="O61" s="3154"/>
      <c r="P61" s="3154"/>
      <c r="Q61" s="3176"/>
      <c r="R61" s="3176"/>
      <c r="S61" s="3176"/>
      <c r="T61" s="3176"/>
      <c r="U61" s="3207"/>
      <c r="V61" s="3154"/>
      <c r="W61" s="3167"/>
      <c r="X61"/>
      <c r="Y61" s="2494"/>
      <c r="Z61" s="3602"/>
      <c r="AA61" s="3146"/>
      <c r="AB61" s="3146"/>
      <c r="AC61" s="3146"/>
      <c r="AD61" s="3146"/>
      <c r="AE61" s="3146"/>
      <c r="AF61" s="3146"/>
    </row>
    <row r="62" spans="1:32" ht="15" customHeight="1">
      <c r="A62" s="3236" t="s">
        <v>307</v>
      </c>
      <c r="B62" s="3151"/>
      <c r="C62" s="3204" t="s">
        <v>118</v>
      </c>
      <c r="D62" s="3177"/>
      <c r="E62" s="3152"/>
      <c r="F62" s="3175"/>
      <c r="G62" s="3175"/>
      <c r="H62" s="3175"/>
      <c r="I62" s="3175"/>
      <c r="J62" s="3205"/>
      <c r="K62" s="3152"/>
      <c r="L62" s="3152"/>
      <c r="M62" s="3153"/>
      <c r="N62" s="3206" t="s">
        <v>118</v>
      </c>
      <c r="O62" s="3178"/>
      <c r="P62" s="3154"/>
      <c r="Q62" s="3176"/>
      <c r="R62" s="3176"/>
      <c r="S62" s="3176"/>
      <c r="T62" s="3176"/>
      <c r="U62" s="3207"/>
      <c r="V62" s="3154"/>
      <c r="W62" s="3167"/>
      <c r="X62"/>
      <c r="Y62" s="3599"/>
      <c r="Z62" s="3602"/>
      <c r="AA62" s="3146"/>
      <c r="AB62" s="3146"/>
      <c r="AC62" s="3146"/>
      <c r="AD62" s="3146"/>
      <c r="AE62" s="3146"/>
      <c r="AF62" s="3146"/>
    </row>
    <row r="63" spans="1:32">
      <c r="A63" s="3208" t="s">
        <v>702</v>
      </c>
      <c r="B63" s="3151"/>
      <c r="C63" s="3257"/>
      <c r="D63" s="5130"/>
      <c r="E63" s="5131"/>
      <c r="F63" s="3190" t="s">
        <v>583</v>
      </c>
      <c r="G63" s="3173"/>
      <c r="H63" s="3190"/>
      <c r="I63" s="3190"/>
      <c r="J63" s="3237"/>
      <c r="K63" s="3171"/>
      <c r="L63" s="3152"/>
      <c r="M63" s="3153"/>
      <c r="N63" s="3154"/>
      <c r="O63" s="5130"/>
      <c r="P63" s="5131"/>
      <c r="Q63" s="3224" t="s">
        <v>583</v>
      </c>
      <c r="R63" s="3258"/>
      <c r="S63" s="3224"/>
      <c r="T63" s="3224"/>
      <c r="U63" s="3238"/>
      <c r="V63" s="3171"/>
      <c r="W63" s="3167"/>
      <c r="X63"/>
      <c r="Y63" s="3604" t="str">
        <f>IF(Y65=FALSE,"If UR and IC values differ significantly, check accuracy of input parameter values used in the IC formula."," ")</f>
        <v xml:space="preserve"> </v>
      </c>
      <c r="Z63" s="3602"/>
      <c r="AA63" s="3146"/>
      <c r="AB63" s="3146"/>
      <c r="AC63" s="3146"/>
      <c r="AD63" s="3146"/>
      <c r="AE63" s="3146"/>
      <c r="AF63" s="3146"/>
    </row>
    <row r="64" spans="1:32" ht="3" customHeight="1">
      <c r="A64" s="3161"/>
      <c r="B64" s="3151"/>
      <c r="C64" s="3175"/>
      <c r="D64" s="3152"/>
      <c r="E64" s="3152"/>
      <c r="F64" s="3190"/>
      <c r="G64" s="3175"/>
      <c r="H64" s="3190"/>
      <c r="I64" s="3190"/>
      <c r="J64" s="3205"/>
      <c r="K64" s="3152"/>
      <c r="L64" s="3152"/>
      <c r="M64" s="3153"/>
      <c r="N64" s="3154"/>
      <c r="O64" s="3154"/>
      <c r="P64" s="3154"/>
      <c r="Q64" s="3176"/>
      <c r="R64" s="3176"/>
      <c r="S64" s="3176"/>
      <c r="T64" s="3176"/>
      <c r="U64" s="3207"/>
      <c r="V64" s="3154"/>
      <c r="W64" s="3167"/>
      <c r="X64"/>
      <c r="Y64" s="3600"/>
      <c r="Z64" s="3602"/>
      <c r="AA64" s="3146"/>
      <c r="AB64" s="3146"/>
      <c r="AC64" s="3146"/>
      <c r="AD64" s="3146"/>
      <c r="AE64" s="3146"/>
      <c r="AF64" s="3146"/>
    </row>
    <row r="65" spans="1:32">
      <c r="A65" s="3208" t="s">
        <v>712</v>
      </c>
      <c r="B65" s="3151"/>
      <c r="C65" s="3175"/>
      <c r="D65" s="5118">
        <f>F3_Total_Net_Energy/F3_REM</f>
        <v>274.04681755658714</v>
      </c>
      <c r="E65" s="5119"/>
      <c r="F65" s="3190" t="s">
        <v>583</v>
      </c>
      <c r="G65" s="3259"/>
      <c r="H65" s="3190"/>
      <c r="I65" s="3190"/>
      <c r="J65" s="3237"/>
      <c r="K65" s="3213">
        <v>4</v>
      </c>
      <c r="L65" s="3152"/>
      <c r="M65" s="3153"/>
      <c r="N65" s="3154"/>
      <c r="O65" s="5120">
        <f>F4_Total_Net_Energy/F4_REM</f>
        <v>238.04407133410947</v>
      </c>
      <c r="P65" s="5121"/>
      <c r="Q65" s="3224" t="s">
        <v>583</v>
      </c>
      <c r="R65" s="3260"/>
      <c r="S65" s="3224"/>
      <c r="T65" s="3224"/>
      <c r="U65" s="3238"/>
      <c r="V65" s="3214">
        <v>4</v>
      </c>
      <c r="W65" s="3167"/>
      <c r="X65" s="21" t="s">
        <v>581</v>
      </c>
      <c r="Y65" s="3662" t="str">
        <f>IF(Options!AY24=2,IF(Options!AZ24=2," ",FALSE))</f>
        <v xml:space="preserve"> </v>
      </c>
      <c r="Z65" s="3602"/>
      <c r="AA65" s="3146"/>
      <c r="AB65" s="3146"/>
      <c r="AC65" s="3146"/>
      <c r="AD65" s="3146"/>
      <c r="AE65" s="3146"/>
      <c r="AF65" s="3146"/>
    </row>
    <row r="66" spans="1:32">
      <c r="A66" s="2073" t="s">
        <v>1502</v>
      </c>
      <c r="B66" s="3151"/>
      <c r="C66" s="3175"/>
      <c r="D66" s="3259"/>
      <c r="E66" s="3259"/>
      <c r="F66" s="3190"/>
      <c r="G66" s="3259"/>
      <c r="H66" s="3190"/>
      <c r="I66" s="3190"/>
      <c r="J66" s="3237"/>
      <c r="K66" s="3173"/>
      <c r="L66" s="3175"/>
      <c r="M66" s="3261"/>
      <c r="N66" s="3176"/>
      <c r="O66" s="3260"/>
      <c r="P66" s="3260"/>
      <c r="Q66" s="3224"/>
      <c r="R66" s="3260"/>
      <c r="S66" s="3224"/>
      <c r="T66" s="3224"/>
      <c r="U66" s="3238"/>
      <c r="V66" s="3174"/>
      <c r="W66" s="3262"/>
      <c r="X66" s="21"/>
      <c r="Y66" s="3599"/>
      <c r="Z66" s="3602"/>
      <c r="AA66" s="3146"/>
      <c r="AB66" s="3146"/>
      <c r="AC66" s="3146"/>
      <c r="AD66" s="3146"/>
      <c r="AE66" s="3146"/>
      <c r="AF66" s="3146"/>
    </row>
    <row r="67" spans="1:32" ht="6" customHeight="1">
      <c r="A67" s="3263"/>
      <c r="B67" s="3193"/>
      <c r="C67" s="3197"/>
      <c r="D67" s="3197"/>
      <c r="E67" s="3197"/>
      <c r="F67" s="3197"/>
      <c r="G67" s="3197"/>
      <c r="H67" s="3197"/>
      <c r="I67" s="3197"/>
      <c r="J67" s="3215"/>
      <c r="K67" s="3197"/>
      <c r="L67" s="3197"/>
      <c r="M67" s="3264"/>
      <c r="N67" s="3216"/>
      <c r="O67" s="3216"/>
      <c r="P67" s="3216"/>
      <c r="Q67" s="3216"/>
      <c r="R67" s="3216"/>
      <c r="S67" s="3216"/>
      <c r="T67" s="3216"/>
      <c r="U67" s="3217"/>
      <c r="V67" s="3216"/>
      <c r="W67" s="3265"/>
      <c r="X67"/>
      <c r="Y67" s="3599"/>
      <c r="Z67" s="3602"/>
      <c r="AA67" s="3146"/>
      <c r="AB67" s="3146"/>
      <c r="AC67" s="3146"/>
      <c r="AD67" s="3146"/>
      <c r="AE67" s="3146"/>
      <c r="AF67" s="3146"/>
    </row>
    <row r="68" spans="1:32" ht="6" customHeight="1">
      <c r="A68" s="3161"/>
      <c r="B68" s="3151"/>
      <c r="C68" s="3175"/>
      <c r="D68" s="3175"/>
      <c r="E68" s="3175"/>
      <c r="F68" s="3175"/>
      <c r="G68" s="3175"/>
      <c r="H68" s="3175"/>
      <c r="I68" s="3175"/>
      <c r="J68" s="3205"/>
      <c r="K68" s="3175"/>
      <c r="L68" s="3175"/>
      <c r="M68" s="3261"/>
      <c r="N68" s="3176"/>
      <c r="O68" s="3176"/>
      <c r="P68" s="3176"/>
      <c r="Q68" s="3176"/>
      <c r="R68" s="3176"/>
      <c r="S68" s="3176"/>
      <c r="T68" s="3176"/>
      <c r="U68" s="3207"/>
      <c r="V68" s="3176"/>
      <c r="W68" s="3262"/>
      <c r="X68" s="6"/>
      <c r="Y68" s="3599"/>
      <c r="Z68" s="3602"/>
      <c r="AA68" s="3146"/>
      <c r="AB68" s="3146"/>
      <c r="AC68" s="3146"/>
      <c r="AD68" s="3146"/>
      <c r="AE68" s="3146"/>
      <c r="AF68" s="3146"/>
    </row>
    <row r="69" spans="1:32">
      <c r="A69" s="3236" t="s">
        <v>582</v>
      </c>
      <c r="B69" s="3151"/>
      <c r="C69" s="3190" t="s">
        <v>118</v>
      </c>
      <c r="D69" s="3190"/>
      <c r="E69" s="3175"/>
      <c r="F69" s="3175"/>
      <c r="G69" s="3175"/>
      <c r="H69" s="3175"/>
      <c r="I69" s="3175"/>
      <c r="J69" s="3205"/>
      <c r="K69" s="3175"/>
      <c r="L69" s="3175"/>
      <c r="M69" s="3261"/>
      <c r="N69" s="3224" t="s">
        <v>118</v>
      </c>
      <c r="O69" s="3224"/>
      <c r="P69" s="3176"/>
      <c r="Q69" s="3176"/>
      <c r="R69" s="3176"/>
      <c r="S69" s="3176"/>
      <c r="T69" s="3176"/>
      <c r="U69" s="3207"/>
      <c r="V69" s="3176"/>
      <c r="W69" s="3262"/>
      <c r="X69" s="6"/>
      <c r="Y69" s="3599"/>
      <c r="Z69" s="3602"/>
      <c r="AA69" s="3146"/>
      <c r="AB69" s="3146"/>
      <c r="AC69" s="3146"/>
      <c r="AD69" s="3146"/>
      <c r="AE69" s="3146"/>
      <c r="AF69" s="3146"/>
    </row>
    <row r="70" spans="1:32" s="3228" customFormat="1" ht="12" customHeight="1">
      <c r="A70" s="3208" t="s">
        <v>702</v>
      </c>
      <c r="B70" s="3219"/>
      <c r="C70" s="3177"/>
      <c r="D70" s="5130"/>
      <c r="E70" s="5131"/>
      <c r="F70" s="3190" t="s">
        <v>583</v>
      </c>
      <c r="G70" s="3231"/>
      <c r="H70" s="3190"/>
      <c r="I70" s="3190"/>
      <c r="J70" s="3221"/>
      <c r="K70" s="3171"/>
      <c r="L70" s="3222"/>
      <c r="M70" s="3178"/>
      <c r="N70" s="3178"/>
      <c r="O70" s="5130"/>
      <c r="P70" s="5131"/>
      <c r="Q70" s="3224" t="s">
        <v>583</v>
      </c>
      <c r="R70" s="3233"/>
      <c r="S70" s="3224"/>
      <c r="T70" s="3224"/>
      <c r="U70" s="3225"/>
      <c r="V70" s="3171"/>
      <c r="W70" s="3226"/>
      <c r="X70" s="21"/>
      <c r="Y70" s="3604" t="str">
        <f>IF(Y72=FALSE,"If UR and IC values differ significantly, check accuracy of input parameter values used in the IC formula."," ")</f>
        <v xml:space="preserve"> </v>
      </c>
      <c r="Z70" s="3603"/>
      <c r="AA70" s="3234"/>
      <c r="AB70" s="3234"/>
      <c r="AC70" s="3234"/>
      <c r="AD70" s="3234"/>
      <c r="AE70" s="3234"/>
      <c r="AF70" s="3234"/>
    </row>
    <row r="71" spans="1:32" s="3228" customFormat="1" ht="2.25" customHeight="1">
      <c r="A71" s="3229"/>
      <c r="B71" s="3219"/>
      <c r="C71" s="3177"/>
      <c r="D71" s="3177"/>
      <c r="E71" s="3230"/>
      <c r="F71" s="3190"/>
      <c r="G71" s="3231"/>
      <c r="H71" s="3190"/>
      <c r="I71" s="3190"/>
      <c r="J71" s="3221"/>
      <c r="K71" s="3230"/>
      <c r="L71" s="3222"/>
      <c r="M71" s="3178"/>
      <c r="N71" s="3178"/>
      <c r="O71" s="3178"/>
      <c r="P71" s="3232"/>
      <c r="Q71" s="3176"/>
      <c r="R71" s="3233"/>
      <c r="S71" s="3224"/>
      <c r="T71" s="3224"/>
      <c r="U71" s="3225"/>
      <c r="V71" s="3232"/>
      <c r="W71" s="3226"/>
      <c r="X71" s="23"/>
      <c r="Y71" s="3600"/>
      <c r="Z71" s="3603"/>
      <c r="AA71" s="3234"/>
      <c r="AB71" s="3234"/>
      <c r="AC71" s="3234"/>
      <c r="AD71" s="3234"/>
      <c r="AE71" s="3234"/>
      <c r="AF71" s="3234"/>
    </row>
    <row r="72" spans="1:32" s="3228" customFormat="1" ht="12" customHeight="1">
      <c r="A72" s="3208" t="s">
        <v>712</v>
      </c>
      <c r="B72" s="3219"/>
      <c r="C72" s="3177"/>
      <c r="D72" s="5118">
        <f>F3_Total_Net_Energy/F3_REM/F3_Diet_Digestibility</f>
        <v>421.61048854859558</v>
      </c>
      <c r="E72" s="5119"/>
      <c r="F72" s="3190" t="s">
        <v>583</v>
      </c>
      <c r="G72" s="3266"/>
      <c r="H72" s="3190"/>
      <c r="I72" s="3190"/>
      <c r="J72" s="3221"/>
      <c r="K72" s="3213">
        <v>4</v>
      </c>
      <c r="L72" s="3222"/>
      <c r="M72" s="3178"/>
      <c r="N72" s="3178"/>
      <c r="O72" s="5120">
        <f>F4_Total_Net_Energy/F4_REM/F4_Diet_Digestibility</f>
        <v>366.22164820632224</v>
      </c>
      <c r="P72" s="5121"/>
      <c r="Q72" s="3224" t="s">
        <v>583</v>
      </c>
      <c r="R72" s="3267"/>
      <c r="S72" s="3224"/>
      <c r="T72" s="3224"/>
      <c r="U72" s="3225"/>
      <c r="V72" s="3214">
        <v>4</v>
      </c>
      <c r="W72" s="3226"/>
      <c r="X72" s="3527" t="s">
        <v>1103</v>
      </c>
      <c r="Y72" s="3662" t="str">
        <f>IF(Options!AY29=2,IF(Options!AZ29=2," ",FALSE))</f>
        <v xml:space="preserve"> </v>
      </c>
      <c r="Z72" s="3603"/>
      <c r="AA72" s="3234"/>
      <c r="AB72" s="3234"/>
      <c r="AC72" s="3234"/>
      <c r="AD72" s="3234"/>
      <c r="AE72" s="3234"/>
      <c r="AF72" s="3234"/>
    </row>
    <row r="73" spans="1:32" ht="6" customHeight="1">
      <c r="A73" s="3268"/>
      <c r="B73" s="3193"/>
      <c r="C73" s="3194"/>
      <c r="D73" s="3194"/>
      <c r="E73" s="3194"/>
      <c r="F73" s="3197"/>
      <c r="G73" s="3197"/>
      <c r="H73" s="3197"/>
      <c r="I73" s="3197"/>
      <c r="J73" s="3215"/>
      <c r="K73" s="3194"/>
      <c r="L73" s="3194"/>
      <c r="M73" s="3198"/>
      <c r="N73" s="3199"/>
      <c r="O73" s="3199"/>
      <c r="P73" s="3199"/>
      <c r="Q73" s="3216"/>
      <c r="R73" s="3216"/>
      <c r="S73" s="3216"/>
      <c r="T73" s="3216"/>
      <c r="U73" s="3217"/>
      <c r="V73" s="3199"/>
      <c r="W73" s="3202"/>
      <c r="X73" s="6"/>
      <c r="Y73" s="3599"/>
      <c r="Z73" s="3602"/>
      <c r="AA73" s="3146"/>
      <c r="AB73" s="3146"/>
      <c r="AC73" s="3146"/>
      <c r="AD73" s="3146"/>
      <c r="AE73" s="3146"/>
      <c r="AF73" s="3146"/>
    </row>
    <row r="74" spans="1:32" ht="6" customHeight="1">
      <c r="A74" s="3155"/>
      <c r="B74" s="3151"/>
      <c r="C74" s="3152"/>
      <c r="D74" s="3152"/>
      <c r="E74" s="3152"/>
      <c r="F74" s="3175"/>
      <c r="G74" s="3175"/>
      <c r="H74" s="3175"/>
      <c r="I74" s="3175"/>
      <c r="J74" s="3205"/>
      <c r="K74" s="3152"/>
      <c r="L74" s="3152"/>
      <c r="M74" s="3153"/>
      <c r="N74" s="3154"/>
      <c r="O74" s="3154"/>
      <c r="P74" s="3154"/>
      <c r="Q74" s="3176"/>
      <c r="R74" s="3176"/>
      <c r="S74" s="3176"/>
      <c r="T74" s="3176"/>
      <c r="U74" s="3207"/>
      <c r="V74" s="3154"/>
      <c r="W74" s="3167"/>
      <c r="X74" s="6"/>
      <c r="Y74" s="3599"/>
      <c r="Z74" s="3602"/>
      <c r="AA74" s="3146"/>
      <c r="AB74" s="3146"/>
      <c r="AC74" s="3146"/>
      <c r="AD74" s="3146"/>
      <c r="AE74" s="3146"/>
      <c r="AF74" s="3146"/>
    </row>
    <row r="75" spans="1:32" ht="12" customHeight="1">
      <c r="A75" s="3218" t="s">
        <v>625</v>
      </c>
      <c r="B75" s="3151"/>
      <c r="C75" s="4264">
        <f>VLOOKUP(Options!AY10,Defaults!H20:M69,6,FALSE)</f>
        <v>5.8000000000000003E-2</v>
      </c>
      <c r="D75" s="4265"/>
      <c r="E75" s="3177"/>
      <c r="F75" s="3190"/>
      <c r="G75" s="3190"/>
      <c r="H75" s="3175"/>
      <c r="I75" s="3175"/>
      <c r="J75" s="3205"/>
      <c r="K75" s="3213">
        <v>5</v>
      </c>
      <c r="L75" s="3152"/>
      <c r="M75" s="3153"/>
      <c r="N75" s="4266">
        <f>VLOOKUP(Options!AZ10,Defaults!H20:M69,6,FALSE)</f>
        <v>5.8000000000000003E-2</v>
      </c>
      <c r="O75" s="4267"/>
      <c r="P75" s="3178"/>
      <c r="Q75" s="3224"/>
      <c r="R75" s="3224"/>
      <c r="S75" s="3176"/>
      <c r="T75" s="3176"/>
      <c r="U75" s="3207"/>
      <c r="V75" s="3214">
        <v>5</v>
      </c>
      <c r="W75" s="3167"/>
      <c r="X75" s="1509"/>
      <c r="Y75" s="3599"/>
      <c r="Z75" s="3602"/>
      <c r="AA75" s="3146"/>
      <c r="AB75" s="3146"/>
      <c r="AC75" s="3146"/>
      <c r="AD75" s="3146"/>
      <c r="AE75" s="3146"/>
      <c r="AF75" s="3146"/>
    </row>
    <row r="76" spans="1:32" ht="6" customHeight="1">
      <c r="A76" s="3192"/>
      <c r="B76" s="3193"/>
      <c r="C76" s="3194"/>
      <c r="D76" s="3194"/>
      <c r="E76" s="3194"/>
      <c r="F76" s="3197"/>
      <c r="G76" s="3197"/>
      <c r="H76" s="3197"/>
      <c r="I76" s="3197"/>
      <c r="J76" s="3215"/>
      <c r="K76" s="3194"/>
      <c r="L76" s="3194"/>
      <c r="M76" s="3198"/>
      <c r="N76" s="3199"/>
      <c r="O76" s="3199"/>
      <c r="P76" s="3199"/>
      <c r="Q76" s="3216"/>
      <c r="R76" s="3216"/>
      <c r="S76" s="3216"/>
      <c r="T76" s="3216"/>
      <c r="U76" s="3217"/>
      <c r="V76" s="3199"/>
      <c r="W76" s="3202"/>
      <c r="X76" s="6"/>
      <c r="Y76" s="3599"/>
      <c r="Z76" s="3602"/>
      <c r="AA76" s="3146"/>
      <c r="AB76" s="3146"/>
      <c r="AC76" s="3146"/>
      <c r="AD76" s="3146"/>
      <c r="AE76" s="3146"/>
      <c r="AF76" s="3146"/>
    </row>
    <row r="77" spans="1:32" ht="6" customHeight="1">
      <c r="A77" s="3155"/>
      <c r="B77" s="3151"/>
      <c r="C77" s="3152"/>
      <c r="D77" s="3152"/>
      <c r="E77" s="3152"/>
      <c r="F77" s="3175"/>
      <c r="G77" s="3175"/>
      <c r="H77" s="3175"/>
      <c r="I77" s="3175"/>
      <c r="J77" s="3205"/>
      <c r="K77" s="3152"/>
      <c r="L77" s="3152"/>
      <c r="M77" s="3153"/>
      <c r="N77" s="3154"/>
      <c r="O77" s="3154"/>
      <c r="P77" s="3154"/>
      <c r="Q77" s="3176"/>
      <c r="R77" s="3176"/>
      <c r="S77" s="3176"/>
      <c r="T77" s="3176"/>
      <c r="U77" s="3207"/>
      <c r="V77" s="3154"/>
      <c r="W77" s="3167"/>
      <c r="X77"/>
      <c r="Y77" s="3599"/>
      <c r="Z77" s="3602"/>
      <c r="AA77" s="3146"/>
      <c r="AB77" s="3146"/>
      <c r="AC77" s="3146"/>
      <c r="AD77" s="3146"/>
      <c r="AE77" s="3146"/>
      <c r="AF77" s="3146"/>
    </row>
    <row r="78" spans="1:32" ht="15" customHeight="1">
      <c r="A78" s="3244" t="s">
        <v>594</v>
      </c>
      <c r="B78" s="3151"/>
      <c r="C78" s="3177" t="s">
        <v>118</v>
      </c>
      <c r="D78" s="3177"/>
      <c r="E78" s="3152"/>
      <c r="F78" s="3175"/>
      <c r="G78" s="3175"/>
      <c r="H78" s="3175"/>
      <c r="I78" s="3175"/>
      <c r="J78" s="3205"/>
      <c r="K78" s="3152"/>
      <c r="L78" s="3152"/>
      <c r="M78" s="3153"/>
      <c r="N78" s="3178" t="s">
        <v>118</v>
      </c>
      <c r="O78" s="3178"/>
      <c r="P78" s="3154"/>
      <c r="Q78" s="3176"/>
      <c r="R78" s="3176"/>
      <c r="S78" s="3176"/>
      <c r="T78" s="3176"/>
      <c r="U78" s="3207"/>
      <c r="V78" s="3154"/>
      <c r="W78" s="3167"/>
      <c r="X78"/>
      <c r="Y78" s="3599"/>
      <c r="Z78" s="3602"/>
      <c r="AA78" s="3146"/>
      <c r="AB78" s="3146"/>
      <c r="AC78" s="3146"/>
      <c r="AD78" s="3146"/>
      <c r="AE78" s="3146"/>
      <c r="AF78" s="3146"/>
    </row>
    <row r="79" spans="1:32">
      <c r="A79" s="3208" t="s">
        <v>702</v>
      </c>
      <c r="B79" s="3151"/>
      <c r="C79" s="3177"/>
      <c r="D79" s="5130"/>
      <c r="E79" s="5131"/>
      <c r="F79" s="3269" t="s">
        <v>58</v>
      </c>
      <c r="G79" s="3270"/>
      <c r="H79" s="3190"/>
      <c r="I79" s="3190"/>
      <c r="J79" s="3205"/>
      <c r="K79" s="3171"/>
      <c r="L79" s="3152"/>
      <c r="M79" s="3153"/>
      <c r="N79" s="3154"/>
      <c r="O79" s="5130"/>
      <c r="P79" s="5131"/>
      <c r="Q79" s="3224" t="s">
        <v>58</v>
      </c>
      <c r="R79" s="3271"/>
      <c r="S79" s="3224"/>
      <c r="T79" s="3224"/>
      <c r="U79" s="3207"/>
      <c r="V79" s="3171"/>
      <c r="W79" s="3167"/>
      <c r="X79"/>
      <c r="Y79" s="3604" t="str">
        <f>IF(Y81=FALSE,"If UR and IC values differ significantly, check accuracy of input parameter values used in the IC formula."," ")</f>
        <v xml:space="preserve"> </v>
      </c>
      <c r="Z79" s="3602"/>
      <c r="AA79" s="3146"/>
      <c r="AB79" s="3146"/>
      <c r="AC79" s="3146"/>
      <c r="AD79" s="3146"/>
      <c r="AE79" s="3146"/>
      <c r="AF79" s="3146"/>
    </row>
    <row r="80" spans="1:32" ht="2.25" customHeight="1">
      <c r="A80" s="3168"/>
      <c r="B80" s="3151"/>
      <c r="C80" s="3152"/>
      <c r="D80" s="3152"/>
      <c r="E80" s="3152"/>
      <c r="F80" s="3272"/>
      <c r="G80" s="3175"/>
      <c r="H80" s="3175"/>
      <c r="I80" s="3175"/>
      <c r="J80" s="3205"/>
      <c r="K80" s="3152"/>
      <c r="L80" s="3152"/>
      <c r="M80" s="3153"/>
      <c r="N80" s="3154"/>
      <c r="O80" s="3154"/>
      <c r="P80" s="3154"/>
      <c r="Q80" s="3176"/>
      <c r="R80" s="3176"/>
      <c r="S80" s="3176"/>
      <c r="T80" s="3176"/>
      <c r="U80" s="3207"/>
      <c r="V80" s="3154"/>
      <c r="W80" s="3167"/>
      <c r="X80"/>
      <c r="Y80" s="3600"/>
      <c r="Z80" s="3602"/>
      <c r="AA80" s="3146"/>
      <c r="AB80" s="3146"/>
      <c r="AC80" s="3146"/>
      <c r="AD80" s="3146"/>
      <c r="AE80" s="3146"/>
      <c r="AF80" s="3146"/>
    </row>
    <row r="81" spans="1:32">
      <c r="A81" s="3208" t="s">
        <v>712</v>
      </c>
      <c r="B81" s="3151"/>
      <c r="C81" s="3177"/>
      <c r="D81" s="5118">
        <f>(F3_Gross_Energy-F3_Digestible_Energy+(0.02*F3_Gross_Energy))/20.1</f>
        <v>7.7609890926855893</v>
      </c>
      <c r="E81" s="5119"/>
      <c r="F81" s="3269" t="s">
        <v>58</v>
      </c>
      <c r="G81" s="3270"/>
      <c r="H81" s="3190"/>
      <c r="I81" s="3190"/>
      <c r="J81" s="3205"/>
      <c r="K81" s="3213">
        <v>6</v>
      </c>
      <c r="L81" s="3152"/>
      <c r="M81" s="3153"/>
      <c r="N81" s="3154"/>
      <c r="O81" s="5120">
        <f>(F4_Gross_Energy-F4_Digestible_Energy+(0.02*F4_Gross_Energy))/20.1</f>
        <v>6.7413935241959813</v>
      </c>
      <c r="P81" s="5121"/>
      <c r="Q81" s="3224" t="s">
        <v>58</v>
      </c>
      <c r="R81" s="3271"/>
      <c r="S81" s="3224"/>
      <c r="T81" s="3224"/>
      <c r="U81" s="3207"/>
      <c r="V81" s="3214">
        <v>6</v>
      </c>
      <c r="W81" s="3167"/>
      <c r="X81" t="s">
        <v>626</v>
      </c>
      <c r="Y81" s="3662" t="str">
        <f>IF(Options!AY34=2,IF(Options!AZ34=2," ",FALSE))</f>
        <v xml:space="preserve"> </v>
      </c>
      <c r="Z81" s="3602"/>
      <c r="AA81" s="3146"/>
      <c r="AB81" s="3146"/>
      <c r="AC81" s="3146"/>
      <c r="AD81" s="3146"/>
      <c r="AE81" s="3146"/>
      <c r="AF81" s="3146"/>
    </row>
    <row r="82" spans="1:32" ht="6" customHeight="1" thickBot="1">
      <c r="A82" s="3155"/>
      <c r="B82" s="3151"/>
      <c r="C82" s="3152"/>
      <c r="D82" s="3152"/>
      <c r="E82" s="3152"/>
      <c r="F82" s="3152"/>
      <c r="G82" s="3152"/>
      <c r="H82" s="3152"/>
      <c r="I82" s="3152"/>
      <c r="J82" s="3164"/>
      <c r="K82" s="3152"/>
      <c r="L82" s="3152"/>
      <c r="M82" s="3153"/>
      <c r="N82" s="3154"/>
      <c r="O82" s="3154"/>
      <c r="P82" s="3154"/>
      <c r="Q82" s="3176"/>
      <c r="R82" s="3176"/>
      <c r="S82" s="3176"/>
      <c r="T82" s="3176"/>
      <c r="U82" s="3207"/>
      <c r="V82" s="3154"/>
      <c r="W82" s="3167"/>
      <c r="X82" s="80"/>
      <c r="Y82" s="2500"/>
      <c r="Z82" s="3602"/>
      <c r="AA82" s="3146"/>
      <c r="AB82" s="3146"/>
      <c r="AC82" s="3146"/>
      <c r="AD82" s="3146"/>
      <c r="AE82" s="3146"/>
      <c r="AF82" s="3146"/>
    </row>
    <row r="83" spans="1:32" ht="30" customHeight="1">
      <c r="A83" s="5132" t="s">
        <v>20</v>
      </c>
      <c r="B83" s="5133"/>
      <c r="C83" s="5133"/>
      <c r="D83" s="5133"/>
      <c r="E83" s="5133"/>
      <c r="F83" s="5133"/>
      <c r="G83" s="5133"/>
      <c r="H83" s="5133"/>
      <c r="I83" s="5133"/>
      <c r="J83" s="5133"/>
      <c r="K83" s="5133"/>
      <c r="L83" s="5133"/>
      <c r="M83" s="5133"/>
      <c r="N83" s="5133"/>
      <c r="O83" s="5133"/>
      <c r="P83" s="5133"/>
      <c r="Q83" s="5133"/>
      <c r="R83" s="5133"/>
      <c r="S83" s="5133"/>
      <c r="T83" s="5133"/>
      <c r="U83" s="5133"/>
      <c r="V83" s="5133"/>
      <c r="W83" s="5134"/>
    </row>
    <row r="84" spans="1:32" ht="37.5" customHeight="1">
      <c r="A84" s="5019" t="s">
        <v>1134</v>
      </c>
      <c r="B84" s="5020"/>
      <c r="C84" s="5020"/>
      <c r="D84" s="5020"/>
      <c r="E84" s="5020"/>
      <c r="F84" s="5020"/>
      <c r="G84" s="5020"/>
      <c r="H84" s="5020"/>
      <c r="I84" s="5020"/>
      <c r="J84" s="5020"/>
      <c r="K84" s="5020"/>
      <c r="L84" s="5020"/>
      <c r="M84" s="5020"/>
      <c r="N84" s="5020"/>
      <c r="O84" s="5020"/>
      <c r="P84" s="5020"/>
      <c r="Q84" s="5020"/>
      <c r="R84" s="5020"/>
      <c r="S84" s="5020"/>
      <c r="T84" s="5020"/>
      <c r="U84" s="5020"/>
      <c r="V84" s="5020"/>
      <c r="W84" s="5021"/>
    </row>
    <row r="85" spans="1:32" ht="26.25" customHeight="1">
      <c r="A85" s="4847" t="s">
        <v>1245</v>
      </c>
      <c r="B85" s="5022"/>
      <c r="C85" s="5022"/>
      <c r="D85" s="5022"/>
      <c r="E85" s="5022"/>
      <c r="F85" s="5022"/>
      <c r="G85" s="5022"/>
      <c r="H85" s="5022"/>
      <c r="I85" s="5022"/>
      <c r="J85" s="5022"/>
      <c r="K85" s="5022"/>
      <c r="L85" s="5022"/>
      <c r="M85" s="5022"/>
      <c r="N85" s="5022"/>
      <c r="O85" s="5022"/>
      <c r="P85" s="5022"/>
      <c r="Q85" s="5022"/>
      <c r="R85" s="5022"/>
      <c r="S85" s="5022"/>
      <c r="T85" s="5022"/>
      <c r="U85" s="5022"/>
      <c r="V85" s="5022"/>
      <c r="W85" s="5023"/>
    </row>
    <row r="86" spans="1:32" ht="26.25" customHeight="1">
      <c r="A86" s="5019" t="s">
        <v>1135</v>
      </c>
      <c r="B86" s="5024"/>
      <c r="C86" s="5024"/>
      <c r="D86" s="5024"/>
      <c r="E86" s="5024"/>
      <c r="F86" s="5024"/>
      <c r="G86" s="5024"/>
      <c r="H86" s="5024"/>
      <c r="I86" s="5024"/>
      <c r="J86" s="5024"/>
      <c r="K86" s="5024"/>
      <c r="L86" s="5024"/>
      <c r="M86" s="5024"/>
      <c r="N86" s="5024"/>
      <c r="O86" s="5024"/>
      <c r="P86" s="5024"/>
      <c r="Q86" s="5024"/>
      <c r="R86" s="5024"/>
      <c r="S86" s="5024"/>
      <c r="T86" s="5024"/>
      <c r="U86" s="5024"/>
      <c r="V86" s="5024"/>
      <c r="W86" s="5025"/>
    </row>
    <row r="87" spans="1:32" ht="25.5" customHeight="1">
      <c r="A87" s="5019" t="s">
        <v>1136</v>
      </c>
      <c r="B87" s="5020"/>
      <c r="C87" s="5020"/>
      <c r="D87" s="5020"/>
      <c r="E87" s="5020"/>
      <c r="F87" s="5020"/>
      <c r="G87" s="5020"/>
      <c r="H87" s="5020"/>
      <c r="I87" s="5020"/>
      <c r="J87" s="5020"/>
      <c r="K87" s="5020"/>
      <c r="L87" s="5020"/>
      <c r="M87" s="5020"/>
      <c r="N87" s="5020"/>
      <c r="O87" s="5020"/>
      <c r="P87" s="5020"/>
      <c r="Q87" s="5020"/>
      <c r="R87" s="5020"/>
      <c r="S87" s="5020"/>
      <c r="T87" s="5020"/>
      <c r="U87" s="5020"/>
      <c r="V87" s="5020"/>
      <c r="W87" s="5021"/>
    </row>
    <row r="88" spans="1:32" ht="26.25" customHeight="1">
      <c r="A88" s="5010" t="s">
        <v>1531</v>
      </c>
      <c r="B88" s="5011"/>
      <c r="C88" s="5011"/>
      <c r="D88" s="5011"/>
      <c r="E88" s="5011"/>
      <c r="F88" s="5011"/>
      <c r="G88" s="5011"/>
      <c r="H88" s="5011"/>
      <c r="I88" s="5011"/>
      <c r="J88" s="5011"/>
      <c r="K88" s="5011"/>
      <c r="L88" s="5011"/>
      <c r="M88" s="5011"/>
      <c r="N88" s="5011"/>
      <c r="O88" s="5011"/>
      <c r="P88" s="5011"/>
      <c r="Q88" s="5011"/>
      <c r="R88" s="5011"/>
      <c r="S88" s="5011"/>
      <c r="T88" s="5011"/>
      <c r="U88" s="5011"/>
      <c r="V88" s="5011"/>
      <c r="W88" s="5012"/>
    </row>
    <row r="89" spans="1:32" ht="26.25" customHeight="1">
      <c r="A89" s="5026" t="s">
        <v>1137</v>
      </c>
      <c r="B89" s="5020"/>
      <c r="C89" s="5020"/>
      <c r="D89" s="5020"/>
      <c r="E89" s="5020"/>
      <c r="F89" s="5020"/>
      <c r="G89" s="5020"/>
      <c r="H89" s="5020"/>
      <c r="I89" s="5020"/>
      <c r="J89" s="5020"/>
      <c r="K89" s="5020"/>
      <c r="L89" s="5020"/>
      <c r="M89" s="5020"/>
      <c r="N89" s="5020"/>
      <c r="O89" s="5020"/>
      <c r="P89" s="5020"/>
      <c r="Q89" s="5020"/>
      <c r="R89" s="5020"/>
      <c r="S89" s="5020"/>
      <c r="T89" s="5020"/>
      <c r="U89" s="5020"/>
      <c r="V89" s="5020"/>
      <c r="W89" s="5021"/>
    </row>
    <row r="90" spans="1:32">
      <c r="A90" s="5013" t="s">
        <v>823</v>
      </c>
      <c r="B90" s="5014"/>
      <c r="C90" s="5014"/>
      <c r="D90" s="5014"/>
      <c r="E90" s="5014"/>
      <c r="F90" s="5014"/>
      <c r="G90" s="5014"/>
      <c r="H90" s="5014"/>
      <c r="I90" s="5014"/>
      <c r="J90" s="5014"/>
      <c r="K90" s="5014"/>
      <c r="L90" s="5014"/>
      <c r="M90" s="5014"/>
      <c r="N90" s="5014"/>
      <c r="O90" s="5014"/>
      <c r="P90" s="5014"/>
      <c r="Q90" s="5014"/>
      <c r="R90" s="5014"/>
      <c r="S90" s="5014"/>
      <c r="T90" s="5014"/>
      <c r="U90" s="5014"/>
      <c r="V90" s="5014"/>
      <c r="W90" s="5015"/>
    </row>
    <row r="91" spans="1:32">
      <c r="A91" s="5013" t="s">
        <v>575</v>
      </c>
      <c r="B91" s="5014"/>
      <c r="C91" s="5014"/>
      <c r="D91" s="5014"/>
      <c r="E91" s="5014"/>
      <c r="F91" s="5014"/>
      <c r="G91" s="5014"/>
      <c r="H91" s="5014"/>
      <c r="I91" s="5014"/>
      <c r="J91" s="5014"/>
      <c r="K91" s="5014"/>
      <c r="L91" s="5014"/>
      <c r="M91" s="5014"/>
      <c r="N91" s="5014"/>
      <c r="O91" s="5014"/>
      <c r="P91" s="5014"/>
      <c r="Q91" s="5014"/>
      <c r="R91" s="5014"/>
      <c r="S91" s="5014"/>
      <c r="T91" s="5014"/>
      <c r="U91" s="5014"/>
      <c r="V91" s="5014"/>
      <c r="W91" s="5015"/>
    </row>
    <row r="92" spans="1:32">
      <c r="A92" s="5054" t="s">
        <v>824</v>
      </c>
      <c r="B92" s="5055"/>
      <c r="C92" s="5055"/>
      <c r="D92" s="5055"/>
      <c r="E92" s="5055"/>
      <c r="F92" s="5055"/>
      <c r="G92" s="5055"/>
      <c r="H92" s="5055"/>
      <c r="I92" s="5055"/>
      <c r="J92" s="5055"/>
      <c r="K92" s="5055"/>
      <c r="L92" s="5055"/>
      <c r="M92" s="5055"/>
      <c r="N92" s="5055"/>
      <c r="O92" s="5055"/>
      <c r="P92" s="5055"/>
      <c r="Q92" s="5055"/>
      <c r="R92" s="5055"/>
      <c r="S92" s="5055"/>
      <c r="T92" s="5055"/>
      <c r="U92" s="5055"/>
      <c r="V92" s="5055"/>
      <c r="W92" s="5056"/>
    </row>
    <row r="93" spans="1:32" ht="13.5" thickBot="1">
      <c r="A93" s="5057" t="s">
        <v>577</v>
      </c>
      <c r="B93" s="5058"/>
      <c r="C93" s="5058"/>
      <c r="D93" s="5058"/>
      <c r="E93" s="5058"/>
      <c r="F93" s="5058"/>
      <c r="G93" s="5058"/>
      <c r="H93" s="5058"/>
      <c r="I93" s="5058"/>
      <c r="J93" s="5058"/>
      <c r="K93" s="5058"/>
      <c r="L93" s="5058"/>
      <c r="M93" s="5058"/>
      <c r="N93" s="5058"/>
      <c r="O93" s="5058"/>
      <c r="P93" s="5058"/>
      <c r="Q93" s="5058"/>
      <c r="R93" s="5058"/>
      <c r="S93" s="5058"/>
      <c r="T93" s="5058"/>
      <c r="U93" s="5058"/>
      <c r="V93" s="5058"/>
      <c r="W93" s="5059"/>
    </row>
  </sheetData>
  <sheetProtection password="E0BE" sheet="1" objects="1" scenarios="1"/>
  <mergeCells count="81">
    <mergeCell ref="A93:W93"/>
    <mergeCell ref="A83:W83"/>
    <mergeCell ref="A86:W86"/>
    <mergeCell ref="A84:W84"/>
    <mergeCell ref="A87:W87"/>
    <mergeCell ref="A88:W88"/>
    <mergeCell ref="A89:W89"/>
    <mergeCell ref="A85:W85"/>
    <mergeCell ref="A92:W92"/>
    <mergeCell ref="A90:W90"/>
    <mergeCell ref="A91:W91"/>
    <mergeCell ref="C75:D75"/>
    <mergeCell ref="N75:O75"/>
    <mergeCell ref="D79:E79"/>
    <mergeCell ref="O79:P79"/>
    <mergeCell ref="D81:E81"/>
    <mergeCell ref="O81:P81"/>
    <mergeCell ref="D65:E65"/>
    <mergeCell ref="O65:P65"/>
    <mergeCell ref="D70:E70"/>
    <mergeCell ref="O70:P70"/>
    <mergeCell ref="D72:E72"/>
    <mergeCell ref="O72:P72"/>
    <mergeCell ref="C56:D56"/>
    <mergeCell ref="N56:O56"/>
    <mergeCell ref="C59:D59"/>
    <mergeCell ref="N59:O59"/>
    <mergeCell ref="D63:E63"/>
    <mergeCell ref="O63:P63"/>
    <mergeCell ref="C50:D50"/>
    <mergeCell ref="N50:O50"/>
    <mergeCell ref="C52:D52"/>
    <mergeCell ref="N52:O52"/>
    <mergeCell ref="C54:D54"/>
    <mergeCell ref="N54:O54"/>
    <mergeCell ref="C48:D48"/>
    <mergeCell ref="N48:O48"/>
    <mergeCell ref="D31:E31"/>
    <mergeCell ref="O31:P31"/>
    <mergeCell ref="D33:E33"/>
    <mergeCell ref="O33:P33"/>
    <mergeCell ref="C36:D36"/>
    <mergeCell ref="N36:O36"/>
    <mergeCell ref="D40:E40"/>
    <mergeCell ref="O40:P40"/>
    <mergeCell ref="D42:E42"/>
    <mergeCell ref="O42:P42"/>
    <mergeCell ref="A44:W44"/>
    <mergeCell ref="C23:D23"/>
    <mergeCell ref="N23:O23"/>
    <mergeCell ref="C25:D25"/>
    <mergeCell ref="N25:O25"/>
    <mergeCell ref="C27:D27"/>
    <mergeCell ref="N27:O27"/>
    <mergeCell ref="C17:D17"/>
    <mergeCell ref="N17:O17"/>
    <mergeCell ref="C19:D19"/>
    <mergeCell ref="N19:O19"/>
    <mergeCell ref="C21:D21"/>
    <mergeCell ref="N21:O21"/>
    <mergeCell ref="C10:D10"/>
    <mergeCell ref="N10:O10"/>
    <mergeCell ref="C12:D12"/>
    <mergeCell ref="N12:O12"/>
    <mergeCell ref="C15:D15"/>
    <mergeCell ref="N15:O15"/>
    <mergeCell ref="J5:L5"/>
    <mergeCell ref="U5:W5"/>
    <mergeCell ref="A6:W6"/>
    <mergeCell ref="C7:D8"/>
    <mergeCell ref="H7:H8"/>
    <mergeCell ref="J7:L8"/>
    <mergeCell ref="N7:O8"/>
    <mergeCell ref="S7:S8"/>
    <mergeCell ref="U7:W8"/>
    <mergeCell ref="A1:W1"/>
    <mergeCell ref="A2:W2"/>
    <mergeCell ref="B3:L3"/>
    <mergeCell ref="M3:W3"/>
    <mergeCell ref="B4:L4"/>
    <mergeCell ref="M4:W4"/>
  </mergeCells>
  <conditionalFormatting sqref="C27:D27">
    <cfRule type="cellIs" dxfId="3" priority="3" operator="lessThan">
      <formula>1</formula>
    </cfRule>
    <cfRule type="cellIs" dxfId="2" priority="4" operator="greaterThan">
      <formula>1</formula>
    </cfRule>
  </conditionalFormatting>
  <conditionalFormatting sqref="N27:O27">
    <cfRule type="cellIs" dxfId="1" priority="1" operator="lessThan">
      <formula>100%</formula>
    </cfRule>
    <cfRule type="cellIs" dxfId="0" priority="2" operator="greaterThan">
      <formula>100%</formula>
    </cfRule>
  </conditionalFormatting>
  <printOptions horizontalCentered="1"/>
  <pageMargins left="0.7" right="0.7" top="0.75" bottom="0.75" header="0.3" footer="0.3"/>
  <pageSetup scale="65" fitToHeight="2" orientation="landscape" horizontalDpi="1200" verticalDpi="1200" r:id="rId1"/>
  <headerFooter>
    <oddFooter>&amp;L&amp;A&amp;C&amp;F&amp;R&amp;D</oddFooter>
  </headerFooter>
  <rowBreaks count="1" manualBreakCount="1">
    <brk id="43" max="22" man="1"/>
  </rowBreaks>
  <legacyDrawing r:id="rId2"/>
</worksheet>
</file>

<file path=xl/worksheets/sheet34.xml><?xml version="1.0" encoding="utf-8"?>
<worksheet xmlns="http://schemas.openxmlformats.org/spreadsheetml/2006/main" xmlns:r="http://schemas.openxmlformats.org/officeDocument/2006/relationships">
  <sheetPr codeName="Sheet42"/>
  <dimension ref="A1:BE105"/>
  <sheetViews>
    <sheetView topLeftCell="A19" zoomScale="85" zoomScaleNormal="85" workbookViewId="0">
      <selection activeCell="F86" sqref="F86"/>
    </sheetView>
  </sheetViews>
  <sheetFormatPr defaultRowHeight="12.75"/>
  <cols>
    <col min="1" max="1" width="38.5703125" customWidth="1"/>
    <col min="2" max="2" width="1.28515625" customWidth="1"/>
    <col min="3" max="3" width="4.7109375" customWidth="1"/>
    <col min="4" max="4" width="9" customWidth="1"/>
    <col min="5" max="5" width="15" customWidth="1"/>
    <col min="6" max="6" width="8" style="1" customWidth="1"/>
    <col min="7" max="7" width="10.42578125" customWidth="1"/>
    <col min="8" max="8" width="1.28515625" customWidth="1"/>
    <col min="9" max="9" width="7.7109375" style="1" customWidth="1"/>
    <col min="10" max="11" width="1.28515625" customWidth="1"/>
    <col min="12" max="12" width="4.7109375" customWidth="1"/>
    <col min="13" max="13" width="9" customWidth="1"/>
    <col min="14" max="14" width="15" customWidth="1"/>
    <col min="15" max="15" width="8" style="1" customWidth="1"/>
    <col min="16" max="16" width="10.42578125" customWidth="1"/>
    <col min="17" max="17" width="1.28515625" customWidth="1"/>
    <col min="18" max="18" width="7.7109375" style="1" customWidth="1"/>
    <col min="19" max="19" width="1.28515625" customWidth="1"/>
    <col min="20" max="20" width="39.42578125" bestFit="1" customWidth="1"/>
    <col min="21" max="21" width="51.5703125" bestFit="1" customWidth="1"/>
  </cols>
  <sheetData>
    <row r="1" spans="1:57" s="6" customFormat="1"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3"/>
      <c r="T1" s="1706"/>
      <c r="U1" s="1706"/>
      <c r="V1" s="1706"/>
      <c r="W1" s="1706"/>
      <c r="X1" s="1706"/>
      <c r="Y1" s="1706"/>
      <c r="Z1" s="1706"/>
      <c r="AA1" s="1706"/>
      <c r="AB1" s="1706"/>
      <c r="AC1" s="1706"/>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016" t="s">
        <v>1503</v>
      </c>
      <c r="B2" s="4017"/>
      <c r="C2" s="4017"/>
      <c r="D2" s="4017"/>
      <c r="E2" s="4017"/>
      <c r="F2" s="4017"/>
      <c r="G2" s="4017"/>
      <c r="H2" s="4017"/>
      <c r="I2" s="4017"/>
      <c r="J2" s="4017"/>
      <c r="K2" s="4017"/>
      <c r="L2" s="4017"/>
      <c r="M2" s="4017"/>
      <c r="N2" s="4017"/>
      <c r="O2" s="4017"/>
      <c r="P2" s="4017"/>
      <c r="Q2" s="4017"/>
      <c r="R2" s="4017"/>
      <c r="S2" s="4098"/>
      <c r="T2" s="3560"/>
    </row>
    <row r="3" spans="1:57" ht="21" customHeight="1">
      <c r="A3" s="806"/>
      <c r="B3" s="3999" t="str">
        <f>'Chosen Parameters-Part I'!B4</f>
        <v>Scenario 1</v>
      </c>
      <c r="C3" s="4000"/>
      <c r="D3" s="4000"/>
      <c r="E3" s="4000"/>
      <c r="F3" s="4000"/>
      <c r="G3" s="4000"/>
      <c r="H3" s="4000"/>
      <c r="I3" s="4000"/>
      <c r="J3" s="4000"/>
      <c r="K3" s="4002" t="str">
        <f>'Chosen Parameters-Part I'!C4</f>
        <v>Scenario 2</v>
      </c>
      <c r="L3" s="4003"/>
      <c r="M3" s="4003"/>
      <c r="N3" s="4003"/>
      <c r="O3" s="4003"/>
      <c r="P3" s="4003"/>
      <c r="Q3" s="4003"/>
      <c r="R3" s="4003"/>
      <c r="S3" s="4004"/>
      <c r="T3" s="2041"/>
    </row>
    <row r="4" spans="1:57" ht="36.75" customHeight="1">
      <c r="A4" s="807"/>
      <c r="B4" s="4118" t="str">
        <f>'Step 1 -- Herd Profile'!B4:L4</f>
        <v>Intensive Conventional Management with Holsteins and rbST</v>
      </c>
      <c r="C4" s="4119"/>
      <c r="D4" s="4119"/>
      <c r="E4" s="4119"/>
      <c r="F4" s="4119"/>
      <c r="G4" s="4119"/>
      <c r="H4" s="4119"/>
      <c r="I4" s="4119"/>
      <c r="J4" s="4119"/>
      <c r="K4" s="4121" t="str">
        <f>'Step 1 -- Herd Profile'!M4</f>
        <v>Conventional Management, Holsteins</v>
      </c>
      <c r="L4" s="4122"/>
      <c r="M4" s="4122"/>
      <c r="N4" s="4122"/>
      <c r="O4" s="4122"/>
      <c r="P4" s="4122"/>
      <c r="Q4" s="4122"/>
      <c r="R4" s="4122"/>
      <c r="S4" s="4123"/>
      <c r="T4" s="2044"/>
    </row>
    <row r="5" spans="1:57" s="3" customFormat="1" ht="20.25" customHeight="1">
      <c r="A5" s="4552" t="s">
        <v>977</v>
      </c>
      <c r="B5" s="4553"/>
      <c r="C5" s="4553"/>
      <c r="D5" s="4553"/>
      <c r="E5" s="4553"/>
      <c r="F5" s="4553"/>
      <c r="G5" s="4553"/>
      <c r="H5" s="4553"/>
      <c r="I5" s="4553"/>
      <c r="J5" s="4553"/>
      <c r="K5" s="4553"/>
      <c r="L5" s="4553"/>
      <c r="M5" s="4553"/>
      <c r="N5" s="4553"/>
      <c r="O5" s="4553"/>
      <c r="P5" s="4553"/>
      <c r="Q5" s="4553"/>
      <c r="R5" s="4553"/>
      <c r="S5" s="4554"/>
      <c r="T5" s="3610" t="s">
        <v>203</v>
      </c>
      <c r="U5" s="3559" t="s">
        <v>1</v>
      </c>
    </row>
    <row r="6" spans="1:57" ht="27.75" customHeight="1">
      <c r="A6" s="861"/>
      <c r="B6" s="809"/>
      <c r="C6" s="2868" t="s">
        <v>94</v>
      </c>
      <c r="D6" s="322"/>
      <c r="E6" s="808"/>
      <c r="F6" s="808"/>
      <c r="G6" s="808"/>
      <c r="H6" s="4990" t="s">
        <v>83</v>
      </c>
      <c r="I6" s="4991"/>
      <c r="J6" s="4992"/>
      <c r="K6" s="843"/>
      <c r="L6" s="2869" t="s">
        <v>94</v>
      </c>
      <c r="M6" s="104"/>
      <c r="N6" s="124"/>
      <c r="O6" s="124"/>
      <c r="P6" s="124"/>
      <c r="Q6" s="4987" t="s">
        <v>83</v>
      </c>
      <c r="R6" s="4988"/>
      <c r="S6" s="4989"/>
      <c r="T6" s="1676"/>
      <c r="U6" s="3599"/>
    </row>
    <row r="7" spans="1:57" ht="17.25" customHeight="1">
      <c r="A7" s="221" t="s">
        <v>204</v>
      </c>
      <c r="B7" s="816"/>
      <c r="C7" s="186" t="s">
        <v>118</v>
      </c>
      <c r="D7" s="817"/>
      <c r="E7" s="817"/>
      <c r="F7" s="832"/>
      <c r="G7" s="813"/>
      <c r="H7" s="824"/>
      <c r="I7" s="819"/>
      <c r="J7" s="822"/>
      <c r="K7" s="848"/>
      <c r="L7" s="44" t="s">
        <v>118</v>
      </c>
      <c r="M7" s="91"/>
      <c r="N7" s="91"/>
      <c r="O7" s="853"/>
      <c r="P7" s="90"/>
      <c r="Q7" s="123"/>
      <c r="R7" s="804"/>
      <c r="S7" s="863"/>
      <c r="T7" s="1644"/>
      <c r="U7" s="3599"/>
    </row>
    <row r="8" spans="1:57" ht="3" customHeight="1">
      <c r="A8" s="206" t="s">
        <v>171</v>
      </c>
      <c r="B8" s="358"/>
      <c r="C8" s="382"/>
      <c r="D8" s="382"/>
      <c r="E8" s="382"/>
      <c r="F8" s="829"/>
      <c r="G8" s="382"/>
      <c r="H8" s="372"/>
      <c r="I8" s="819"/>
      <c r="J8" s="820"/>
      <c r="K8" s="360"/>
      <c r="L8" s="96"/>
      <c r="M8" s="96"/>
      <c r="N8" s="96"/>
      <c r="O8" s="851"/>
      <c r="P8" s="96"/>
      <c r="Q8" s="109"/>
      <c r="R8" s="804"/>
      <c r="S8" s="383"/>
      <c r="T8" s="1677"/>
      <c r="U8" s="3599"/>
    </row>
    <row r="9" spans="1:57">
      <c r="A9" s="208" t="s">
        <v>702</v>
      </c>
      <c r="B9" s="818"/>
      <c r="C9" s="382"/>
      <c r="D9" s="864">
        <f>F9*Defaults!$D$8</f>
        <v>0</v>
      </c>
      <c r="E9" s="201" t="s">
        <v>215</v>
      </c>
      <c r="F9" s="2197"/>
      <c r="G9" s="201" t="s">
        <v>165</v>
      </c>
      <c r="H9" s="218"/>
      <c r="I9" s="826"/>
      <c r="J9" s="821"/>
      <c r="K9" s="849"/>
      <c r="L9" s="96"/>
      <c r="M9" s="866">
        <f>O9*Defaults!$D$8</f>
        <v>0</v>
      </c>
      <c r="N9" s="45" t="s">
        <v>215</v>
      </c>
      <c r="O9" s="2197"/>
      <c r="P9" s="45" t="s">
        <v>165</v>
      </c>
      <c r="Q9" s="73"/>
      <c r="R9" s="826"/>
      <c r="S9" s="862"/>
      <c r="U9" s="3604" t="str">
        <f>IF(V9=FALSE,"Possible data inconsistencies may exist by over riding the calculated value."," ")</f>
        <v xml:space="preserve"> </v>
      </c>
      <c r="V9" s="3651" t="str">
        <f>IF(Options!BC5&lt;&gt;1,IF(Options!BD5&lt;&gt;1," ",FALSE))</f>
        <v xml:space="preserve"> </v>
      </c>
    </row>
    <row r="10" spans="1:57" ht="3" customHeight="1">
      <c r="A10" s="206"/>
      <c r="B10" s="358"/>
      <c r="C10" s="382"/>
      <c r="D10" s="382"/>
      <c r="E10" s="382"/>
      <c r="F10" s="829"/>
      <c r="G10" s="382"/>
      <c r="H10" s="372"/>
      <c r="I10" s="819"/>
      <c r="J10" s="820"/>
      <c r="K10" s="360"/>
      <c r="L10" s="96"/>
      <c r="M10" s="96"/>
      <c r="N10" s="96"/>
      <c r="O10" s="851"/>
      <c r="P10" s="96"/>
      <c r="Q10" s="109"/>
      <c r="R10" s="804"/>
      <c r="S10" s="383"/>
      <c r="T10" s="1031"/>
      <c r="U10" s="3600"/>
    </row>
    <row r="11" spans="1:57">
      <c r="A11" s="208" t="s">
        <v>1121</v>
      </c>
      <c r="B11" s="810"/>
      <c r="C11" s="382"/>
      <c r="D11" s="864">
        <f>F11*Defaults!$D$8</f>
        <v>1.400625</v>
      </c>
      <c r="E11" s="201" t="s">
        <v>215</v>
      </c>
      <c r="F11" s="864">
        <f>F1_Unadjusted_Milk_Production_kg_day*24.9/1000*75%</f>
        <v>0.63531270425827902</v>
      </c>
      <c r="G11" s="201" t="s">
        <v>165</v>
      </c>
      <c r="H11" s="218"/>
      <c r="I11" s="330">
        <v>1</v>
      </c>
      <c r="J11" s="821"/>
      <c r="K11" s="844"/>
      <c r="L11" s="96"/>
      <c r="M11" s="866">
        <f>O11*Defaults!$D$8</f>
        <v>1.213875</v>
      </c>
      <c r="N11" s="45" t="s">
        <v>215</v>
      </c>
      <c r="O11" s="866">
        <f>F2_Unadjusted_Milk_Production_kg_day*24.9/1000*75%</f>
        <v>0.55060434369050848</v>
      </c>
      <c r="P11" s="45" t="s">
        <v>165</v>
      </c>
      <c r="Q11" s="73"/>
      <c r="R11" s="2057">
        <v>1</v>
      </c>
      <c r="S11" s="862"/>
      <c r="T11" s="1031" t="s">
        <v>601</v>
      </c>
      <c r="U11" s="3599"/>
    </row>
    <row r="12" spans="1:57" ht="3" customHeight="1">
      <c r="A12" s="206"/>
      <c r="B12" s="358"/>
      <c r="C12" s="382"/>
      <c r="D12" s="382"/>
      <c r="E12" s="382"/>
      <c r="F12" s="829"/>
      <c r="G12" s="382"/>
      <c r="H12" s="372"/>
      <c r="I12" s="3538"/>
      <c r="J12" s="820"/>
      <c r="K12" s="360"/>
      <c r="L12" s="96"/>
      <c r="M12" s="96"/>
      <c r="N12" s="96"/>
      <c r="O12" s="851"/>
      <c r="P12" s="96"/>
      <c r="Q12" s="109"/>
      <c r="R12" s="3537"/>
      <c r="S12" s="383"/>
      <c r="T12" s="1677"/>
      <c r="U12" s="3599"/>
    </row>
    <row r="13" spans="1:57">
      <c r="A13" s="208" t="s">
        <v>838</v>
      </c>
      <c r="B13" s="810"/>
      <c r="C13" s="382"/>
      <c r="D13" s="864">
        <f>F13*Defaults!$D$8</f>
        <v>0.85965197286612771</v>
      </c>
      <c r="E13" s="201" t="s">
        <v>215</v>
      </c>
      <c r="F13" s="864">
        <f>((F1_DMI_Lact_Cow_kg*0.81)+3.23)/55.65</f>
        <v>0.38993150886393169</v>
      </c>
      <c r="G13" s="201" t="s">
        <v>165</v>
      </c>
      <c r="H13" s="218"/>
      <c r="I13" s="2056">
        <v>2</v>
      </c>
      <c r="J13" s="821"/>
      <c r="K13" s="844"/>
      <c r="L13" s="96"/>
      <c r="M13" s="866">
        <f>O13*Defaults!$D$8</f>
        <v>0.83243364402515729</v>
      </c>
      <c r="N13" s="45" t="s">
        <v>215</v>
      </c>
      <c r="O13" s="866">
        <f>((F2_DMI_Lact_Cow_kg*0.81)+3.23)/55.65</f>
        <v>0.37758548469518699</v>
      </c>
      <c r="P13" s="45" t="s">
        <v>165</v>
      </c>
      <c r="Q13" s="73"/>
      <c r="R13" s="2873">
        <v>2</v>
      </c>
      <c r="S13" s="862"/>
      <c r="T13" s="1677" t="s">
        <v>1146</v>
      </c>
      <c r="U13" s="3600" t="s">
        <v>1145</v>
      </c>
    </row>
    <row r="14" spans="1:57" ht="3" customHeight="1">
      <c r="A14" s="206"/>
      <c r="B14" s="358"/>
      <c r="C14" s="382"/>
      <c r="D14" s="382"/>
      <c r="E14" s="382"/>
      <c r="F14" s="829"/>
      <c r="G14" s="382"/>
      <c r="H14" s="372"/>
      <c r="I14" s="819"/>
      <c r="J14" s="820"/>
      <c r="K14" s="360"/>
      <c r="L14" s="96"/>
      <c r="M14" s="96"/>
      <c r="N14" s="96"/>
      <c r="O14" s="851"/>
      <c r="P14" s="96"/>
      <c r="Q14" s="109"/>
      <c r="R14" s="804"/>
      <c r="S14" s="383"/>
      <c r="T14" s="1677"/>
      <c r="U14" s="3599"/>
    </row>
    <row r="15" spans="1:57">
      <c r="A15" s="208" t="s">
        <v>839</v>
      </c>
      <c r="B15" s="810"/>
      <c r="C15" s="382"/>
      <c r="D15" s="864">
        <f>F15*Defaults!$D$8</f>
        <v>0.67188510476190488</v>
      </c>
      <c r="E15" s="201" t="s">
        <v>215</v>
      </c>
      <c r="F15" s="864">
        <f>(('Step 9a--Daily DMI Rations'!D30*100*0.14)+8.56) / 55.65</f>
        <v>0.30476190476190479</v>
      </c>
      <c r="G15" s="201" t="s">
        <v>165</v>
      </c>
      <c r="H15" s="218"/>
      <c r="I15" s="2056">
        <v>2</v>
      </c>
      <c r="J15" s="821"/>
      <c r="K15" s="844"/>
      <c r="L15" s="96"/>
      <c r="M15" s="866">
        <f>O15*Defaults!$D$8</f>
        <v>0.70516243306379167</v>
      </c>
      <c r="N15" s="45" t="s">
        <v>215</v>
      </c>
      <c r="O15" s="866">
        <f>(('Step 9a--Daily DMI Rations'!AE30*100*0.14)+8.56) / 55.65</f>
        <v>0.3198562443845463</v>
      </c>
      <c r="P15" s="45" t="s">
        <v>165</v>
      </c>
      <c r="Q15" s="73"/>
      <c r="R15" s="2873">
        <v>2</v>
      </c>
      <c r="S15" s="862"/>
      <c r="T15" s="1677" t="s">
        <v>1147</v>
      </c>
      <c r="U15" s="3600" t="s">
        <v>1145</v>
      </c>
    </row>
    <row r="16" spans="1:57" ht="3" customHeight="1">
      <c r="A16" s="206"/>
      <c r="B16" s="358"/>
      <c r="C16" s="382"/>
      <c r="D16" s="382"/>
      <c r="E16" s="382"/>
      <c r="F16" s="829"/>
      <c r="G16" s="382"/>
      <c r="H16" s="372"/>
      <c r="I16" s="819"/>
      <c r="J16" s="820"/>
      <c r="K16" s="360"/>
      <c r="L16" s="96"/>
      <c r="M16" s="96"/>
      <c r="N16" s="96"/>
      <c r="O16" s="851"/>
      <c r="P16" s="96"/>
      <c r="Q16" s="109"/>
      <c r="R16" s="804"/>
      <c r="S16" s="383"/>
      <c r="T16" s="1677"/>
      <c r="U16" s="3599"/>
    </row>
    <row r="17" spans="1:22">
      <c r="A17" s="208" t="s">
        <v>840</v>
      </c>
      <c r="B17" s="810"/>
      <c r="C17" s="382"/>
      <c r="D17" s="864">
        <f>F17*Defaults!$D$8</f>
        <v>1.0258794580945789</v>
      </c>
      <c r="E17" s="201" t="s">
        <v>215</v>
      </c>
      <c r="F17" s="864">
        <f>F1_Gross_Energy*F1_YM/55.65</f>
        <v>0.4653310149148307</v>
      </c>
      <c r="G17" s="201" t="s">
        <v>165</v>
      </c>
      <c r="H17" s="218"/>
      <c r="I17" s="2056">
        <v>3</v>
      </c>
      <c r="J17" s="821"/>
      <c r="K17" s="844"/>
      <c r="L17" s="96"/>
      <c r="M17" s="866">
        <f>O17*Defaults!$D$8</f>
        <v>0.94686645722997342</v>
      </c>
      <c r="N17" s="45" t="s">
        <v>215</v>
      </c>
      <c r="O17" s="866">
        <f>F2_Gross_Energy*F2_YM/55.65</f>
        <v>0.42949132673929891</v>
      </c>
      <c r="P17" s="45" t="s">
        <v>165</v>
      </c>
      <c r="Q17" s="73"/>
      <c r="R17" s="2873">
        <v>3</v>
      </c>
      <c r="S17" s="862"/>
      <c r="T17" s="1677" t="s">
        <v>1271</v>
      </c>
      <c r="U17" s="3599"/>
    </row>
    <row r="18" spans="1:22" ht="5.25" customHeight="1">
      <c r="A18" s="205"/>
      <c r="B18" s="498"/>
      <c r="C18" s="499"/>
      <c r="D18" s="499"/>
      <c r="E18" s="499"/>
      <c r="F18" s="831"/>
      <c r="G18" s="499"/>
      <c r="H18" s="825"/>
      <c r="I18" s="828"/>
      <c r="J18" s="823"/>
      <c r="K18" s="500"/>
      <c r="L18" s="501"/>
      <c r="M18" s="501"/>
      <c r="N18" s="501"/>
      <c r="O18" s="852"/>
      <c r="P18" s="501"/>
      <c r="Q18" s="110"/>
      <c r="R18" s="827"/>
      <c r="S18" s="648"/>
      <c r="T18" s="1677"/>
      <c r="U18" s="3599"/>
    </row>
    <row r="19" spans="1:22" ht="17.25" customHeight="1">
      <c r="A19" s="221" t="s">
        <v>231</v>
      </c>
      <c r="B19" s="816"/>
      <c r="C19" s="186" t="s">
        <v>118</v>
      </c>
      <c r="D19" s="817"/>
      <c r="E19" s="817"/>
      <c r="F19" s="832"/>
      <c r="G19" s="813"/>
      <c r="H19" s="824"/>
      <c r="I19" s="819"/>
      <c r="J19" s="822"/>
      <c r="K19" s="848"/>
      <c r="L19" s="44" t="s">
        <v>118</v>
      </c>
      <c r="M19" s="91"/>
      <c r="N19" s="91"/>
      <c r="O19" s="853"/>
      <c r="P19" s="90"/>
      <c r="Q19" s="123"/>
      <c r="R19" s="804"/>
      <c r="S19" s="863"/>
      <c r="T19" s="1644"/>
      <c r="U19" s="3599"/>
    </row>
    <row r="20" spans="1:22" ht="3" customHeight="1">
      <c r="A20" s="206" t="s">
        <v>171</v>
      </c>
      <c r="B20" s="358"/>
      <c r="C20" s="382"/>
      <c r="D20" s="382"/>
      <c r="E20" s="382"/>
      <c r="F20" s="829"/>
      <c r="G20" s="382"/>
      <c r="H20" s="372"/>
      <c r="I20" s="819"/>
      <c r="J20" s="820"/>
      <c r="K20" s="360"/>
      <c r="L20" s="96"/>
      <c r="M20" s="96"/>
      <c r="N20" s="96"/>
      <c r="O20" s="851"/>
      <c r="P20" s="96"/>
      <c r="Q20" s="109"/>
      <c r="R20" s="804"/>
      <c r="S20" s="383"/>
      <c r="T20" s="1677"/>
      <c r="U20" s="3599"/>
    </row>
    <row r="21" spans="1:22">
      <c r="A21" s="208" t="s">
        <v>702</v>
      </c>
      <c r="B21" s="818"/>
      <c r="C21" s="382"/>
      <c r="D21" s="864">
        <f>F21*Defaults!$D$8</f>
        <v>0</v>
      </c>
      <c r="E21" s="201" t="s">
        <v>215</v>
      </c>
      <c r="F21" s="2197"/>
      <c r="G21" s="201" t="s">
        <v>165</v>
      </c>
      <c r="H21" s="218"/>
      <c r="I21" s="826"/>
      <c r="J21" s="821"/>
      <c r="K21" s="849"/>
      <c r="L21" s="96"/>
      <c r="M21" s="866">
        <f>O21*Defaults!$D$8</f>
        <v>0</v>
      </c>
      <c r="N21" s="45" t="s">
        <v>215</v>
      </c>
      <c r="O21" s="2197"/>
      <c r="P21" s="45" t="s">
        <v>165</v>
      </c>
      <c r="Q21" s="73"/>
      <c r="R21" s="826"/>
      <c r="S21" s="862"/>
      <c r="T21" s="1061"/>
      <c r="U21" s="3604" t="str">
        <f>IF(V21=FALSE,"Possible data inconsistencies may exist by over riding the calculated value."," ")</f>
        <v xml:space="preserve"> </v>
      </c>
      <c r="V21" s="3651" t="str">
        <f>IF(Options!BC12&lt;&gt;1,IF(Options!BD12&lt;&gt;1," ",FALSE))</f>
        <v xml:space="preserve"> </v>
      </c>
    </row>
    <row r="22" spans="1:22" ht="3" customHeight="1">
      <c r="A22" s="206"/>
      <c r="B22" s="358"/>
      <c r="C22" s="382"/>
      <c r="D22" s="382"/>
      <c r="E22" s="382"/>
      <c r="F22" s="829"/>
      <c r="G22" s="382"/>
      <c r="H22" s="372"/>
      <c r="I22" s="819"/>
      <c r="J22" s="820"/>
      <c r="K22" s="360"/>
      <c r="L22" s="96"/>
      <c r="M22" s="2874"/>
      <c r="N22" s="96"/>
      <c r="O22" s="851"/>
      <c r="P22" s="96"/>
      <c r="Q22" s="109"/>
      <c r="R22" s="804"/>
      <c r="S22" s="383"/>
      <c r="T22" s="1677"/>
      <c r="U22" s="3599"/>
    </row>
    <row r="23" spans="1:22">
      <c r="A23" s="208" t="s">
        <v>840</v>
      </c>
      <c r="B23" s="810"/>
      <c r="C23" s="382"/>
      <c r="D23" s="864">
        <f>F23*Defaults!$D$8</f>
        <v>1.2619130090547122</v>
      </c>
      <c r="E23" s="201" t="s">
        <v>215</v>
      </c>
      <c r="F23" s="864">
        <f>F1_VSP*F1_Bo*F1_MCF*0.662</f>
        <v>0.57239401433021064</v>
      </c>
      <c r="G23" s="201" t="s">
        <v>165</v>
      </c>
      <c r="H23" s="218"/>
      <c r="I23" s="2056">
        <v>4</v>
      </c>
      <c r="J23" s="821"/>
      <c r="K23" s="844"/>
      <c r="L23" s="96"/>
      <c r="M23" s="866">
        <f>O23*Defaults!$D$8</f>
        <v>1.0183169398108276</v>
      </c>
      <c r="N23" s="45" t="s">
        <v>215</v>
      </c>
      <c r="O23" s="866">
        <f>F2_VSP*F2_Bo*F2_MCF*0.662</f>
        <v>0.46190071491172302</v>
      </c>
      <c r="P23" s="45" t="s">
        <v>165</v>
      </c>
      <c r="Q23" s="73"/>
      <c r="R23" s="2873">
        <v>4</v>
      </c>
      <c r="S23" s="862"/>
      <c r="T23" s="1677" t="s">
        <v>1120</v>
      </c>
      <c r="U23" s="3600" t="s">
        <v>1071</v>
      </c>
    </row>
    <row r="24" spans="1:22" ht="5.25" customHeight="1">
      <c r="A24" s="205"/>
      <c r="B24" s="498"/>
      <c r="C24" s="499"/>
      <c r="D24" s="499"/>
      <c r="E24" s="499"/>
      <c r="F24" s="831"/>
      <c r="G24" s="499"/>
      <c r="H24" s="825"/>
      <c r="I24" s="828"/>
      <c r="J24" s="823"/>
      <c r="K24" s="500"/>
      <c r="L24" s="501"/>
      <c r="M24" s="501"/>
      <c r="N24" s="501"/>
      <c r="O24" s="852"/>
      <c r="P24" s="501"/>
      <c r="Q24" s="110"/>
      <c r="R24" s="827"/>
      <c r="S24" s="648"/>
      <c r="T24" s="1677"/>
      <c r="U24" s="3599"/>
    </row>
    <row r="25" spans="1:22" ht="5.25" customHeight="1">
      <c r="A25" s="206"/>
      <c r="B25" s="358"/>
      <c r="C25" s="382"/>
      <c r="D25" s="382"/>
      <c r="E25" s="382"/>
      <c r="F25" s="829"/>
      <c r="G25" s="382"/>
      <c r="H25" s="382"/>
      <c r="I25" s="819"/>
      <c r="J25" s="820"/>
      <c r="K25" s="360"/>
      <c r="L25" s="96"/>
      <c r="M25" s="96"/>
      <c r="N25" s="96"/>
      <c r="O25" s="851"/>
      <c r="P25" s="96"/>
      <c r="Q25" s="96"/>
      <c r="R25" s="804"/>
      <c r="S25" s="383"/>
      <c r="T25" s="1677"/>
      <c r="U25" s="3599"/>
    </row>
    <row r="26" spans="1:22" ht="12" customHeight="1">
      <c r="A26" s="221" t="s">
        <v>232</v>
      </c>
      <c r="B26" s="358"/>
      <c r="C26" s="1032"/>
      <c r="D26" s="1033">
        <f>F1_Methane_Enteric_Lact_Cow_Day_lb+F1_Methane_Manure_Lact_Cow_Day_lb</f>
        <v>2.2877924671492913</v>
      </c>
      <c r="E26" s="1039" t="s">
        <v>215</v>
      </c>
      <c r="F26" s="1033">
        <f>F1_Methane_Enteric_Lact_Cow_Day_kg+F1_Methane_Manure_Lact_Cow_Day_kg</f>
        <v>1.0377250292450413</v>
      </c>
      <c r="G26" s="1039" t="s">
        <v>165</v>
      </c>
      <c r="H26" s="1032"/>
      <c r="I26" s="1034"/>
      <c r="J26" s="1035"/>
      <c r="K26" s="1036"/>
      <c r="L26" s="1037"/>
      <c r="M26" s="1038">
        <f>F2_Methane_Enteric_Lact_Cow_Day_lb+F2_Methane_Manure_Lact_Cow_Day_lb</f>
        <v>1.965183397040801</v>
      </c>
      <c r="N26" s="1040" t="s">
        <v>215</v>
      </c>
      <c r="O26" s="1038">
        <f>F2_Methane_Enteric_Lact_Cow_Day_kg+F2_Methane_Manure_Lact_Cow_Day_kg</f>
        <v>0.89139204165102193</v>
      </c>
      <c r="P26" s="1040" t="s">
        <v>165</v>
      </c>
      <c r="Q26" s="96"/>
      <c r="R26" s="804"/>
      <c r="S26" s="383"/>
      <c r="T26" s="1677"/>
      <c r="U26" s="3600"/>
    </row>
    <row r="27" spans="1:22" ht="5.25" customHeight="1">
      <c r="A27" s="205"/>
      <c r="B27" s="498"/>
      <c r="C27" s="499"/>
      <c r="D27" s="499"/>
      <c r="E27" s="499"/>
      <c r="F27" s="831"/>
      <c r="G27" s="499"/>
      <c r="H27" s="499"/>
      <c r="I27" s="828"/>
      <c r="J27" s="823"/>
      <c r="K27" s="500"/>
      <c r="L27" s="501"/>
      <c r="M27" s="501"/>
      <c r="N27" s="501"/>
      <c r="O27" s="852"/>
      <c r="P27" s="501"/>
      <c r="Q27" s="501"/>
      <c r="R27" s="827"/>
      <c r="S27" s="648"/>
      <c r="T27" s="1677"/>
      <c r="U27" s="3599"/>
    </row>
    <row r="28" spans="1:22" s="3" customFormat="1" ht="20.25" customHeight="1">
      <c r="A28" s="4552" t="s">
        <v>978</v>
      </c>
      <c r="B28" s="4553"/>
      <c r="C28" s="4553"/>
      <c r="D28" s="4553"/>
      <c r="E28" s="4553"/>
      <c r="F28" s="4553"/>
      <c r="G28" s="4553"/>
      <c r="H28" s="4553"/>
      <c r="I28" s="4553"/>
      <c r="J28" s="4553"/>
      <c r="K28" s="4553"/>
      <c r="L28" s="4553"/>
      <c r="M28" s="4553"/>
      <c r="N28" s="4553"/>
      <c r="O28" s="4553"/>
      <c r="P28" s="4553"/>
      <c r="Q28" s="4553"/>
      <c r="R28" s="4553"/>
      <c r="S28" s="4554"/>
      <c r="T28" s="2729"/>
      <c r="U28" s="3559"/>
    </row>
    <row r="29" spans="1:22" ht="17.25" customHeight="1">
      <c r="A29" s="221" t="s">
        <v>204</v>
      </c>
      <c r="B29" s="816"/>
      <c r="C29" s="186" t="s">
        <v>118</v>
      </c>
      <c r="D29" s="817"/>
      <c r="E29" s="817"/>
      <c r="F29" s="832"/>
      <c r="G29" s="813"/>
      <c r="H29" s="824"/>
      <c r="I29" s="819"/>
      <c r="J29" s="822"/>
      <c r="K29" s="848"/>
      <c r="L29" s="44" t="s">
        <v>118</v>
      </c>
      <c r="M29" s="91"/>
      <c r="N29" s="91"/>
      <c r="O29" s="853"/>
      <c r="P29" s="90"/>
      <c r="Q29" s="123"/>
      <c r="R29" s="804"/>
      <c r="S29" s="863"/>
      <c r="T29" s="1644"/>
      <c r="U29" s="3599"/>
    </row>
    <row r="30" spans="1:22" ht="3" customHeight="1">
      <c r="A30" s="206" t="s">
        <v>171</v>
      </c>
      <c r="B30" s="358"/>
      <c r="C30" s="382"/>
      <c r="D30" s="382"/>
      <c r="E30" s="382"/>
      <c r="F30" s="829"/>
      <c r="G30" s="382"/>
      <c r="H30" s="372"/>
      <c r="I30" s="819"/>
      <c r="J30" s="820"/>
      <c r="K30" s="360"/>
      <c r="L30" s="96"/>
      <c r="M30" s="96"/>
      <c r="N30" s="96"/>
      <c r="O30" s="851"/>
      <c r="P30" s="96"/>
      <c r="Q30" s="109"/>
      <c r="R30" s="804"/>
      <c r="S30" s="383"/>
      <c r="T30" s="1677"/>
      <c r="U30" s="3599"/>
    </row>
    <row r="31" spans="1:22">
      <c r="A31" s="208" t="s">
        <v>702</v>
      </c>
      <c r="B31" s="818"/>
      <c r="C31" s="382"/>
      <c r="D31" s="864">
        <f>F31*Defaults!$D$8</f>
        <v>0</v>
      </c>
      <c r="E31" s="201" t="s">
        <v>215</v>
      </c>
      <c r="F31" s="2197"/>
      <c r="G31" s="201" t="s">
        <v>165</v>
      </c>
      <c r="H31" s="218"/>
      <c r="I31" s="826"/>
      <c r="J31" s="821"/>
      <c r="K31" s="849"/>
      <c r="L31" s="96"/>
      <c r="M31" s="866">
        <f>O31*Defaults!$D$8</f>
        <v>0</v>
      </c>
      <c r="N31" s="45" t="s">
        <v>215</v>
      </c>
      <c r="O31" s="2197"/>
      <c r="P31" s="45" t="s">
        <v>165</v>
      </c>
      <c r="Q31" s="73"/>
      <c r="R31" s="826"/>
      <c r="S31" s="862"/>
      <c r="T31" s="1677"/>
      <c r="U31" s="3604" t="str">
        <f>IF(V31=FALSE,"Possible data inconsistencies may exist by over riding the calculated value."," ")</f>
        <v xml:space="preserve"> </v>
      </c>
      <c r="V31" s="3651" t="str">
        <f>IF(Options!BC18&lt;&gt;1,IF(Options!BD18&lt;&gt;1," ",FALSE))</f>
        <v xml:space="preserve"> </v>
      </c>
    </row>
    <row r="32" spans="1:22" ht="3" customHeight="1">
      <c r="A32" s="206"/>
      <c r="B32" s="358"/>
      <c r="C32" s="382"/>
      <c r="D32" s="382"/>
      <c r="E32" s="382"/>
      <c r="F32" s="829"/>
      <c r="G32" s="382"/>
      <c r="H32" s="372"/>
      <c r="I32" s="819"/>
      <c r="J32" s="820"/>
      <c r="K32" s="360"/>
      <c r="L32" s="96"/>
      <c r="M32" s="96"/>
      <c r="N32" s="96"/>
      <c r="O32" s="851"/>
      <c r="P32" s="96"/>
      <c r="Q32" s="109"/>
      <c r="R32" s="804"/>
      <c r="S32" s="383"/>
      <c r="T32" s="1677"/>
      <c r="U32" s="3599"/>
    </row>
    <row r="33" spans="1:24">
      <c r="A33" s="208" t="s">
        <v>838</v>
      </c>
      <c r="B33" s="810"/>
      <c r="C33" s="382"/>
      <c r="D33" s="864">
        <f>F33*Defaults!$D$8</f>
        <v>0.46168331432165333</v>
      </c>
      <c r="E33" s="201" t="s">
        <v>215</v>
      </c>
      <c r="F33" s="864">
        <f>((F1_DMI_Dry_Cow_kg*0.81)+3.23)/55.65</f>
        <v>0.20941599281221926</v>
      </c>
      <c r="G33" s="201" t="s">
        <v>165</v>
      </c>
      <c r="H33" s="218"/>
      <c r="I33" s="2056">
        <v>2</v>
      </c>
      <c r="J33" s="821"/>
      <c r="K33" s="844"/>
      <c r="L33" s="96"/>
      <c r="M33" s="866">
        <f>O33*Defaults!$D$8</f>
        <v>0.46168331432165333</v>
      </c>
      <c r="N33" s="45" t="s">
        <v>215</v>
      </c>
      <c r="O33" s="866">
        <f>((F2_DMI_Dry_Cow_kg*0.81)+3.23)/55.65</f>
        <v>0.20941599281221926</v>
      </c>
      <c r="P33" s="45" t="s">
        <v>165</v>
      </c>
      <c r="Q33" s="73"/>
      <c r="R33" s="2873">
        <v>2</v>
      </c>
      <c r="S33" s="862"/>
      <c r="T33" s="1677" t="s">
        <v>1146</v>
      </c>
      <c r="U33" s="3600" t="s">
        <v>1145</v>
      </c>
    </row>
    <row r="34" spans="1:24" ht="3" customHeight="1">
      <c r="A34" s="206"/>
      <c r="B34" s="358"/>
      <c r="C34" s="382"/>
      <c r="D34" s="382"/>
      <c r="E34" s="382"/>
      <c r="F34" s="829"/>
      <c r="G34" s="382"/>
      <c r="H34" s="372"/>
      <c r="I34" s="819"/>
      <c r="J34" s="820"/>
      <c r="K34" s="360"/>
      <c r="L34" s="96"/>
      <c r="M34" s="96"/>
      <c r="N34" s="96"/>
      <c r="O34" s="851"/>
      <c r="P34" s="96"/>
      <c r="Q34" s="109"/>
      <c r="R34" s="804"/>
      <c r="S34" s="383"/>
      <c r="T34" s="1677"/>
      <c r="U34" s="3599"/>
    </row>
    <row r="35" spans="1:24">
      <c r="A35" s="208" t="s">
        <v>839</v>
      </c>
      <c r="B35" s="810"/>
      <c r="C35" s="382"/>
      <c r="D35" s="864">
        <f>F35*Defaults!$D$8</f>
        <v>0.396792524132974</v>
      </c>
      <c r="E35" s="201" t="s">
        <v>215</v>
      </c>
      <c r="F35" s="864">
        <f>(('Step 9a--Daily DMI Rations'!J30*F1_DMI_Dry_Cow_kg*0.14)+8.56) / 55.65</f>
        <v>0.1799820305480683</v>
      </c>
      <c r="G35" s="201" t="s">
        <v>165</v>
      </c>
      <c r="H35" s="218"/>
      <c r="I35" s="2056">
        <v>2</v>
      </c>
      <c r="J35" s="821"/>
      <c r="K35" s="844"/>
      <c r="L35" s="96"/>
      <c r="M35" s="866">
        <f>O35*Defaults!$D$8</f>
        <v>0.396792524132974</v>
      </c>
      <c r="N35" s="45" t="s">
        <v>215</v>
      </c>
      <c r="O35" s="866">
        <f>(('Step 9a--Daily DMI Rations'!AK30*F2_DMI_Dry_Cow_kg*0.14)+8.56) / 55.65</f>
        <v>0.1799820305480683</v>
      </c>
      <c r="P35" s="45" t="s">
        <v>165</v>
      </c>
      <c r="Q35" s="73"/>
      <c r="R35" s="2873">
        <v>2</v>
      </c>
      <c r="S35" s="862"/>
      <c r="T35" s="1677" t="s">
        <v>1147</v>
      </c>
      <c r="U35" s="3600" t="s">
        <v>1145</v>
      </c>
    </row>
    <row r="36" spans="1:24" ht="3" customHeight="1">
      <c r="A36" s="206"/>
      <c r="B36" s="358"/>
      <c r="C36" s="382"/>
      <c r="D36" s="382"/>
      <c r="E36" s="382"/>
      <c r="F36" s="829"/>
      <c r="G36" s="382"/>
      <c r="H36" s="372"/>
      <c r="I36" s="819"/>
      <c r="J36" s="820"/>
      <c r="K36" s="360"/>
      <c r="L36" s="96"/>
      <c r="M36" s="96"/>
      <c r="N36" s="96"/>
      <c r="O36" s="851"/>
      <c r="P36" s="96"/>
      <c r="Q36" s="109"/>
      <c r="R36" s="804"/>
      <c r="S36" s="383"/>
      <c r="T36" s="1677"/>
      <c r="U36" s="3599"/>
    </row>
    <row r="37" spans="1:24">
      <c r="A37" s="208" t="s">
        <v>840</v>
      </c>
      <c r="B37" s="810"/>
      <c r="C37" s="382"/>
      <c r="D37" s="865">
        <f>F37*Defaults!$D$8</f>
        <v>1.0258794580945789</v>
      </c>
      <c r="E37" s="201" t="s">
        <v>215</v>
      </c>
      <c r="F37" s="864">
        <f>(F1_Gross_Energy*F1_YM/55.65)</f>
        <v>0.4653310149148307</v>
      </c>
      <c r="G37" s="201" t="s">
        <v>165</v>
      </c>
      <c r="H37" s="218"/>
      <c r="I37" s="2056">
        <v>3</v>
      </c>
      <c r="J37" s="821"/>
      <c r="K37" s="844"/>
      <c r="L37" s="96"/>
      <c r="M37" s="866">
        <f>O37*Defaults!$D$8</f>
        <v>0.94686645722997342</v>
      </c>
      <c r="N37" s="45" t="s">
        <v>215</v>
      </c>
      <c r="O37" s="866">
        <f>(F2_Gross_Energy*F2_YM/55.65)</f>
        <v>0.42949132673929891</v>
      </c>
      <c r="P37" s="45" t="s">
        <v>165</v>
      </c>
      <c r="Q37" s="73"/>
      <c r="R37" s="2873">
        <v>3</v>
      </c>
      <c r="S37" s="862"/>
      <c r="T37" s="1677" t="s">
        <v>1270</v>
      </c>
      <c r="U37" s="3608"/>
      <c r="V37" s="40"/>
      <c r="W37" s="40"/>
      <c r="X37" s="40"/>
    </row>
    <row r="38" spans="1:24" ht="5.25" customHeight="1">
      <c r="A38" s="205"/>
      <c r="B38" s="498"/>
      <c r="C38" s="499"/>
      <c r="D38" s="499"/>
      <c r="E38" s="499"/>
      <c r="F38" s="831"/>
      <c r="G38" s="499"/>
      <c r="H38" s="825"/>
      <c r="I38" s="828"/>
      <c r="J38" s="823"/>
      <c r="K38" s="500"/>
      <c r="L38" s="501"/>
      <c r="M38" s="501"/>
      <c r="N38" s="501"/>
      <c r="O38" s="852"/>
      <c r="P38" s="501"/>
      <c r="Q38" s="110"/>
      <c r="R38" s="827"/>
      <c r="S38" s="648"/>
      <c r="T38" s="1677"/>
      <c r="U38" s="3609"/>
      <c r="V38" s="40"/>
      <c r="W38" s="40"/>
      <c r="X38" s="40"/>
    </row>
    <row r="39" spans="1:24" ht="17.25" customHeight="1">
      <c r="A39" s="221" t="s">
        <v>231</v>
      </c>
      <c r="B39" s="816"/>
      <c r="C39" s="186" t="s">
        <v>118</v>
      </c>
      <c r="D39" s="817"/>
      <c r="E39" s="817"/>
      <c r="F39" s="832"/>
      <c r="G39" s="813"/>
      <c r="H39" s="824"/>
      <c r="I39" s="1646"/>
      <c r="J39" s="822"/>
      <c r="K39" s="848"/>
      <c r="L39" s="44" t="s">
        <v>118</v>
      </c>
      <c r="M39" s="91"/>
      <c r="N39" s="91"/>
      <c r="O39" s="853"/>
      <c r="P39" s="90"/>
      <c r="Q39" s="123"/>
      <c r="R39" s="1648"/>
      <c r="S39" s="863"/>
      <c r="T39" s="1644"/>
      <c r="U39" s="3599"/>
    </row>
    <row r="40" spans="1:24" ht="3" customHeight="1">
      <c r="A40" s="206" t="s">
        <v>171</v>
      </c>
      <c r="B40" s="358"/>
      <c r="C40" s="382"/>
      <c r="D40" s="382"/>
      <c r="E40" s="382"/>
      <c r="F40" s="829"/>
      <c r="G40" s="382"/>
      <c r="H40" s="372"/>
      <c r="I40" s="1646"/>
      <c r="J40" s="820"/>
      <c r="K40" s="360"/>
      <c r="L40" s="96"/>
      <c r="M40" s="96"/>
      <c r="N40" s="96"/>
      <c r="O40" s="851"/>
      <c r="P40" s="96"/>
      <c r="Q40" s="109"/>
      <c r="R40" s="1648"/>
      <c r="S40" s="383"/>
      <c r="T40" s="1677"/>
      <c r="U40" s="3599"/>
    </row>
    <row r="41" spans="1:24">
      <c r="A41" s="208" t="s">
        <v>702</v>
      </c>
      <c r="B41" s="818"/>
      <c r="C41" s="382"/>
      <c r="D41" s="864">
        <f>F41*Defaults!$D$8</f>
        <v>0</v>
      </c>
      <c r="E41" s="201" t="s">
        <v>215</v>
      </c>
      <c r="F41" s="2197"/>
      <c r="G41" s="201" t="s">
        <v>165</v>
      </c>
      <c r="H41" s="218"/>
      <c r="I41" s="826"/>
      <c r="J41" s="821"/>
      <c r="K41" s="849"/>
      <c r="L41" s="96"/>
      <c r="M41" s="866">
        <f>O41*Defaults!$D$8</f>
        <v>0</v>
      </c>
      <c r="N41" s="45" t="s">
        <v>215</v>
      </c>
      <c r="O41" s="2197"/>
      <c r="P41" s="45" t="s">
        <v>165</v>
      </c>
      <c r="Q41" s="73"/>
      <c r="R41" s="826"/>
      <c r="S41" s="862"/>
      <c r="T41" s="1061"/>
      <c r="U41" s="3604" t="str">
        <f>IF(V41=FALSE,"Possible data inconsistencies may exist by over riding the calculated value."," ")</f>
        <v xml:space="preserve"> </v>
      </c>
      <c r="V41" s="3651" t="str">
        <f>IF(Options!BC24&lt;&gt;1,IF(Options!BD24&lt;&gt;1," ",FALSE))</f>
        <v xml:space="preserve"> </v>
      </c>
    </row>
    <row r="42" spans="1:24" ht="3" customHeight="1">
      <c r="A42" s="206"/>
      <c r="B42" s="358"/>
      <c r="C42" s="382"/>
      <c r="D42" s="382"/>
      <c r="E42" s="382"/>
      <c r="F42" s="829"/>
      <c r="G42" s="382"/>
      <c r="H42" s="372"/>
      <c r="I42" s="1646"/>
      <c r="J42" s="820"/>
      <c r="K42" s="360"/>
      <c r="L42" s="96"/>
      <c r="M42" s="96"/>
      <c r="N42" s="96"/>
      <c r="O42" s="851"/>
      <c r="P42" s="96"/>
      <c r="Q42" s="109"/>
      <c r="R42" s="1648"/>
      <c r="S42" s="383"/>
      <c r="T42" s="1677"/>
      <c r="U42" s="3599"/>
    </row>
    <row r="43" spans="1:24">
      <c r="A43" s="208" t="s">
        <v>840</v>
      </c>
      <c r="B43" s="810"/>
      <c r="C43" s="382"/>
      <c r="D43" s="864">
        <f>F43*Defaults!$D$8</f>
        <v>1.2619130090547122</v>
      </c>
      <c r="E43" s="201" t="s">
        <v>215</v>
      </c>
      <c r="F43" s="864">
        <f>(F1_VSP*F1_Bo*F1_MCF*0.662)</f>
        <v>0.57239401433021064</v>
      </c>
      <c r="G43" s="201" t="s">
        <v>165</v>
      </c>
      <c r="H43" s="218"/>
      <c r="I43" s="2056">
        <v>4</v>
      </c>
      <c r="J43" s="821"/>
      <c r="K43" s="844"/>
      <c r="L43" s="96"/>
      <c r="M43" s="866">
        <f>O43*Defaults!$D$8</f>
        <v>1.0183169398108276</v>
      </c>
      <c r="N43" s="45" t="s">
        <v>215</v>
      </c>
      <c r="O43" s="866">
        <f>(F2_VSP*F2_Bo*F2_MCF*0.662)</f>
        <v>0.46190071491172302</v>
      </c>
      <c r="P43" s="45" t="s">
        <v>165</v>
      </c>
      <c r="Q43" s="73"/>
      <c r="R43" s="2873">
        <v>4</v>
      </c>
      <c r="S43" s="862"/>
      <c r="T43" s="1677" t="s">
        <v>1235</v>
      </c>
      <c r="U43" s="3600" t="s">
        <v>1071</v>
      </c>
    </row>
    <row r="44" spans="1:24" ht="5.25" customHeight="1">
      <c r="A44" s="205"/>
      <c r="B44" s="498"/>
      <c r="C44" s="499"/>
      <c r="D44" s="499"/>
      <c r="E44" s="499"/>
      <c r="F44" s="831"/>
      <c r="G44" s="499"/>
      <c r="H44" s="825"/>
      <c r="I44" s="828"/>
      <c r="J44" s="823"/>
      <c r="K44" s="500"/>
      <c r="L44" s="501"/>
      <c r="M44" s="501"/>
      <c r="N44" s="501"/>
      <c r="O44" s="852"/>
      <c r="P44" s="501"/>
      <c r="Q44" s="110"/>
      <c r="R44" s="827"/>
      <c r="S44" s="648"/>
      <c r="T44" s="1677"/>
      <c r="U44" s="3599"/>
    </row>
    <row r="45" spans="1:24" ht="5.25" customHeight="1">
      <c r="A45" s="206"/>
      <c r="B45" s="358"/>
      <c r="C45" s="382"/>
      <c r="D45" s="382"/>
      <c r="E45" s="382"/>
      <c r="F45" s="829"/>
      <c r="G45" s="382"/>
      <c r="H45" s="382"/>
      <c r="I45" s="1646"/>
      <c r="J45" s="820"/>
      <c r="K45" s="360"/>
      <c r="L45" s="96"/>
      <c r="M45" s="96"/>
      <c r="N45" s="96"/>
      <c r="O45" s="851"/>
      <c r="P45" s="96"/>
      <c r="Q45" s="96"/>
      <c r="R45" s="1648"/>
      <c r="S45" s="383"/>
      <c r="T45" s="1677"/>
      <c r="U45" s="3599"/>
    </row>
    <row r="46" spans="1:24" ht="12" customHeight="1">
      <c r="A46" s="221" t="s">
        <v>423</v>
      </c>
      <c r="B46" s="358"/>
      <c r="C46" s="1032"/>
      <c r="D46" s="1033">
        <f>F46*Defaults!$D$8</f>
        <v>2.2877924671492909</v>
      </c>
      <c r="E46" s="1039" t="s">
        <v>215</v>
      </c>
      <c r="F46" s="1033">
        <f>F1_Methane_Enteric_Dry_Cow_Day_kg+F1_Methane_Manure_Dry_Cow_Day_kg</f>
        <v>1.0377250292450413</v>
      </c>
      <c r="G46" s="1039" t="s">
        <v>165</v>
      </c>
      <c r="H46" s="1032"/>
      <c r="I46" s="1649"/>
      <c r="J46" s="1035"/>
      <c r="K46" s="1036"/>
      <c r="L46" s="1037"/>
      <c r="M46" s="1038">
        <f>O46*Defaults!$D$8</f>
        <v>2.0441963979054067</v>
      </c>
      <c r="N46" s="1040" t="s">
        <v>215</v>
      </c>
      <c r="O46" s="1038">
        <f>F2_Methane_Enteric_Dry_Cow_Day_kg+F2_Methane_Manure_Dry_Cow_Day_kg</f>
        <v>0.92723172982655377</v>
      </c>
      <c r="P46" s="1040" t="s">
        <v>165</v>
      </c>
      <c r="Q46" s="96"/>
      <c r="R46" s="1648"/>
      <c r="S46" s="383"/>
      <c r="T46" s="1677"/>
      <c r="U46" s="3599"/>
    </row>
    <row r="47" spans="1:24" ht="5.25" customHeight="1">
      <c r="A47" s="205"/>
      <c r="B47" s="498"/>
      <c r="C47" s="499"/>
      <c r="D47" s="499"/>
      <c r="E47" s="499"/>
      <c r="F47" s="831"/>
      <c r="G47" s="499"/>
      <c r="H47" s="499"/>
      <c r="I47" s="828"/>
      <c r="J47" s="823"/>
      <c r="K47" s="500"/>
      <c r="L47" s="501"/>
      <c r="M47" s="501"/>
      <c r="N47" s="501"/>
      <c r="O47" s="852"/>
      <c r="P47" s="501"/>
      <c r="Q47" s="501"/>
      <c r="R47" s="827"/>
      <c r="S47" s="648"/>
      <c r="T47" s="1677"/>
      <c r="U47" s="3599"/>
    </row>
    <row r="48" spans="1:24" s="3" customFormat="1" ht="20.25" customHeight="1">
      <c r="A48" s="4552" t="s">
        <v>979</v>
      </c>
      <c r="B48" s="4553"/>
      <c r="C48" s="4553"/>
      <c r="D48" s="4553"/>
      <c r="E48" s="4553"/>
      <c r="F48" s="4553"/>
      <c r="G48" s="4553"/>
      <c r="H48" s="4553"/>
      <c r="I48" s="4553"/>
      <c r="J48" s="4553"/>
      <c r="K48" s="4553"/>
      <c r="L48" s="4553"/>
      <c r="M48" s="4553"/>
      <c r="N48" s="4553"/>
      <c r="O48" s="4553"/>
      <c r="P48" s="4553"/>
      <c r="Q48" s="4553"/>
      <c r="R48" s="4553"/>
      <c r="S48" s="4554"/>
      <c r="T48" s="2729"/>
      <c r="U48" s="3559"/>
    </row>
    <row r="49" spans="1:24" ht="17.25" customHeight="1">
      <c r="A49" s="221" t="s">
        <v>204</v>
      </c>
      <c r="B49" s="816"/>
      <c r="C49" s="186" t="s">
        <v>118</v>
      </c>
      <c r="D49" s="817"/>
      <c r="E49" s="817"/>
      <c r="F49" s="832"/>
      <c r="G49" s="813"/>
      <c r="H49" s="824"/>
      <c r="I49" s="819"/>
      <c r="J49" s="822"/>
      <c r="K49" s="848"/>
      <c r="L49" s="44" t="s">
        <v>118</v>
      </c>
      <c r="M49" s="91"/>
      <c r="N49" s="91"/>
      <c r="O49" s="853"/>
      <c r="P49" s="90"/>
      <c r="Q49" s="123"/>
      <c r="R49" s="804"/>
      <c r="S49" s="863"/>
      <c r="T49" s="1644"/>
      <c r="U49" s="3599"/>
    </row>
    <row r="50" spans="1:24" ht="3" customHeight="1">
      <c r="A50" s="206" t="s">
        <v>171</v>
      </c>
      <c r="B50" s="358"/>
      <c r="C50" s="382"/>
      <c r="D50" s="382"/>
      <c r="E50" s="382"/>
      <c r="F50" s="829"/>
      <c r="G50" s="382"/>
      <c r="H50" s="372"/>
      <c r="I50" s="819"/>
      <c r="J50" s="820"/>
      <c r="K50" s="360"/>
      <c r="L50" s="96"/>
      <c r="M50" s="96"/>
      <c r="N50" s="96"/>
      <c r="O50" s="851"/>
      <c r="P50" s="96"/>
      <c r="Q50" s="109"/>
      <c r="R50" s="804"/>
      <c r="S50" s="383"/>
      <c r="T50" s="1677"/>
      <c r="U50" s="3599"/>
    </row>
    <row r="51" spans="1:24">
      <c r="A51" s="208" t="s">
        <v>702</v>
      </c>
      <c r="B51" s="818"/>
      <c r="C51" s="382"/>
      <c r="D51" s="864">
        <f>F51*Defaults!$D$8</f>
        <v>0</v>
      </c>
      <c r="E51" s="201" t="s">
        <v>215</v>
      </c>
      <c r="F51" s="2197"/>
      <c r="G51" s="201" t="s">
        <v>165</v>
      </c>
      <c r="H51" s="218"/>
      <c r="I51" s="826"/>
      <c r="J51" s="821"/>
      <c r="K51" s="849"/>
      <c r="L51" s="96"/>
      <c r="M51" s="866">
        <f>O51*Defaults!$D$8</f>
        <v>0</v>
      </c>
      <c r="N51" s="45" t="s">
        <v>215</v>
      </c>
      <c r="O51" s="2197"/>
      <c r="P51" s="45" t="s">
        <v>165</v>
      </c>
      <c r="Q51" s="73"/>
      <c r="R51" s="826"/>
      <c r="S51" s="862"/>
      <c r="T51" s="1677"/>
      <c r="U51" s="3604" t="str">
        <f>IF(V51=FALSE,"Possible data inconsistencies may exist by over riding the calculated value."," ")</f>
        <v xml:space="preserve"> </v>
      </c>
      <c r="V51" s="3651" t="str">
        <f>IF(Options!BC30&lt;&gt;1,IF(Options!BD30&lt;&gt;1," ",FALSE))</f>
        <v xml:space="preserve"> </v>
      </c>
    </row>
    <row r="52" spans="1:24" ht="3" customHeight="1">
      <c r="A52" s="206"/>
      <c r="B52" s="358"/>
      <c r="C52" s="382"/>
      <c r="D52" s="382"/>
      <c r="E52" s="382"/>
      <c r="F52" s="829"/>
      <c r="G52" s="382"/>
      <c r="H52" s="372"/>
      <c r="I52" s="819"/>
      <c r="J52" s="820"/>
      <c r="K52" s="360"/>
      <c r="L52" s="96"/>
      <c r="M52" s="96"/>
      <c r="N52" s="96"/>
      <c r="O52" s="851"/>
      <c r="P52" s="96"/>
      <c r="Q52" s="109"/>
      <c r="R52" s="804"/>
      <c r="S52" s="383"/>
      <c r="T52" s="1677"/>
      <c r="U52" s="3599"/>
    </row>
    <row r="53" spans="1:24">
      <c r="A53" s="208" t="s">
        <v>838</v>
      </c>
      <c r="B53" s="810"/>
      <c r="C53" s="382"/>
      <c r="D53" s="864">
        <f>F53*Defaults!$D$8</f>
        <v>0.3955802786019767</v>
      </c>
      <c r="E53" s="201" t="s">
        <v>215</v>
      </c>
      <c r="F53" s="864">
        <f>((F1_DMI_Heifer_kg*0.81)+3.23)/55.65</f>
        <v>0.17943216531895778</v>
      </c>
      <c r="G53" s="201" t="s">
        <v>165</v>
      </c>
      <c r="H53" s="218"/>
      <c r="I53" s="2056">
        <v>2</v>
      </c>
      <c r="J53" s="821"/>
      <c r="K53" s="844"/>
      <c r="L53" s="96"/>
      <c r="M53" s="866">
        <f>O53*Defaults!$D$8</f>
        <v>0.3955802786019767</v>
      </c>
      <c r="N53" s="45" t="s">
        <v>215</v>
      </c>
      <c r="O53" s="866">
        <f>((F2_DMI_Heifer_kg*0.81)+3.23)/55.65</f>
        <v>0.17943216531895778</v>
      </c>
      <c r="P53" s="45" t="s">
        <v>165</v>
      </c>
      <c r="Q53" s="73"/>
      <c r="R53" s="2873">
        <v>2</v>
      </c>
      <c r="S53" s="862"/>
      <c r="T53" s="1677" t="s">
        <v>1146</v>
      </c>
      <c r="U53" s="3600" t="s">
        <v>1145</v>
      </c>
    </row>
    <row r="54" spans="1:24" ht="3" customHeight="1">
      <c r="A54" s="206"/>
      <c r="B54" s="358"/>
      <c r="C54" s="382"/>
      <c r="D54" s="382"/>
      <c r="E54" s="382"/>
      <c r="F54" s="829"/>
      <c r="G54" s="382"/>
      <c r="H54" s="372"/>
      <c r="I54" s="819"/>
      <c r="J54" s="820"/>
      <c r="K54" s="360"/>
      <c r="L54" s="96"/>
      <c r="M54" s="96"/>
      <c r="N54" s="96"/>
      <c r="O54" s="851"/>
      <c r="P54" s="96"/>
      <c r="Q54" s="109"/>
      <c r="R54" s="804"/>
      <c r="S54" s="383"/>
      <c r="T54" s="1677"/>
      <c r="U54" s="3599"/>
    </row>
    <row r="55" spans="1:24">
      <c r="A55" s="208" t="s">
        <v>839</v>
      </c>
      <c r="B55" s="810"/>
      <c r="C55" s="382"/>
      <c r="D55" s="864">
        <f>F55*Defaults!$D$8</f>
        <v>0.38536730808265951</v>
      </c>
      <c r="E55" s="201" t="s">
        <v>215</v>
      </c>
      <c r="F55" s="864">
        <f>(('Step 9a--Daily DMI Rations'!P30*F1_DMI_Heifer_kg*0.14)+8.56) / 55.65</f>
        <v>0.17479964061096137</v>
      </c>
      <c r="G55" s="201" t="s">
        <v>165</v>
      </c>
      <c r="H55" s="218"/>
      <c r="I55" s="2056">
        <v>2</v>
      </c>
      <c r="J55" s="821"/>
      <c r="K55" s="844"/>
      <c r="L55" s="96"/>
      <c r="M55" s="866">
        <f>O55*Defaults!$D$8</f>
        <v>0.38536730808265951</v>
      </c>
      <c r="N55" s="45" t="s">
        <v>215</v>
      </c>
      <c r="O55" s="866">
        <f>(('Step 9a--Daily DMI Rations'!AQ30*F2_DMI_Heifer_kg*0.14)+8.56) / 55.65</f>
        <v>0.17479964061096137</v>
      </c>
      <c r="P55" s="45" t="s">
        <v>165</v>
      </c>
      <c r="Q55" s="73"/>
      <c r="R55" s="2873">
        <v>2</v>
      </c>
      <c r="S55" s="862"/>
      <c r="T55" s="1677" t="s">
        <v>1147</v>
      </c>
      <c r="U55" s="3600" t="s">
        <v>1145</v>
      </c>
    </row>
    <row r="56" spans="1:24" ht="3" customHeight="1">
      <c r="A56" s="206"/>
      <c r="B56" s="358"/>
      <c r="C56" s="382"/>
      <c r="D56" s="382"/>
      <c r="E56" s="382"/>
      <c r="F56" s="829"/>
      <c r="G56" s="382"/>
      <c r="H56" s="372"/>
      <c r="I56" s="819"/>
      <c r="J56" s="820"/>
      <c r="K56" s="360"/>
      <c r="L56" s="96"/>
      <c r="M56" s="96"/>
      <c r="N56" s="96"/>
      <c r="O56" s="851"/>
      <c r="P56" s="96"/>
      <c r="Q56" s="109"/>
      <c r="R56" s="804"/>
      <c r="S56" s="383"/>
      <c r="T56" s="1677"/>
      <c r="U56" s="3599"/>
    </row>
    <row r="57" spans="1:24" ht="15.75">
      <c r="A57" s="208" t="s">
        <v>840</v>
      </c>
      <c r="B57" s="810"/>
      <c r="C57" s="382"/>
      <c r="D57" s="864">
        <f>F57*Defaults!$D$8</f>
        <v>0.74705445579230789</v>
      </c>
      <c r="E57" s="201" t="s">
        <v>215</v>
      </c>
      <c r="F57" s="864">
        <f>(F1_Gross_Energy*F1_YM/55.65)/F1_Lact_Cow_Weight_kg*F1_Heifer_Weight_kg</f>
        <v>0.33885814299873845</v>
      </c>
      <c r="G57" s="201" t="s">
        <v>165</v>
      </c>
      <c r="H57" s="218"/>
      <c r="I57" s="330" t="s">
        <v>1239</v>
      </c>
      <c r="J57" s="821"/>
      <c r="K57" s="844"/>
      <c r="L57" s="96"/>
      <c r="M57" s="866">
        <f>O57*Defaults!$D$8</f>
        <v>0.68951649273468019</v>
      </c>
      <c r="N57" s="45" t="s">
        <v>215</v>
      </c>
      <c r="O57" s="866">
        <f>(F2_Gross_Energy*F2_YM/55.65)/F2_Lact_Cow_Weight_kg*F2_Heifer_Weight_kg</f>
        <v>0.31275936644708874</v>
      </c>
      <c r="P57" s="45" t="s">
        <v>165</v>
      </c>
      <c r="Q57" s="73"/>
      <c r="R57" s="2057" t="s">
        <v>1239</v>
      </c>
      <c r="S57" s="862"/>
      <c r="T57" s="1677" t="s">
        <v>1269</v>
      </c>
      <c r="U57" s="3608" t="s">
        <v>1153</v>
      </c>
      <c r="V57" s="40"/>
      <c r="W57" s="40"/>
      <c r="X57" s="40"/>
    </row>
    <row r="58" spans="1:24" ht="5.25" customHeight="1">
      <c r="A58" s="205"/>
      <c r="B58" s="498"/>
      <c r="C58" s="499"/>
      <c r="D58" s="499"/>
      <c r="E58" s="499"/>
      <c r="F58" s="831"/>
      <c r="G58" s="499"/>
      <c r="H58" s="825"/>
      <c r="I58" s="828"/>
      <c r="J58" s="823"/>
      <c r="K58" s="500"/>
      <c r="L58" s="501"/>
      <c r="M58" s="501"/>
      <c r="N58" s="501"/>
      <c r="O58" s="852"/>
      <c r="P58" s="501"/>
      <c r="Q58" s="110"/>
      <c r="R58" s="827"/>
      <c r="S58" s="648"/>
      <c r="T58" s="1677"/>
      <c r="U58" s="3609"/>
      <c r="V58" s="40"/>
      <c r="W58" s="40"/>
      <c r="X58" s="40"/>
    </row>
    <row r="59" spans="1:24" ht="17.25" customHeight="1">
      <c r="A59" s="221" t="s">
        <v>231</v>
      </c>
      <c r="B59" s="816"/>
      <c r="C59" s="186" t="s">
        <v>118</v>
      </c>
      <c r="D59" s="817"/>
      <c r="E59" s="817"/>
      <c r="F59" s="832"/>
      <c r="G59" s="813"/>
      <c r="H59" s="824"/>
      <c r="I59" s="1646"/>
      <c r="J59" s="822"/>
      <c r="K59" s="848"/>
      <c r="L59" s="44" t="s">
        <v>118</v>
      </c>
      <c r="M59" s="91"/>
      <c r="N59" s="91"/>
      <c r="O59" s="853"/>
      <c r="P59" s="90"/>
      <c r="Q59" s="123"/>
      <c r="R59" s="1648"/>
      <c r="S59" s="863"/>
      <c r="T59" s="1644"/>
      <c r="U59" s="3599"/>
    </row>
    <row r="60" spans="1:24" ht="3" customHeight="1">
      <c r="A60" s="206" t="s">
        <v>171</v>
      </c>
      <c r="B60" s="358"/>
      <c r="C60" s="382"/>
      <c r="D60" s="382"/>
      <c r="E60" s="382"/>
      <c r="F60" s="829"/>
      <c r="G60" s="382"/>
      <c r="H60" s="372"/>
      <c r="I60" s="1646"/>
      <c r="J60" s="820"/>
      <c r="K60" s="360"/>
      <c r="L60" s="96"/>
      <c r="M60" s="96"/>
      <c r="N60" s="96"/>
      <c r="O60" s="851"/>
      <c r="P60" s="96"/>
      <c r="Q60" s="109"/>
      <c r="R60" s="1648"/>
      <c r="S60" s="383"/>
      <c r="T60" s="1677"/>
      <c r="U60" s="3599"/>
    </row>
    <row r="61" spans="1:24">
      <c r="A61" s="208" t="s">
        <v>702</v>
      </c>
      <c r="B61" s="818"/>
      <c r="C61" s="382"/>
      <c r="D61" s="864">
        <f>F61*Defaults!$D$8</f>
        <v>0</v>
      </c>
      <c r="E61" s="201" t="s">
        <v>215</v>
      </c>
      <c r="F61" s="2197"/>
      <c r="G61" s="201" t="s">
        <v>165</v>
      </c>
      <c r="H61" s="218"/>
      <c r="I61" s="826"/>
      <c r="J61" s="821"/>
      <c r="K61" s="849"/>
      <c r="L61" s="96"/>
      <c r="M61" s="866">
        <f>O61*Defaults!$D$8</f>
        <v>0</v>
      </c>
      <c r="N61" s="45" t="s">
        <v>215</v>
      </c>
      <c r="O61" s="2197"/>
      <c r="P61" s="45" t="s">
        <v>165</v>
      </c>
      <c r="Q61" s="73"/>
      <c r="R61" s="826"/>
      <c r="S61" s="862"/>
      <c r="T61" s="1061"/>
      <c r="U61" s="3604" t="str">
        <f>IF(V61=FALSE,"Possible data inconsistencies may exist by over riding the calculated value."," ")</f>
        <v xml:space="preserve"> </v>
      </c>
      <c r="V61" s="3651" t="str">
        <f>IF(Options!BC36&lt;&gt;1,IF(Options!BD36&lt;&gt;1," ",FALSE))</f>
        <v xml:space="preserve"> </v>
      </c>
    </row>
    <row r="62" spans="1:24" ht="3" customHeight="1">
      <c r="A62" s="206"/>
      <c r="B62" s="358"/>
      <c r="C62" s="382"/>
      <c r="D62" s="382"/>
      <c r="E62" s="382"/>
      <c r="F62" s="829"/>
      <c r="G62" s="382"/>
      <c r="H62" s="372"/>
      <c r="I62" s="1646"/>
      <c r="J62" s="820"/>
      <c r="K62" s="360"/>
      <c r="L62" s="96"/>
      <c r="M62" s="96"/>
      <c r="N62" s="96"/>
      <c r="O62" s="851"/>
      <c r="P62" s="96"/>
      <c r="Q62" s="109"/>
      <c r="R62" s="1648"/>
      <c r="S62" s="383"/>
      <c r="T62" s="1677"/>
      <c r="U62" s="3604" t="str">
        <f>IF(V62=FALSE,"Possible data inconsistencies may exist by over riding the calculated value."," ")</f>
        <v xml:space="preserve"> </v>
      </c>
      <c r="V62" s="3651" t="str">
        <f>IF(Options!BC53&lt;&gt;1,IF(Options!BD53&lt;&gt;1," ",FALSE))</f>
        <v xml:space="preserve"> </v>
      </c>
    </row>
    <row r="63" spans="1:24" ht="15.75">
      <c r="A63" s="208" t="s">
        <v>840</v>
      </c>
      <c r="B63" s="810"/>
      <c r="C63" s="382"/>
      <c r="D63" s="864">
        <f>F63*Defaults!$D$8</f>
        <v>0.91893616623103269</v>
      </c>
      <c r="E63" s="201" t="s">
        <v>215</v>
      </c>
      <c r="F63" s="864">
        <f>(F1_VSP*F1_Bo*F1_MCF*0.662)/F1_Lact_Cow_Weight_kg*F1_Heifer_Weight_kg</f>
        <v>0.41682236202336298</v>
      </c>
      <c r="G63" s="201" t="s">
        <v>165</v>
      </c>
      <c r="H63" s="218"/>
      <c r="I63" s="330" t="s">
        <v>1238</v>
      </c>
      <c r="J63" s="821"/>
      <c r="K63" s="844"/>
      <c r="L63" s="96"/>
      <c r="M63" s="866">
        <f>O63*Defaults!$D$8</f>
        <v>0.74154736337876004</v>
      </c>
      <c r="N63" s="45" t="s">
        <v>215</v>
      </c>
      <c r="O63" s="866">
        <f>(F2_VSP*F2_Bo*F2_MCF*0.662)/F2_Lact_Cow_Weight_kg*F2_Heifer_Weight_kg</f>
        <v>0.33636016832753718</v>
      </c>
      <c r="P63" s="45" t="s">
        <v>165</v>
      </c>
      <c r="Q63" s="73"/>
      <c r="R63" s="2057" t="s">
        <v>1238</v>
      </c>
      <c r="S63" s="862"/>
      <c r="T63" s="1677" t="s">
        <v>1149</v>
      </c>
      <c r="U63" s="3608" t="s">
        <v>1153</v>
      </c>
    </row>
    <row r="64" spans="1:24" ht="5.25" customHeight="1">
      <c r="A64" s="205"/>
      <c r="B64" s="498"/>
      <c r="C64" s="499"/>
      <c r="D64" s="499"/>
      <c r="E64" s="499"/>
      <c r="F64" s="831"/>
      <c r="G64" s="499"/>
      <c r="H64" s="825"/>
      <c r="I64" s="828"/>
      <c r="J64" s="823"/>
      <c r="K64" s="500"/>
      <c r="L64" s="501"/>
      <c r="M64" s="501"/>
      <c r="N64" s="501"/>
      <c r="O64" s="852"/>
      <c r="P64" s="501"/>
      <c r="Q64" s="110"/>
      <c r="R64" s="827"/>
      <c r="S64" s="648"/>
      <c r="T64" s="1677"/>
      <c r="U64" s="3599"/>
    </row>
    <row r="65" spans="1:24" ht="5.25" customHeight="1">
      <c r="A65" s="206"/>
      <c r="B65" s="358"/>
      <c r="C65" s="382"/>
      <c r="D65" s="382"/>
      <c r="E65" s="382"/>
      <c r="F65" s="829"/>
      <c r="G65" s="382"/>
      <c r="H65" s="382"/>
      <c r="I65" s="1646"/>
      <c r="J65" s="820"/>
      <c r="K65" s="360"/>
      <c r="L65" s="96"/>
      <c r="M65" s="96"/>
      <c r="N65" s="96"/>
      <c r="O65" s="851"/>
      <c r="P65" s="96"/>
      <c r="Q65" s="96"/>
      <c r="R65" s="1648"/>
      <c r="S65" s="383"/>
      <c r="T65" s="1677"/>
      <c r="U65" s="3599"/>
    </row>
    <row r="66" spans="1:24" ht="12" customHeight="1">
      <c r="A66" s="221" t="s">
        <v>863</v>
      </c>
      <c r="B66" s="358"/>
      <c r="C66" s="1032"/>
      <c r="D66" s="1033">
        <f>F66*Defaults!$D$8</f>
        <v>1.6659906220233405</v>
      </c>
      <c r="E66" s="1039" t="s">
        <v>215</v>
      </c>
      <c r="F66" s="1033">
        <f>F1_Methane_Enteric_Heifer_Day_kg+F1_Methane_Manure_Heifer_Day_kg</f>
        <v>0.75568050502210138</v>
      </c>
      <c r="G66" s="1039" t="s">
        <v>165</v>
      </c>
      <c r="H66" s="1032"/>
      <c r="I66" s="1649"/>
      <c r="J66" s="1035"/>
      <c r="K66" s="1036"/>
      <c r="L66" s="1037"/>
      <c r="M66" s="1038">
        <f>O66*Defaults!$D$8</f>
        <v>1.4310638561134403</v>
      </c>
      <c r="N66" s="1040" t="s">
        <v>215</v>
      </c>
      <c r="O66" s="1038">
        <f>F2_Methane_Enteric_Heifer_Day_kg+F2_Methane_Manure_Heifer_Day_kg</f>
        <v>0.64911953477462592</v>
      </c>
      <c r="P66" s="1040" t="s">
        <v>165</v>
      </c>
      <c r="Q66" s="96"/>
      <c r="R66" s="1648"/>
      <c r="S66" s="383"/>
      <c r="T66" s="1677"/>
      <c r="U66" s="3599"/>
    </row>
    <row r="67" spans="1:24" ht="5.25" customHeight="1">
      <c r="A67" s="205"/>
      <c r="B67" s="498"/>
      <c r="C67" s="499"/>
      <c r="D67" s="499"/>
      <c r="E67" s="499"/>
      <c r="F67" s="831"/>
      <c r="G67" s="499"/>
      <c r="H67" s="499"/>
      <c r="I67" s="828"/>
      <c r="J67" s="823"/>
      <c r="K67" s="500"/>
      <c r="L67" s="501"/>
      <c r="M67" s="501"/>
      <c r="N67" s="501"/>
      <c r="O67" s="852"/>
      <c r="P67" s="501"/>
      <c r="Q67" s="501"/>
      <c r="R67" s="827"/>
      <c r="S67" s="648"/>
      <c r="T67" s="1677"/>
      <c r="U67" s="3599"/>
    </row>
    <row r="68" spans="1:24" s="3" customFormat="1" ht="20.25" customHeight="1">
      <c r="A68" s="4552" t="s">
        <v>980</v>
      </c>
      <c r="B68" s="4553"/>
      <c r="C68" s="4553"/>
      <c r="D68" s="4553"/>
      <c r="E68" s="4553"/>
      <c r="F68" s="4553"/>
      <c r="G68" s="4553"/>
      <c r="H68" s="4553"/>
      <c r="I68" s="4553"/>
      <c r="J68" s="4553"/>
      <c r="K68" s="4553"/>
      <c r="L68" s="4553"/>
      <c r="M68" s="4553"/>
      <c r="N68" s="4553"/>
      <c r="O68" s="4553"/>
      <c r="P68" s="4553"/>
      <c r="Q68" s="4553"/>
      <c r="R68" s="4553"/>
      <c r="S68" s="4554"/>
      <c r="T68" s="2729"/>
      <c r="U68" s="3559"/>
    </row>
    <row r="69" spans="1:24" ht="17.25" customHeight="1">
      <c r="A69" s="221" t="s">
        <v>204</v>
      </c>
      <c r="B69" s="816"/>
      <c r="C69" s="186" t="s">
        <v>118</v>
      </c>
      <c r="D69" s="817"/>
      <c r="E69" s="817"/>
      <c r="F69" s="832"/>
      <c r="G69" s="813"/>
      <c r="H69" s="824"/>
      <c r="I69" s="819"/>
      <c r="J69" s="822"/>
      <c r="K69" s="848"/>
      <c r="L69" s="44" t="s">
        <v>118</v>
      </c>
      <c r="M69" s="91"/>
      <c r="N69" s="91"/>
      <c r="O69" s="853"/>
      <c r="P69" s="90"/>
      <c r="Q69" s="123"/>
      <c r="R69" s="804"/>
      <c r="S69" s="863"/>
      <c r="T69" s="1644"/>
      <c r="U69" s="3599"/>
    </row>
    <row r="70" spans="1:24" ht="3" customHeight="1">
      <c r="A70" s="206" t="s">
        <v>171</v>
      </c>
      <c r="B70" s="358"/>
      <c r="C70" s="382"/>
      <c r="D70" s="382"/>
      <c r="E70" s="382"/>
      <c r="F70" s="829"/>
      <c r="G70" s="382"/>
      <c r="H70" s="372"/>
      <c r="I70" s="819"/>
      <c r="J70" s="820"/>
      <c r="K70" s="360"/>
      <c r="L70" s="96"/>
      <c r="M70" s="96"/>
      <c r="N70" s="96"/>
      <c r="O70" s="851"/>
      <c r="P70" s="96"/>
      <c r="Q70" s="109"/>
      <c r="R70" s="804"/>
      <c r="S70" s="383"/>
      <c r="T70" s="1677"/>
      <c r="U70" s="3599"/>
    </row>
    <row r="71" spans="1:24">
      <c r="A71" s="208" t="s">
        <v>702</v>
      </c>
      <c r="B71" s="818"/>
      <c r="C71" s="382"/>
      <c r="D71" s="864">
        <f>F71*Defaults!$D$8</f>
        <v>0</v>
      </c>
      <c r="E71" s="201" t="s">
        <v>215</v>
      </c>
      <c r="F71" s="2197"/>
      <c r="G71" s="201" t="s">
        <v>165</v>
      </c>
      <c r="H71" s="218"/>
      <c r="I71" s="826"/>
      <c r="J71" s="821"/>
      <c r="K71" s="849"/>
      <c r="L71" s="96"/>
      <c r="M71" s="866">
        <f>O71*Defaults!$D$8</f>
        <v>0</v>
      </c>
      <c r="N71" s="45" t="s">
        <v>215</v>
      </c>
      <c r="O71" s="2197"/>
      <c r="P71" s="45" t="s">
        <v>165</v>
      </c>
      <c r="Q71" s="73"/>
      <c r="R71" s="826"/>
      <c r="S71" s="862"/>
      <c r="T71" s="1677"/>
      <c r="U71" s="3604" t="str">
        <f>IF(V71=FALSE,"Possible data inconsistencies may exist by over riding the calculated value."," ")</f>
        <v xml:space="preserve"> </v>
      </c>
      <c r="V71" s="3651" t="str">
        <f>IF(Options!BC42&lt;&gt;1,IF(Options!BD42&lt;&gt;1," ",FALSE))</f>
        <v xml:space="preserve"> </v>
      </c>
    </row>
    <row r="72" spans="1:24" ht="3" customHeight="1">
      <c r="A72" s="206"/>
      <c r="B72" s="358"/>
      <c r="C72" s="382"/>
      <c r="D72" s="382"/>
      <c r="E72" s="382"/>
      <c r="F72" s="829"/>
      <c r="G72" s="382"/>
      <c r="H72" s="372"/>
      <c r="I72" s="819"/>
      <c r="J72" s="820"/>
      <c r="K72" s="360"/>
      <c r="L72" s="96"/>
      <c r="M72" s="96"/>
      <c r="N72" s="96"/>
      <c r="O72" s="851"/>
      <c r="P72" s="96"/>
      <c r="Q72" s="109"/>
      <c r="R72" s="804"/>
      <c r="S72" s="383"/>
      <c r="T72" s="1677"/>
      <c r="U72" s="3599"/>
    </row>
    <row r="73" spans="1:24">
      <c r="A73" s="208" t="s">
        <v>838</v>
      </c>
      <c r="B73" s="810"/>
      <c r="C73" s="382"/>
      <c r="D73" s="864">
        <f>F73*Defaults!$D$8</f>
        <v>0.2362402264746358</v>
      </c>
      <c r="E73" s="201" t="s">
        <v>215</v>
      </c>
      <c r="F73" s="864">
        <f>((F1_DMI_Heifer_Calf_kg*0.81)+3.23)/55.65</f>
        <v>0.10715674583574415</v>
      </c>
      <c r="G73" s="201" t="s">
        <v>165</v>
      </c>
      <c r="H73" s="218"/>
      <c r="I73" s="2056">
        <v>2</v>
      </c>
      <c r="J73" s="821"/>
      <c r="K73" s="844"/>
      <c r="L73" s="96"/>
      <c r="M73" s="866">
        <f>O73*Defaults!$D$8</f>
        <v>0.2362402264746358</v>
      </c>
      <c r="N73" s="45" t="s">
        <v>215</v>
      </c>
      <c r="O73" s="866">
        <f>((F2_DMI_Heifer_Calf_kg*0.81)+3.23)/55.65</f>
        <v>0.10715674583574415</v>
      </c>
      <c r="P73" s="45" t="s">
        <v>165</v>
      </c>
      <c r="Q73" s="73"/>
      <c r="R73" s="2873">
        <v>2</v>
      </c>
      <c r="S73" s="862"/>
      <c r="T73" s="1677" t="s">
        <v>1146</v>
      </c>
      <c r="U73" s="3600" t="s">
        <v>1145</v>
      </c>
    </row>
    <row r="74" spans="1:24" ht="3" customHeight="1">
      <c r="A74" s="206"/>
      <c r="B74" s="358"/>
      <c r="C74" s="382"/>
      <c r="D74" s="382"/>
      <c r="E74" s="382"/>
      <c r="F74" s="829"/>
      <c r="G74" s="382"/>
      <c r="H74" s="372"/>
      <c r="I74" s="819"/>
      <c r="J74" s="820"/>
      <c r="K74" s="360"/>
      <c r="L74" s="96"/>
      <c r="M74" s="96"/>
      <c r="N74" s="96"/>
      <c r="O74" s="851"/>
      <c r="P74" s="96"/>
      <c r="Q74" s="109"/>
      <c r="R74" s="804"/>
      <c r="S74" s="383"/>
      <c r="T74" s="1677"/>
      <c r="U74" s="3599"/>
    </row>
    <row r="75" spans="1:24">
      <c r="A75" s="208" t="s">
        <v>839</v>
      </c>
      <c r="B75" s="810"/>
      <c r="C75" s="382"/>
      <c r="D75" s="864">
        <f>F75*Defaults!$D$8</f>
        <v>0.35782705215941546</v>
      </c>
      <c r="E75" s="201" t="s">
        <v>215</v>
      </c>
      <c r="F75" s="864">
        <f>(('Step 9a--Daily DMI Rations'!V30*F1_DMI_Heifer_Calf_kg*0.14)+8.56) / 55.65</f>
        <v>0.16230759279904791</v>
      </c>
      <c r="G75" s="201" t="s">
        <v>165</v>
      </c>
      <c r="H75" s="218"/>
      <c r="I75" s="2056">
        <v>2</v>
      </c>
      <c r="J75" s="821"/>
      <c r="K75" s="844"/>
      <c r="L75" s="96"/>
      <c r="M75" s="866">
        <f>O75*Defaults!$D$8</f>
        <v>0.35782705215941546</v>
      </c>
      <c r="N75" s="45" t="s">
        <v>215</v>
      </c>
      <c r="O75" s="866">
        <f>(('Step 9a--Daily DMI Rations'!AW30*F1_DMI_Heifer_Calf_kg*0.14)+8.56) / 55.65</f>
        <v>0.16230759279904791</v>
      </c>
      <c r="P75" s="45" t="s">
        <v>165</v>
      </c>
      <c r="Q75" s="73"/>
      <c r="R75" s="2873">
        <v>2</v>
      </c>
      <c r="S75" s="862"/>
      <c r="T75" s="1677" t="s">
        <v>1147</v>
      </c>
      <c r="U75" s="3600" t="s">
        <v>1145</v>
      </c>
    </row>
    <row r="76" spans="1:24" ht="3" customHeight="1">
      <c r="A76" s="206"/>
      <c r="B76" s="358"/>
      <c r="C76" s="382"/>
      <c r="D76" s="382"/>
      <c r="E76" s="382"/>
      <c r="F76" s="829"/>
      <c r="G76" s="382"/>
      <c r="H76" s="372"/>
      <c r="I76" s="819"/>
      <c r="J76" s="820"/>
      <c r="K76" s="360"/>
      <c r="L76" s="96"/>
      <c r="M76" s="96"/>
      <c r="N76" s="96"/>
      <c r="O76" s="851"/>
      <c r="P76" s="96"/>
      <c r="Q76" s="109"/>
      <c r="R76" s="804"/>
      <c r="S76" s="383"/>
      <c r="T76" s="1677"/>
      <c r="U76" s="3599"/>
    </row>
    <row r="77" spans="1:24" ht="15.75">
      <c r="A77" s="208" t="s">
        <v>840</v>
      </c>
      <c r="B77" s="810"/>
      <c r="C77" s="382"/>
      <c r="D77" s="864">
        <f>F77*Defaults!$D$8</f>
        <v>0.26155453486549907</v>
      </c>
      <c r="E77" s="201" t="s">
        <v>215</v>
      </c>
      <c r="F77" s="864">
        <f>(F1_Gross_Energy*F1_YM/55.65)/F1_Lact_Cow_Weight_kg*F1_Calf_Weight_kg</f>
        <v>0.11863912100413497</v>
      </c>
      <c r="G77" s="201" t="s">
        <v>165</v>
      </c>
      <c r="H77" s="218"/>
      <c r="I77" s="330" t="s">
        <v>1239</v>
      </c>
      <c r="J77" s="821"/>
      <c r="K77" s="844"/>
      <c r="L77" s="96"/>
      <c r="M77" s="866">
        <f>O77*Defaults!$D$8</f>
        <v>0.24140966450436172</v>
      </c>
      <c r="N77" s="45" t="s">
        <v>215</v>
      </c>
      <c r="O77" s="866">
        <f>(F2_Gross_Energy*F2_YM/55.65)/F2_Lact_Cow_Weight_kg*F2_Calf_Weight_kg</f>
        <v>0.10950156308101734</v>
      </c>
      <c r="P77" s="45" t="s">
        <v>165</v>
      </c>
      <c r="Q77" s="73"/>
      <c r="R77" s="2057" t="s">
        <v>1239</v>
      </c>
      <c r="S77" s="862"/>
      <c r="T77" s="1677" t="s">
        <v>1268</v>
      </c>
      <c r="U77" s="3608" t="s">
        <v>1152</v>
      </c>
      <c r="V77" s="40"/>
      <c r="W77" s="40"/>
      <c r="X77" s="40"/>
    </row>
    <row r="78" spans="1:24" ht="5.25" customHeight="1">
      <c r="A78" s="205"/>
      <c r="B78" s="498"/>
      <c r="C78" s="499"/>
      <c r="D78" s="499"/>
      <c r="E78" s="499"/>
      <c r="F78" s="831"/>
      <c r="G78" s="499"/>
      <c r="H78" s="825"/>
      <c r="I78" s="828"/>
      <c r="J78" s="823"/>
      <c r="K78" s="500"/>
      <c r="L78" s="501"/>
      <c r="M78" s="501"/>
      <c r="N78" s="501"/>
      <c r="O78" s="852"/>
      <c r="P78" s="501"/>
      <c r="Q78" s="110"/>
      <c r="R78" s="827"/>
      <c r="S78" s="648"/>
      <c r="T78" s="1677"/>
      <c r="U78" s="3609"/>
      <c r="V78" s="40"/>
      <c r="W78" s="40"/>
      <c r="X78" s="40"/>
    </row>
    <row r="79" spans="1:24" ht="17.25" customHeight="1">
      <c r="A79" s="221" t="s">
        <v>231</v>
      </c>
      <c r="B79" s="816"/>
      <c r="C79" s="186" t="s">
        <v>118</v>
      </c>
      <c r="D79" s="817"/>
      <c r="E79" s="817"/>
      <c r="F79" s="832"/>
      <c r="G79" s="813"/>
      <c r="H79" s="824"/>
      <c r="I79" s="1646"/>
      <c r="J79" s="822"/>
      <c r="K79" s="848"/>
      <c r="L79" s="44" t="s">
        <v>118</v>
      </c>
      <c r="M79" s="91"/>
      <c r="N79" s="91"/>
      <c r="O79" s="853"/>
      <c r="P79" s="90"/>
      <c r="Q79" s="123"/>
      <c r="R79" s="1648"/>
      <c r="S79" s="863"/>
      <c r="T79" s="1644"/>
      <c r="U79" s="3599"/>
    </row>
    <row r="80" spans="1:24" ht="3" customHeight="1">
      <c r="A80" s="206" t="s">
        <v>171</v>
      </c>
      <c r="B80" s="358"/>
      <c r="C80" s="382"/>
      <c r="D80" s="382"/>
      <c r="E80" s="382"/>
      <c r="F80" s="829"/>
      <c r="G80" s="382"/>
      <c r="H80" s="372"/>
      <c r="I80" s="1646"/>
      <c r="J80" s="820"/>
      <c r="K80" s="360"/>
      <c r="L80" s="96"/>
      <c r="M80" s="96"/>
      <c r="N80" s="96"/>
      <c r="O80" s="851"/>
      <c r="P80" s="96"/>
      <c r="Q80" s="109"/>
      <c r="R80" s="1648"/>
      <c r="S80" s="383"/>
      <c r="T80" s="1677"/>
      <c r="U80" s="3599"/>
    </row>
    <row r="81" spans="1:22">
      <c r="A81" s="208" t="s">
        <v>702</v>
      </c>
      <c r="B81" s="818"/>
      <c r="C81" s="382"/>
      <c r="D81" s="864">
        <f>F81*Defaults!$D$8</f>
        <v>0</v>
      </c>
      <c r="E81" s="201" t="s">
        <v>215</v>
      </c>
      <c r="F81" s="2197"/>
      <c r="G81" s="201" t="s">
        <v>165</v>
      </c>
      <c r="H81" s="218"/>
      <c r="I81" s="826"/>
      <c r="J81" s="821"/>
      <c r="K81" s="849"/>
      <c r="L81" s="96"/>
      <c r="M81" s="866">
        <f>O81*Defaults!$D$8</f>
        <v>0</v>
      </c>
      <c r="N81" s="45" t="s">
        <v>215</v>
      </c>
      <c r="O81" s="2197"/>
      <c r="P81" s="45" t="s">
        <v>165</v>
      </c>
      <c r="Q81" s="73"/>
      <c r="R81" s="826"/>
      <c r="S81" s="862"/>
      <c r="T81" s="1061"/>
      <c r="U81" s="3604" t="str">
        <f>IF(V81=FALSE,"Possible data inconsistencies may exist by over riding the calculated value."," ")</f>
        <v xml:space="preserve"> </v>
      </c>
      <c r="V81" s="3651" t="str">
        <f>IF(Options!BC48&lt;&gt;1,IF(Options!BD48&lt;&gt;1," ",FALSE))</f>
        <v xml:space="preserve"> </v>
      </c>
    </row>
    <row r="82" spans="1:22" ht="3" customHeight="1">
      <c r="A82" s="206"/>
      <c r="B82" s="358"/>
      <c r="C82" s="382"/>
      <c r="D82" s="382"/>
      <c r="E82" s="382"/>
      <c r="F82" s="829"/>
      <c r="G82" s="382"/>
      <c r="H82" s="372"/>
      <c r="I82" s="1646"/>
      <c r="J82" s="820"/>
      <c r="K82" s="360"/>
      <c r="L82" s="96"/>
      <c r="M82" s="96"/>
      <c r="N82" s="96"/>
      <c r="O82" s="851"/>
      <c r="P82" s="96"/>
      <c r="Q82" s="109"/>
      <c r="R82" s="1648"/>
      <c r="S82" s="383"/>
      <c r="T82" s="1677"/>
      <c r="U82" s="3599"/>
    </row>
    <row r="83" spans="1:22" ht="15.75">
      <c r="A83" s="208" t="s">
        <v>840</v>
      </c>
      <c r="B83" s="810"/>
      <c r="C83" s="382"/>
      <c r="D83" s="864">
        <f>F83*Defaults!$D$8</f>
        <v>0.32173279961864532</v>
      </c>
      <c r="E83" s="201" t="s">
        <v>215</v>
      </c>
      <c r="F83" s="864">
        <f>(F1_VSP*F1_Bo*F1_MCF*0.662)/F1_Lact_Cow_Weight_kg*F1_Calf_Weight_kg</f>
        <v>0.14593551805394631</v>
      </c>
      <c r="G83" s="201" t="s">
        <v>165</v>
      </c>
      <c r="H83" s="218"/>
      <c r="I83" s="330" t="s">
        <v>1238</v>
      </c>
      <c r="J83" s="821"/>
      <c r="K83" s="844"/>
      <c r="L83" s="96"/>
      <c r="M83" s="866">
        <f>O83*Defaults!$D$8</f>
        <v>0.25962642241865053</v>
      </c>
      <c r="N83" s="45" t="s">
        <v>215</v>
      </c>
      <c r="O83" s="866">
        <f>(F2_VSP*F2_Bo*F2_MCF*0.662)/F2_Lact_Cow_Weight_kg*F2_Calf_Weight_kg</f>
        <v>0.11776454405975557</v>
      </c>
      <c r="P83" s="45" t="s">
        <v>165</v>
      </c>
      <c r="Q83" s="73"/>
      <c r="R83" s="2057" t="s">
        <v>1238</v>
      </c>
      <c r="S83" s="862"/>
      <c r="T83" s="1677" t="s">
        <v>1151</v>
      </c>
      <c r="U83" s="3608" t="s">
        <v>1152</v>
      </c>
    </row>
    <row r="84" spans="1:22" ht="5.25" customHeight="1">
      <c r="A84" s="205"/>
      <c r="B84" s="498"/>
      <c r="C84" s="499"/>
      <c r="D84" s="499"/>
      <c r="E84" s="499"/>
      <c r="F84" s="831"/>
      <c r="G84" s="499"/>
      <c r="H84" s="825"/>
      <c r="I84" s="828"/>
      <c r="J84" s="823"/>
      <c r="K84" s="500"/>
      <c r="L84" s="501"/>
      <c r="M84" s="501"/>
      <c r="N84" s="501"/>
      <c r="O84" s="852"/>
      <c r="P84" s="501"/>
      <c r="Q84" s="110"/>
      <c r="R84" s="827"/>
      <c r="S84" s="648"/>
      <c r="T84" s="1677"/>
      <c r="U84" s="3599"/>
    </row>
    <row r="85" spans="1:22" ht="5.25" customHeight="1">
      <c r="A85" s="206"/>
      <c r="B85" s="358"/>
      <c r="C85" s="382"/>
      <c r="D85" s="382"/>
      <c r="E85" s="382"/>
      <c r="F85" s="829"/>
      <c r="G85" s="382"/>
      <c r="H85" s="382"/>
      <c r="I85" s="1646"/>
      <c r="J85" s="820"/>
      <c r="K85" s="360"/>
      <c r="L85" s="96"/>
      <c r="M85" s="96"/>
      <c r="N85" s="96"/>
      <c r="O85" s="851"/>
      <c r="P85" s="96"/>
      <c r="Q85" s="96"/>
      <c r="R85" s="1648"/>
      <c r="S85" s="383"/>
      <c r="T85" s="1677"/>
      <c r="U85" s="3599"/>
    </row>
    <row r="86" spans="1:22" ht="12" customHeight="1">
      <c r="A86" s="221" t="s">
        <v>864</v>
      </c>
      <c r="B86" s="358"/>
      <c r="C86" s="1032"/>
      <c r="D86" s="1033">
        <f>F86*Defaults!$D$8</f>
        <v>0.58328733448414438</v>
      </c>
      <c r="E86" s="1039" t="s">
        <v>215</v>
      </c>
      <c r="F86" s="1033">
        <f>F1_Methane_Enteric_Calf_Day_kg+F1_Methane_Manure_Calf_Day_kg</f>
        <v>0.26457463905808126</v>
      </c>
      <c r="G86" s="1039" t="s">
        <v>165</v>
      </c>
      <c r="H86" s="1032"/>
      <c r="I86" s="1649"/>
      <c r="J86" s="1035"/>
      <c r="K86" s="1036"/>
      <c r="L86" s="1037"/>
      <c r="M86" s="1038">
        <f>O86*Defaults!$D$8</f>
        <v>0.50103608692301227</v>
      </c>
      <c r="N86" s="1040" t="s">
        <v>215</v>
      </c>
      <c r="O86" s="1038">
        <f>F2_Methane_Enteric_Calf_Day_kg+F2_Methane_Manure_Calf_Day_kg</f>
        <v>0.22726610714077292</v>
      </c>
      <c r="P86" s="1040" t="s">
        <v>165</v>
      </c>
      <c r="Q86" s="96"/>
      <c r="R86" s="1648"/>
      <c r="S86" s="383"/>
      <c r="T86" s="1677"/>
      <c r="U86" s="3599"/>
    </row>
    <row r="87" spans="1:22" ht="5.25" customHeight="1">
      <c r="A87" s="205"/>
      <c r="B87" s="498"/>
      <c r="C87" s="499"/>
      <c r="D87" s="499"/>
      <c r="E87" s="499"/>
      <c r="F87" s="831"/>
      <c r="G87" s="499"/>
      <c r="H87" s="499"/>
      <c r="I87" s="828"/>
      <c r="J87" s="823"/>
      <c r="K87" s="500"/>
      <c r="L87" s="501"/>
      <c r="M87" s="501"/>
      <c r="N87" s="501"/>
      <c r="O87" s="852"/>
      <c r="P87" s="501"/>
      <c r="Q87" s="501"/>
      <c r="R87" s="827"/>
      <c r="S87" s="648"/>
      <c r="T87" s="1678"/>
      <c r="U87" s="3601"/>
    </row>
    <row r="88" spans="1:22" ht="21" customHeight="1">
      <c r="A88" s="5141" t="s">
        <v>20</v>
      </c>
      <c r="B88" s="5142"/>
      <c r="C88" s="5142"/>
      <c r="D88" s="5142"/>
      <c r="E88" s="5142"/>
      <c r="F88" s="5142"/>
      <c r="G88" s="5142"/>
      <c r="H88" s="5142"/>
      <c r="I88" s="5142"/>
      <c r="J88" s="5142"/>
      <c r="K88" s="5142"/>
      <c r="L88" s="5142"/>
      <c r="M88" s="5142"/>
      <c r="N88" s="5142"/>
      <c r="O88" s="5142"/>
      <c r="P88" s="5142"/>
      <c r="Q88" s="5142"/>
      <c r="R88" s="5142"/>
      <c r="S88" s="5143"/>
      <c r="T88" s="40"/>
    </row>
    <row r="89" spans="1:22">
      <c r="A89" s="4993" t="s">
        <v>1225</v>
      </c>
      <c r="B89" s="5142"/>
      <c r="C89" s="5142"/>
      <c r="D89" s="5142"/>
      <c r="E89" s="5142"/>
      <c r="F89" s="5142"/>
      <c r="G89" s="5142"/>
      <c r="H89" s="5142"/>
      <c r="I89" s="5142"/>
      <c r="J89" s="5142"/>
      <c r="K89" s="5142"/>
      <c r="L89" s="5142"/>
      <c r="M89" s="5142"/>
      <c r="N89" s="5142"/>
      <c r="O89" s="5142"/>
      <c r="P89" s="5142"/>
      <c r="Q89" s="5142"/>
      <c r="R89" s="5142"/>
      <c r="S89" s="5143"/>
      <c r="T89" s="40"/>
    </row>
    <row r="90" spans="1:22" ht="12.75" customHeight="1">
      <c r="A90" s="4611" t="s">
        <v>1247</v>
      </c>
      <c r="B90" s="4612"/>
      <c r="C90" s="4612"/>
      <c r="D90" s="4612"/>
      <c r="E90" s="4612"/>
      <c r="F90" s="4612"/>
      <c r="G90" s="4612"/>
      <c r="H90" s="4612"/>
      <c r="I90" s="4612"/>
      <c r="J90" s="4612"/>
      <c r="K90" s="4612"/>
      <c r="L90" s="4612"/>
      <c r="M90" s="4612"/>
      <c r="N90" s="4612"/>
      <c r="O90" s="4612"/>
      <c r="P90" s="4612"/>
      <c r="Q90" s="4612"/>
      <c r="R90" s="4612"/>
      <c r="S90" s="4613"/>
    </row>
    <row r="91" spans="1:22" ht="26.25" customHeight="1">
      <c r="A91" s="4634" t="s">
        <v>1232</v>
      </c>
      <c r="B91" s="4072"/>
      <c r="C91" s="4072"/>
      <c r="D91" s="4072"/>
      <c r="E91" s="4072"/>
      <c r="F91" s="4072"/>
      <c r="G91" s="4072"/>
      <c r="H91" s="4072"/>
      <c r="I91" s="4072"/>
      <c r="J91" s="4072"/>
      <c r="K91" s="4072"/>
      <c r="L91" s="4072"/>
      <c r="M91" s="4072"/>
      <c r="N91" s="4072"/>
      <c r="O91" s="4072"/>
      <c r="P91" s="4072"/>
      <c r="Q91" s="4072"/>
      <c r="R91" s="4072"/>
      <c r="S91" s="4073"/>
    </row>
    <row r="92" spans="1:22" ht="24.75" customHeight="1">
      <c r="A92" s="4634" t="s">
        <v>1236</v>
      </c>
      <c r="B92" s="4635"/>
      <c r="C92" s="4635"/>
      <c r="D92" s="4635"/>
      <c r="E92" s="4635"/>
      <c r="F92" s="4635"/>
      <c r="G92" s="4635"/>
      <c r="H92" s="4635"/>
      <c r="I92" s="4635"/>
      <c r="J92" s="4635"/>
      <c r="K92" s="4635"/>
      <c r="L92" s="4635"/>
      <c r="M92" s="4635"/>
      <c r="N92" s="4635"/>
      <c r="O92" s="4635"/>
      <c r="P92" s="4635"/>
      <c r="Q92" s="4635"/>
      <c r="R92" s="4635"/>
      <c r="S92" s="4636"/>
    </row>
    <row r="93" spans="1:22">
      <c r="A93" s="4634" t="s">
        <v>1237</v>
      </c>
      <c r="B93" s="4635"/>
      <c r="C93" s="4635"/>
      <c r="D93" s="4635"/>
      <c r="E93" s="4635"/>
      <c r="F93" s="4635"/>
      <c r="G93" s="4635"/>
      <c r="H93" s="4635"/>
      <c r="I93" s="4635"/>
      <c r="J93" s="4635"/>
      <c r="K93" s="4635"/>
      <c r="L93" s="4635"/>
      <c r="M93" s="4635"/>
      <c r="N93" s="4635"/>
      <c r="O93" s="4635"/>
      <c r="P93" s="4635"/>
      <c r="Q93" s="4635"/>
      <c r="R93" s="4635"/>
      <c r="S93" s="4636"/>
    </row>
    <row r="94" spans="1:22">
      <c r="A94" s="5138" t="s">
        <v>119</v>
      </c>
      <c r="B94" s="5139"/>
      <c r="C94" s="5139"/>
      <c r="D94" s="5139"/>
      <c r="E94" s="5139"/>
      <c r="F94" s="5139"/>
      <c r="G94" s="5139"/>
      <c r="H94" s="5139"/>
      <c r="I94" s="5139"/>
      <c r="J94" s="5139"/>
      <c r="K94" s="5139"/>
      <c r="L94" s="5139"/>
      <c r="M94" s="5139"/>
      <c r="N94" s="5139"/>
      <c r="O94" s="5139"/>
      <c r="P94" s="5139"/>
      <c r="Q94" s="5139"/>
      <c r="R94" s="5139"/>
      <c r="S94" s="5140"/>
    </row>
    <row r="95" spans="1:22">
      <c r="A95" s="5138" t="s">
        <v>120</v>
      </c>
      <c r="B95" s="5139"/>
      <c r="C95" s="5139"/>
      <c r="D95" s="5139"/>
      <c r="E95" s="5139"/>
      <c r="F95" s="5139"/>
      <c r="G95" s="5139"/>
      <c r="H95" s="5139"/>
      <c r="I95" s="5139"/>
      <c r="J95" s="5139"/>
      <c r="K95" s="5139"/>
      <c r="L95" s="5139"/>
      <c r="M95" s="5139"/>
      <c r="N95" s="5139"/>
      <c r="O95" s="5139"/>
      <c r="P95" s="5139"/>
      <c r="Q95" s="5139"/>
      <c r="R95" s="5139"/>
      <c r="S95" s="5140"/>
    </row>
    <row r="96" spans="1:22">
      <c r="A96" s="5138" t="s">
        <v>121</v>
      </c>
      <c r="B96" s="5139"/>
      <c r="C96" s="5139"/>
      <c r="D96" s="5139"/>
      <c r="E96" s="5139"/>
      <c r="F96" s="5139"/>
      <c r="G96" s="5139"/>
      <c r="H96" s="5139"/>
      <c r="I96" s="5139"/>
      <c r="J96" s="5139"/>
      <c r="K96" s="5139"/>
      <c r="L96" s="5139"/>
      <c r="M96" s="5139"/>
      <c r="N96" s="5139"/>
      <c r="O96" s="5139"/>
      <c r="P96" s="5139"/>
      <c r="Q96" s="5139"/>
      <c r="R96" s="5139"/>
      <c r="S96" s="5140"/>
    </row>
    <row r="97" spans="1:19" ht="13.5" thickBot="1">
      <c r="A97" s="5135" t="s">
        <v>576</v>
      </c>
      <c r="B97" s="5136"/>
      <c r="C97" s="5136"/>
      <c r="D97" s="5136"/>
      <c r="E97" s="5136"/>
      <c r="F97" s="5136"/>
      <c r="G97" s="5136"/>
      <c r="H97" s="5136"/>
      <c r="I97" s="5136"/>
      <c r="J97" s="5136"/>
      <c r="K97" s="5136"/>
      <c r="L97" s="5136"/>
      <c r="M97" s="5136"/>
      <c r="N97" s="5136"/>
      <c r="O97" s="5136"/>
      <c r="P97" s="5136"/>
      <c r="Q97" s="5136"/>
      <c r="R97" s="5136"/>
      <c r="S97" s="5137"/>
    </row>
    <row r="99" spans="1:19">
      <c r="A99" s="21"/>
    </row>
    <row r="100" spans="1:19">
      <c r="A100" s="1027"/>
    </row>
    <row r="101" spans="1:19">
      <c r="A101" s="1027"/>
    </row>
    <row r="102" spans="1:19">
      <c r="A102" s="1027"/>
    </row>
    <row r="103" spans="1:19">
      <c r="A103" s="1027"/>
    </row>
    <row r="104" spans="1:19">
      <c r="A104" s="1027"/>
    </row>
    <row r="105" spans="1:19">
      <c r="A105" s="1027"/>
    </row>
  </sheetData>
  <sheetProtection password="E0BE" sheet="1" objects="1" scenarios="1"/>
  <mergeCells count="22">
    <mergeCell ref="A1:S1"/>
    <mergeCell ref="A2:S2"/>
    <mergeCell ref="B3:J3"/>
    <mergeCell ref="K3:S3"/>
    <mergeCell ref="B4:J4"/>
    <mergeCell ref="K4:S4"/>
    <mergeCell ref="A5:S5"/>
    <mergeCell ref="A68:S68"/>
    <mergeCell ref="A91:S91"/>
    <mergeCell ref="A92:S92"/>
    <mergeCell ref="A97:S97"/>
    <mergeCell ref="A95:S95"/>
    <mergeCell ref="A94:S94"/>
    <mergeCell ref="A93:S93"/>
    <mergeCell ref="H6:J6"/>
    <mergeCell ref="Q6:S6"/>
    <mergeCell ref="A88:S88"/>
    <mergeCell ref="A90:S90"/>
    <mergeCell ref="A28:S28"/>
    <mergeCell ref="A48:S48"/>
    <mergeCell ref="A89:S89"/>
    <mergeCell ref="A96:S96"/>
  </mergeCells>
  <printOptions horizontalCentered="1"/>
  <pageMargins left="0.7" right="0.7" top="0.75" bottom="0.75" header="0.3" footer="0.3"/>
  <pageSetup scale="65" fitToHeight="2" orientation="landscape" r:id="rId1"/>
  <headerFooter>
    <oddFooter>&amp;L&amp;A&amp;C&amp;F&amp;R&amp;D</oddFooter>
  </headerFooter>
  <rowBreaks count="1" manualBreakCount="1">
    <brk id="47" max="18" man="1"/>
  </rowBreaks>
  <legacyDrawing r:id="rId2"/>
</worksheet>
</file>

<file path=xl/worksheets/sheet35.xml><?xml version="1.0" encoding="utf-8"?>
<worksheet xmlns="http://schemas.openxmlformats.org/spreadsheetml/2006/main" xmlns:r="http://schemas.openxmlformats.org/officeDocument/2006/relationships">
  <sheetPr codeName="Sheet43"/>
  <dimension ref="A1:BE97"/>
  <sheetViews>
    <sheetView topLeftCell="A13" zoomScale="85" zoomScaleNormal="85" workbookViewId="0">
      <selection activeCell="A94" sqref="A94:S96"/>
    </sheetView>
  </sheetViews>
  <sheetFormatPr defaultRowHeight="12.75"/>
  <cols>
    <col min="1" max="1" width="38.7109375" customWidth="1"/>
    <col min="2" max="2" width="1.28515625" customWidth="1"/>
    <col min="3" max="3" width="4.7109375" customWidth="1"/>
    <col min="4" max="4" width="9" customWidth="1"/>
    <col min="5" max="5" width="15" customWidth="1"/>
    <col min="6" max="6" width="8" style="1" customWidth="1"/>
    <col min="7" max="7" width="10.42578125" customWidth="1"/>
    <col min="8" max="8" width="1.28515625" customWidth="1"/>
    <col min="9" max="9" width="7.7109375" style="1" customWidth="1"/>
    <col min="10" max="11" width="1.28515625" customWidth="1"/>
    <col min="12" max="12" width="4.7109375" customWidth="1"/>
    <col min="13" max="13" width="9" customWidth="1"/>
    <col min="14" max="14" width="15" customWidth="1"/>
    <col min="15" max="15" width="8" style="1" customWidth="1"/>
    <col min="16" max="16" width="10.42578125" customWidth="1"/>
    <col min="17" max="17" width="1.28515625" customWidth="1"/>
    <col min="18" max="18" width="7.7109375" style="1" customWidth="1"/>
    <col min="19" max="19" width="1.28515625" customWidth="1"/>
    <col min="20" max="20" width="38" customWidth="1"/>
    <col min="21" max="21" width="51.5703125" bestFit="1" customWidth="1"/>
  </cols>
  <sheetData>
    <row r="1" spans="1:57" s="6" customFormat="1" ht="30" customHeight="1">
      <c r="A1" s="4691" t="str">
        <f>CONCATENATE("Application: ",Application_Name)</f>
        <v>Application: Conventional and Organic Farm Environmental Footprints (COFEF)</v>
      </c>
      <c r="B1" s="4692"/>
      <c r="C1" s="4692"/>
      <c r="D1" s="4692"/>
      <c r="E1" s="4692"/>
      <c r="F1" s="4692"/>
      <c r="G1" s="4692"/>
      <c r="H1" s="4692"/>
      <c r="I1" s="4692"/>
      <c r="J1" s="4692"/>
      <c r="K1" s="4692"/>
      <c r="L1" s="4692"/>
      <c r="M1" s="4692"/>
      <c r="N1" s="4692"/>
      <c r="O1" s="4692"/>
      <c r="P1" s="4692"/>
      <c r="Q1" s="4692"/>
      <c r="R1" s="4692"/>
      <c r="S1" s="4693"/>
      <c r="T1" s="1706"/>
      <c r="U1" s="1706"/>
      <c r="V1" s="1706"/>
      <c r="W1" s="1706"/>
      <c r="X1" s="1706"/>
      <c r="Y1" s="1706"/>
      <c r="Z1" s="1706"/>
      <c r="AA1" s="1706"/>
      <c r="AB1" s="1706"/>
      <c r="AC1" s="1706"/>
      <c r="AD1" s="1706"/>
      <c r="AE1" s="1706"/>
      <c r="AF1" s="1706"/>
      <c r="AG1" s="1706"/>
      <c r="AH1" s="1706"/>
      <c r="AI1" s="1706"/>
      <c r="AJ1" s="1706"/>
      <c r="AK1" s="1706"/>
      <c r="AL1" s="1706"/>
      <c r="AM1" s="1706"/>
      <c r="AN1" s="1706"/>
      <c r="AO1" s="1706"/>
      <c r="AP1" s="1706"/>
      <c r="AQ1" s="1706"/>
      <c r="AR1" s="1706"/>
      <c r="AS1" s="1706"/>
      <c r="AT1" s="1706"/>
      <c r="AU1" s="1706"/>
      <c r="AV1" s="1706"/>
      <c r="AW1" s="1706"/>
      <c r="AX1" s="1706"/>
      <c r="AY1" s="1706"/>
      <c r="AZ1" s="1706"/>
      <c r="BA1" s="1706"/>
      <c r="BB1" s="1706"/>
      <c r="BC1" s="1706"/>
      <c r="BD1" s="1706"/>
      <c r="BE1" s="103"/>
    </row>
    <row r="2" spans="1:57" ht="30" customHeight="1">
      <c r="A2" s="4016" t="s">
        <v>841</v>
      </c>
      <c r="B2" s="4017"/>
      <c r="C2" s="4017"/>
      <c r="D2" s="4017"/>
      <c r="E2" s="4017"/>
      <c r="F2" s="4017"/>
      <c r="G2" s="4017"/>
      <c r="H2" s="4017"/>
      <c r="I2" s="4017"/>
      <c r="J2" s="4017"/>
      <c r="K2" s="4017"/>
      <c r="L2" s="4017"/>
      <c r="M2" s="4017"/>
      <c r="N2" s="4017"/>
      <c r="O2" s="4017"/>
      <c r="P2" s="4017"/>
      <c r="Q2" s="4017"/>
      <c r="R2" s="4017"/>
      <c r="S2" s="4098"/>
      <c r="T2" s="3560"/>
    </row>
    <row r="3" spans="1:57" ht="21" customHeight="1">
      <c r="A3" s="806"/>
      <c r="B3" s="4005" t="str">
        <f>'Chosen Parameters-Part I'!D4</f>
        <v>Scenario 3</v>
      </c>
      <c r="C3" s="4006"/>
      <c r="D3" s="4006"/>
      <c r="E3" s="4006"/>
      <c r="F3" s="4006"/>
      <c r="G3" s="4006"/>
      <c r="H3" s="4006"/>
      <c r="I3" s="4006"/>
      <c r="J3" s="4006"/>
      <c r="K3" s="4112" t="str">
        <f>'Chosen Parameters-Part I'!E4</f>
        <v>Scenario 4</v>
      </c>
      <c r="L3" s="4113"/>
      <c r="M3" s="4113"/>
      <c r="N3" s="4113"/>
      <c r="O3" s="4113"/>
      <c r="P3" s="4113"/>
      <c r="Q3" s="4113"/>
      <c r="R3" s="4113"/>
      <c r="S3" s="4114"/>
      <c r="T3" s="2041"/>
    </row>
    <row r="4" spans="1:57" ht="36" customHeight="1">
      <c r="A4" s="807"/>
      <c r="B4" s="4040" t="str">
        <f>'Application Setup'!B6</f>
        <v>Intensive Organic Management, Holsteins</v>
      </c>
      <c r="C4" s="4041"/>
      <c r="D4" s="4041"/>
      <c r="E4" s="4041"/>
      <c r="F4" s="4041"/>
      <c r="G4" s="4041"/>
      <c r="H4" s="4041"/>
      <c r="I4" s="4041"/>
      <c r="J4" s="4041"/>
      <c r="K4" s="4115" t="str">
        <f>'Application Setup'!B7</f>
        <v>Pasture-Based Organic, Jersey Cows</v>
      </c>
      <c r="L4" s="4116"/>
      <c r="M4" s="4116"/>
      <c r="N4" s="4116"/>
      <c r="O4" s="4116"/>
      <c r="P4" s="4116"/>
      <c r="Q4" s="4116"/>
      <c r="R4" s="4116"/>
      <c r="S4" s="4117"/>
      <c r="T4" s="2044"/>
    </row>
    <row r="5" spans="1:57" s="3" customFormat="1" ht="20.25" customHeight="1">
      <c r="A5" s="4552" t="s">
        <v>902</v>
      </c>
      <c r="B5" s="4553"/>
      <c r="C5" s="4553"/>
      <c r="D5" s="4553"/>
      <c r="E5" s="4553"/>
      <c r="F5" s="4553"/>
      <c r="G5" s="4553"/>
      <c r="H5" s="4553"/>
      <c r="I5" s="4553"/>
      <c r="J5" s="4553"/>
      <c r="K5" s="4553"/>
      <c r="L5" s="4553"/>
      <c r="M5" s="4553"/>
      <c r="N5" s="4553"/>
      <c r="O5" s="4553"/>
      <c r="P5" s="4553"/>
      <c r="Q5" s="4553"/>
      <c r="R5" s="4553"/>
      <c r="S5" s="4554"/>
      <c r="T5" s="3610" t="s">
        <v>203</v>
      </c>
      <c r="U5" s="3559" t="s">
        <v>1</v>
      </c>
    </row>
    <row r="6" spans="1:57" ht="27.75" customHeight="1">
      <c r="A6" s="1673"/>
      <c r="B6" s="1674"/>
      <c r="C6" s="2871" t="s">
        <v>94</v>
      </c>
      <c r="D6" s="591"/>
      <c r="E6" s="947"/>
      <c r="F6" s="947"/>
      <c r="G6" s="947"/>
      <c r="H6" s="4978" t="s">
        <v>83</v>
      </c>
      <c r="I6" s="4979"/>
      <c r="J6" s="4980"/>
      <c r="K6" s="1675"/>
      <c r="L6" s="2872" t="s">
        <v>94</v>
      </c>
      <c r="M6" s="593"/>
      <c r="N6" s="971"/>
      <c r="O6" s="971"/>
      <c r="P6" s="971"/>
      <c r="Q6" s="4981" t="s">
        <v>83</v>
      </c>
      <c r="R6" s="4982"/>
      <c r="S6" s="4983"/>
      <c r="T6" s="1676"/>
      <c r="U6" s="3599"/>
    </row>
    <row r="7" spans="1:57" ht="17.25" customHeight="1">
      <c r="A7" s="221" t="s">
        <v>204</v>
      </c>
      <c r="B7" s="958"/>
      <c r="C7" s="511" t="s">
        <v>118</v>
      </c>
      <c r="D7" s="959"/>
      <c r="E7" s="959"/>
      <c r="F7" s="986"/>
      <c r="G7" s="954"/>
      <c r="H7" s="964"/>
      <c r="I7" s="949"/>
      <c r="J7" s="988"/>
      <c r="K7" s="980"/>
      <c r="L7" s="465" t="s">
        <v>118</v>
      </c>
      <c r="M7" s="981"/>
      <c r="N7" s="981"/>
      <c r="O7" s="994"/>
      <c r="P7" s="976"/>
      <c r="Q7" s="989"/>
      <c r="R7" s="967"/>
      <c r="S7" s="991"/>
      <c r="T7" s="1644"/>
      <c r="U7" s="3599"/>
    </row>
    <row r="8" spans="1:57" ht="3" customHeight="1">
      <c r="A8" s="206" t="s">
        <v>171</v>
      </c>
      <c r="B8" s="493"/>
      <c r="C8" s="494"/>
      <c r="D8" s="494"/>
      <c r="E8" s="494"/>
      <c r="F8" s="950"/>
      <c r="G8" s="494"/>
      <c r="H8" s="603"/>
      <c r="I8" s="949"/>
      <c r="J8" s="495"/>
      <c r="K8" s="607"/>
      <c r="L8" s="496"/>
      <c r="M8" s="496"/>
      <c r="N8" s="496"/>
      <c r="O8" s="984"/>
      <c r="P8" s="496"/>
      <c r="Q8" s="611"/>
      <c r="R8" s="967"/>
      <c r="S8" s="497"/>
      <c r="T8" s="1677"/>
      <c r="U8" s="3599"/>
    </row>
    <row r="9" spans="1:57">
      <c r="A9" s="208" t="s">
        <v>702</v>
      </c>
      <c r="B9" s="961"/>
      <c r="C9" s="494"/>
      <c r="D9" s="960">
        <f>F9*Defaults!$D$8</f>
        <v>0</v>
      </c>
      <c r="E9" s="527" t="s">
        <v>215</v>
      </c>
      <c r="F9" s="2197"/>
      <c r="G9" s="527" t="s">
        <v>165</v>
      </c>
      <c r="H9" s="528"/>
      <c r="I9" s="826"/>
      <c r="J9" s="987"/>
      <c r="K9" s="982"/>
      <c r="L9" s="496"/>
      <c r="M9" s="977">
        <f>O9*Defaults!$D$8</f>
        <v>0</v>
      </c>
      <c r="N9" s="478" t="s">
        <v>215</v>
      </c>
      <c r="O9" s="2197"/>
      <c r="P9" s="478" t="s">
        <v>165</v>
      </c>
      <c r="Q9" s="479"/>
      <c r="R9" s="826"/>
      <c r="S9" s="990"/>
      <c r="U9" s="3604" t="str">
        <f>IF(V9=FALSE,"Possible data inconsistencies may exist by over riding the calculated value."," ")</f>
        <v xml:space="preserve"> </v>
      </c>
      <c r="V9" s="3651" t="str">
        <f>IF(Options!BE5&lt;&gt;1,IF(Options!BF5&lt;&gt;1," ",FALSE))</f>
        <v xml:space="preserve"> </v>
      </c>
    </row>
    <row r="10" spans="1:57" ht="3" customHeight="1">
      <c r="A10" s="206"/>
      <c r="B10" s="493"/>
      <c r="C10" s="494"/>
      <c r="D10" s="494"/>
      <c r="E10" s="494"/>
      <c r="F10" s="950"/>
      <c r="G10" s="494"/>
      <c r="H10" s="603"/>
      <c r="I10" s="949"/>
      <c r="J10" s="495"/>
      <c r="K10" s="607"/>
      <c r="L10" s="496"/>
      <c r="M10" s="496"/>
      <c r="N10" s="496"/>
      <c r="O10" s="984"/>
      <c r="P10" s="496"/>
      <c r="Q10" s="611"/>
      <c r="R10" s="3555"/>
      <c r="S10" s="497"/>
      <c r="T10" s="1677"/>
      <c r="U10" s="3600"/>
    </row>
    <row r="11" spans="1:57">
      <c r="A11" s="208" t="s">
        <v>1121</v>
      </c>
      <c r="B11" s="951"/>
      <c r="C11" s="494"/>
      <c r="D11" s="960">
        <f>F11*Defaults!$D$8</f>
        <v>1.1204999999999998</v>
      </c>
      <c r="E11" s="527" t="s">
        <v>215</v>
      </c>
      <c r="F11" s="960">
        <f>F3_Unadjusted_Milk_Production_kg_day*24.9/1000*75%</f>
        <v>0.5082501634066231</v>
      </c>
      <c r="G11" s="527" t="s">
        <v>165</v>
      </c>
      <c r="H11" s="528"/>
      <c r="I11" s="2646">
        <v>1</v>
      </c>
      <c r="J11" s="987"/>
      <c r="K11" s="972"/>
      <c r="L11" s="496"/>
      <c r="M11" s="977">
        <f>O11*Defaults!$D$8</f>
        <v>0.93374999999999986</v>
      </c>
      <c r="N11" s="478" t="s">
        <v>215</v>
      </c>
      <c r="O11" s="977">
        <f>F4_Unadjusted_Milk_Production_kg_day*24.9/1000*75%</f>
        <v>0.42354180283885262</v>
      </c>
      <c r="P11" s="478" t="s">
        <v>165</v>
      </c>
      <c r="Q11" s="479"/>
      <c r="R11" s="649">
        <v>1</v>
      </c>
      <c r="S11" s="990"/>
      <c r="T11" s="1677" t="s">
        <v>601</v>
      </c>
      <c r="U11" s="3599"/>
    </row>
    <row r="12" spans="1:57" ht="3" customHeight="1">
      <c r="A12" s="206"/>
      <c r="B12" s="493"/>
      <c r="C12" s="494"/>
      <c r="D12" s="494"/>
      <c r="E12" s="494"/>
      <c r="F12" s="950"/>
      <c r="G12" s="494"/>
      <c r="H12" s="603"/>
      <c r="I12" s="3554"/>
      <c r="J12" s="495"/>
      <c r="K12" s="607"/>
      <c r="L12" s="496"/>
      <c r="M12" s="496"/>
      <c r="N12" s="496"/>
      <c r="O12" s="984"/>
      <c r="P12" s="496"/>
      <c r="Q12" s="611"/>
      <c r="R12" s="3555"/>
      <c r="S12" s="497"/>
      <c r="T12" s="1677"/>
      <c r="U12" s="3599"/>
    </row>
    <row r="13" spans="1:57">
      <c r="A13" s="208" t="s">
        <v>838</v>
      </c>
      <c r="B13" s="951"/>
      <c r="C13" s="494"/>
      <c r="D13" s="960">
        <f>F13*Defaults!$D$8</f>
        <v>0.8164228623539983</v>
      </c>
      <c r="E13" s="527" t="s">
        <v>215</v>
      </c>
      <c r="F13" s="960">
        <f>((F3_DMI_Lact_Cow_kg*0.81)+3.23)/55.65</f>
        <v>0.3703231175371019</v>
      </c>
      <c r="G13" s="527" t="s">
        <v>165</v>
      </c>
      <c r="H13" s="528"/>
      <c r="I13" s="1912">
        <v>2</v>
      </c>
      <c r="J13" s="987"/>
      <c r="K13" s="972"/>
      <c r="L13" s="496"/>
      <c r="M13" s="977">
        <f>O13*Defaults!$D$8</f>
        <v>0.69634199982030531</v>
      </c>
      <c r="N13" s="478" t="s">
        <v>215</v>
      </c>
      <c r="O13" s="977">
        <f>((F4_DMI_Lact_Cow_kg*0.81)+3.23)/55.65</f>
        <v>0.31585536385146362</v>
      </c>
      <c r="P13" s="478" t="s">
        <v>165</v>
      </c>
      <c r="Q13" s="479"/>
      <c r="R13" s="649">
        <v>2</v>
      </c>
      <c r="S13" s="990"/>
      <c r="T13" s="1677" t="s">
        <v>1146</v>
      </c>
      <c r="U13" s="3600" t="s">
        <v>1145</v>
      </c>
    </row>
    <row r="14" spans="1:57" ht="3" customHeight="1">
      <c r="A14" s="206"/>
      <c r="B14" s="493"/>
      <c r="C14" s="494"/>
      <c r="D14" s="494"/>
      <c r="E14" s="494"/>
      <c r="F14" s="950"/>
      <c r="G14" s="494"/>
      <c r="H14" s="603"/>
      <c r="I14" s="949"/>
      <c r="J14" s="495"/>
      <c r="K14" s="607"/>
      <c r="L14" s="496"/>
      <c r="M14" s="496"/>
      <c r="N14" s="496"/>
      <c r="O14" s="984"/>
      <c r="P14" s="496"/>
      <c r="Q14" s="611"/>
      <c r="R14" s="967"/>
      <c r="S14" s="497"/>
      <c r="T14" s="1677"/>
      <c r="U14" s="3599"/>
    </row>
    <row r="15" spans="1:57">
      <c r="A15" s="208" t="s">
        <v>839</v>
      </c>
      <c r="B15" s="951"/>
      <c r="C15" s="494"/>
      <c r="D15" s="960">
        <f>F15*Defaults!$D$8</f>
        <v>0.78835575381850875</v>
      </c>
      <c r="E15" s="527" t="s">
        <v>215</v>
      </c>
      <c r="F15" s="960">
        <f>(('Step 9b--Daily DMI Rations'!D30*100*0.14)+8.56) / 55.65</f>
        <v>0.35759209344115012</v>
      </c>
      <c r="G15" s="527" t="s">
        <v>165</v>
      </c>
      <c r="H15" s="528"/>
      <c r="I15" s="1912">
        <v>2</v>
      </c>
      <c r="J15" s="987"/>
      <c r="K15" s="972"/>
      <c r="L15" s="496"/>
      <c r="M15" s="977">
        <f>O15*Defaults!$D$8</f>
        <v>0.80111206300089866</v>
      </c>
      <c r="N15" s="478" t="s">
        <v>215</v>
      </c>
      <c r="O15" s="977">
        <f>(('Step 9b--Daily DMI Rations'!AE30*100*0.14)+8.56) / 55.65</f>
        <v>0.36337825696316267</v>
      </c>
      <c r="P15" s="478" t="s">
        <v>165</v>
      </c>
      <c r="Q15" s="479"/>
      <c r="R15" s="649">
        <v>2</v>
      </c>
      <c r="S15" s="990"/>
      <c r="T15" s="1677" t="s">
        <v>1147</v>
      </c>
      <c r="U15" s="3600" t="s">
        <v>1145</v>
      </c>
    </row>
    <row r="16" spans="1:57" ht="3" customHeight="1">
      <c r="A16" s="206"/>
      <c r="B16" s="493"/>
      <c r="C16" s="494"/>
      <c r="D16" s="494"/>
      <c r="E16" s="494"/>
      <c r="F16" s="950"/>
      <c r="G16" s="494"/>
      <c r="H16" s="603"/>
      <c r="I16" s="949"/>
      <c r="J16" s="495"/>
      <c r="K16" s="607"/>
      <c r="L16" s="496"/>
      <c r="M16" s="496"/>
      <c r="N16" s="496"/>
      <c r="O16" s="984"/>
      <c r="P16" s="496"/>
      <c r="Q16" s="611"/>
      <c r="R16" s="967"/>
      <c r="S16" s="497"/>
      <c r="T16" s="1677"/>
      <c r="U16" s="3599"/>
    </row>
    <row r="17" spans="1:22">
      <c r="A17" s="208" t="s">
        <v>840</v>
      </c>
      <c r="B17" s="951"/>
      <c r="C17" s="494"/>
      <c r="D17" s="960">
        <f>F17*Defaults!$D$8</f>
        <v>0.96874297296562972</v>
      </c>
      <c r="E17" s="527" t="s">
        <v>215</v>
      </c>
      <c r="F17" s="960">
        <f>F3_Gross_Energy*F3_YM/55.65</f>
        <v>0.43941434565711673</v>
      </c>
      <c r="G17" s="527" t="s">
        <v>165</v>
      </c>
      <c r="H17" s="528"/>
      <c r="I17" s="1912">
        <v>3</v>
      </c>
      <c r="J17" s="987"/>
      <c r="K17" s="972"/>
      <c r="L17" s="496"/>
      <c r="M17" s="977">
        <f>O17*Defaults!$D$8</f>
        <v>0.84147491080946779</v>
      </c>
      <c r="N17" s="478" t="s">
        <v>215</v>
      </c>
      <c r="O17" s="977">
        <f>F4_Gross_Energy*F4_YM/55.65</f>
        <v>0.38168653362024607</v>
      </c>
      <c r="P17" s="478" t="s">
        <v>165</v>
      </c>
      <c r="Q17" s="479"/>
      <c r="R17" s="649">
        <v>3</v>
      </c>
      <c r="S17" s="990"/>
      <c r="T17" s="1677" t="s">
        <v>1119</v>
      </c>
      <c r="U17" s="3599"/>
    </row>
    <row r="18" spans="1:22" ht="5.25" customHeight="1">
      <c r="A18" s="205"/>
      <c r="B18" s="502"/>
      <c r="C18" s="503"/>
      <c r="D18" s="503"/>
      <c r="E18" s="503"/>
      <c r="F18" s="965"/>
      <c r="G18" s="503"/>
      <c r="H18" s="963"/>
      <c r="I18" s="966"/>
      <c r="J18" s="504"/>
      <c r="K18" s="917"/>
      <c r="L18" s="505"/>
      <c r="M18" s="505"/>
      <c r="N18" s="505"/>
      <c r="O18" s="992"/>
      <c r="P18" s="505"/>
      <c r="Q18" s="968"/>
      <c r="R18" s="969"/>
      <c r="S18" s="506"/>
      <c r="T18" s="1677"/>
      <c r="U18" s="3599"/>
    </row>
    <row r="19" spans="1:22" ht="17.25" customHeight="1">
      <c r="A19" s="221" t="s">
        <v>231</v>
      </c>
      <c r="B19" s="958"/>
      <c r="C19" s="511" t="s">
        <v>118</v>
      </c>
      <c r="D19" s="959"/>
      <c r="E19" s="959"/>
      <c r="F19" s="986"/>
      <c r="G19" s="954"/>
      <c r="H19" s="964"/>
      <c r="I19" s="949"/>
      <c r="J19" s="988"/>
      <c r="K19" s="980"/>
      <c r="L19" s="465" t="s">
        <v>118</v>
      </c>
      <c r="M19" s="981"/>
      <c r="N19" s="981"/>
      <c r="O19" s="994"/>
      <c r="P19" s="976"/>
      <c r="Q19" s="989"/>
      <c r="R19" s="967"/>
      <c r="S19" s="991"/>
      <c r="T19" s="1644"/>
      <c r="U19" s="3599"/>
    </row>
    <row r="20" spans="1:22" ht="3" customHeight="1">
      <c r="A20" s="206" t="s">
        <v>171</v>
      </c>
      <c r="B20" s="493"/>
      <c r="C20" s="494"/>
      <c r="D20" s="494"/>
      <c r="E20" s="494"/>
      <c r="F20" s="950"/>
      <c r="G20" s="494"/>
      <c r="H20" s="603"/>
      <c r="I20" s="949"/>
      <c r="J20" s="495"/>
      <c r="K20" s="607"/>
      <c r="L20" s="496"/>
      <c r="M20" s="496"/>
      <c r="N20" s="496"/>
      <c r="O20" s="984"/>
      <c r="P20" s="496"/>
      <c r="Q20" s="611"/>
      <c r="R20" s="967"/>
      <c r="S20" s="497"/>
      <c r="T20" s="1677"/>
      <c r="U20" s="3599"/>
    </row>
    <row r="21" spans="1:22">
      <c r="A21" s="208" t="s">
        <v>702</v>
      </c>
      <c r="B21" s="961"/>
      <c r="C21" s="494"/>
      <c r="D21" s="960">
        <f>F21*Defaults!$D$8</f>
        <v>0</v>
      </c>
      <c r="E21" s="527" t="s">
        <v>215</v>
      </c>
      <c r="F21" s="2197"/>
      <c r="G21" s="527" t="s">
        <v>165</v>
      </c>
      <c r="H21" s="528"/>
      <c r="I21" s="826"/>
      <c r="J21" s="987"/>
      <c r="K21" s="982"/>
      <c r="L21" s="496"/>
      <c r="M21" s="977">
        <f>O21*Defaults!$D$8</f>
        <v>0</v>
      </c>
      <c r="N21" s="478" t="s">
        <v>215</v>
      </c>
      <c r="O21" s="2197"/>
      <c r="P21" s="478" t="s">
        <v>165</v>
      </c>
      <c r="Q21" s="479"/>
      <c r="R21" s="826"/>
      <c r="S21" s="990"/>
      <c r="T21" s="1061"/>
      <c r="U21" s="3604" t="str">
        <f>IF(V21=FALSE,"Possible data inconsistencies may exist by over riding the calculated value."," ")</f>
        <v xml:space="preserve"> </v>
      </c>
      <c r="V21" s="3651" t="str">
        <f>IF(Options!BE12&lt;&gt;1,IF(Options!BF12&lt;&gt;1," ",FALSE))</f>
        <v xml:space="preserve"> </v>
      </c>
    </row>
    <row r="22" spans="1:22" ht="3" customHeight="1">
      <c r="A22" s="206"/>
      <c r="B22" s="493"/>
      <c r="C22" s="494"/>
      <c r="D22" s="494"/>
      <c r="E22" s="494"/>
      <c r="F22" s="950"/>
      <c r="G22" s="494"/>
      <c r="H22" s="603"/>
      <c r="I22" s="949"/>
      <c r="J22" s="495"/>
      <c r="K22" s="607"/>
      <c r="L22" s="496"/>
      <c r="M22" s="496"/>
      <c r="N22" s="496"/>
      <c r="O22" s="984"/>
      <c r="P22" s="496"/>
      <c r="Q22" s="611"/>
      <c r="R22" s="967"/>
      <c r="S22" s="497"/>
      <c r="T22" s="1677"/>
      <c r="U22" s="3599"/>
    </row>
    <row r="23" spans="1:22">
      <c r="A23" s="208" t="s">
        <v>840</v>
      </c>
      <c r="B23" s="951"/>
      <c r="C23" s="494"/>
      <c r="D23" s="960">
        <f>F23*Defaults!$D$8</f>
        <v>0.36970859444288351</v>
      </c>
      <c r="E23" s="527" t="s">
        <v>215</v>
      </c>
      <c r="F23" s="960">
        <f>F3_VSP*F3_Bo*F3_MCF*0.662</f>
        <v>0.16769696879824056</v>
      </c>
      <c r="G23" s="527" t="s">
        <v>165</v>
      </c>
      <c r="H23" s="528"/>
      <c r="I23" s="1912">
        <v>4</v>
      </c>
      <c r="J23" s="987"/>
      <c r="K23" s="972"/>
      <c r="L23" s="496"/>
      <c r="M23" s="977">
        <f>O23*Defaults!$D$8</f>
        <v>0.18477260887425306</v>
      </c>
      <c r="N23" s="478" t="s">
        <v>215</v>
      </c>
      <c r="O23" s="977">
        <f>F4_VSP*F4_Bo*F4_MCF*0.662</f>
        <v>8.3811431194473179E-2</v>
      </c>
      <c r="P23" s="478" t="s">
        <v>165</v>
      </c>
      <c r="Q23" s="479"/>
      <c r="R23" s="649">
        <v>4</v>
      </c>
      <c r="S23" s="990"/>
      <c r="T23" s="1677" t="s">
        <v>1120</v>
      </c>
      <c r="U23" s="3600" t="s">
        <v>1071</v>
      </c>
    </row>
    <row r="24" spans="1:22" ht="5.25" customHeight="1">
      <c r="A24" s="205"/>
      <c r="B24" s="502"/>
      <c r="C24" s="503"/>
      <c r="D24" s="503"/>
      <c r="E24" s="503"/>
      <c r="F24" s="965"/>
      <c r="G24" s="503"/>
      <c r="H24" s="963"/>
      <c r="I24" s="966"/>
      <c r="J24" s="504"/>
      <c r="K24" s="917"/>
      <c r="L24" s="505"/>
      <c r="M24" s="505"/>
      <c r="N24" s="505"/>
      <c r="O24" s="992"/>
      <c r="P24" s="505"/>
      <c r="Q24" s="968"/>
      <c r="R24" s="969"/>
      <c r="S24" s="506"/>
      <c r="T24" s="1677"/>
      <c r="U24" s="3599"/>
    </row>
    <row r="25" spans="1:22" ht="5.25" customHeight="1">
      <c r="A25" s="206"/>
      <c r="B25" s="493"/>
      <c r="C25" s="494"/>
      <c r="D25" s="494"/>
      <c r="E25" s="494"/>
      <c r="F25" s="950"/>
      <c r="G25" s="494"/>
      <c r="H25" s="494"/>
      <c r="I25" s="949"/>
      <c r="J25" s="495"/>
      <c r="K25" s="607"/>
      <c r="L25" s="496"/>
      <c r="M25" s="496"/>
      <c r="N25" s="496"/>
      <c r="O25" s="984"/>
      <c r="P25" s="496"/>
      <c r="Q25" s="496"/>
      <c r="R25" s="967"/>
      <c r="S25" s="497"/>
      <c r="T25" s="1677"/>
      <c r="U25" s="3599"/>
    </row>
    <row r="26" spans="1:22" ht="12" customHeight="1">
      <c r="A26" s="221" t="s">
        <v>232</v>
      </c>
      <c r="B26" s="493"/>
      <c r="C26" s="1050"/>
      <c r="D26" s="1051">
        <f>F3_Methane_Enteric_Lact_Cow_Day_lb+F3_Methane_Manure_Lact_Cow_Day_lb</f>
        <v>1.3384515674085131</v>
      </c>
      <c r="E26" s="1052" t="s">
        <v>215</v>
      </c>
      <c r="F26" s="1051">
        <f>F3_Methane_Enteric_Lact_Cow_Day_kg+F3_Methane_Manure_Lact_Cow_Day_kg</f>
        <v>0.60711131445535726</v>
      </c>
      <c r="G26" s="1052" t="s">
        <v>165</v>
      </c>
      <c r="H26" s="1050"/>
      <c r="I26" s="1647"/>
      <c r="J26" s="1053"/>
      <c r="K26" s="1036"/>
      <c r="L26" s="1054"/>
      <c r="M26" s="1055">
        <f>F4_Methane_Enteric_Lact_Cow_Day_lb+F4_Methane_Manure_Lact_Cow_Day_lb</f>
        <v>1.0262475196837209</v>
      </c>
      <c r="N26" s="1056" t="s">
        <v>215</v>
      </c>
      <c r="O26" s="1055">
        <f>F4_Methane_Enteric_Lact_Cow_Day_kg+F4_Methane_Manure_Lact_Cow_Day_kg</f>
        <v>0.46549796481471928</v>
      </c>
      <c r="P26" s="1056" t="s">
        <v>165</v>
      </c>
      <c r="Q26" s="496"/>
      <c r="R26" s="1645"/>
      <c r="S26" s="497"/>
      <c r="T26" s="1677"/>
      <c r="U26" s="3600"/>
    </row>
    <row r="27" spans="1:22" ht="5.25" customHeight="1">
      <c r="A27" s="205"/>
      <c r="B27" s="502"/>
      <c r="C27" s="503"/>
      <c r="D27" s="503"/>
      <c r="E27" s="503"/>
      <c r="F27" s="965"/>
      <c r="G27" s="503"/>
      <c r="H27" s="503"/>
      <c r="I27" s="966"/>
      <c r="J27" s="504"/>
      <c r="K27" s="917"/>
      <c r="L27" s="505"/>
      <c r="M27" s="505"/>
      <c r="N27" s="505"/>
      <c r="O27" s="992"/>
      <c r="P27" s="505"/>
      <c r="Q27" s="505"/>
      <c r="R27" s="969"/>
      <c r="S27" s="506"/>
      <c r="T27" s="1677"/>
      <c r="U27" s="3599"/>
    </row>
    <row r="28" spans="1:22" s="3" customFormat="1" ht="20.25" customHeight="1">
      <c r="A28" s="4552" t="s">
        <v>903</v>
      </c>
      <c r="B28" s="4553"/>
      <c r="C28" s="4553"/>
      <c r="D28" s="4553"/>
      <c r="E28" s="4553"/>
      <c r="F28" s="4553"/>
      <c r="G28" s="4553"/>
      <c r="H28" s="4553"/>
      <c r="I28" s="4553"/>
      <c r="J28" s="4553"/>
      <c r="K28" s="4553"/>
      <c r="L28" s="4553"/>
      <c r="M28" s="4553"/>
      <c r="N28" s="4553"/>
      <c r="O28" s="4553"/>
      <c r="P28" s="4553"/>
      <c r="Q28" s="4553"/>
      <c r="R28" s="4553"/>
      <c r="S28" s="4554"/>
      <c r="T28" s="2729"/>
      <c r="U28" s="3559"/>
    </row>
    <row r="29" spans="1:22" ht="17.25" customHeight="1">
      <c r="A29" s="221" t="s">
        <v>204</v>
      </c>
      <c r="B29" s="958"/>
      <c r="C29" s="511" t="s">
        <v>118</v>
      </c>
      <c r="D29" s="959"/>
      <c r="E29" s="959"/>
      <c r="F29" s="986"/>
      <c r="G29" s="954"/>
      <c r="H29" s="964"/>
      <c r="I29" s="949"/>
      <c r="J29" s="988"/>
      <c r="K29" s="980"/>
      <c r="L29" s="465" t="s">
        <v>118</v>
      </c>
      <c r="M29" s="981"/>
      <c r="N29" s="981"/>
      <c r="O29" s="994"/>
      <c r="P29" s="976"/>
      <c r="Q29" s="989"/>
      <c r="R29" s="967"/>
      <c r="S29" s="991"/>
      <c r="T29" s="1644"/>
      <c r="U29" s="3599"/>
    </row>
    <row r="30" spans="1:22" ht="3" customHeight="1">
      <c r="A30" s="206" t="s">
        <v>171</v>
      </c>
      <c r="B30" s="493"/>
      <c r="C30" s="494"/>
      <c r="D30" s="494"/>
      <c r="E30" s="494"/>
      <c r="F30" s="950"/>
      <c r="G30" s="494"/>
      <c r="H30" s="603"/>
      <c r="I30" s="949"/>
      <c r="J30" s="495"/>
      <c r="K30" s="607"/>
      <c r="L30" s="496"/>
      <c r="M30" s="496"/>
      <c r="N30" s="496"/>
      <c r="O30" s="984"/>
      <c r="P30" s="496"/>
      <c r="Q30" s="611"/>
      <c r="R30" s="967"/>
      <c r="S30" s="497"/>
      <c r="T30" s="1677"/>
      <c r="U30" s="3599"/>
    </row>
    <row r="31" spans="1:22">
      <c r="A31" s="208" t="s">
        <v>702</v>
      </c>
      <c r="B31" s="961"/>
      <c r="C31" s="494"/>
      <c r="D31" s="960">
        <f>F31*Defaults!$D$8</f>
        <v>0</v>
      </c>
      <c r="E31" s="527" t="s">
        <v>215</v>
      </c>
      <c r="F31" s="2197"/>
      <c r="G31" s="527" t="s">
        <v>165</v>
      </c>
      <c r="H31" s="528"/>
      <c r="I31" s="826"/>
      <c r="J31" s="987"/>
      <c r="K31" s="982"/>
      <c r="L31" s="496"/>
      <c r="M31" s="977">
        <f>O31*Defaults!$D$8</f>
        <v>0</v>
      </c>
      <c r="N31" s="478" t="s">
        <v>215</v>
      </c>
      <c r="O31" s="2197"/>
      <c r="P31" s="478" t="s">
        <v>165</v>
      </c>
      <c r="Q31" s="479"/>
      <c r="R31" s="826"/>
      <c r="S31" s="990"/>
      <c r="T31" s="1677"/>
      <c r="U31" s="3604" t="str">
        <f>IF(V31=FALSE,"Possible data inconsistencies may exist by over riding the calculated value."," ")</f>
        <v xml:space="preserve"> </v>
      </c>
      <c r="V31" s="3651" t="str">
        <f>IF(Options!BE18&lt;&gt;1,IF(Options!BF18&lt;&gt;1," ",FALSE))</f>
        <v xml:space="preserve"> </v>
      </c>
    </row>
    <row r="32" spans="1:22" ht="3" customHeight="1">
      <c r="A32" s="206"/>
      <c r="B32" s="493"/>
      <c r="C32" s="494"/>
      <c r="D32" s="494"/>
      <c r="E32" s="494"/>
      <c r="F32" s="950"/>
      <c r="G32" s="494"/>
      <c r="H32" s="603"/>
      <c r="I32" s="949"/>
      <c r="J32" s="495"/>
      <c r="K32" s="607"/>
      <c r="L32" s="496"/>
      <c r="M32" s="496"/>
      <c r="N32" s="496"/>
      <c r="O32" s="984"/>
      <c r="P32" s="496"/>
      <c r="Q32" s="611"/>
      <c r="R32" s="967"/>
      <c r="S32" s="497"/>
      <c r="T32" s="1677"/>
      <c r="U32" s="3599"/>
    </row>
    <row r="33" spans="1:22">
      <c r="A33" s="208" t="s">
        <v>838</v>
      </c>
      <c r="B33" s="951"/>
      <c r="C33" s="494"/>
      <c r="D33" s="960">
        <f>F33*Defaults!$D$8</f>
        <v>0.46168331432165333</v>
      </c>
      <c r="E33" s="527" t="s">
        <v>215</v>
      </c>
      <c r="F33" s="960">
        <f>((F3_DMI_Dry_Cow_kg*0.81)+3.23)/55.65</f>
        <v>0.20941599281221926</v>
      </c>
      <c r="G33" s="527" t="s">
        <v>165</v>
      </c>
      <c r="H33" s="528"/>
      <c r="I33" s="1912">
        <v>2</v>
      </c>
      <c r="J33" s="987"/>
      <c r="K33" s="972"/>
      <c r="L33" s="496"/>
      <c r="M33" s="977">
        <f>O33*Defaults!$D$8</f>
        <v>0.34896856428720185</v>
      </c>
      <c r="N33" s="478" t="s">
        <v>215</v>
      </c>
      <c r="O33" s="977">
        <f>((IF(Options!AH9=1,F4_DMI_Dry_Cow_reported_kg,F4_DMI_Dry_Cow_projected_kg)*0.81)+3.23)/55.65</f>
        <v>0.15828945097969213</v>
      </c>
      <c r="P33" s="478" t="s">
        <v>165</v>
      </c>
      <c r="Q33" s="479"/>
      <c r="R33" s="649">
        <v>2</v>
      </c>
      <c r="S33" s="990"/>
      <c r="T33" s="1677" t="s">
        <v>1146</v>
      </c>
      <c r="U33" s="3600" t="s">
        <v>1145</v>
      </c>
    </row>
    <row r="34" spans="1:22" ht="3" customHeight="1">
      <c r="A34" s="206"/>
      <c r="B34" s="493"/>
      <c r="C34" s="494"/>
      <c r="D34" s="494"/>
      <c r="E34" s="494"/>
      <c r="F34" s="950"/>
      <c r="G34" s="494"/>
      <c r="H34" s="603"/>
      <c r="I34" s="949"/>
      <c r="J34" s="495"/>
      <c r="K34" s="607"/>
      <c r="L34" s="496"/>
      <c r="M34" s="496"/>
      <c r="N34" s="496"/>
      <c r="O34" s="984"/>
      <c r="P34" s="496"/>
      <c r="Q34" s="611"/>
      <c r="R34" s="967"/>
      <c r="S34" s="497"/>
      <c r="T34" s="1677"/>
      <c r="U34" s="3599"/>
    </row>
    <row r="35" spans="1:22">
      <c r="A35" s="208" t="s">
        <v>839</v>
      </c>
      <c r="B35" s="951"/>
      <c r="C35" s="494"/>
      <c r="D35" s="960">
        <f>F35*Defaults!$D$8</f>
        <v>0.396792524132974</v>
      </c>
      <c r="E35" s="527" t="s">
        <v>215</v>
      </c>
      <c r="F35" s="960">
        <f>(('Step 9b--Daily DMI Rations'!J30*F3_DMI_Dry_Cow_kg*0.14)+8.56) / 55.65</f>
        <v>0.1799820305480683</v>
      </c>
      <c r="G35" s="527" t="s">
        <v>165</v>
      </c>
      <c r="H35" s="528"/>
      <c r="I35" s="1912">
        <v>2</v>
      </c>
      <c r="J35" s="987"/>
      <c r="K35" s="972"/>
      <c r="L35" s="496"/>
      <c r="M35" s="977">
        <f>O35*Defaults!$D$8</f>
        <v>0.37731096239862438</v>
      </c>
      <c r="N35" s="478" t="s">
        <v>215</v>
      </c>
      <c r="O35" s="977">
        <f>(('Step 9b--Daily DMI Rations'!AK30*F4_DMI_Dry_Cow_kg*0.14)+8.56) / 55.65</f>
        <v>0.17114534430540929</v>
      </c>
      <c r="P35" s="478" t="s">
        <v>165</v>
      </c>
      <c r="Q35" s="479"/>
      <c r="R35" s="649">
        <v>2</v>
      </c>
      <c r="S35" s="990"/>
      <c r="T35" s="1677" t="s">
        <v>1147</v>
      </c>
      <c r="U35" s="3600" t="s">
        <v>1145</v>
      </c>
    </row>
    <row r="36" spans="1:22" ht="3" customHeight="1">
      <c r="A36" s="206"/>
      <c r="B36" s="493"/>
      <c r="C36" s="494"/>
      <c r="D36" s="494"/>
      <c r="E36" s="494"/>
      <c r="F36" s="950"/>
      <c r="G36" s="494"/>
      <c r="H36" s="603"/>
      <c r="I36" s="949"/>
      <c r="J36" s="495"/>
      <c r="K36" s="607"/>
      <c r="L36" s="496"/>
      <c r="M36" s="496"/>
      <c r="N36" s="496"/>
      <c r="O36" s="984"/>
      <c r="P36" s="496"/>
      <c r="Q36" s="611"/>
      <c r="R36" s="967"/>
      <c r="S36" s="497"/>
      <c r="T36" s="1677"/>
      <c r="U36" s="3599"/>
    </row>
    <row r="37" spans="1:22">
      <c r="A37" s="208" t="s">
        <v>840</v>
      </c>
      <c r="B37" s="951"/>
      <c r="C37" s="494"/>
      <c r="D37" s="962">
        <f>F37*Defaults!$D$8</f>
        <v>0.96874297296562972</v>
      </c>
      <c r="E37" s="527" t="s">
        <v>215</v>
      </c>
      <c r="F37" s="960">
        <f>(F3_Gross_Energy*F3_YM/55.65)</f>
        <v>0.43941434565711673</v>
      </c>
      <c r="G37" s="527" t="s">
        <v>165</v>
      </c>
      <c r="H37" s="528"/>
      <c r="I37" s="1912">
        <v>3</v>
      </c>
      <c r="J37" s="987"/>
      <c r="K37" s="972"/>
      <c r="L37" s="496"/>
      <c r="M37" s="977">
        <f>O37*Defaults!$D$8</f>
        <v>0.84147491080946779</v>
      </c>
      <c r="N37" s="478" t="s">
        <v>215</v>
      </c>
      <c r="O37" s="977">
        <f>(F4_Gross_Energy*F4_YM/55.65)</f>
        <v>0.38168653362024607</v>
      </c>
      <c r="P37" s="478" t="s">
        <v>165</v>
      </c>
      <c r="Q37" s="479"/>
      <c r="R37" s="649">
        <v>3</v>
      </c>
      <c r="S37" s="990"/>
      <c r="T37" s="1677" t="s">
        <v>1234</v>
      </c>
      <c r="U37" s="3608"/>
      <c r="V37" s="40"/>
    </row>
    <row r="38" spans="1:22" ht="5.25" customHeight="1">
      <c r="A38" s="205"/>
      <c r="B38" s="502"/>
      <c r="C38" s="503"/>
      <c r="D38" s="503"/>
      <c r="E38" s="503"/>
      <c r="F38" s="965"/>
      <c r="G38" s="503"/>
      <c r="H38" s="963"/>
      <c r="I38" s="966"/>
      <c r="J38" s="504"/>
      <c r="K38" s="917"/>
      <c r="L38" s="505"/>
      <c r="M38" s="505"/>
      <c r="N38" s="505"/>
      <c r="O38" s="992"/>
      <c r="P38" s="505"/>
      <c r="Q38" s="968"/>
      <c r="R38" s="969"/>
      <c r="S38" s="506"/>
      <c r="T38" s="1677"/>
      <c r="U38" s="3609"/>
      <c r="V38" s="40"/>
    </row>
    <row r="39" spans="1:22" ht="17.25" customHeight="1">
      <c r="A39" s="221" t="s">
        <v>231</v>
      </c>
      <c r="B39" s="958"/>
      <c r="C39" s="511" t="s">
        <v>118</v>
      </c>
      <c r="D39" s="959"/>
      <c r="E39" s="959"/>
      <c r="F39" s="986"/>
      <c r="G39" s="954"/>
      <c r="H39" s="964"/>
      <c r="I39" s="1660"/>
      <c r="J39" s="988"/>
      <c r="K39" s="980"/>
      <c r="L39" s="465" t="s">
        <v>118</v>
      </c>
      <c r="M39" s="981"/>
      <c r="N39" s="981"/>
      <c r="O39" s="994"/>
      <c r="P39" s="976"/>
      <c r="Q39" s="989"/>
      <c r="R39" s="1658"/>
      <c r="S39" s="991"/>
      <c r="T39" s="1644"/>
      <c r="U39" s="3599"/>
    </row>
    <row r="40" spans="1:22" ht="3" customHeight="1">
      <c r="A40" s="206" t="s">
        <v>171</v>
      </c>
      <c r="B40" s="493"/>
      <c r="C40" s="494"/>
      <c r="D40" s="494"/>
      <c r="E40" s="494"/>
      <c r="F40" s="950"/>
      <c r="G40" s="494"/>
      <c r="H40" s="603"/>
      <c r="I40" s="1660"/>
      <c r="J40" s="495"/>
      <c r="K40" s="607"/>
      <c r="L40" s="496"/>
      <c r="M40" s="496"/>
      <c r="N40" s="496"/>
      <c r="O40" s="984"/>
      <c r="P40" s="496"/>
      <c r="Q40" s="611"/>
      <c r="R40" s="1658"/>
      <c r="S40" s="497"/>
      <c r="T40" s="1677"/>
      <c r="U40" s="3599"/>
    </row>
    <row r="41" spans="1:22">
      <c r="A41" s="208" t="s">
        <v>702</v>
      </c>
      <c r="B41" s="961"/>
      <c r="C41" s="494"/>
      <c r="D41" s="960">
        <f>F41*Defaults!$D$8</f>
        <v>0</v>
      </c>
      <c r="E41" s="527" t="s">
        <v>215</v>
      </c>
      <c r="F41" s="2197"/>
      <c r="G41" s="527" t="s">
        <v>165</v>
      </c>
      <c r="H41" s="528"/>
      <c r="I41" s="826"/>
      <c r="J41" s="987"/>
      <c r="K41" s="982"/>
      <c r="L41" s="496"/>
      <c r="M41" s="977">
        <f>O41*Defaults!$D$8</f>
        <v>0</v>
      </c>
      <c r="N41" s="478" t="s">
        <v>215</v>
      </c>
      <c r="O41" s="2197"/>
      <c r="P41" s="478" t="s">
        <v>165</v>
      </c>
      <c r="Q41" s="479"/>
      <c r="R41" s="826"/>
      <c r="S41" s="990"/>
      <c r="T41" s="1061"/>
      <c r="U41" s="3604" t="str">
        <f>IF(V41=FALSE,"Possible data inconsistencies may exist by over riding the calculated value."," ")</f>
        <v xml:space="preserve"> </v>
      </c>
      <c r="V41" s="3651" t="str">
        <f>IF(Options!BE24&lt;&gt;1,IF(Options!BF24&lt;&gt;1," ",FALSE))</f>
        <v xml:space="preserve"> </v>
      </c>
    </row>
    <row r="42" spans="1:22" ht="3" customHeight="1">
      <c r="A42" s="206"/>
      <c r="B42" s="493"/>
      <c r="C42" s="494"/>
      <c r="D42" s="494"/>
      <c r="E42" s="494"/>
      <c r="F42" s="950"/>
      <c r="G42" s="494"/>
      <c r="H42" s="603"/>
      <c r="I42" s="1660"/>
      <c r="J42" s="495"/>
      <c r="K42" s="607"/>
      <c r="L42" s="496"/>
      <c r="M42" s="496"/>
      <c r="N42" s="496"/>
      <c r="O42" s="984"/>
      <c r="P42" s="496"/>
      <c r="Q42" s="611"/>
      <c r="R42" s="1658"/>
      <c r="S42" s="497"/>
      <c r="T42" s="1677"/>
      <c r="U42" s="3599"/>
    </row>
    <row r="43" spans="1:22">
      <c r="A43" s="208" t="s">
        <v>840</v>
      </c>
      <c r="B43" s="951"/>
      <c r="C43" s="494"/>
      <c r="D43" s="960">
        <f>F43*Defaults!$D$8</f>
        <v>0.36970859444288351</v>
      </c>
      <c r="E43" s="527" t="s">
        <v>215</v>
      </c>
      <c r="F43" s="960">
        <f>(F3_VSP*F3_Bo*F3_MCF*0.662)</f>
        <v>0.16769696879824056</v>
      </c>
      <c r="G43" s="527" t="s">
        <v>165</v>
      </c>
      <c r="H43" s="528"/>
      <c r="I43" s="1912">
        <v>4</v>
      </c>
      <c r="J43" s="987"/>
      <c r="K43" s="972"/>
      <c r="L43" s="496"/>
      <c r="M43" s="977">
        <f>O43*Defaults!$D$8</f>
        <v>0.18477260887425306</v>
      </c>
      <c r="N43" s="478" t="s">
        <v>215</v>
      </c>
      <c r="O43" s="977">
        <f>(F4_VSP*F4_Bo*F4_MCF*0.662)</f>
        <v>8.3811431194473179E-2</v>
      </c>
      <c r="P43" s="478" t="s">
        <v>165</v>
      </c>
      <c r="Q43" s="479"/>
      <c r="R43" s="649">
        <v>4</v>
      </c>
      <c r="S43" s="990"/>
      <c r="T43" s="1677" t="s">
        <v>1235</v>
      </c>
      <c r="U43" s="3600" t="s">
        <v>1071</v>
      </c>
    </row>
    <row r="44" spans="1:22" ht="5.25" customHeight="1">
      <c r="A44" s="205"/>
      <c r="B44" s="502"/>
      <c r="C44" s="503"/>
      <c r="D44" s="503"/>
      <c r="E44" s="503"/>
      <c r="F44" s="965"/>
      <c r="G44" s="503"/>
      <c r="H44" s="963"/>
      <c r="I44" s="966"/>
      <c r="J44" s="504"/>
      <c r="K44" s="917"/>
      <c r="L44" s="505"/>
      <c r="M44" s="505"/>
      <c r="N44" s="505"/>
      <c r="O44" s="992"/>
      <c r="P44" s="505"/>
      <c r="Q44" s="968"/>
      <c r="R44" s="969"/>
      <c r="S44" s="506"/>
      <c r="T44" s="1677"/>
      <c r="U44" s="3599"/>
    </row>
    <row r="45" spans="1:22" ht="5.25" customHeight="1">
      <c r="A45" s="206"/>
      <c r="B45" s="493"/>
      <c r="C45" s="494"/>
      <c r="D45" s="494"/>
      <c r="E45" s="494"/>
      <c r="F45" s="950"/>
      <c r="G45" s="494"/>
      <c r="H45" s="494"/>
      <c r="I45" s="1660"/>
      <c r="J45" s="495"/>
      <c r="K45" s="607"/>
      <c r="L45" s="496"/>
      <c r="M45" s="496"/>
      <c r="N45" s="496"/>
      <c r="O45" s="984"/>
      <c r="P45" s="496"/>
      <c r="Q45" s="496"/>
      <c r="R45" s="1658"/>
      <c r="S45" s="497"/>
      <c r="T45" s="1677"/>
      <c r="U45" s="3599"/>
    </row>
    <row r="46" spans="1:22" ht="12" customHeight="1">
      <c r="A46" s="221" t="s">
        <v>423</v>
      </c>
      <c r="B46" s="493"/>
      <c r="C46" s="1050"/>
      <c r="D46" s="1051">
        <f>F3_Methane_Enteric_Dry_Cow_Day_lb+F3_Methane_Manure_Dry_Cow_Day_lb</f>
        <v>1.3384515674085131</v>
      </c>
      <c r="E46" s="1052" t="s">
        <v>215</v>
      </c>
      <c r="F46" s="1051">
        <f>F3_Methane_Enteric_Dry_Cow_Day_kg+F3_Methane_Manure_Dry_Cow_Day_kg</f>
        <v>0.60711131445535726</v>
      </c>
      <c r="G46" s="1052" t="s">
        <v>165</v>
      </c>
      <c r="H46" s="1050"/>
      <c r="I46" s="1654"/>
      <c r="J46" s="1053"/>
      <c r="K46" s="1036"/>
      <c r="L46" s="1054"/>
      <c r="M46" s="1055">
        <f>F4_Methane_Enteric_Dry_Cow_Day_lb+F4_Methane_Manure_Dry_Cow_Day_lb</f>
        <v>1.0262475196837209</v>
      </c>
      <c r="N46" s="1056" t="s">
        <v>215</v>
      </c>
      <c r="O46" s="1055">
        <f>F4_Methane_Enteric_Dry_Cow_Day_kg+F4_Methane_Manure_Dry_Cow_Day_kg</f>
        <v>0.46549796481471928</v>
      </c>
      <c r="P46" s="1056" t="s">
        <v>165</v>
      </c>
      <c r="Q46" s="496"/>
      <c r="R46" s="1658"/>
      <c r="S46" s="497"/>
      <c r="T46" s="1677"/>
      <c r="U46" s="3599"/>
    </row>
    <row r="47" spans="1:22" ht="5.25" customHeight="1">
      <c r="A47" s="205"/>
      <c r="B47" s="502"/>
      <c r="C47" s="503"/>
      <c r="D47" s="503"/>
      <c r="E47" s="503"/>
      <c r="F47" s="965"/>
      <c r="G47" s="503"/>
      <c r="H47" s="503"/>
      <c r="I47" s="966"/>
      <c r="J47" s="504"/>
      <c r="K47" s="917"/>
      <c r="L47" s="505"/>
      <c r="M47" s="505"/>
      <c r="N47" s="505"/>
      <c r="O47" s="992"/>
      <c r="P47" s="505"/>
      <c r="Q47" s="505"/>
      <c r="R47" s="969"/>
      <c r="S47" s="506"/>
      <c r="T47" s="1677"/>
      <c r="U47" s="3599"/>
    </row>
    <row r="48" spans="1:22" s="3" customFormat="1" ht="20.25" customHeight="1">
      <c r="A48" s="4552" t="s">
        <v>904</v>
      </c>
      <c r="B48" s="4553"/>
      <c r="C48" s="4553"/>
      <c r="D48" s="4553"/>
      <c r="E48" s="4553"/>
      <c r="F48" s="4553"/>
      <c r="G48" s="4553"/>
      <c r="H48" s="4553"/>
      <c r="I48" s="4553"/>
      <c r="J48" s="4553"/>
      <c r="K48" s="4553"/>
      <c r="L48" s="4553"/>
      <c r="M48" s="4553"/>
      <c r="N48" s="4553"/>
      <c r="O48" s="4553"/>
      <c r="P48" s="4553"/>
      <c r="Q48" s="4553"/>
      <c r="R48" s="4553"/>
      <c r="S48" s="4554"/>
      <c r="T48" s="2729"/>
      <c r="U48" s="3559"/>
    </row>
    <row r="49" spans="1:22" ht="17.25" customHeight="1">
      <c r="A49" s="221" t="s">
        <v>204</v>
      </c>
      <c r="B49" s="958"/>
      <c r="C49" s="511" t="s">
        <v>118</v>
      </c>
      <c r="D49" s="959"/>
      <c r="E49" s="959"/>
      <c r="F49" s="986"/>
      <c r="G49" s="954"/>
      <c r="H49" s="964"/>
      <c r="I49" s="949"/>
      <c r="J49" s="988"/>
      <c r="K49" s="980"/>
      <c r="L49" s="465" t="s">
        <v>118</v>
      </c>
      <c r="M49" s="981"/>
      <c r="N49" s="981"/>
      <c r="O49" s="994"/>
      <c r="P49" s="976"/>
      <c r="Q49" s="989"/>
      <c r="R49" s="967"/>
      <c r="S49" s="991"/>
      <c r="T49" s="1644"/>
      <c r="U49" s="3599"/>
    </row>
    <row r="50" spans="1:22" ht="3" customHeight="1">
      <c r="A50" s="206" t="s">
        <v>171</v>
      </c>
      <c r="B50" s="493"/>
      <c r="C50" s="494"/>
      <c r="D50" s="494"/>
      <c r="E50" s="494"/>
      <c r="F50" s="950"/>
      <c r="G50" s="494"/>
      <c r="H50" s="603"/>
      <c r="I50" s="949"/>
      <c r="J50" s="495"/>
      <c r="K50" s="607"/>
      <c r="L50" s="496"/>
      <c r="M50" s="496"/>
      <c r="N50" s="496"/>
      <c r="O50" s="984"/>
      <c r="P50" s="496"/>
      <c r="Q50" s="611"/>
      <c r="R50" s="967"/>
      <c r="S50" s="497"/>
      <c r="T50" s="1677"/>
      <c r="U50" s="3599"/>
    </row>
    <row r="51" spans="1:22">
      <c r="A51" s="208" t="s">
        <v>702</v>
      </c>
      <c r="B51" s="961"/>
      <c r="C51" s="494"/>
      <c r="D51" s="960">
        <f>F51*Defaults!$D$8</f>
        <v>0</v>
      </c>
      <c r="E51" s="527" t="s">
        <v>215</v>
      </c>
      <c r="F51" s="2197"/>
      <c r="G51" s="527" t="s">
        <v>165</v>
      </c>
      <c r="H51" s="528"/>
      <c r="I51" s="826"/>
      <c r="J51" s="987"/>
      <c r="K51" s="982"/>
      <c r="L51" s="496"/>
      <c r="M51" s="977">
        <f>O51*Defaults!$D$8</f>
        <v>0</v>
      </c>
      <c r="N51" s="478" t="s">
        <v>215</v>
      </c>
      <c r="O51" s="2197"/>
      <c r="P51" s="478" t="s">
        <v>165</v>
      </c>
      <c r="Q51" s="479"/>
      <c r="R51" s="826"/>
      <c r="S51" s="990"/>
      <c r="T51" s="1677"/>
      <c r="U51" s="3604" t="str">
        <f>IF(V51=FALSE,"Possible data inconsistencies may exist by over riding the calculated value."," ")</f>
        <v xml:space="preserve"> </v>
      </c>
      <c r="V51" s="3651" t="str">
        <f>IF(Options!BE30&lt;&gt;1,IF(Options!BF30&lt;&gt;1," ",FALSE))</f>
        <v xml:space="preserve"> </v>
      </c>
    </row>
    <row r="52" spans="1:22" ht="3" customHeight="1">
      <c r="A52" s="206"/>
      <c r="B52" s="493"/>
      <c r="C52" s="494"/>
      <c r="D52" s="494"/>
      <c r="E52" s="494"/>
      <c r="F52" s="950"/>
      <c r="G52" s="494"/>
      <c r="H52" s="603"/>
      <c r="I52" s="949"/>
      <c r="J52" s="495"/>
      <c r="K52" s="607"/>
      <c r="L52" s="496"/>
      <c r="M52" s="496"/>
      <c r="N52" s="496"/>
      <c r="O52" s="984"/>
      <c r="P52" s="496"/>
      <c r="Q52" s="611"/>
      <c r="R52" s="967"/>
      <c r="S52" s="497"/>
      <c r="T52" s="1677"/>
      <c r="U52" s="3599"/>
    </row>
    <row r="53" spans="1:22">
      <c r="A53" s="208" t="s">
        <v>838</v>
      </c>
      <c r="B53" s="951"/>
      <c r="C53" s="494"/>
      <c r="D53" s="960">
        <f>F53*Defaults!$D$8</f>
        <v>0.3955802786019767</v>
      </c>
      <c r="E53" s="527" t="s">
        <v>215</v>
      </c>
      <c r="F53" s="960">
        <f>((F3_DMI_Heifer_kg*0.81)+3.23)/55.65</f>
        <v>0.17943216531895778</v>
      </c>
      <c r="G53" s="527" t="s">
        <v>165</v>
      </c>
      <c r="H53" s="528"/>
      <c r="I53" s="1912">
        <v>2</v>
      </c>
      <c r="J53" s="987"/>
      <c r="K53" s="972"/>
      <c r="L53" s="496"/>
      <c r="M53" s="977">
        <f>O53*Defaults!$D$8</f>
        <v>0.29637065262150464</v>
      </c>
      <c r="N53" s="478" t="s">
        <v>215</v>
      </c>
      <c r="O53" s="977">
        <f>((F4_DMI_Heifer_kg*0.81)+3.23)/55.65</f>
        <v>0.13443144366247861</v>
      </c>
      <c r="P53" s="478" t="s">
        <v>165</v>
      </c>
      <c r="Q53" s="479"/>
      <c r="R53" s="649">
        <v>2</v>
      </c>
      <c r="S53" s="990"/>
      <c r="T53" s="1677" t="s">
        <v>1146</v>
      </c>
      <c r="U53" s="3600" t="s">
        <v>1145</v>
      </c>
    </row>
    <row r="54" spans="1:22" ht="3" customHeight="1">
      <c r="A54" s="206"/>
      <c r="B54" s="493"/>
      <c r="C54" s="494"/>
      <c r="D54" s="494"/>
      <c r="E54" s="494"/>
      <c r="F54" s="950"/>
      <c r="G54" s="494"/>
      <c r="H54" s="603"/>
      <c r="I54" s="949"/>
      <c r="J54" s="495"/>
      <c r="K54" s="607"/>
      <c r="L54" s="496"/>
      <c r="M54" s="496"/>
      <c r="N54" s="496"/>
      <c r="O54" s="984"/>
      <c r="P54" s="496"/>
      <c r="Q54" s="611"/>
      <c r="R54" s="967"/>
      <c r="S54" s="497"/>
      <c r="T54" s="1677"/>
      <c r="U54" s="3599"/>
    </row>
    <row r="55" spans="1:22">
      <c r="A55" s="208" t="s">
        <v>839</v>
      </c>
      <c r="B55" s="951"/>
      <c r="C55" s="494"/>
      <c r="D55" s="960">
        <f>F55*Defaults!$D$8</f>
        <v>0.38536730808265951</v>
      </c>
      <c r="E55" s="527" t="s">
        <v>215</v>
      </c>
      <c r="F55" s="960">
        <f>(('Step 9b--Daily DMI Rations'!P30*F3_DMI_Heifer_kg*0.14)+8.56) / 55.65</f>
        <v>0.17479964061096137</v>
      </c>
      <c r="G55" s="527" t="s">
        <v>165</v>
      </c>
      <c r="H55" s="528"/>
      <c r="I55" s="1912">
        <v>2</v>
      </c>
      <c r="J55" s="987"/>
      <c r="K55" s="972"/>
      <c r="L55" s="496"/>
      <c r="M55" s="977">
        <f>O55*Defaults!$D$8</f>
        <v>0.36821996532060264</v>
      </c>
      <c r="N55" s="478" t="s">
        <v>215</v>
      </c>
      <c r="O55" s="977">
        <f>(('Step 9b--Daily DMI Rations'!AQ30*F4_DMI_Heifer_kg*0.14)+8.56) / 55.65</f>
        <v>0.16702173810243412</v>
      </c>
      <c r="P55" s="478" t="s">
        <v>165</v>
      </c>
      <c r="Q55" s="479"/>
      <c r="R55" s="649">
        <v>2</v>
      </c>
      <c r="S55" s="990"/>
      <c r="T55" s="1677" t="s">
        <v>1147</v>
      </c>
      <c r="U55" s="3600" t="s">
        <v>1145</v>
      </c>
    </row>
    <row r="56" spans="1:22" ht="3" customHeight="1">
      <c r="A56" s="206"/>
      <c r="B56" s="493"/>
      <c r="C56" s="494"/>
      <c r="D56" s="494"/>
      <c r="E56" s="494"/>
      <c r="F56" s="950"/>
      <c r="G56" s="494"/>
      <c r="H56" s="603"/>
      <c r="I56" s="949"/>
      <c r="J56" s="495"/>
      <c r="K56" s="607"/>
      <c r="L56" s="496"/>
      <c r="M56" s="496"/>
      <c r="N56" s="496"/>
      <c r="O56" s="984"/>
      <c r="P56" s="496"/>
      <c r="Q56" s="611"/>
      <c r="R56" s="967"/>
      <c r="S56" s="497"/>
      <c r="T56" s="1677"/>
      <c r="U56" s="3599"/>
    </row>
    <row r="57" spans="1:22" ht="15.75">
      <c r="A57" s="208" t="s">
        <v>840</v>
      </c>
      <c r="B57" s="951"/>
      <c r="C57" s="494"/>
      <c r="D57" s="960">
        <f>F57*Defaults!$D$8</f>
        <v>0.70544716414892927</v>
      </c>
      <c r="E57" s="527" t="s">
        <v>215</v>
      </c>
      <c r="F57" s="960">
        <f>(F3_Gross_Energy*F3_YM/55.65)/F3_Lact_Cow_Weight_kg*F3_Heifer_Weight_kg</f>
        <v>0.31998539621011357</v>
      </c>
      <c r="G57" s="527" t="s">
        <v>165</v>
      </c>
      <c r="H57" s="528"/>
      <c r="I57" s="1912" t="s">
        <v>1239</v>
      </c>
      <c r="J57" s="987"/>
      <c r="K57" s="972"/>
      <c r="L57" s="496"/>
      <c r="M57" s="977">
        <f>O57*Defaults!$D$8</f>
        <v>0.56684678792301435</v>
      </c>
      <c r="N57" s="478" t="s">
        <v>215</v>
      </c>
      <c r="O57" s="977">
        <f>(F4_Gross_Energy*F4_YM/55.65)/F4_Lact_Cow_Weight_kg*F4_Heifer_Weight_kg</f>
        <v>0.25711733385844848</v>
      </c>
      <c r="P57" s="478" t="s">
        <v>165</v>
      </c>
      <c r="Q57" s="479"/>
      <c r="R57" s="649" t="s">
        <v>1239</v>
      </c>
      <c r="S57" s="990"/>
      <c r="T57" s="1677" t="s">
        <v>1148</v>
      </c>
      <c r="U57" s="3608" t="s">
        <v>1153</v>
      </c>
      <c r="V57" s="40"/>
    </row>
    <row r="58" spans="1:22" ht="5.25" customHeight="1">
      <c r="A58" s="205"/>
      <c r="B58" s="502"/>
      <c r="C58" s="503"/>
      <c r="D58" s="503"/>
      <c r="E58" s="503"/>
      <c r="F58" s="965"/>
      <c r="G58" s="503"/>
      <c r="H58" s="963"/>
      <c r="I58" s="966"/>
      <c r="J58" s="504"/>
      <c r="K58" s="917"/>
      <c r="L58" s="505"/>
      <c r="M58" s="505"/>
      <c r="N58" s="505"/>
      <c r="O58" s="992"/>
      <c r="P58" s="505"/>
      <c r="Q58" s="968"/>
      <c r="R58" s="969"/>
      <c r="S58" s="506"/>
      <c r="T58" s="1677"/>
      <c r="U58" s="3609"/>
      <c r="V58" s="40"/>
    </row>
    <row r="59" spans="1:22" ht="17.25" customHeight="1">
      <c r="A59" s="221" t="s">
        <v>231</v>
      </c>
      <c r="B59" s="958"/>
      <c r="C59" s="511" t="s">
        <v>118</v>
      </c>
      <c r="D59" s="959"/>
      <c r="E59" s="959"/>
      <c r="F59" s="986"/>
      <c r="G59" s="954"/>
      <c r="H59" s="964"/>
      <c r="I59" s="1660"/>
      <c r="J59" s="988"/>
      <c r="K59" s="980"/>
      <c r="L59" s="465" t="s">
        <v>118</v>
      </c>
      <c r="M59" s="981"/>
      <c r="N59" s="981"/>
      <c r="O59" s="994"/>
      <c r="P59" s="976"/>
      <c r="Q59" s="989"/>
      <c r="R59" s="1658"/>
      <c r="S59" s="991"/>
      <c r="T59" s="1644"/>
      <c r="U59" s="3599"/>
    </row>
    <row r="60" spans="1:22" ht="3" customHeight="1">
      <c r="A60" s="206" t="s">
        <v>171</v>
      </c>
      <c r="B60" s="493"/>
      <c r="C60" s="494"/>
      <c r="D60" s="494"/>
      <c r="E60" s="494"/>
      <c r="F60" s="950"/>
      <c r="G60" s="494"/>
      <c r="H60" s="603"/>
      <c r="I60" s="1660"/>
      <c r="J60" s="495"/>
      <c r="K60" s="607"/>
      <c r="L60" s="496"/>
      <c r="M60" s="496"/>
      <c r="N60" s="496"/>
      <c r="O60" s="984"/>
      <c r="P60" s="496"/>
      <c r="Q60" s="611"/>
      <c r="R60" s="1658"/>
      <c r="S60" s="497"/>
      <c r="T60" s="1677"/>
      <c r="U60" s="3599"/>
    </row>
    <row r="61" spans="1:22">
      <c r="A61" s="208" t="s">
        <v>702</v>
      </c>
      <c r="B61" s="961"/>
      <c r="C61" s="494"/>
      <c r="D61" s="960">
        <f>F61*Defaults!$D$8</f>
        <v>0</v>
      </c>
      <c r="E61" s="527" t="s">
        <v>215</v>
      </c>
      <c r="F61" s="2197"/>
      <c r="G61" s="527" t="s">
        <v>165</v>
      </c>
      <c r="H61" s="528"/>
      <c r="I61" s="826"/>
      <c r="J61" s="987"/>
      <c r="K61" s="982"/>
      <c r="L61" s="496"/>
      <c r="M61" s="977">
        <f>O61*Defaults!$D$8</f>
        <v>0</v>
      </c>
      <c r="N61" s="478" t="s">
        <v>215</v>
      </c>
      <c r="O61" s="2197"/>
      <c r="P61" s="478" t="s">
        <v>165</v>
      </c>
      <c r="Q61" s="479"/>
      <c r="R61" s="826"/>
      <c r="S61" s="990"/>
      <c r="T61" s="1061"/>
      <c r="U61" s="3604" t="str">
        <f>IF(V61=FALSE,"Possible data inconsistencies may exist by over riding the calculated value."," ")</f>
        <v xml:space="preserve"> </v>
      </c>
      <c r="V61" s="3651" t="str">
        <f>IF(Options!BE36&lt;&gt;1,IF(Options!BF36&lt;&gt;1," ",FALSE))</f>
        <v xml:space="preserve"> </v>
      </c>
    </row>
    <row r="62" spans="1:22" ht="3" customHeight="1">
      <c r="A62" s="206"/>
      <c r="B62" s="493"/>
      <c r="C62" s="494"/>
      <c r="D62" s="494"/>
      <c r="E62" s="494"/>
      <c r="F62" s="950"/>
      <c r="G62" s="494"/>
      <c r="H62" s="603"/>
      <c r="I62" s="1660"/>
      <c r="J62" s="495"/>
      <c r="K62" s="607"/>
      <c r="L62" s="496"/>
      <c r="M62" s="496"/>
      <c r="N62" s="496"/>
      <c r="O62" s="984"/>
      <c r="P62" s="496"/>
      <c r="Q62" s="611"/>
      <c r="R62" s="1658"/>
      <c r="S62" s="497"/>
      <c r="T62" s="1677"/>
      <c r="U62" s="3604" t="str">
        <f>IF(V62=FALSE,"Possible data inconsistencies may exist by over riding the calculated value."," ")</f>
        <v xml:space="preserve"> </v>
      </c>
      <c r="V62" s="3651" t="str">
        <f>IF(Options!BC53&lt;&gt;1,IF(Options!BD53&lt;&gt;1," ",FALSE))</f>
        <v xml:space="preserve"> </v>
      </c>
    </row>
    <row r="63" spans="1:22" ht="15.75">
      <c r="A63" s="208" t="s">
        <v>840</v>
      </c>
      <c r="B63" s="951"/>
      <c r="C63" s="494"/>
      <c r="D63" s="960">
        <f>F63*Defaults!$D$8</f>
        <v>0.26922505431218452</v>
      </c>
      <c r="E63" s="527" t="s">
        <v>215</v>
      </c>
      <c r="F63" s="960">
        <f>(F3_VSP*F3_Bo*F3_MCF*0.662)/F3_Lact_Cow_Weight_kg*F3_Heifer_Weight_kg</f>
        <v>0.12211840950229789</v>
      </c>
      <c r="G63" s="527" t="s">
        <v>165</v>
      </c>
      <c r="H63" s="528"/>
      <c r="I63" s="1912" t="s">
        <v>1238</v>
      </c>
      <c r="J63" s="987"/>
      <c r="K63" s="972"/>
      <c r="L63" s="496"/>
      <c r="M63" s="977">
        <f>O63*Defaults!$D$8</f>
        <v>0.12446926045100019</v>
      </c>
      <c r="N63" s="478" t="s">
        <v>215</v>
      </c>
      <c r="O63" s="977">
        <f>(F4_VSP*F4_Bo*F4_MCF*0.662)/F4_Lact_Cow_Weight_kg*F4_Heifer_Weight_kg</f>
        <v>5.6458297156021769E-2</v>
      </c>
      <c r="P63" s="478" t="s">
        <v>165</v>
      </c>
      <c r="Q63" s="479"/>
      <c r="R63" s="649" t="s">
        <v>1238</v>
      </c>
      <c r="S63" s="990"/>
      <c r="T63" s="1677" t="s">
        <v>1149</v>
      </c>
      <c r="U63" s="3608" t="s">
        <v>1153</v>
      </c>
    </row>
    <row r="64" spans="1:22" ht="5.25" customHeight="1">
      <c r="A64" s="205"/>
      <c r="B64" s="502"/>
      <c r="C64" s="503"/>
      <c r="D64" s="503"/>
      <c r="E64" s="503"/>
      <c r="F64" s="965"/>
      <c r="G64" s="503"/>
      <c r="H64" s="963"/>
      <c r="I64" s="966"/>
      <c r="J64" s="504"/>
      <c r="K64" s="917"/>
      <c r="L64" s="505"/>
      <c r="M64" s="505"/>
      <c r="N64" s="505"/>
      <c r="O64" s="992"/>
      <c r="P64" s="505"/>
      <c r="Q64" s="968"/>
      <c r="R64" s="969"/>
      <c r="S64" s="506"/>
      <c r="T64" s="1677"/>
      <c r="U64" s="3599"/>
    </row>
    <row r="65" spans="1:22" ht="5.25" customHeight="1">
      <c r="A65" s="206"/>
      <c r="B65" s="493"/>
      <c r="C65" s="494"/>
      <c r="D65" s="494"/>
      <c r="E65" s="494"/>
      <c r="F65" s="950"/>
      <c r="G65" s="494"/>
      <c r="H65" s="494"/>
      <c r="I65" s="1660"/>
      <c r="J65" s="495"/>
      <c r="K65" s="607"/>
      <c r="L65" s="496"/>
      <c r="M65" s="496"/>
      <c r="N65" s="496"/>
      <c r="O65" s="984"/>
      <c r="P65" s="496"/>
      <c r="Q65" s="496"/>
      <c r="R65" s="1658"/>
      <c r="S65" s="497"/>
      <c r="T65" s="1677"/>
      <c r="U65" s="3599"/>
    </row>
    <row r="66" spans="1:22" ht="12" customHeight="1">
      <c r="A66" s="221" t="s">
        <v>865</v>
      </c>
      <c r="B66" s="493"/>
      <c r="C66" s="1050"/>
      <c r="D66" s="1051">
        <f>F3_Methane_Enteric_Heifer_Day_lb+F3_Methane_Manure_Heifer_Day_lb</f>
        <v>0.97467221846111385</v>
      </c>
      <c r="E66" s="1052" t="s">
        <v>215</v>
      </c>
      <c r="F66" s="1051">
        <f>F3_Methane_Enteric_Heifer_Day_kg+F3_Methane_Manure_Heifer_Day_kg</f>
        <v>0.44210380571241148</v>
      </c>
      <c r="G66" s="1052" t="s">
        <v>165</v>
      </c>
      <c r="H66" s="1050"/>
      <c r="I66" s="1654"/>
      <c r="J66" s="1053"/>
      <c r="K66" s="1036"/>
      <c r="L66" s="1054"/>
      <c r="M66" s="1055">
        <f>F4_Methane_Enteric_Heifer_Day_lb+F4_Methane_Manure_Heifer_Day_lb</f>
        <v>0.6913160483740145</v>
      </c>
      <c r="N66" s="1056" t="s">
        <v>215</v>
      </c>
      <c r="O66" s="1055">
        <f>F4_Methane_Enteric_Heifer_Day_kg+F4_Methane_Manure_Heifer_Day_kg</f>
        <v>0.31357563101447028</v>
      </c>
      <c r="P66" s="1056" t="s">
        <v>165</v>
      </c>
      <c r="Q66" s="496"/>
      <c r="R66" s="1658"/>
      <c r="S66" s="497"/>
      <c r="T66" s="1677"/>
      <c r="U66" s="3599"/>
    </row>
    <row r="67" spans="1:22" ht="5.25" customHeight="1">
      <c r="A67" s="205"/>
      <c r="B67" s="502"/>
      <c r="C67" s="503"/>
      <c r="D67" s="503"/>
      <c r="E67" s="503"/>
      <c r="F67" s="965"/>
      <c r="G67" s="503"/>
      <c r="H67" s="503"/>
      <c r="I67" s="966"/>
      <c r="J67" s="504"/>
      <c r="K67" s="917"/>
      <c r="L67" s="505"/>
      <c r="M67" s="505"/>
      <c r="N67" s="505"/>
      <c r="O67" s="992"/>
      <c r="P67" s="505"/>
      <c r="Q67" s="505"/>
      <c r="R67" s="969"/>
      <c r="S67" s="506"/>
      <c r="T67" s="1677"/>
      <c r="U67" s="3599"/>
    </row>
    <row r="68" spans="1:22" s="3" customFormat="1" ht="20.25" customHeight="1">
      <c r="A68" s="4552" t="s">
        <v>905</v>
      </c>
      <c r="B68" s="4553"/>
      <c r="C68" s="4553"/>
      <c r="D68" s="4553"/>
      <c r="E68" s="4553"/>
      <c r="F68" s="4553"/>
      <c r="G68" s="4553"/>
      <c r="H68" s="4553"/>
      <c r="I68" s="4553"/>
      <c r="J68" s="4553"/>
      <c r="K68" s="4553"/>
      <c r="L68" s="4553"/>
      <c r="M68" s="4553"/>
      <c r="N68" s="4553"/>
      <c r="O68" s="4553"/>
      <c r="P68" s="4553"/>
      <c r="Q68" s="4553"/>
      <c r="R68" s="4553"/>
      <c r="S68" s="4554"/>
      <c r="T68" s="2729"/>
      <c r="U68" s="3559"/>
    </row>
    <row r="69" spans="1:22" ht="17.25" customHeight="1">
      <c r="A69" s="221" t="s">
        <v>204</v>
      </c>
      <c r="B69" s="958"/>
      <c r="C69" s="511" t="s">
        <v>118</v>
      </c>
      <c r="D69" s="959"/>
      <c r="E69" s="959"/>
      <c r="F69" s="986"/>
      <c r="G69" s="954"/>
      <c r="H69" s="964"/>
      <c r="I69" s="949"/>
      <c r="J69" s="988"/>
      <c r="K69" s="980"/>
      <c r="L69" s="465" t="s">
        <v>118</v>
      </c>
      <c r="M69" s="981"/>
      <c r="N69" s="981"/>
      <c r="O69" s="994"/>
      <c r="P69" s="976"/>
      <c r="Q69" s="989"/>
      <c r="R69" s="967"/>
      <c r="S69" s="991"/>
      <c r="T69" s="1644"/>
      <c r="U69" s="3599"/>
    </row>
    <row r="70" spans="1:22" ht="3" customHeight="1">
      <c r="A70" s="206" t="s">
        <v>171</v>
      </c>
      <c r="B70" s="493"/>
      <c r="C70" s="494"/>
      <c r="D70" s="494"/>
      <c r="E70" s="494"/>
      <c r="F70" s="950"/>
      <c r="G70" s="494"/>
      <c r="H70" s="603"/>
      <c r="I70" s="949"/>
      <c r="J70" s="495"/>
      <c r="K70" s="607"/>
      <c r="L70" s="496"/>
      <c r="M70" s="496"/>
      <c r="N70" s="496"/>
      <c r="O70" s="984"/>
      <c r="P70" s="496"/>
      <c r="Q70" s="611"/>
      <c r="R70" s="967"/>
      <c r="S70" s="497"/>
      <c r="T70" s="1677"/>
      <c r="U70" s="3599"/>
    </row>
    <row r="71" spans="1:22">
      <c r="A71" s="208" t="s">
        <v>702</v>
      </c>
      <c r="B71" s="961"/>
      <c r="C71" s="494"/>
      <c r="D71" s="960">
        <f>F71*Defaults!$D$8</f>
        <v>0</v>
      </c>
      <c r="E71" s="527" t="s">
        <v>215</v>
      </c>
      <c r="F71" s="2197"/>
      <c r="G71" s="527" t="s">
        <v>165</v>
      </c>
      <c r="H71" s="528"/>
      <c r="I71" s="826"/>
      <c r="J71" s="987"/>
      <c r="K71" s="982"/>
      <c r="L71" s="496"/>
      <c r="M71" s="977">
        <f>O71*Defaults!$D$8</f>
        <v>0</v>
      </c>
      <c r="N71" s="478" t="s">
        <v>215</v>
      </c>
      <c r="O71" s="2197"/>
      <c r="P71" s="478" t="s">
        <v>165</v>
      </c>
      <c r="Q71" s="479"/>
      <c r="R71" s="826"/>
      <c r="S71" s="990"/>
      <c r="T71" s="1677"/>
      <c r="U71" s="3604" t="str">
        <f>IF(V71=FALSE,"Possible data inconsistencies may exist by over riding the calculated value."," ")</f>
        <v xml:space="preserve"> </v>
      </c>
      <c r="V71" s="3651" t="str">
        <f>IF(Options!BE42&lt;&gt;1,IF(Options!BF42&lt;&gt;1," ",FALSE))</f>
        <v xml:space="preserve"> </v>
      </c>
    </row>
    <row r="72" spans="1:22" ht="3" customHeight="1">
      <c r="A72" s="206"/>
      <c r="B72" s="493"/>
      <c r="C72" s="494"/>
      <c r="D72" s="494"/>
      <c r="E72" s="527"/>
      <c r="F72" s="950"/>
      <c r="G72" s="494"/>
      <c r="H72" s="603"/>
      <c r="I72" s="949"/>
      <c r="J72" s="495"/>
      <c r="K72" s="607"/>
      <c r="L72" s="496"/>
      <c r="M72" s="496"/>
      <c r="N72" s="496"/>
      <c r="O72" s="984"/>
      <c r="P72" s="496"/>
      <c r="Q72" s="611"/>
      <c r="R72" s="967"/>
      <c r="S72" s="497"/>
      <c r="T72" s="1677"/>
      <c r="U72" s="3599"/>
    </row>
    <row r="73" spans="1:22">
      <c r="A73" s="208" t="s">
        <v>838</v>
      </c>
      <c r="B73" s="951"/>
      <c r="C73" s="494"/>
      <c r="D73" s="960">
        <f>F73*Defaults!$D$8</f>
        <v>0.2362402264746358</v>
      </c>
      <c r="E73" s="527" t="s">
        <v>215</v>
      </c>
      <c r="F73" s="960">
        <f>((F3_DMI_Heifer_Calf_kg*0.81)+3.23)/55.65</f>
        <v>0.10715674583574415</v>
      </c>
      <c r="G73" s="527" t="s">
        <v>165</v>
      </c>
      <c r="H73" s="528"/>
      <c r="I73" s="1912">
        <v>2</v>
      </c>
      <c r="J73" s="987"/>
      <c r="K73" s="972"/>
      <c r="L73" s="496"/>
      <c r="M73" s="977">
        <f>O73*Defaults!$D$8</f>
        <v>0.19873113021996117</v>
      </c>
      <c r="N73" s="478" t="s">
        <v>215</v>
      </c>
      <c r="O73" s="977">
        <f>((F4_DMI_Heifer_Calf_kg*0.81)+3.23)/55.65</f>
        <v>9.0142908887352241E-2</v>
      </c>
      <c r="P73" s="478" t="s">
        <v>165</v>
      </c>
      <c r="Q73" s="479"/>
      <c r="R73" s="649">
        <v>2</v>
      </c>
      <c r="S73" s="990"/>
      <c r="T73" s="1677" t="s">
        <v>1146</v>
      </c>
      <c r="U73" s="3600" t="s">
        <v>1145</v>
      </c>
    </row>
    <row r="74" spans="1:22" ht="3" customHeight="1">
      <c r="A74" s="206"/>
      <c r="B74" s="493"/>
      <c r="C74" s="494"/>
      <c r="D74" s="494"/>
      <c r="E74" s="494"/>
      <c r="F74" s="950"/>
      <c r="G74" s="494"/>
      <c r="H74" s="603"/>
      <c r="I74" s="949"/>
      <c r="J74" s="495"/>
      <c r="K74" s="607"/>
      <c r="L74" s="496"/>
      <c r="M74" s="496"/>
      <c r="N74" s="496"/>
      <c r="O74" s="984"/>
      <c r="P74" s="496"/>
      <c r="Q74" s="611"/>
      <c r="R74" s="967"/>
      <c r="S74" s="497"/>
      <c r="T74" s="1677"/>
      <c r="U74" s="3599"/>
    </row>
    <row r="75" spans="1:22">
      <c r="A75" s="208" t="s">
        <v>839</v>
      </c>
      <c r="B75" s="951"/>
      <c r="C75" s="494"/>
      <c r="D75" s="960">
        <f>F75*Defaults!$D$8</f>
        <v>0.35782705215941546</v>
      </c>
      <c r="E75" s="527" t="s">
        <v>215</v>
      </c>
      <c r="F75" s="960">
        <f>(('Step 9b--Daily DMI Rations'!V30*F3_DMI_Heifer_Calf_kg*0.14)+8.56) / 55.65</f>
        <v>0.16230759279904791</v>
      </c>
      <c r="G75" s="527" t="s">
        <v>165</v>
      </c>
      <c r="H75" s="528"/>
      <c r="I75" s="1912">
        <v>2</v>
      </c>
      <c r="J75" s="987"/>
      <c r="K75" s="972"/>
      <c r="L75" s="496"/>
      <c r="M75" s="977">
        <f>O75*Defaults!$D$8</f>
        <v>0.35134399848576797</v>
      </c>
      <c r="N75" s="478" t="s">
        <v>215</v>
      </c>
      <c r="O75" s="977">
        <f>(('Step 9b--Daily DMI Rations'!AW30*F4_DMI_Heifer_Calf_kg*0.14)+8.56) / 55.65</f>
        <v>0.15936692962278265</v>
      </c>
      <c r="P75" s="478" t="s">
        <v>165</v>
      </c>
      <c r="Q75" s="479"/>
      <c r="R75" s="649">
        <v>2</v>
      </c>
      <c r="S75" s="990"/>
      <c r="T75" s="1677" t="s">
        <v>1147</v>
      </c>
      <c r="U75" s="3600" t="s">
        <v>1145</v>
      </c>
    </row>
    <row r="76" spans="1:22" ht="3" customHeight="1">
      <c r="A76" s="206"/>
      <c r="B76" s="493"/>
      <c r="C76" s="494"/>
      <c r="D76" s="494"/>
      <c r="E76" s="494"/>
      <c r="F76" s="950"/>
      <c r="G76" s="494"/>
      <c r="H76" s="603"/>
      <c r="I76" s="949"/>
      <c r="J76" s="495"/>
      <c r="K76" s="607"/>
      <c r="L76" s="496"/>
      <c r="M76" s="496"/>
      <c r="N76" s="496"/>
      <c r="O76" s="984"/>
      <c r="P76" s="496"/>
      <c r="Q76" s="611"/>
      <c r="R76" s="967"/>
      <c r="S76" s="497"/>
      <c r="T76" s="1677"/>
      <c r="U76" s="3599"/>
    </row>
    <row r="77" spans="1:22" ht="15.75">
      <c r="A77" s="208" t="s">
        <v>840</v>
      </c>
      <c r="B77" s="951"/>
      <c r="C77" s="494"/>
      <c r="D77" s="960">
        <f>F77*Defaults!$D$8</f>
        <v>0.24698722223063199</v>
      </c>
      <c r="E77" s="527" t="s">
        <v>215</v>
      </c>
      <c r="F77" s="960">
        <f>(F3_Gross_Energy*F3_YM/55.65)/F3_Lact_Cow_Weight_kg*F3_Calf_Weight_kg</f>
        <v>0.11203150027493679</v>
      </c>
      <c r="G77" s="527" t="s">
        <v>165</v>
      </c>
      <c r="H77" s="528"/>
      <c r="I77" s="1912" t="s">
        <v>1239</v>
      </c>
      <c r="J77" s="987"/>
      <c r="K77" s="972"/>
      <c r="L77" s="496"/>
      <c r="M77" s="977">
        <f>O77*Defaults!$D$8</f>
        <v>0.20612610469927795</v>
      </c>
      <c r="N77" s="478" t="s">
        <v>215</v>
      </c>
      <c r="O77" s="977">
        <f>(F4_Gross_Energy*F4_YM/55.65)/F4_Lact_Cow_Weight_kg*F4_Calf_Weight_kg</f>
        <v>9.3497212312163083E-2</v>
      </c>
      <c r="P77" s="478" t="s">
        <v>165</v>
      </c>
      <c r="Q77" s="479"/>
      <c r="R77" s="649" t="s">
        <v>1239</v>
      </c>
      <c r="S77" s="990"/>
      <c r="T77" s="1677" t="s">
        <v>1150</v>
      </c>
      <c r="U77" s="3608" t="s">
        <v>1152</v>
      </c>
      <c r="V77" s="40"/>
    </row>
    <row r="78" spans="1:22" ht="5.25" customHeight="1">
      <c r="A78" s="205"/>
      <c r="B78" s="502"/>
      <c r="C78" s="503"/>
      <c r="D78" s="503"/>
      <c r="E78" s="503"/>
      <c r="F78" s="965"/>
      <c r="G78" s="503"/>
      <c r="H78" s="963"/>
      <c r="I78" s="966"/>
      <c r="J78" s="504"/>
      <c r="K78" s="917"/>
      <c r="L78" s="505"/>
      <c r="M78" s="505"/>
      <c r="N78" s="505"/>
      <c r="O78" s="992"/>
      <c r="P78" s="505"/>
      <c r="Q78" s="968"/>
      <c r="R78" s="969"/>
      <c r="S78" s="506"/>
      <c r="T78" s="1677"/>
      <c r="U78" s="3609"/>
      <c r="V78" s="40"/>
    </row>
    <row r="79" spans="1:22" ht="17.25" customHeight="1">
      <c r="A79" s="221" t="s">
        <v>231</v>
      </c>
      <c r="B79" s="958"/>
      <c r="C79" s="511" t="s">
        <v>118</v>
      </c>
      <c r="D79" s="959"/>
      <c r="E79" s="959"/>
      <c r="F79" s="986"/>
      <c r="G79" s="954"/>
      <c r="H79" s="964"/>
      <c r="I79" s="1660"/>
      <c r="J79" s="988"/>
      <c r="K79" s="980"/>
      <c r="L79" s="465" t="s">
        <v>118</v>
      </c>
      <c r="M79" s="981"/>
      <c r="N79" s="981"/>
      <c r="O79" s="994"/>
      <c r="P79" s="976"/>
      <c r="Q79" s="989"/>
      <c r="R79" s="1658"/>
      <c r="S79" s="991"/>
      <c r="T79" s="1644"/>
      <c r="U79" s="3599"/>
    </row>
    <row r="80" spans="1:22" ht="3" customHeight="1">
      <c r="A80" s="206" t="s">
        <v>171</v>
      </c>
      <c r="B80" s="493"/>
      <c r="C80" s="494"/>
      <c r="D80" s="494"/>
      <c r="E80" s="494"/>
      <c r="F80" s="950"/>
      <c r="G80" s="494"/>
      <c r="H80" s="603"/>
      <c r="I80" s="1660"/>
      <c r="J80" s="495"/>
      <c r="K80" s="607"/>
      <c r="L80" s="496"/>
      <c r="M80" s="496"/>
      <c r="N80" s="496"/>
      <c r="O80" s="984"/>
      <c r="P80" s="496"/>
      <c r="Q80" s="611"/>
      <c r="R80" s="1658"/>
      <c r="S80" s="497"/>
      <c r="T80" s="1677"/>
      <c r="U80" s="3599"/>
    </row>
    <row r="81" spans="1:22">
      <c r="A81" s="208" t="s">
        <v>702</v>
      </c>
      <c r="B81" s="961"/>
      <c r="C81" s="494"/>
      <c r="D81" s="960">
        <f>F81*Defaults!$D$8</f>
        <v>0</v>
      </c>
      <c r="E81" s="527" t="s">
        <v>215</v>
      </c>
      <c r="F81" s="2197"/>
      <c r="G81" s="527" t="s">
        <v>165</v>
      </c>
      <c r="H81" s="528"/>
      <c r="I81" s="826"/>
      <c r="J81" s="987"/>
      <c r="K81" s="982"/>
      <c r="L81" s="496"/>
      <c r="M81" s="977">
        <f>O81*Defaults!$D$8</f>
        <v>0</v>
      </c>
      <c r="N81" s="478" t="s">
        <v>215</v>
      </c>
      <c r="O81" s="2197"/>
      <c r="P81" s="478" t="s">
        <v>165</v>
      </c>
      <c r="Q81" s="479"/>
      <c r="R81" s="826"/>
      <c r="S81" s="990"/>
      <c r="T81" s="1061"/>
      <c r="U81" s="3604" t="str">
        <f>IF(V81=FALSE,"Possible data inconsistencies may exist by over riding the calculated value."," ")</f>
        <v xml:space="preserve"> </v>
      </c>
      <c r="V81" s="3651" t="str">
        <f>IF(Options!BE48&lt;&gt;1,IF(Options!BF48&lt;&gt;1," ",FALSE))</f>
        <v xml:space="preserve"> </v>
      </c>
    </row>
    <row r="82" spans="1:22" ht="3" customHeight="1">
      <c r="A82" s="206"/>
      <c r="B82" s="493"/>
      <c r="C82" s="494"/>
      <c r="D82" s="494"/>
      <c r="E82" s="494"/>
      <c r="F82" s="950"/>
      <c r="G82" s="494"/>
      <c r="H82" s="603"/>
      <c r="I82" s="1660"/>
      <c r="J82" s="495"/>
      <c r="K82" s="607"/>
      <c r="L82" s="496"/>
      <c r="M82" s="496"/>
      <c r="N82" s="496"/>
      <c r="O82" s="984"/>
      <c r="P82" s="496"/>
      <c r="Q82" s="611"/>
      <c r="R82" s="1658"/>
      <c r="S82" s="497"/>
      <c r="T82" s="1677"/>
      <c r="U82" s="3599"/>
    </row>
    <row r="83" spans="1:22" ht="15.75">
      <c r="A83" s="208" t="s">
        <v>840</v>
      </c>
      <c r="B83" s="951"/>
      <c r="C83" s="494"/>
      <c r="D83" s="960">
        <f>F83*Defaults!$D$8</f>
        <v>9.4259572791222504E-2</v>
      </c>
      <c r="E83" s="527" t="s">
        <v>215</v>
      </c>
      <c r="F83" s="960">
        <f>(F3_VSP*F3_Bo*F3_MCF*0.662)/F3_Lact_Cow_Weight_kg*F3_Calf_Weight_kg</f>
        <v>4.2755415683870888E-2</v>
      </c>
      <c r="G83" s="527" t="s">
        <v>165</v>
      </c>
      <c r="H83" s="528"/>
      <c r="I83" s="1912" t="s">
        <v>1238</v>
      </c>
      <c r="J83" s="987"/>
      <c r="K83" s="972"/>
      <c r="L83" s="496"/>
      <c r="M83" s="977">
        <f>O83*Defaults!$D$8</f>
        <v>4.5261549254909161E-2</v>
      </c>
      <c r="N83" s="478" t="s">
        <v>215</v>
      </c>
      <c r="O83" s="977">
        <f>(F4_VSP*F4_Bo*F4_MCF*0.662)/F4_Lact_Cow_Weight_kg*F4_Calf_Weight_kg</f>
        <v>2.0530289874917007E-2</v>
      </c>
      <c r="P83" s="478" t="s">
        <v>165</v>
      </c>
      <c r="Q83" s="479"/>
      <c r="R83" s="649" t="s">
        <v>1238</v>
      </c>
      <c r="S83" s="990"/>
      <c r="T83" s="1677" t="s">
        <v>1151</v>
      </c>
      <c r="U83" s="3608" t="s">
        <v>1152</v>
      </c>
    </row>
    <row r="84" spans="1:22" ht="5.25" customHeight="1">
      <c r="A84" s="205"/>
      <c r="B84" s="502"/>
      <c r="C84" s="503"/>
      <c r="D84" s="503"/>
      <c r="E84" s="503"/>
      <c r="F84" s="965"/>
      <c r="G84" s="503"/>
      <c r="H84" s="963"/>
      <c r="I84" s="966"/>
      <c r="J84" s="504"/>
      <c r="K84" s="917"/>
      <c r="L84" s="505"/>
      <c r="M84" s="505"/>
      <c r="N84" s="505"/>
      <c r="O84" s="992"/>
      <c r="P84" s="505"/>
      <c r="Q84" s="968"/>
      <c r="R84" s="969"/>
      <c r="S84" s="506"/>
      <c r="T84" s="1677"/>
      <c r="U84" s="3599"/>
    </row>
    <row r="85" spans="1:22" ht="5.25" customHeight="1">
      <c r="A85" s="206"/>
      <c r="B85" s="493"/>
      <c r="C85" s="494"/>
      <c r="D85" s="494"/>
      <c r="E85" s="494"/>
      <c r="F85" s="950"/>
      <c r="G85" s="494"/>
      <c r="H85" s="494"/>
      <c r="I85" s="1660"/>
      <c r="J85" s="495"/>
      <c r="K85" s="607"/>
      <c r="L85" s="496"/>
      <c r="M85" s="496"/>
      <c r="N85" s="496"/>
      <c r="O85" s="984"/>
      <c r="P85" s="496"/>
      <c r="Q85" s="496"/>
      <c r="R85" s="1658"/>
      <c r="S85" s="497"/>
      <c r="T85" s="1677"/>
      <c r="U85" s="3599"/>
    </row>
    <row r="86" spans="1:22" ht="12" customHeight="1">
      <c r="A86" s="221" t="s">
        <v>864</v>
      </c>
      <c r="B86" s="493"/>
      <c r="C86" s="1050"/>
      <c r="D86" s="1051">
        <f>F3_Methane_Enteric_Calf_Day_lb+F3_Methane_Manure_Calf_Day_lb</f>
        <v>0.34124679502185451</v>
      </c>
      <c r="E86" s="1052" t="s">
        <v>215</v>
      </c>
      <c r="F86" s="1051">
        <f>F3_Methane_Enteric_Calf_Day_kg+F3_Methane_Manure_Calf_Day_kg</f>
        <v>0.15478691595880767</v>
      </c>
      <c r="G86" s="1052" t="s">
        <v>165</v>
      </c>
      <c r="H86" s="1050"/>
      <c r="I86" s="1654"/>
      <c r="J86" s="1053"/>
      <c r="K86" s="1036"/>
      <c r="L86" s="1054"/>
      <c r="M86" s="1055">
        <f>F4_Methane_Enteric_Calf_Day_lb+F4_Methane_Manure_Calf_Day_lb</f>
        <v>0.25138765395418711</v>
      </c>
      <c r="N86" s="1056" t="s">
        <v>215</v>
      </c>
      <c r="O86" s="1055">
        <f>F4_Methane_Enteric_Calf_Day_kg+F4_Methane_Manure_Calf_Day_kg</f>
        <v>0.11402750218708009</v>
      </c>
      <c r="P86" s="1056" t="s">
        <v>165</v>
      </c>
      <c r="Q86" s="496"/>
      <c r="R86" s="1658"/>
      <c r="S86" s="497"/>
      <c r="T86" s="1677"/>
      <c r="U86" s="3599"/>
    </row>
    <row r="87" spans="1:22" ht="5.25" customHeight="1">
      <c r="A87" s="205"/>
      <c r="B87" s="502"/>
      <c r="C87" s="503"/>
      <c r="D87" s="503"/>
      <c r="E87" s="503"/>
      <c r="F87" s="965"/>
      <c r="G87" s="503"/>
      <c r="H87" s="503"/>
      <c r="I87" s="966"/>
      <c r="J87" s="504"/>
      <c r="K87" s="917"/>
      <c r="L87" s="505"/>
      <c r="M87" s="505"/>
      <c r="N87" s="505"/>
      <c r="O87" s="992"/>
      <c r="P87" s="505"/>
      <c r="Q87" s="505"/>
      <c r="R87" s="969"/>
      <c r="S87" s="506"/>
      <c r="T87" s="1678"/>
      <c r="U87" s="3601"/>
    </row>
    <row r="88" spans="1:22" ht="21" customHeight="1">
      <c r="A88" s="4993" t="s">
        <v>20</v>
      </c>
      <c r="B88" s="4994"/>
      <c r="C88" s="4994"/>
      <c r="D88" s="4994"/>
      <c r="E88" s="4994"/>
      <c r="F88" s="4994"/>
      <c r="G88" s="4994"/>
      <c r="H88" s="4994"/>
      <c r="I88" s="4994"/>
      <c r="J88" s="4994"/>
      <c r="K88" s="4994"/>
      <c r="L88" s="4994"/>
      <c r="M88" s="4994"/>
      <c r="N88" s="4994"/>
      <c r="O88" s="4994"/>
      <c r="P88" s="4994"/>
      <c r="Q88" s="4994"/>
      <c r="R88" s="4994"/>
      <c r="S88" s="4995"/>
      <c r="T88" s="40"/>
    </row>
    <row r="89" spans="1:22">
      <c r="A89" s="4993" t="s">
        <v>1225</v>
      </c>
      <c r="B89" s="5142"/>
      <c r="C89" s="5142"/>
      <c r="D89" s="5142"/>
      <c r="E89" s="5142"/>
      <c r="F89" s="5142"/>
      <c r="G89" s="5142"/>
      <c r="H89" s="5142"/>
      <c r="I89" s="5142"/>
      <c r="J89" s="5142"/>
      <c r="K89" s="5142"/>
      <c r="L89" s="5142"/>
      <c r="M89" s="5142"/>
      <c r="N89" s="5142"/>
      <c r="O89" s="5142"/>
      <c r="P89" s="5142"/>
      <c r="Q89" s="5142"/>
      <c r="R89" s="5142"/>
      <c r="S89" s="5143"/>
      <c r="T89" s="40"/>
    </row>
    <row r="90" spans="1:22">
      <c r="A90" s="4611" t="s">
        <v>1247</v>
      </c>
      <c r="B90" s="4612"/>
      <c r="C90" s="4612"/>
      <c r="D90" s="4612"/>
      <c r="E90" s="4612"/>
      <c r="F90" s="4612"/>
      <c r="G90" s="4612"/>
      <c r="H90" s="4612"/>
      <c r="I90" s="4612"/>
      <c r="J90" s="4612"/>
      <c r="K90" s="4612"/>
      <c r="L90" s="4612"/>
      <c r="M90" s="4612"/>
      <c r="N90" s="4612"/>
      <c r="O90" s="4612"/>
      <c r="P90" s="4612"/>
      <c r="Q90" s="4612"/>
      <c r="R90" s="4612"/>
      <c r="S90" s="4613"/>
    </row>
    <row r="91" spans="1:22" ht="26.25" customHeight="1">
      <c r="A91" s="4634" t="s">
        <v>1232</v>
      </c>
      <c r="B91" s="4635"/>
      <c r="C91" s="4635"/>
      <c r="D91" s="4635"/>
      <c r="E91" s="4635"/>
      <c r="F91" s="4635"/>
      <c r="G91" s="4635"/>
      <c r="H91" s="4635"/>
      <c r="I91" s="4635"/>
      <c r="J91" s="4635"/>
      <c r="K91" s="4635"/>
      <c r="L91" s="4635"/>
      <c r="M91" s="4635"/>
      <c r="N91" s="4635"/>
      <c r="O91" s="4635"/>
      <c r="P91" s="4635"/>
      <c r="Q91" s="4635"/>
      <c r="R91" s="4635"/>
      <c r="S91" s="4636"/>
    </row>
    <row r="92" spans="1:22" ht="24.75" customHeight="1">
      <c r="A92" s="4634" t="s">
        <v>1233</v>
      </c>
      <c r="B92" s="4635"/>
      <c r="C92" s="4635"/>
      <c r="D92" s="4635"/>
      <c r="E92" s="4635"/>
      <c r="F92" s="4635"/>
      <c r="G92" s="4635"/>
      <c r="H92" s="4635"/>
      <c r="I92" s="4635"/>
      <c r="J92" s="4635"/>
      <c r="K92" s="4635"/>
      <c r="L92" s="4635"/>
      <c r="M92" s="4635"/>
      <c r="N92" s="4635"/>
      <c r="O92" s="4635"/>
      <c r="P92" s="4635"/>
      <c r="Q92" s="4635"/>
      <c r="R92" s="4635"/>
      <c r="S92" s="4636"/>
    </row>
    <row r="93" spans="1:22" ht="12.75" customHeight="1">
      <c r="A93" s="4634" t="s">
        <v>1237</v>
      </c>
      <c r="B93" s="4635"/>
      <c r="C93" s="4635"/>
      <c r="D93" s="4635"/>
      <c r="E93" s="4635"/>
      <c r="F93" s="4635"/>
      <c r="G93" s="4635"/>
      <c r="H93" s="4635"/>
      <c r="I93" s="4635"/>
      <c r="J93" s="4635"/>
      <c r="K93" s="4635"/>
      <c r="L93" s="4635"/>
      <c r="M93" s="4635"/>
      <c r="N93" s="4635"/>
      <c r="O93" s="4635"/>
      <c r="P93" s="4635"/>
      <c r="Q93" s="4635"/>
      <c r="R93" s="4635"/>
      <c r="S93" s="4636"/>
    </row>
    <row r="94" spans="1:22">
      <c r="A94" s="5138" t="s">
        <v>119</v>
      </c>
      <c r="B94" s="5139"/>
      <c r="C94" s="5139"/>
      <c r="D94" s="5139"/>
      <c r="E94" s="5139"/>
      <c r="F94" s="5139"/>
      <c r="G94" s="5139"/>
      <c r="H94" s="5139"/>
      <c r="I94" s="5139"/>
      <c r="J94" s="5139"/>
      <c r="K94" s="5139"/>
      <c r="L94" s="5139"/>
      <c r="M94" s="5139"/>
      <c r="N94" s="5139"/>
      <c r="O94" s="5139"/>
      <c r="P94" s="5139"/>
      <c r="Q94" s="5139"/>
      <c r="R94" s="5139"/>
      <c r="S94" s="5140"/>
    </row>
    <row r="95" spans="1:22">
      <c r="A95" s="5138" t="s">
        <v>120</v>
      </c>
      <c r="B95" s="5139"/>
      <c r="C95" s="5139"/>
      <c r="D95" s="5139"/>
      <c r="E95" s="5139"/>
      <c r="F95" s="5139"/>
      <c r="G95" s="5139"/>
      <c r="H95" s="5139"/>
      <c r="I95" s="5139"/>
      <c r="J95" s="5139"/>
      <c r="K95" s="5139"/>
      <c r="L95" s="5139"/>
      <c r="M95" s="5139"/>
      <c r="N95" s="5139"/>
      <c r="O95" s="5139"/>
      <c r="P95" s="5139"/>
      <c r="Q95" s="5139"/>
      <c r="R95" s="5139"/>
      <c r="S95" s="5140"/>
    </row>
    <row r="96" spans="1:22">
      <c r="A96" s="5138" t="s">
        <v>121</v>
      </c>
      <c r="B96" s="5139"/>
      <c r="C96" s="5139"/>
      <c r="D96" s="5139"/>
      <c r="E96" s="5139"/>
      <c r="F96" s="5139"/>
      <c r="G96" s="5139"/>
      <c r="H96" s="5139"/>
      <c r="I96" s="5139"/>
      <c r="J96" s="5139"/>
      <c r="K96" s="5139"/>
      <c r="L96" s="5139"/>
      <c r="M96" s="5139"/>
      <c r="N96" s="5139"/>
      <c r="O96" s="5139"/>
      <c r="P96" s="5139"/>
      <c r="Q96" s="5139"/>
      <c r="R96" s="5139"/>
      <c r="S96" s="5140"/>
    </row>
    <row r="97" spans="1:19" ht="13.5" thickBot="1">
      <c r="A97" s="5144" t="s">
        <v>576</v>
      </c>
      <c r="B97" s="5145"/>
      <c r="C97" s="5145"/>
      <c r="D97" s="5145"/>
      <c r="E97" s="5145"/>
      <c r="F97" s="5145"/>
      <c r="G97" s="5145"/>
      <c r="H97" s="5145"/>
      <c r="I97" s="5145"/>
      <c r="J97" s="5145"/>
      <c r="K97" s="5145"/>
      <c r="L97" s="5145"/>
      <c r="M97" s="5145"/>
      <c r="N97" s="5145"/>
      <c r="O97" s="5145"/>
      <c r="P97" s="5145"/>
      <c r="Q97" s="5145"/>
      <c r="R97" s="5145"/>
      <c r="S97" s="5146"/>
    </row>
  </sheetData>
  <sheetProtection password="E0BE" sheet="1" objects="1" scenarios="1"/>
  <mergeCells count="22">
    <mergeCell ref="A97:S97"/>
    <mergeCell ref="A94:S94"/>
    <mergeCell ref="A95:S95"/>
    <mergeCell ref="A96:S96"/>
    <mergeCell ref="A1:S1"/>
    <mergeCell ref="A5:S5"/>
    <mergeCell ref="A2:S2"/>
    <mergeCell ref="B3:J3"/>
    <mergeCell ref="K3:S3"/>
    <mergeCell ref="B4:J4"/>
    <mergeCell ref="K4:S4"/>
    <mergeCell ref="A91:S91"/>
    <mergeCell ref="A92:S92"/>
    <mergeCell ref="A93:S93"/>
    <mergeCell ref="H6:J6"/>
    <mergeCell ref="Q6:S6"/>
    <mergeCell ref="A28:S28"/>
    <mergeCell ref="A88:S88"/>
    <mergeCell ref="A89:S89"/>
    <mergeCell ref="A90:S90"/>
    <mergeCell ref="A68:S68"/>
    <mergeCell ref="A48:S48"/>
  </mergeCells>
  <printOptions horizontalCentered="1"/>
  <pageMargins left="0.7" right="0.7" top="0.75" bottom="0.75" header="0.3" footer="0.3"/>
  <pageSetup scale="65" fitToHeight="2" orientation="landscape" r:id="rId1"/>
  <headerFooter>
    <oddFooter>&amp;L&amp;A&amp;C&amp;F&amp;R&amp;D</oddFooter>
  </headerFooter>
  <rowBreaks count="1" manualBreakCount="1">
    <brk id="47" max="18" man="1"/>
  </rowBreaks>
  <legacyDrawing r:id="rId2"/>
</worksheet>
</file>

<file path=xl/worksheets/sheet36.xml><?xml version="1.0" encoding="utf-8"?>
<worksheet xmlns="http://schemas.openxmlformats.org/spreadsheetml/2006/main" xmlns:r="http://schemas.openxmlformats.org/officeDocument/2006/relationships">
  <sheetPr>
    <pageSetUpPr fitToPage="1"/>
  </sheetPr>
  <dimension ref="A1:H126"/>
  <sheetViews>
    <sheetView topLeftCell="A39" zoomScale="75" zoomScaleNormal="75" workbookViewId="0">
      <selection activeCell="A50" sqref="A50"/>
    </sheetView>
  </sheetViews>
  <sheetFormatPr defaultRowHeight="12.75"/>
  <cols>
    <col min="1" max="1" width="26.7109375" style="1692" customWidth="1"/>
    <col min="2" max="2" width="15.5703125" bestFit="1" customWidth="1"/>
    <col min="3" max="3" width="40.28515625" style="1692" customWidth="1"/>
    <col min="4" max="4" width="70.28515625" style="1692" customWidth="1"/>
    <col min="5" max="5" width="52.140625" style="1692" customWidth="1"/>
  </cols>
  <sheetData>
    <row r="1" spans="1:8" ht="39.75" customHeight="1">
      <c r="A1" s="5147" t="str">
        <f>CONCATENATE("Appendix A - Explanation and Source of Formulas Incorporated in the ",Application_Name," Calculator.  (see glossary below for parameters definitions and abbreviations)")</f>
        <v>Appendix A - Explanation and Source of Formulas Incorporated in the Conventional and Organic Farm Environmental Footprints (COFEF) Calculator.  (see glossary below for parameters definitions and abbreviations)</v>
      </c>
      <c r="B1" s="5148"/>
      <c r="C1" s="5148"/>
      <c r="D1" s="5148"/>
      <c r="E1" s="5149"/>
    </row>
    <row r="2" spans="1:8" s="1693" customFormat="1" ht="25.5">
      <c r="A2" s="1694" t="s">
        <v>424</v>
      </c>
      <c r="B2" s="1695" t="s">
        <v>425</v>
      </c>
      <c r="C2" s="1695" t="s">
        <v>65</v>
      </c>
      <c r="D2" s="1695" t="s">
        <v>426</v>
      </c>
      <c r="E2" s="1696" t="s">
        <v>427</v>
      </c>
    </row>
    <row r="3" spans="1:8" s="1693" customFormat="1" ht="51">
      <c r="A3" s="1994" t="s">
        <v>1537</v>
      </c>
      <c r="B3" s="3457" t="s">
        <v>1202</v>
      </c>
      <c r="C3" s="1529" t="s">
        <v>1006</v>
      </c>
      <c r="D3" s="1529" t="s">
        <v>1538</v>
      </c>
      <c r="E3" s="3458"/>
      <c r="F3" s="60"/>
      <c r="G3" s="60"/>
      <c r="H3" s="60"/>
    </row>
    <row r="4" spans="1:8" s="1693" customFormat="1" ht="25.5">
      <c r="A4" s="1994" t="s">
        <v>1073</v>
      </c>
      <c r="B4" s="3457" t="s">
        <v>1202</v>
      </c>
      <c r="C4" s="1529" t="s">
        <v>1007</v>
      </c>
      <c r="D4" s="1529" t="s">
        <v>1021</v>
      </c>
      <c r="E4" s="3458"/>
      <c r="F4" s="60"/>
      <c r="G4" s="60"/>
      <c r="H4" s="60"/>
    </row>
    <row r="5" spans="1:8" s="1693" customFormat="1" ht="51" customHeight="1">
      <c r="A5" s="1994" t="s">
        <v>1011</v>
      </c>
      <c r="B5" s="3457" t="s">
        <v>1202</v>
      </c>
      <c r="C5" s="1529" t="s">
        <v>1008</v>
      </c>
      <c r="D5" s="1529" t="s">
        <v>1029</v>
      </c>
      <c r="E5" s="3458"/>
      <c r="F5" s="60"/>
      <c r="G5" s="60"/>
      <c r="H5" s="60"/>
    </row>
    <row r="6" spans="1:8" s="1693" customFormat="1" ht="51">
      <c r="A6" s="1994" t="s">
        <v>1539</v>
      </c>
      <c r="B6" s="3457" t="s">
        <v>1540</v>
      </c>
      <c r="C6" s="1529" t="s">
        <v>1541</v>
      </c>
      <c r="D6" s="1529" t="s">
        <v>1542</v>
      </c>
      <c r="E6" s="3458"/>
      <c r="F6" s="60"/>
      <c r="G6" s="60"/>
      <c r="H6" s="60"/>
    </row>
    <row r="7" spans="1:8" s="1693" customFormat="1" ht="29.25" customHeight="1">
      <c r="A7" s="1994" t="s">
        <v>1543</v>
      </c>
      <c r="B7" s="3457" t="s">
        <v>1544</v>
      </c>
      <c r="C7" s="1529" t="s">
        <v>1545</v>
      </c>
      <c r="D7" s="1529" t="s">
        <v>1546</v>
      </c>
      <c r="E7" s="3458"/>
      <c r="F7" s="60"/>
      <c r="G7" s="60"/>
      <c r="H7" s="60"/>
    </row>
    <row r="8" spans="1:8" s="1693" customFormat="1" ht="41.25" customHeight="1">
      <c r="A8" s="1994" t="s">
        <v>1009</v>
      </c>
      <c r="B8" s="3457" t="s">
        <v>1547</v>
      </c>
      <c r="C8" s="1529" t="s">
        <v>1548</v>
      </c>
      <c r="D8" s="1529" t="s">
        <v>1549</v>
      </c>
      <c r="E8" s="3458"/>
      <c r="F8" s="60"/>
      <c r="G8" s="60"/>
      <c r="H8" s="60"/>
    </row>
    <row r="9" spans="1:8" s="1693" customFormat="1" ht="63.75">
      <c r="A9" s="1994" t="s">
        <v>1010</v>
      </c>
      <c r="B9" s="3457" t="s">
        <v>1203</v>
      </c>
      <c r="C9" s="1529" t="s">
        <v>1216</v>
      </c>
      <c r="D9" s="1529" t="s">
        <v>1217</v>
      </c>
      <c r="E9" s="3458"/>
      <c r="F9" s="60"/>
      <c r="G9" s="60"/>
      <c r="H9" s="60"/>
    </row>
    <row r="10" spans="1:8" s="1693" customFormat="1" ht="63.75">
      <c r="A10" s="1994" t="s">
        <v>1012</v>
      </c>
      <c r="B10" s="3457" t="s">
        <v>1203</v>
      </c>
      <c r="C10" s="1529" t="s">
        <v>1013</v>
      </c>
      <c r="D10" s="1529" t="s">
        <v>1028</v>
      </c>
      <c r="E10" s="3458"/>
      <c r="F10" s="60"/>
      <c r="G10" s="60"/>
      <c r="H10" s="60"/>
    </row>
    <row r="11" spans="1:8" s="1693" customFormat="1" ht="51">
      <c r="A11" s="1994" t="s">
        <v>1014</v>
      </c>
      <c r="B11" s="3457" t="s">
        <v>1204</v>
      </c>
      <c r="C11" s="1529" t="s">
        <v>1019</v>
      </c>
      <c r="D11" s="1529" t="s">
        <v>1027</v>
      </c>
      <c r="E11" s="3458"/>
      <c r="F11" s="60"/>
      <c r="G11" s="60"/>
      <c r="H11" s="60"/>
    </row>
    <row r="12" spans="1:8" s="1693" customFormat="1" ht="52.5" customHeight="1">
      <c r="A12" s="1994" t="s">
        <v>1016</v>
      </c>
      <c r="B12" s="3457" t="s">
        <v>1204</v>
      </c>
      <c r="C12" s="1529" t="s">
        <v>1017</v>
      </c>
      <c r="D12" s="1529" t="s">
        <v>1026</v>
      </c>
      <c r="E12" s="3458"/>
      <c r="F12" s="60"/>
      <c r="G12" s="60"/>
      <c r="H12" s="60"/>
    </row>
    <row r="13" spans="1:8" ht="51">
      <c r="A13" s="1994" t="s">
        <v>1018</v>
      </c>
      <c r="B13" s="3457" t="s">
        <v>1205</v>
      </c>
      <c r="C13" s="1529" t="s">
        <v>1020</v>
      </c>
      <c r="D13" s="1529" t="s">
        <v>1025</v>
      </c>
      <c r="E13" s="3458"/>
    </row>
    <row r="14" spans="1:8" ht="52.5" customHeight="1">
      <c r="A14" s="1994" t="s">
        <v>1022</v>
      </c>
      <c r="B14" s="3457" t="s">
        <v>1206</v>
      </c>
      <c r="C14" s="1529" t="s">
        <v>1023</v>
      </c>
      <c r="D14" s="1529" t="s">
        <v>1024</v>
      </c>
      <c r="E14" s="3458"/>
    </row>
    <row r="15" spans="1:8" ht="51">
      <c r="A15" s="1994" t="s">
        <v>1550</v>
      </c>
      <c r="B15" s="3457" t="s">
        <v>1286</v>
      </c>
      <c r="C15" s="1529" t="s">
        <v>1551</v>
      </c>
      <c r="D15" s="1529" t="s">
        <v>1552</v>
      </c>
      <c r="E15" s="3878" t="s">
        <v>1553</v>
      </c>
    </row>
    <row r="16" spans="1:8" ht="25.5">
      <c r="A16" s="1989" t="s">
        <v>431</v>
      </c>
      <c r="B16" s="1990" t="s">
        <v>478</v>
      </c>
      <c r="C16" s="1991" t="s">
        <v>430</v>
      </c>
      <c r="D16" s="1991" t="s">
        <v>432</v>
      </c>
      <c r="E16" s="1992"/>
    </row>
    <row r="17" spans="1:5" ht="30" customHeight="1">
      <c r="A17" s="1989" t="s">
        <v>433</v>
      </c>
      <c r="B17" s="1990" t="s">
        <v>478</v>
      </c>
      <c r="C17" s="1991" t="s">
        <v>434</v>
      </c>
      <c r="D17" s="1991" t="s">
        <v>436</v>
      </c>
      <c r="E17" s="1992"/>
    </row>
    <row r="18" spans="1:5" ht="51">
      <c r="A18" s="1989" t="s">
        <v>435</v>
      </c>
      <c r="B18" s="1990" t="s">
        <v>478</v>
      </c>
      <c r="C18" s="1991" t="s">
        <v>1554</v>
      </c>
      <c r="D18" s="1991" t="s">
        <v>1555</v>
      </c>
      <c r="E18" s="1993"/>
    </row>
    <row r="19" spans="1:5" ht="51">
      <c r="A19" s="1994" t="s">
        <v>115</v>
      </c>
      <c r="B19" s="1990" t="s">
        <v>478</v>
      </c>
      <c r="C19" s="1991" t="s">
        <v>441</v>
      </c>
      <c r="D19" s="1991" t="s">
        <v>438</v>
      </c>
      <c r="E19" s="1993"/>
    </row>
    <row r="20" spans="1:5" ht="102">
      <c r="A20" s="1994" t="s">
        <v>1556</v>
      </c>
      <c r="B20" s="1990" t="s">
        <v>1340</v>
      </c>
      <c r="C20" s="1991" t="s">
        <v>579</v>
      </c>
      <c r="D20" s="1991" t="s">
        <v>580</v>
      </c>
      <c r="E20" s="1993"/>
    </row>
    <row r="21" spans="1:5" ht="38.25">
      <c r="A21" s="1994" t="s">
        <v>1030</v>
      </c>
      <c r="B21" s="1990" t="s">
        <v>1340</v>
      </c>
      <c r="C21" s="1991" t="s">
        <v>1031</v>
      </c>
      <c r="D21" s="1991" t="s">
        <v>1032</v>
      </c>
      <c r="E21" s="1993"/>
    </row>
    <row r="22" spans="1:5" ht="63.75">
      <c r="A22" s="1994" t="s">
        <v>1033</v>
      </c>
      <c r="B22" s="1990" t="s">
        <v>1340</v>
      </c>
      <c r="C22" s="1991" t="s">
        <v>1034</v>
      </c>
      <c r="D22" s="1991" t="s">
        <v>1035</v>
      </c>
      <c r="E22" s="1993"/>
    </row>
    <row r="23" spans="1:5" ht="25.5">
      <c r="A23" s="1994" t="s">
        <v>39</v>
      </c>
      <c r="B23" s="1990" t="s">
        <v>1341</v>
      </c>
      <c r="C23" s="1991" t="s">
        <v>1036</v>
      </c>
      <c r="D23" s="1991" t="s">
        <v>1037</v>
      </c>
      <c r="E23" s="1993" t="s">
        <v>439</v>
      </c>
    </row>
    <row r="24" spans="1:5" ht="51">
      <c r="A24" s="1994" t="s">
        <v>1038</v>
      </c>
      <c r="B24" s="1990" t="s">
        <v>1341</v>
      </c>
      <c r="C24" s="1991" t="s">
        <v>1039</v>
      </c>
      <c r="D24" s="1991" t="s">
        <v>1040</v>
      </c>
      <c r="E24" s="1993"/>
    </row>
    <row r="25" spans="1:5" ht="25.5">
      <c r="A25" s="1994" t="s">
        <v>1275</v>
      </c>
      <c r="B25" s="1990" t="s">
        <v>1341</v>
      </c>
      <c r="C25" s="1991" t="s">
        <v>1075</v>
      </c>
      <c r="D25" s="1991" t="s">
        <v>1078</v>
      </c>
      <c r="E25" s="1993"/>
    </row>
    <row r="26" spans="1:5" ht="25.5">
      <c r="A26" s="1994" t="s">
        <v>1276</v>
      </c>
      <c r="B26" s="1990" t="s">
        <v>1341</v>
      </c>
      <c r="C26" s="1991" t="s">
        <v>1074</v>
      </c>
      <c r="D26" s="1991" t="s">
        <v>1079</v>
      </c>
      <c r="E26" s="1993"/>
    </row>
    <row r="27" spans="1:5" ht="38.25">
      <c r="A27" s="1994" t="s">
        <v>1041</v>
      </c>
      <c r="B27" s="1990" t="s">
        <v>1341</v>
      </c>
      <c r="C27" s="1991" t="s">
        <v>1277</v>
      </c>
      <c r="D27" s="1991" t="s">
        <v>1279</v>
      </c>
      <c r="E27" s="1993"/>
    </row>
    <row r="28" spans="1:5" ht="51.75" customHeight="1">
      <c r="A28" s="1994" t="s">
        <v>1042</v>
      </c>
      <c r="B28" s="1990" t="s">
        <v>1341</v>
      </c>
      <c r="C28" s="1991" t="s">
        <v>1278</v>
      </c>
      <c r="D28" s="1991" t="s">
        <v>1280</v>
      </c>
      <c r="E28" s="1993"/>
    </row>
    <row r="29" spans="1:5" ht="25.5">
      <c r="A29" s="1994" t="s">
        <v>1076</v>
      </c>
      <c r="B29" s="1990" t="s">
        <v>1341</v>
      </c>
      <c r="C29" s="1991" t="s">
        <v>1077</v>
      </c>
      <c r="D29" s="1991" t="s">
        <v>1080</v>
      </c>
      <c r="E29" s="1993"/>
    </row>
    <row r="30" spans="1:5" ht="52.5" customHeight="1">
      <c r="A30" s="1994" t="s">
        <v>812</v>
      </c>
      <c r="B30" s="1990" t="s">
        <v>1342</v>
      </c>
      <c r="C30" s="1991" t="s">
        <v>1557</v>
      </c>
      <c r="D30" s="1991" t="s">
        <v>1344</v>
      </c>
      <c r="E30" s="1993"/>
    </row>
    <row r="31" spans="1:5" ht="40.5" customHeight="1">
      <c r="A31" s="1996" t="s">
        <v>440</v>
      </c>
      <c r="B31" s="1990" t="s">
        <v>1342</v>
      </c>
      <c r="C31" s="1991" t="s">
        <v>1043</v>
      </c>
      <c r="D31" s="1991" t="s">
        <v>1044</v>
      </c>
      <c r="E31" s="1993"/>
    </row>
    <row r="32" spans="1:5" ht="28.5" customHeight="1">
      <c r="A32" s="1989" t="s">
        <v>1045</v>
      </c>
      <c r="B32" s="1990" t="s">
        <v>1342</v>
      </c>
      <c r="C32" s="1991" t="s">
        <v>1046</v>
      </c>
      <c r="D32" s="1991" t="s">
        <v>1047</v>
      </c>
      <c r="E32" s="1993"/>
    </row>
    <row r="33" spans="1:5" ht="25.5" customHeight="1">
      <c r="A33" s="1989" t="s">
        <v>1343</v>
      </c>
      <c r="B33" s="1990" t="s">
        <v>1342</v>
      </c>
      <c r="C33" s="1991" t="s">
        <v>1558</v>
      </c>
      <c r="D33" s="1991" t="s">
        <v>1391</v>
      </c>
      <c r="E33" s="1993"/>
    </row>
    <row r="34" spans="1:5" ht="44.25" customHeight="1">
      <c r="A34" s="1989" t="s">
        <v>1048</v>
      </c>
      <c r="B34" s="1990" t="s">
        <v>1218</v>
      </c>
      <c r="C34" s="1991" t="s">
        <v>1627</v>
      </c>
      <c r="D34" s="1991" t="s">
        <v>1629</v>
      </c>
      <c r="E34" s="1993"/>
    </row>
    <row r="35" spans="1:5" ht="40.5" customHeight="1">
      <c r="A35" s="1989" t="s">
        <v>1049</v>
      </c>
      <c r="B35" s="1990" t="s">
        <v>1218</v>
      </c>
      <c r="C35" s="1991" t="s">
        <v>1628</v>
      </c>
      <c r="D35" s="1991" t="s">
        <v>1630</v>
      </c>
      <c r="E35" s="1993"/>
    </row>
    <row r="36" spans="1:5" ht="25.5" customHeight="1">
      <c r="A36" s="1996" t="s">
        <v>1559</v>
      </c>
      <c r="B36" s="1990" t="s">
        <v>1218</v>
      </c>
      <c r="C36" s="1988" t="s">
        <v>1560</v>
      </c>
      <c r="D36" s="1988" t="s">
        <v>1561</v>
      </c>
      <c r="E36" s="1993"/>
    </row>
    <row r="37" spans="1:5" ht="40.5" customHeight="1">
      <c r="A37" s="1996" t="s">
        <v>1562</v>
      </c>
      <c r="B37" s="1990" t="s">
        <v>1218</v>
      </c>
      <c r="C37" s="1988" t="s">
        <v>1563</v>
      </c>
      <c r="D37" s="1988" t="s">
        <v>1564</v>
      </c>
      <c r="E37" s="1993"/>
    </row>
    <row r="38" spans="1:5" ht="25.5">
      <c r="A38" s="1989" t="s">
        <v>1052</v>
      </c>
      <c r="B38" s="1990" t="s">
        <v>1219</v>
      </c>
      <c r="C38" s="1991" t="s">
        <v>1050</v>
      </c>
      <c r="D38" s="1991" t="s">
        <v>1051</v>
      </c>
      <c r="E38" s="1993"/>
    </row>
    <row r="39" spans="1:5" ht="25.5">
      <c r="A39" s="1989" t="s">
        <v>1054</v>
      </c>
      <c r="B39" s="1990" t="s">
        <v>1219</v>
      </c>
      <c r="C39" s="1991" t="s">
        <v>1055</v>
      </c>
      <c r="D39" s="1991" t="s">
        <v>1056</v>
      </c>
      <c r="E39" s="1993"/>
    </row>
    <row r="40" spans="1:5" ht="25.5">
      <c r="A40" s="1989" t="s">
        <v>1053</v>
      </c>
      <c r="B40" s="1990" t="s">
        <v>1219</v>
      </c>
      <c r="C40" s="1991" t="s">
        <v>1057</v>
      </c>
      <c r="D40" s="1991" t="s">
        <v>1058</v>
      </c>
      <c r="E40" s="1993"/>
    </row>
    <row r="41" spans="1:5" ht="27" customHeight="1">
      <c r="A41" s="1989" t="s">
        <v>1565</v>
      </c>
      <c r="B41" s="1990" t="s">
        <v>1219</v>
      </c>
      <c r="C41" s="1991" t="s">
        <v>1566</v>
      </c>
      <c r="D41" s="1991" t="s">
        <v>1567</v>
      </c>
      <c r="E41" s="1993"/>
    </row>
    <row r="42" spans="1:5" ht="26.25" customHeight="1">
      <c r="A42" s="1989" t="s">
        <v>1568</v>
      </c>
      <c r="B42" s="1990" t="s">
        <v>1219</v>
      </c>
      <c r="C42" s="1991" t="s">
        <v>1569</v>
      </c>
      <c r="D42" s="1991" t="s">
        <v>1570</v>
      </c>
      <c r="E42" s="1993"/>
    </row>
    <row r="43" spans="1:5" ht="25.5">
      <c r="A43" s="1989" t="s">
        <v>448</v>
      </c>
      <c r="B43" s="1990" t="s">
        <v>1219</v>
      </c>
      <c r="C43" s="1991" t="s">
        <v>1571</v>
      </c>
      <c r="D43" s="1991" t="s">
        <v>449</v>
      </c>
      <c r="E43" s="1993"/>
    </row>
    <row r="44" spans="1:5" ht="51.75" customHeight="1">
      <c r="A44" s="1989" t="s">
        <v>450</v>
      </c>
      <c r="B44" s="1990" t="s">
        <v>1219</v>
      </c>
      <c r="C44" s="1991" t="s">
        <v>1572</v>
      </c>
      <c r="D44" s="1991" t="s">
        <v>1573</v>
      </c>
      <c r="E44" s="1993"/>
    </row>
    <row r="45" spans="1:5" ht="51">
      <c r="A45" s="1989" t="s">
        <v>1639</v>
      </c>
      <c r="B45" s="1990" t="s">
        <v>1220</v>
      </c>
      <c r="C45" s="1991" t="s">
        <v>1626</v>
      </c>
      <c r="D45" s="1991" t="s">
        <v>1631</v>
      </c>
      <c r="E45" s="1993"/>
    </row>
    <row r="46" spans="1:5" ht="51">
      <c r="A46" s="1989" t="s">
        <v>1640</v>
      </c>
      <c r="B46" s="1990" t="s">
        <v>1220</v>
      </c>
      <c r="C46" s="1991" t="s">
        <v>1625</v>
      </c>
      <c r="D46" s="3839" t="s">
        <v>1632</v>
      </c>
      <c r="E46" s="1993"/>
    </row>
    <row r="47" spans="1:5" ht="38.25">
      <c r="A47" s="1989" t="s">
        <v>1059</v>
      </c>
      <c r="B47" s="1990" t="s">
        <v>1221</v>
      </c>
      <c r="C47" s="1991" t="s">
        <v>1574</v>
      </c>
      <c r="D47" s="1991" t="s">
        <v>1575</v>
      </c>
      <c r="E47" s="1993"/>
    </row>
    <row r="48" spans="1:5" ht="63.75">
      <c r="A48" s="1989" t="s">
        <v>1060</v>
      </c>
      <c r="B48" s="1990" t="s">
        <v>1221</v>
      </c>
      <c r="C48" s="1991" t="s">
        <v>1496</v>
      </c>
      <c r="D48" s="1991" t="s">
        <v>1497</v>
      </c>
      <c r="E48" s="1993"/>
    </row>
    <row r="49" spans="1:5" ht="38.25">
      <c r="A49" s="1989" t="s">
        <v>1061</v>
      </c>
      <c r="B49" s="1990" t="s">
        <v>1221</v>
      </c>
      <c r="C49" s="1991" t="s">
        <v>1062</v>
      </c>
      <c r="D49" s="1991" t="s">
        <v>1063</v>
      </c>
      <c r="E49" s="1993"/>
    </row>
    <row r="50" spans="1:5" ht="38.25">
      <c r="A50" s="1989" t="s">
        <v>1064</v>
      </c>
      <c r="B50" s="1990" t="s">
        <v>1222</v>
      </c>
      <c r="C50" s="1991" t="s">
        <v>1065</v>
      </c>
      <c r="D50" s="1991" t="s">
        <v>1066</v>
      </c>
      <c r="E50" s="1993"/>
    </row>
    <row r="51" spans="1:5" ht="38.25">
      <c r="A51" s="1989" t="s">
        <v>1067</v>
      </c>
      <c r="B51" s="1990" t="s">
        <v>1222</v>
      </c>
      <c r="C51" s="1991" t="s">
        <v>1068</v>
      </c>
      <c r="D51" s="1991" t="s">
        <v>1069</v>
      </c>
      <c r="E51" s="1993"/>
    </row>
    <row r="52" spans="1:5" ht="25.5">
      <c r="A52" s="1989" t="s">
        <v>1610</v>
      </c>
      <c r="B52" s="1990" t="s">
        <v>1224</v>
      </c>
      <c r="C52" s="1991" t="s">
        <v>1604</v>
      </c>
      <c r="D52" s="1991" t="s">
        <v>1606</v>
      </c>
      <c r="E52" s="1993"/>
    </row>
    <row r="53" spans="1:5" ht="25.5">
      <c r="A53" s="1989" t="s">
        <v>1611</v>
      </c>
      <c r="B53" s="1990" t="s">
        <v>1224</v>
      </c>
      <c r="C53" s="1991" t="s">
        <v>1616</v>
      </c>
      <c r="D53" s="1991" t="s">
        <v>1605</v>
      </c>
      <c r="E53" s="1993"/>
    </row>
    <row r="54" spans="1:5" ht="25.5">
      <c r="A54" s="1997" t="s">
        <v>1612</v>
      </c>
      <c r="B54" s="1990" t="s">
        <v>1224</v>
      </c>
      <c r="C54" s="1991" t="s">
        <v>1615</v>
      </c>
      <c r="D54" s="1991" t="s">
        <v>1617</v>
      </c>
      <c r="E54" s="1993"/>
    </row>
    <row r="55" spans="1:5" ht="25.5">
      <c r="A55" s="1997" t="s">
        <v>1613</v>
      </c>
      <c r="B55" s="1990" t="s">
        <v>1224</v>
      </c>
      <c r="C55" s="1991" t="s">
        <v>1614</v>
      </c>
      <c r="D55" s="1991" t="s">
        <v>1618</v>
      </c>
      <c r="E55" s="1993"/>
    </row>
    <row r="56" spans="1:5" ht="51">
      <c r="A56" s="1997" t="s">
        <v>1105</v>
      </c>
      <c r="B56" s="1990" t="s">
        <v>1223</v>
      </c>
      <c r="C56" s="1991" t="s">
        <v>1106</v>
      </c>
      <c r="D56" s="1991" t="s">
        <v>1109</v>
      </c>
      <c r="E56" s="1993"/>
    </row>
    <row r="57" spans="1:5" ht="51">
      <c r="A57" s="1997" t="s">
        <v>1107</v>
      </c>
      <c r="B57" s="1990" t="s">
        <v>1223</v>
      </c>
      <c r="C57" s="1991" t="s">
        <v>1108</v>
      </c>
      <c r="D57" s="1991" t="s">
        <v>1110</v>
      </c>
      <c r="E57" s="1993"/>
    </row>
    <row r="58" spans="1:5" ht="51">
      <c r="A58" s="1997" t="s">
        <v>1111</v>
      </c>
      <c r="B58" s="1990" t="s">
        <v>1223</v>
      </c>
      <c r="C58" s="1991" t="s">
        <v>1112</v>
      </c>
      <c r="D58" s="1991" t="s">
        <v>1113</v>
      </c>
      <c r="E58" s="1993"/>
    </row>
    <row r="59" spans="1:5" ht="63.75">
      <c r="A59" s="1996" t="s">
        <v>452</v>
      </c>
      <c r="B59" s="1990" t="s">
        <v>1576</v>
      </c>
      <c r="C59" s="1988" t="s">
        <v>453</v>
      </c>
      <c r="D59" s="1988" t="s">
        <v>456</v>
      </c>
      <c r="E59" s="1993"/>
    </row>
    <row r="60" spans="1:5" ht="29.25" customHeight="1">
      <c r="A60" s="1996" t="s">
        <v>279</v>
      </c>
      <c r="B60" s="1990" t="s">
        <v>1576</v>
      </c>
      <c r="C60" s="1988" t="s">
        <v>457</v>
      </c>
      <c r="D60" s="1988" t="s">
        <v>458</v>
      </c>
      <c r="E60" s="1993"/>
    </row>
    <row r="61" spans="1:5" ht="38.25">
      <c r="A61" s="1996" t="s">
        <v>459</v>
      </c>
      <c r="B61" s="1990" t="s">
        <v>1577</v>
      </c>
      <c r="C61" s="1988" t="s">
        <v>460</v>
      </c>
      <c r="D61" s="1988" t="s">
        <v>461</v>
      </c>
      <c r="E61" s="1993"/>
    </row>
    <row r="62" spans="1:5" ht="38.25">
      <c r="A62" s="1996" t="s">
        <v>462</v>
      </c>
      <c r="B62" s="1990" t="s">
        <v>1577</v>
      </c>
      <c r="C62" s="1988" t="s">
        <v>463</v>
      </c>
      <c r="D62" s="1991" t="s">
        <v>504</v>
      </c>
      <c r="E62" s="1993"/>
    </row>
    <row r="63" spans="1:5" ht="25.5">
      <c r="A63" s="1996" t="s">
        <v>18</v>
      </c>
      <c r="B63" s="1990" t="s">
        <v>1577</v>
      </c>
      <c r="C63" s="1988" t="s">
        <v>464</v>
      </c>
      <c r="D63" s="1991" t="s">
        <v>510</v>
      </c>
      <c r="E63" s="1992"/>
    </row>
    <row r="64" spans="1:5" ht="38.25">
      <c r="A64" s="1989" t="s">
        <v>505</v>
      </c>
      <c r="B64" s="1990" t="s">
        <v>1577</v>
      </c>
      <c r="C64" s="1991" t="s">
        <v>506</v>
      </c>
      <c r="D64" s="1991" t="s">
        <v>507</v>
      </c>
      <c r="E64" s="1992"/>
    </row>
    <row r="65" spans="1:5" ht="25.5">
      <c r="A65" s="1989" t="s">
        <v>294</v>
      </c>
      <c r="B65" s="1990" t="s">
        <v>1577</v>
      </c>
      <c r="C65" s="1991" t="s">
        <v>508</v>
      </c>
      <c r="D65" s="1991" t="s">
        <v>509</v>
      </c>
      <c r="E65" s="1992"/>
    </row>
    <row r="66" spans="1:5" ht="38.25">
      <c r="A66" s="1989" t="s">
        <v>514</v>
      </c>
      <c r="B66" s="1990" t="s">
        <v>1578</v>
      </c>
      <c r="C66" s="1988" t="s">
        <v>517</v>
      </c>
      <c r="D66" s="1988" t="s">
        <v>519</v>
      </c>
      <c r="E66" s="1993"/>
    </row>
    <row r="67" spans="1:5" ht="38.25">
      <c r="A67" s="1989" t="s">
        <v>515</v>
      </c>
      <c r="B67" s="1990" t="s">
        <v>1578</v>
      </c>
      <c r="C67" s="1988" t="s">
        <v>516</v>
      </c>
      <c r="D67" s="1988" t="s">
        <v>518</v>
      </c>
      <c r="E67" s="1993"/>
    </row>
    <row r="68" spans="1:5" ht="38.25">
      <c r="A68" s="1989" t="s">
        <v>522</v>
      </c>
      <c r="B68" s="1990" t="s">
        <v>1578</v>
      </c>
      <c r="C68" s="1988" t="s">
        <v>521</v>
      </c>
      <c r="D68" s="1988" t="s">
        <v>520</v>
      </c>
      <c r="E68" s="1993"/>
    </row>
    <row r="69" spans="1:5" ht="38.25">
      <c r="A69" s="1989" t="s">
        <v>1579</v>
      </c>
      <c r="B69" s="1990" t="s">
        <v>1580</v>
      </c>
      <c r="C69" s="1988" t="s">
        <v>1581</v>
      </c>
      <c r="D69" s="1988" t="s">
        <v>1582</v>
      </c>
      <c r="E69" s="1992" t="s">
        <v>1242</v>
      </c>
    </row>
    <row r="70" spans="1:5" ht="29.25" customHeight="1">
      <c r="A70" s="1989" t="s">
        <v>1583</v>
      </c>
      <c r="B70" s="1990" t="s">
        <v>1580</v>
      </c>
      <c r="C70" s="1988" t="s">
        <v>1584</v>
      </c>
      <c r="D70" s="1988" t="s">
        <v>1585</v>
      </c>
      <c r="E70" s="1992" t="s">
        <v>1242</v>
      </c>
    </row>
    <row r="71" spans="1:5" ht="38.25">
      <c r="A71" s="1989" t="s">
        <v>1586</v>
      </c>
      <c r="B71" s="1990" t="s">
        <v>1580</v>
      </c>
      <c r="C71" s="1988" t="s">
        <v>1587</v>
      </c>
      <c r="D71" s="1988" t="s">
        <v>1588</v>
      </c>
      <c r="E71" s="1992" t="s">
        <v>1242</v>
      </c>
    </row>
    <row r="72" spans="1:5" ht="38.25">
      <c r="A72" s="1989" t="s">
        <v>1463</v>
      </c>
      <c r="B72" s="1990" t="s">
        <v>1589</v>
      </c>
      <c r="C72" s="1719" t="s">
        <v>77</v>
      </c>
      <c r="D72" s="1988" t="s">
        <v>1434</v>
      </c>
      <c r="E72" s="1992" t="s">
        <v>1242</v>
      </c>
    </row>
    <row r="73" spans="1:5" ht="38.25">
      <c r="A73" s="1989" t="s">
        <v>1464</v>
      </c>
      <c r="B73" s="1990" t="s">
        <v>1589</v>
      </c>
      <c r="C73" s="1988" t="s">
        <v>527</v>
      </c>
      <c r="D73" s="1988" t="s">
        <v>1435</v>
      </c>
      <c r="E73" s="1992" t="s">
        <v>1242</v>
      </c>
    </row>
    <row r="74" spans="1:5" ht="39" customHeight="1">
      <c r="A74" s="1989" t="s">
        <v>1465</v>
      </c>
      <c r="B74" s="1990" t="s">
        <v>1589</v>
      </c>
      <c r="C74" s="1988" t="s">
        <v>528</v>
      </c>
      <c r="D74" s="1988" t="s">
        <v>1436</v>
      </c>
      <c r="E74" s="1992" t="s">
        <v>1242</v>
      </c>
    </row>
    <row r="75" spans="1:5" ht="38.25">
      <c r="A75" s="1989" t="s">
        <v>1466</v>
      </c>
      <c r="B75" s="1990" t="s">
        <v>1589</v>
      </c>
      <c r="C75" s="1988" t="s">
        <v>530</v>
      </c>
      <c r="D75" s="1988" t="s">
        <v>1437</v>
      </c>
      <c r="E75" s="1992" t="s">
        <v>1242</v>
      </c>
    </row>
    <row r="76" spans="1:5" ht="38.25">
      <c r="A76" s="1989" t="s">
        <v>1456</v>
      </c>
      <c r="B76" s="1990" t="s">
        <v>1589</v>
      </c>
      <c r="C76" s="1988" t="s">
        <v>529</v>
      </c>
      <c r="D76" s="1988" t="s">
        <v>1438</v>
      </c>
      <c r="E76" s="1992" t="s">
        <v>1242</v>
      </c>
    </row>
    <row r="77" spans="1:5" ht="76.5" customHeight="1">
      <c r="A77" s="1989" t="s">
        <v>1457</v>
      </c>
      <c r="B77" s="1990" t="s">
        <v>1589</v>
      </c>
      <c r="C77" s="1529" t="s">
        <v>533</v>
      </c>
      <c r="D77" s="1991" t="s">
        <v>1469</v>
      </c>
      <c r="E77" s="1992" t="s">
        <v>1473</v>
      </c>
    </row>
    <row r="78" spans="1:5" ht="43.5" customHeight="1">
      <c r="A78" s="1989" t="s">
        <v>1458</v>
      </c>
      <c r="B78" s="1990" t="s">
        <v>1589</v>
      </c>
      <c r="C78" s="1988" t="s">
        <v>1590</v>
      </c>
      <c r="D78" s="1988" t="s">
        <v>1439</v>
      </c>
      <c r="E78" s="1992" t="s">
        <v>1242</v>
      </c>
    </row>
    <row r="79" spans="1:5" ht="38.25">
      <c r="A79" s="1989" t="s">
        <v>1459</v>
      </c>
      <c r="B79" s="1990" t="s">
        <v>1589</v>
      </c>
      <c r="C79" s="1988" t="s">
        <v>531</v>
      </c>
      <c r="D79" s="1988" t="s">
        <v>1440</v>
      </c>
      <c r="E79" s="1992" t="s">
        <v>1242</v>
      </c>
    </row>
    <row r="80" spans="1:5" ht="38.25">
      <c r="A80" s="1989" t="s">
        <v>1460</v>
      </c>
      <c r="B80" s="1990" t="s">
        <v>1589</v>
      </c>
      <c r="C80" s="1988" t="s">
        <v>532</v>
      </c>
      <c r="D80" s="1988" t="s">
        <v>1441</v>
      </c>
      <c r="E80" s="1992" t="s">
        <v>1242</v>
      </c>
    </row>
    <row r="81" spans="1:5" ht="63.75">
      <c r="A81" s="1989" t="s">
        <v>1461</v>
      </c>
      <c r="B81" s="1990" t="s">
        <v>1589</v>
      </c>
      <c r="C81" s="1988" t="s">
        <v>534</v>
      </c>
      <c r="D81" s="1991" t="s">
        <v>1471</v>
      </c>
      <c r="E81" s="1992" t="s">
        <v>1472</v>
      </c>
    </row>
    <row r="82" spans="1:5" ht="38.25">
      <c r="A82" s="1989" t="s">
        <v>1467</v>
      </c>
      <c r="B82" s="1990" t="s">
        <v>1589</v>
      </c>
      <c r="C82" s="1988" t="s">
        <v>535</v>
      </c>
      <c r="D82" s="1988" t="s">
        <v>1442</v>
      </c>
      <c r="E82" s="1992" t="s">
        <v>1242</v>
      </c>
    </row>
    <row r="83" spans="1:5" ht="38.25">
      <c r="A83" s="1989" t="s">
        <v>1462</v>
      </c>
      <c r="B83" s="1990" t="s">
        <v>1589</v>
      </c>
      <c r="C83" s="1988" t="s">
        <v>536</v>
      </c>
      <c r="D83" s="1988" t="s">
        <v>1443</v>
      </c>
      <c r="E83" s="1992" t="s">
        <v>1242</v>
      </c>
    </row>
    <row r="84" spans="1:5" ht="43.5" customHeight="1">
      <c r="A84" s="1989" t="s">
        <v>1468</v>
      </c>
      <c r="B84" s="1990" t="s">
        <v>1589</v>
      </c>
      <c r="C84" s="1988" t="s">
        <v>537</v>
      </c>
      <c r="D84" s="1988" t="s">
        <v>1444</v>
      </c>
      <c r="E84" s="1992" t="s">
        <v>1242</v>
      </c>
    </row>
    <row r="85" spans="1:5" ht="63.75">
      <c r="A85" s="1989" t="s">
        <v>628</v>
      </c>
      <c r="B85" s="1990" t="s">
        <v>1591</v>
      </c>
      <c r="C85" s="1988" t="s">
        <v>1592</v>
      </c>
      <c r="D85" s="1988" t="s">
        <v>1593</v>
      </c>
      <c r="E85" s="1992" t="s">
        <v>1244</v>
      </c>
    </row>
    <row r="86" spans="1:5" ht="63.75">
      <c r="A86" s="1989" t="s">
        <v>1513</v>
      </c>
      <c r="B86" s="1990" t="s">
        <v>1591</v>
      </c>
      <c r="C86" s="1991" t="s">
        <v>1594</v>
      </c>
      <c r="D86" s="1991" t="s">
        <v>1595</v>
      </c>
      <c r="E86" s="1992" t="s">
        <v>1244</v>
      </c>
    </row>
    <row r="87" spans="1:5" ht="51">
      <c r="A87" s="1996" t="s">
        <v>541</v>
      </c>
      <c r="B87" s="1990" t="s">
        <v>1591</v>
      </c>
      <c r="C87" s="1988" t="s">
        <v>1596</v>
      </c>
      <c r="D87" s="1991" t="s">
        <v>622</v>
      </c>
      <c r="E87" s="1992" t="s">
        <v>1243</v>
      </c>
    </row>
    <row r="88" spans="1:5" ht="63.75">
      <c r="A88" s="1996" t="s">
        <v>542</v>
      </c>
      <c r="B88" s="1990" t="s">
        <v>1591</v>
      </c>
      <c r="C88" s="1991" t="s">
        <v>1597</v>
      </c>
      <c r="D88" s="1991" t="s">
        <v>1598</v>
      </c>
      <c r="E88" s="1992" t="s">
        <v>1599</v>
      </c>
    </row>
    <row r="89" spans="1:5" ht="51">
      <c r="A89" s="1996" t="s">
        <v>543</v>
      </c>
      <c r="B89" s="1990" t="s">
        <v>1591</v>
      </c>
      <c r="C89" s="1988" t="s">
        <v>1600</v>
      </c>
      <c r="D89" s="1988" t="s">
        <v>1601</v>
      </c>
      <c r="E89" s="1992" t="s">
        <v>1243</v>
      </c>
    </row>
    <row r="90" spans="1:5" ht="51">
      <c r="A90" s="1996" t="s">
        <v>616</v>
      </c>
      <c r="B90" s="1990" t="s">
        <v>1591</v>
      </c>
      <c r="C90" s="1988" t="s">
        <v>617</v>
      </c>
      <c r="D90" s="1988" t="s">
        <v>618</v>
      </c>
      <c r="E90" s="1992" t="s">
        <v>1243</v>
      </c>
    </row>
    <row r="91" spans="1:5" ht="54" customHeight="1">
      <c r="A91" s="1996" t="s">
        <v>615</v>
      </c>
      <c r="B91" s="1990" t="s">
        <v>1591</v>
      </c>
      <c r="C91" s="1988" t="s">
        <v>620</v>
      </c>
      <c r="D91" s="1988" t="s">
        <v>619</v>
      </c>
      <c r="E91" s="1992" t="s">
        <v>1243</v>
      </c>
    </row>
    <row r="92" spans="1:5" ht="51">
      <c r="A92" s="1996" t="s">
        <v>306</v>
      </c>
      <c r="B92" s="1990" t="s">
        <v>1591</v>
      </c>
      <c r="C92" s="23" t="s">
        <v>581</v>
      </c>
      <c r="D92" s="1991" t="s">
        <v>603</v>
      </c>
      <c r="E92" s="1992" t="s">
        <v>1243</v>
      </c>
    </row>
    <row r="93" spans="1:5" ht="51">
      <c r="A93" s="1989" t="s">
        <v>604</v>
      </c>
      <c r="B93" s="1990" t="s">
        <v>1591</v>
      </c>
      <c r="C93" s="1991" t="s">
        <v>605</v>
      </c>
      <c r="D93" s="1991" t="s">
        <v>606</v>
      </c>
      <c r="E93" s="1992" t="s">
        <v>1243</v>
      </c>
    </row>
    <row r="94" spans="1:5" ht="63.75">
      <c r="A94" s="1996" t="s">
        <v>1445</v>
      </c>
      <c r="B94" s="1990" t="s">
        <v>1591</v>
      </c>
      <c r="C94" s="1991" t="s">
        <v>607</v>
      </c>
      <c r="D94" s="1988" t="s">
        <v>1446</v>
      </c>
      <c r="E94" s="1992" t="s">
        <v>1244</v>
      </c>
    </row>
    <row r="95" spans="1:5" ht="51">
      <c r="A95" s="1989" t="s">
        <v>1451</v>
      </c>
      <c r="B95" s="1990" t="s">
        <v>1602</v>
      </c>
      <c r="C95" s="1991" t="s">
        <v>1123</v>
      </c>
      <c r="D95" s="3654" t="s">
        <v>1447</v>
      </c>
      <c r="E95" s="1992"/>
    </row>
    <row r="96" spans="1:5" ht="38.25">
      <c r="A96" s="1989" t="s">
        <v>1452</v>
      </c>
      <c r="B96" s="1990" t="s">
        <v>1602</v>
      </c>
      <c r="C96" s="1988" t="s">
        <v>544</v>
      </c>
      <c r="D96" s="1988" t="s">
        <v>1448</v>
      </c>
      <c r="E96" s="1992" t="s">
        <v>1246</v>
      </c>
    </row>
    <row r="97" spans="1:5" ht="51">
      <c r="A97" s="1989" t="s">
        <v>1453</v>
      </c>
      <c r="B97" s="1990" t="s">
        <v>1602</v>
      </c>
      <c r="C97" s="1719" t="s">
        <v>545</v>
      </c>
      <c r="D97" s="1988" t="s">
        <v>1449</v>
      </c>
      <c r="E97" s="1992" t="s">
        <v>1246</v>
      </c>
    </row>
    <row r="98" spans="1:5" ht="63.75">
      <c r="A98" s="1989" t="s">
        <v>1454</v>
      </c>
      <c r="B98" s="1990" t="s">
        <v>1602</v>
      </c>
      <c r="C98" s="1991" t="s">
        <v>608</v>
      </c>
      <c r="D98" s="1991" t="s">
        <v>1450</v>
      </c>
      <c r="E98" s="1992" t="s">
        <v>1243</v>
      </c>
    </row>
    <row r="99" spans="1:5" ht="76.5">
      <c r="A99" s="2200" t="s">
        <v>1455</v>
      </c>
      <c r="B99" s="3838" t="s">
        <v>1602</v>
      </c>
      <c r="C99" s="2060" t="s">
        <v>609</v>
      </c>
      <c r="D99" s="2060" t="s">
        <v>1240</v>
      </c>
      <c r="E99" s="2003" t="s">
        <v>1244</v>
      </c>
    </row>
    <row r="100" spans="1:5">
      <c r="A100" s="60"/>
    </row>
    <row r="102" spans="1:5" s="1692" customFormat="1">
      <c r="A102" s="1694" t="s">
        <v>428</v>
      </c>
      <c r="B102" s="2001" t="s">
        <v>574</v>
      </c>
      <c r="C102" s="2001" t="s">
        <v>429</v>
      </c>
      <c r="D102" s="2001"/>
      <c r="E102" s="1696"/>
    </row>
    <row r="103" spans="1:5">
      <c r="A103" s="1989" t="s">
        <v>91</v>
      </c>
      <c r="B103" s="6" t="s">
        <v>560</v>
      </c>
      <c r="C103" s="1991" t="s">
        <v>437</v>
      </c>
      <c r="D103" s="1988"/>
      <c r="E103" s="1992"/>
    </row>
    <row r="104" spans="1:5">
      <c r="A104" s="1996" t="s">
        <v>442</v>
      </c>
      <c r="B104" s="6" t="s">
        <v>561</v>
      </c>
      <c r="C104" s="1988" t="s">
        <v>443</v>
      </c>
      <c r="D104" s="1988"/>
      <c r="E104" s="1993"/>
    </row>
    <row r="105" spans="1:5">
      <c r="A105" s="1996" t="s">
        <v>195</v>
      </c>
      <c r="B105" s="6" t="s">
        <v>562</v>
      </c>
      <c r="C105" s="1988" t="s">
        <v>451</v>
      </c>
      <c r="D105" s="1988"/>
      <c r="E105" s="1993"/>
    </row>
    <row r="106" spans="1:5">
      <c r="A106" s="1996" t="s">
        <v>454</v>
      </c>
      <c r="B106" s="6" t="s">
        <v>563</v>
      </c>
      <c r="C106" s="1988" t="s">
        <v>455</v>
      </c>
      <c r="D106" s="1988"/>
      <c r="E106" s="1993"/>
    </row>
    <row r="107" spans="1:5">
      <c r="A107" s="1996" t="s">
        <v>1504</v>
      </c>
      <c r="B107" s="6" t="s">
        <v>565</v>
      </c>
      <c r="C107" s="1988" t="s">
        <v>1505</v>
      </c>
      <c r="D107" s="1988"/>
      <c r="E107" s="1993"/>
    </row>
    <row r="108" spans="1:5">
      <c r="A108" s="1996" t="s">
        <v>1506</v>
      </c>
      <c r="B108" s="6" t="s">
        <v>565</v>
      </c>
      <c r="C108" s="1988" t="s">
        <v>1507</v>
      </c>
      <c r="D108" s="1988"/>
      <c r="E108" s="1993"/>
    </row>
    <row r="109" spans="1:5">
      <c r="A109" s="1996" t="s">
        <v>1508</v>
      </c>
      <c r="B109" s="6" t="s">
        <v>565</v>
      </c>
      <c r="C109" s="1988" t="s">
        <v>1509</v>
      </c>
      <c r="D109" s="1988"/>
      <c r="E109" s="1993"/>
    </row>
    <row r="110" spans="1:5">
      <c r="A110" s="1996" t="s">
        <v>909</v>
      </c>
      <c r="B110" s="6" t="s">
        <v>566</v>
      </c>
      <c r="C110" s="1988" t="s">
        <v>1510</v>
      </c>
      <c r="D110" s="1988"/>
      <c r="E110" s="1993"/>
    </row>
    <row r="111" spans="1:5">
      <c r="A111" s="1996" t="s">
        <v>569</v>
      </c>
      <c r="B111" s="6" t="s">
        <v>566</v>
      </c>
      <c r="C111" s="1988" t="s">
        <v>568</v>
      </c>
      <c r="D111" s="1988"/>
      <c r="E111" s="1993"/>
    </row>
    <row r="112" spans="1:5">
      <c r="A112" s="1996" t="s">
        <v>547</v>
      </c>
      <c r="B112" s="6" t="s">
        <v>566</v>
      </c>
      <c r="C112" s="1988" t="s">
        <v>567</v>
      </c>
      <c r="D112" s="1988"/>
      <c r="E112" s="1993"/>
    </row>
    <row r="113" spans="1:5">
      <c r="A113" s="1996" t="s">
        <v>570</v>
      </c>
      <c r="B113" s="6" t="s">
        <v>566</v>
      </c>
      <c r="C113" s="1988" t="s">
        <v>572</v>
      </c>
      <c r="D113" s="1988"/>
      <c r="E113" s="1993"/>
    </row>
    <row r="114" spans="1:5">
      <c r="A114" s="1996" t="s">
        <v>571</v>
      </c>
      <c r="B114" s="6" t="s">
        <v>566</v>
      </c>
      <c r="C114" s="1988" t="s">
        <v>573</v>
      </c>
      <c r="D114" s="1988"/>
      <c r="E114" s="1993"/>
    </row>
    <row r="115" spans="1:5">
      <c r="A115" s="1989" t="s">
        <v>409</v>
      </c>
      <c r="B115" s="6" t="s">
        <v>564</v>
      </c>
      <c r="C115" s="1991" t="s">
        <v>407</v>
      </c>
      <c r="D115" s="1988"/>
      <c r="E115" s="1993"/>
    </row>
    <row r="116" spans="1:5">
      <c r="A116" s="1996" t="s">
        <v>412</v>
      </c>
      <c r="B116" s="6" t="s">
        <v>564</v>
      </c>
      <c r="C116" s="1988" t="s">
        <v>538</v>
      </c>
      <c r="D116" s="1988"/>
      <c r="E116" s="1993"/>
    </row>
    <row r="117" spans="1:5">
      <c r="A117" s="1996" t="s">
        <v>539</v>
      </c>
      <c r="B117" s="6" t="s">
        <v>564</v>
      </c>
      <c r="C117" s="1988" t="s">
        <v>540</v>
      </c>
      <c r="D117" s="1988"/>
      <c r="E117" s="1993"/>
    </row>
    <row r="118" spans="1:5">
      <c r="A118" s="1996" t="s">
        <v>410</v>
      </c>
      <c r="B118" s="6" t="s">
        <v>564</v>
      </c>
      <c r="C118" s="1988" t="s">
        <v>546</v>
      </c>
      <c r="D118" s="1988"/>
      <c r="E118" s="1993"/>
    </row>
    <row r="119" spans="1:5">
      <c r="A119" s="1996" t="s">
        <v>552</v>
      </c>
      <c r="B119" s="6" t="s">
        <v>564</v>
      </c>
      <c r="C119" s="1988" t="s">
        <v>553</v>
      </c>
      <c r="D119" s="1988"/>
      <c r="E119" s="1993"/>
    </row>
    <row r="120" spans="1:5">
      <c r="A120" s="1996" t="s">
        <v>554</v>
      </c>
      <c r="B120" s="6" t="s">
        <v>564</v>
      </c>
      <c r="C120" s="1988" t="s">
        <v>555</v>
      </c>
      <c r="D120" s="1988"/>
      <c r="E120" s="1993"/>
    </row>
    <row r="121" spans="1:5">
      <c r="A121" s="1996" t="s">
        <v>556</v>
      </c>
      <c r="B121" s="6" t="s">
        <v>564</v>
      </c>
      <c r="C121" s="1988" t="s">
        <v>557</v>
      </c>
      <c r="D121" s="1988"/>
      <c r="E121" s="1993"/>
    </row>
    <row r="122" spans="1:5">
      <c r="A122" s="1996" t="s">
        <v>558</v>
      </c>
      <c r="B122" s="6" t="s">
        <v>564</v>
      </c>
      <c r="C122" s="1988" t="s">
        <v>559</v>
      </c>
      <c r="D122" s="1988"/>
      <c r="E122" s="1993"/>
    </row>
    <row r="123" spans="1:5">
      <c r="A123" s="1996" t="s">
        <v>548</v>
      </c>
      <c r="B123" s="6" t="s">
        <v>564</v>
      </c>
      <c r="C123" s="1988" t="s">
        <v>549</v>
      </c>
      <c r="D123" s="1988"/>
      <c r="E123" s="1993"/>
    </row>
    <row r="124" spans="1:5">
      <c r="A124" s="1989" t="s">
        <v>550</v>
      </c>
      <c r="B124" s="6" t="s">
        <v>564</v>
      </c>
      <c r="C124" s="1988" t="s">
        <v>551</v>
      </c>
      <c r="D124" s="1988"/>
      <c r="E124" s="1993"/>
    </row>
    <row r="125" spans="1:5" ht="25.5">
      <c r="A125" s="60" t="s">
        <v>621</v>
      </c>
      <c r="B125" s="6" t="s">
        <v>564</v>
      </c>
      <c r="C125" s="60" t="s">
        <v>1070</v>
      </c>
      <c r="E125" s="1993"/>
    </row>
    <row r="126" spans="1:5">
      <c r="A126" s="2200" t="s">
        <v>1511</v>
      </c>
      <c r="B126" s="1720" t="s">
        <v>564</v>
      </c>
      <c r="C126" s="1999" t="s">
        <v>1512</v>
      </c>
      <c r="D126" s="1999"/>
      <c r="E126" s="2000"/>
    </row>
  </sheetData>
  <sheetProtection password="E0BE" sheet="1" objects="1" scenarios="1"/>
  <mergeCells count="1">
    <mergeCell ref="A1:E1"/>
  </mergeCells>
  <printOptions gridLines="1"/>
  <pageMargins left="0.7" right="0.7" top="0.75" bottom="0.75" header="0.3" footer="0.3"/>
  <pageSetup scale="60" fitToHeight="6" orientation="landscape" horizontalDpi="1200" verticalDpi="1200" r:id="rId1"/>
  <headerFooter>
    <oddFooter>&amp;L&amp;A&amp;R&amp;D</oddFooter>
  </headerFooter>
  <rowBreaks count="2" manualBreakCount="2">
    <brk id="19" max="16383" man="1"/>
    <brk id="101" max="16383" man="1"/>
  </rowBreaks>
</worksheet>
</file>

<file path=xl/worksheets/sheet37.xml><?xml version="1.0" encoding="utf-8"?>
<worksheet xmlns="http://schemas.openxmlformats.org/spreadsheetml/2006/main" xmlns:r="http://schemas.openxmlformats.org/officeDocument/2006/relationships">
  <sheetPr codeName="Sheet24"/>
  <dimension ref="A1:BF108"/>
  <sheetViews>
    <sheetView zoomScale="85" zoomScaleNormal="85" workbookViewId="0">
      <selection activeCell="E133" sqref="E133"/>
    </sheetView>
  </sheetViews>
  <sheetFormatPr defaultRowHeight="12.75"/>
  <cols>
    <col min="1" max="1" width="24.85546875" customWidth="1"/>
    <col min="2" max="2" width="10" customWidth="1"/>
    <col min="3" max="5" width="10.7109375" customWidth="1"/>
    <col min="6" max="6" width="6.42578125" customWidth="1"/>
    <col min="7" max="7" width="21.5703125" customWidth="1"/>
    <col min="8" max="11" width="11.7109375" customWidth="1"/>
    <col min="12" max="12" width="6.42578125" customWidth="1"/>
    <col min="13" max="13" width="29.5703125" customWidth="1"/>
    <col min="14" max="21" width="10.5703125" customWidth="1"/>
    <col min="22" max="22" width="6.42578125" customWidth="1"/>
    <col min="23" max="23" width="6.28515625" customWidth="1"/>
    <col min="24" max="24" width="27" customWidth="1"/>
    <col min="25" max="28" width="9.85546875" customWidth="1"/>
    <col min="29" max="29" width="6.7109375" customWidth="1"/>
    <col min="30" max="30" width="25.5703125" customWidth="1"/>
    <col min="31" max="34" width="10.85546875" customWidth="1"/>
    <col min="35" max="35" width="5.7109375" style="40" customWidth="1"/>
    <col min="36" max="36" width="18.140625" customWidth="1"/>
    <col min="37" max="40" width="10.7109375" customWidth="1"/>
    <col min="41" max="41" width="5" customWidth="1"/>
    <col min="42" max="42" width="20.42578125" customWidth="1"/>
    <col min="43" max="45" width="10.7109375" customWidth="1"/>
    <col min="46" max="46" width="10.85546875" customWidth="1"/>
    <col min="47" max="47" width="4.42578125" customWidth="1"/>
    <col min="48" max="48" width="17.85546875" customWidth="1"/>
    <col min="49" max="52" width="11" customWidth="1"/>
    <col min="53" max="53" width="4.42578125" customWidth="1"/>
    <col min="54" max="54" width="20" customWidth="1"/>
  </cols>
  <sheetData>
    <row r="1" spans="1:58" ht="144" customHeight="1">
      <c r="A1" s="5165" t="s">
        <v>1114</v>
      </c>
      <c r="B1" s="5165"/>
      <c r="C1" s="5165"/>
      <c r="D1" s="5165"/>
      <c r="E1" s="5165"/>
      <c r="F1" s="5165"/>
      <c r="G1" s="5165"/>
      <c r="H1" s="5165"/>
      <c r="I1" s="5165"/>
      <c r="J1" s="5165"/>
      <c r="K1" s="5165"/>
      <c r="L1" s="1693"/>
    </row>
    <row r="2" spans="1:58" s="3" customFormat="1" ht="13.5" hidden="1" thickBot="1">
      <c r="A2" s="4640" t="s">
        <v>176</v>
      </c>
      <c r="B2" s="4641"/>
      <c r="C2" s="4641"/>
      <c r="D2" s="4641"/>
      <c r="E2" s="4642"/>
      <c r="G2" s="5163" t="s">
        <v>1338</v>
      </c>
      <c r="H2" s="5164"/>
      <c r="I2" s="5164"/>
      <c r="J2" s="5164"/>
      <c r="K2" s="5164"/>
      <c r="M2" s="5163" t="s">
        <v>1339</v>
      </c>
      <c r="N2" s="5164"/>
      <c r="O2" s="5164"/>
      <c r="P2" s="5164"/>
      <c r="Q2" s="5164"/>
      <c r="R2" s="5164"/>
      <c r="S2" s="5164"/>
      <c r="T2" s="5170"/>
      <c r="U2" s="2461"/>
      <c r="W2" s="585"/>
      <c r="X2" s="4640" t="s">
        <v>177</v>
      </c>
      <c r="Y2" s="4641"/>
      <c r="Z2" s="4641"/>
      <c r="AA2" s="4641"/>
      <c r="AB2" s="4642"/>
      <c r="AD2" s="4640" t="s">
        <v>178</v>
      </c>
      <c r="AE2" s="4641"/>
      <c r="AF2" s="4641"/>
      <c r="AG2" s="4641"/>
      <c r="AH2" s="4642"/>
      <c r="AI2" s="1718"/>
      <c r="AJ2" s="5160" t="s">
        <v>293</v>
      </c>
      <c r="AK2" s="5161"/>
      <c r="AL2" s="5161"/>
      <c r="AM2" s="5161"/>
      <c r="AN2" s="5162"/>
      <c r="AP2" s="4640" t="s">
        <v>597</v>
      </c>
      <c r="AQ2" s="4641"/>
      <c r="AR2" s="4641"/>
      <c r="AS2" s="4641"/>
      <c r="AT2" s="4642"/>
      <c r="AV2" s="4640" t="s">
        <v>623</v>
      </c>
      <c r="AW2" s="4641"/>
      <c r="AX2" s="4641"/>
      <c r="AY2" s="4641"/>
      <c r="AZ2" s="4642"/>
      <c r="BB2" s="4640" t="s">
        <v>624</v>
      </c>
      <c r="BC2" s="4641"/>
      <c r="BD2" s="4641"/>
      <c r="BE2" s="4641"/>
      <c r="BF2" s="4642"/>
    </row>
    <row r="3" spans="1:58" ht="12.75" hidden="1" customHeight="1">
      <c r="A3" s="2280" t="s">
        <v>638</v>
      </c>
      <c r="B3" s="69" t="s">
        <v>84</v>
      </c>
      <c r="C3" s="2281" t="s">
        <v>85</v>
      </c>
      <c r="D3" s="69" t="s">
        <v>152</v>
      </c>
      <c r="E3" s="81" t="s">
        <v>153</v>
      </c>
      <c r="G3" s="77" t="s">
        <v>72</v>
      </c>
      <c r="H3" s="2496" t="s">
        <v>84</v>
      </c>
      <c r="I3" s="2462" t="s">
        <v>85</v>
      </c>
      <c r="J3" s="1709" t="s">
        <v>152</v>
      </c>
      <c r="K3" s="509" t="s">
        <v>153</v>
      </c>
      <c r="M3" s="83" t="s">
        <v>677</v>
      </c>
      <c r="N3" s="5150" t="s">
        <v>84</v>
      </c>
      <c r="O3" s="5151"/>
      <c r="P3" s="5152" t="s">
        <v>85</v>
      </c>
      <c r="Q3" s="5152"/>
      <c r="R3" s="5151" t="s">
        <v>152</v>
      </c>
      <c r="S3" s="5151"/>
      <c r="T3" s="5151" t="s">
        <v>153</v>
      </c>
      <c r="U3" s="5154"/>
      <c r="X3" s="2577" t="s">
        <v>802</v>
      </c>
      <c r="Y3" s="2441" t="s">
        <v>84</v>
      </c>
      <c r="Z3" s="2570" t="s">
        <v>85</v>
      </c>
      <c r="AA3" s="2441" t="s">
        <v>152</v>
      </c>
      <c r="AB3" s="509" t="s">
        <v>153</v>
      </c>
      <c r="AD3" s="328" t="s">
        <v>1399</v>
      </c>
      <c r="AE3" s="2441" t="s">
        <v>84</v>
      </c>
      <c r="AF3" s="1710" t="s">
        <v>85</v>
      </c>
      <c r="AG3" s="59" t="s">
        <v>152</v>
      </c>
      <c r="AH3" s="509" t="s">
        <v>153</v>
      </c>
      <c r="AI3" s="46"/>
      <c r="AJ3" s="854" t="s">
        <v>48</v>
      </c>
      <c r="AK3" s="855"/>
      <c r="AL3" s="855"/>
      <c r="AM3" s="856"/>
      <c r="AN3" s="857"/>
      <c r="AP3" s="854" t="s">
        <v>48</v>
      </c>
      <c r="AQ3" s="855"/>
      <c r="AR3" s="855"/>
      <c r="AS3" s="856"/>
      <c r="AT3" s="857"/>
      <c r="AV3" s="83" t="s">
        <v>267</v>
      </c>
      <c r="AW3" s="59" t="s">
        <v>84</v>
      </c>
      <c r="AX3" s="27" t="s">
        <v>85</v>
      </c>
      <c r="AY3" s="1029" t="s">
        <v>152</v>
      </c>
      <c r="AZ3" s="509" t="s">
        <v>153</v>
      </c>
      <c r="BB3" s="854" t="s">
        <v>48</v>
      </c>
      <c r="BC3" s="855"/>
      <c r="BD3" s="855"/>
      <c r="BE3" s="856"/>
      <c r="BF3" s="857"/>
    </row>
    <row r="4" spans="1:58" ht="12.75" hidden="1" customHeight="1">
      <c r="A4" s="79" t="s">
        <v>89</v>
      </c>
      <c r="B4" s="70">
        <v>2</v>
      </c>
      <c r="C4" s="873">
        <v>2</v>
      </c>
      <c r="D4" s="871">
        <v>2</v>
      </c>
      <c r="E4" s="872">
        <v>2</v>
      </c>
      <c r="G4" s="79" t="s">
        <v>92</v>
      </c>
      <c r="H4" s="70">
        <v>3</v>
      </c>
      <c r="I4" s="873">
        <v>3</v>
      </c>
      <c r="J4" s="871">
        <v>3</v>
      </c>
      <c r="K4" s="872">
        <v>3</v>
      </c>
      <c r="L4" s="6"/>
      <c r="M4" s="79" t="s">
        <v>89</v>
      </c>
      <c r="N4" s="5166">
        <v>2</v>
      </c>
      <c r="O4" s="5167"/>
      <c r="P4" s="5168">
        <v>2</v>
      </c>
      <c r="Q4" s="5169"/>
      <c r="R4" s="5171">
        <v>3</v>
      </c>
      <c r="S4" s="5172"/>
      <c r="T4" s="5173">
        <v>3</v>
      </c>
      <c r="U4" s="5174"/>
      <c r="X4" s="2578" t="s">
        <v>89</v>
      </c>
      <c r="Y4" s="2560">
        <v>1</v>
      </c>
      <c r="Z4" s="2561">
        <v>1</v>
      </c>
      <c r="AA4" s="2559">
        <v>1</v>
      </c>
      <c r="AB4" s="872">
        <v>1</v>
      </c>
      <c r="AD4" s="327" t="s">
        <v>89</v>
      </c>
      <c r="AE4" s="2543">
        <v>1</v>
      </c>
      <c r="AF4" s="2507">
        <v>1</v>
      </c>
      <c r="AG4" s="2208">
        <v>1</v>
      </c>
      <c r="AH4" s="872">
        <v>1</v>
      </c>
      <c r="AI4" s="842"/>
      <c r="AJ4" s="328" t="s">
        <v>192</v>
      </c>
      <c r="AK4" s="59" t="s">
        <v>84</v>
      </c>
      <c r="AL4" s="27" t="s">
        <v>85</v>
      </c>
      <c r="AM4" s="588" t="s">
        <v>152</v>
      </c>
      <c r="AN4" s="509" t="s">
        <v>153</v>
      </c>
      <c r="AP4" s="83" t="s">
        <v>179</v>
      </c>
      <c r="AQ4" s="59" t="s">
        <v>84</v>
      </c>
      <c r="AR4" s="82" t="s">
        <v>85</v>
      </c>
      <c r="AS4" s="508" t="s">
        <v>152</v>
      </c>
      <c r="AT4" s="509" t="s">
        <v>153</v>
      </c>
      <c r="AV4" s="79" t="s">
        <v>228</v>
      </c>
      <c r="AW4" s="70">
        <v>2</v>
      </c>
      <c r="AX4" s="873">
        <v>2</v>
      </c>
      <c r="AY4" s="1030">
        <v>2</v>
      </c>
      <c r="AZ4" s="872">
        <v>2</v>
      </c>
      <c r="BB4" s="83" t="s">
        <v>234</v>
      </c>
      <c r="BC4" s="59" t="s">
        <v>84</v>
      </c>
      <c r="BD4" s="2204" t="s">
        <v>85</v>
      </c>
      <c r="BE4" s="508" t="s">
        <v>152</v>
      </c>
      <c r="BF4" s="509" t="s">
        <v>153</v>
      </c>
    </row>
    <row r="5" spans="1:58" ht="12.75" hidden="1" customHeight="1">
      <c r="A5" s="7">
        <v>1</v>
      </c>
      <c r="B5" s="22" t="s">
        <v>59</v>
      </c>
      <c r="C5" s="23" t="s">
        <v>59</v>
      </c>
      <c r="D5" s="22" t="s">
        <v>59</v>
      </c>
      <c r="E5" s="49" t="s">
        <v>59</v>
      </c>
      <c r="G5" s="7">
        <v>1</v>
      </c>
      <c r="H5" s="22" t="s">
        <v>73</v>
      </c>
      <c r="I5" s="23" t="s">
        <v>73</v>
      </c>
      <c r="J5" s="22" t="s">
        <v>73</v>
      </c>
      <c r="K5" s="49" t="s">
        <v>73</v>
      </c>
      <c r="M5" s="7">
        <v>1</v>
      </c>
      <c r="N5" s="2492" t="s">
        <v>93</v>
      </c>
      <c r="O5" s="46"/>
      <c r="P5" s="59" t="s">
        <v>93</v>
      </c>
      <c r="Q5" s="2442"/>
      <c r="R5" s="46" t="s">
        <v>93</v>
      </c>
      <c r="S5" s="46"/>
      <c r="T5" s="23" t="s">
        <v>93</v>
      </c>
      <c r="U5" s="49"/>
      <c r="X5" s="2579">
        <v>1</v>
      </c>
      <c r="Y5" s="2492" t="s">
        <v>776</v>
      </c>
      <c r="Z5" s="23" t="s">
        <v>776</v>
      </c>
      <c r="AA5" s="2492" t="s">
        <v>776</v>
      </c>
      <c r="AB5" s="49" t="s">
        <v>776</v>
      </c>
      <c r="AD5" s="326">
        <v>1</v>
      </c>
      <c r="AE5" s="2492" t="s">
        <v>59</v>
      </c>
      <c r="AF5" s="2492" t="s">
        <v>59</v>
      </c>
      <c r="AG5" s="2492" t="s">
        <v>59</v>
      </c>
      <c r="AH5" s="3738" t="s">
        <v>59</v>
      </c>
      <c r="AI5" s="46"/>
      <c r="AJ5" s="327" t="s">
        <v>89</v>
      </c>
      <c r="AK5" s="70">
        <v>2</v>
      </c>
      <c r="AL5" s="873">
        <v>2</v>
      </c>
      <c r="AM5" s="871">
        <v>2</v>
      </c>
      <c r="AN5" s="872">
        <v>2</v>
      </c>
      <c r="AP5" s="79" t="s">
        <v>89</v>
      </c>
      <c r="AQ5" s="70">
        <v>2</v>
      </c>
      <c r="AR5" s="873">
        <v>2</v>
      </c>
      <c r="AS5" s="871">
        <v>2</v>
      </c>
      <c r="AT5" s="872">
        <v>2</v>
      </c>
      <c r="AV5" s="7">
        <v>1</v>
      </c>
      <c r="AW5" s="23" t="s">
        <v>269</v>
      </c>
      <c r="AX5" s="245" t="s">
        <v>269</v>
      </c>
      <c r="AY5" s="59" t="s">
        <v>269</v>
      </c>
      <c r="AZ5" s="245" t="s">
        <v>269</v>
      </c>
      <c r="BB5" s="79" t="s">
        <v>89</v>
      </c>
      <c r="BC5" s="70">
        <v>5</v>
      </c>
      <c r="BD5" s="870">
        <v>5</v>
      </c>
      <c r="BE5" s="2208">
        <v>5</v>
      </c>
      <c r="BF5" s="872">
        <v>5</v>
      </c>
    </row>
    <row r="6" spans="1:58" ht="12.75" hidden="1" customHeight="1">
      <c r="A6" s="80">
        <v>2</v>
      </c>
      <c r="B6" s="24" t="s">
        <v>96</v>
      </c>
      <c r="C6" s="24" t="s">
        <v>96</v>
      </c>
      <c r="D6" s="24" t="s">
        <v>96</v>
      </c>
      <c r="E6" s="24" t="s">
        <v>96</v>
      </c>
      <c r="G6" s="7">
        <v>2</v>
      </c>
      <c r="H6" s="22" t="s">
        <v>74</v>
      </c>
      <c r="I6" s="23" t="s">
        <v>74</v>
      </c>
      <c r="J6" s="22" t="s">
        <v>74</v>
      </c>
      <c r="K6" s="49" t="s">
        <v>74</v>
      </c>
      <c r="L6" s="21"/>
      <c r="M6" s="7">
        <v>2</v>
      </c>
      <c r="N6" s="22" t="s">
        <v>107</v>
      </c>
      <c r="O6" s="23"/>
      <c r="P6" s="23" t="s">
        <v>107</v>
      </c>
      <c r="Q6" s="2443"/>
      <c r="R6" s="23" t="s">
        <v>107</v>
      </c>
      <c r="S6" s="23"/>
      <c r="T6" s="23" t="s">
        <v>107</v>
      </c>
      <c r="U6" s="49"/>
      <c r="X6" s="2580">
        <v>2</v>
      </c>
      <c r="Y6" s="2498" t="s">
        <v>777</v>
      </c>
      <c r="Z6" s="2285" t="s">
        <v>777</v>
      </c>
      <c r="AA6" s="2498" t="s">
        <v>777</v>
      </c>
      <c r="AB6" s="81" t="s">
        <v>777</v>
      </c>
      <c r="AD6" s="329">
        <v>2</v>
      </c>
      <c r="AE6" s="24" t="s">
        <v>117</v>
      </c>
      <c r="AF6" s="24" t="s">
        <v>117</v>
      </c>
      <c r="AG6" s="24" t="s">
        <v>117</v>
      </c>
      <c r="AH6" s="2485" t="s">
        <v>117</v>
      </c>
      <c r="AI6" s="46"/>
      <c r="AJ6" s="326">
        <v>1</v>
      </c>
      <c r="AK6" s="46" t="s">
        <v>59</v>
      </c>
      <c r="AL6" s="23" t="s">
        <v>59</v>
      </c>
      <c r="AM6" s="586" t="s">
        <v>59</v>
      </c>
      <c r="AN6" s="49" t="s">
        <v>59</v>
      </c>
      <c r="AP6" s="7">
        <v>1</v>
      </c>
      <c r="AQ6" s="46" t="s">
        <v>59</v>
      </c>
      <c r="AR6" s="49" t="s">
        <v>59</v>
      </c>
      <c r="AS6" s="23" t="s">
        <v>59</v>
      </c>
      <c r="AT6" s="49" t="s">
        <v>59</v>
      </c>
      <c r="AV6" s="7">
        <v>2</v>
      </c>
      <c r="AW6" s="23" t="s">
        <v>590</v>
      </c>
      <c r="AX6" s="49" t="s">
        <v>590</v>
      </c>
      <c r="AY6" s="23" t="s">
        <v>590</v>
      </c>
      <c r="AZ6" s="49" t="s">
        <v>590</v>
      </c>
      <c r="BB6" s="7">
        <v>1</v>
      </c>
      <c r="BC6" s="46" t="s">
        <v>59</v>
      </c>
      <c r="BD6" s="49" t="s">
        <v>59</v>
      </c>
      <c r="BE6" s="23" t="s">
        <v>59</v>
      </c>
      <c r="BF6" s="49" t="s">
        <v>59</v>
      </c>
    </row>
    <row r="7" spans="1:58" ht="13.5" hidden="1" customHeight="1" thickBot="1">
      <c r="A7" s="869"/>
      <c r="B7" s="2496"/>
      <c r="C7" s="3575"/>
      <c r="D7" s="2496"/>
      <c r="E7" s="3576"/>
      <c r="G7" s="80">
        <v>3</v>
      </c>
      <c r="H7" s="24" t="s">
        <v>86</v>
      </c>
      <c r="I7" s="25" t="s">
        <v>86</v>
      </c>
      <c r="J7" s="24" t="s">
        <v>86</v>
      </c>
      <c r="K7" s="81" t="s">
        <v>86</v>
      </c>
      <c r="M7" s="9">
        <v>3</v>
      </c>
      <c r="N7" s="2493" t="s">
        <v>404</v>
      </c>
      <c r="O7" s="84"/>
      <c r="P7" s="84" t="s">
        <v>404</v>
      </c>
      <c r="Q7" s="2502"/>
      <c r="R7" s="84" t="s">
        <v>404</v>
      </c>
      <c r="S7" s="84"/>
      <c r="T7" s="84" t="s">
        <v>404</v>
      </c>
      <c r="U7" s="50"/>
      <c r="X7" s="323"/>
      <c r="Y7" s="2497"/>
      <c r="Z7" s="2283"/>
      <c r="AA7" s="2283"/>
      <c r="AB7" s="2284"/>
      <c r="AD7" s="323"/>
      <c r="AE7" s="2499"/>
      <c r="AF7" s="2574"/>
      <c r="AG7" s="324"/>
      <c r="AH7" s="2279"/>
      <c r="AI7" s="324"/>
      <c r="AJ7" s="329">
        <v>2</v>
      </c>
      <c r="AK7" s="25" t="s">
        <v>96</v>
      </c>
      <c r="AL7" s="25" t="s">
        <v>96</v>
      </c>
      <c r="AM7" s="587" t="s">
        <v>96</v>
      </c>
      <c r="AN7" s="81" t="s">
        <v>96</v>
      </c>
      <c r="AP7" s="7">
        <v>2</v>
      </c>
      <c r="AQ7" s="23" t="s">
        <v>96</v>
      </c>
      <c r="AR7" s="49" t="s">
        <v>96</v>
      </c>
      <c r="AS7" s="23" t="s">
        <v>96</v>
      </c>
      <c r="AT7" s="49" t="s">
        <v>96</v>
      </c>
      <c r="AV7" s="80">
        <v>3</v>
      </c>
      <c r="AW7" s="25" t="s">
        <v>270</v>
      </c>
      <c r="AX7" s="81" t="s">
        <v>270</v>
      </c>
      <c r="AY7" s="25" t="s">
        <v>270</v>
      </c>
      <c r="AZ7" s="81" t="s">
        <v>270</v>
      </c>
      <c r="BB7" s="7">
        <v>2</v>
      </c>
      <c r="BC7" s="3574" t="s">
        <v>1122</v>
      </c>
      <c r="BD7" s="49" t="s">
        <v>1122</v>
      </c>
      <c r="BE7" s="46" t="s">
        <v>1122</v>
      </c>
      <c r="BF7" s="49" t="s">
        <v>1122</v>
      </c>
    </row>
    <row r="8" spans="1:58" ht="12.75" hidden="1" customHeight="1">
      <c r="A8" s="2278" t="s">
        <v>1295</v>
      </c>
      <c r="B8" s="22" t="s">
        <v>84</v>
      </c>
      <c r="C8" s="1720" t="s">
        <v>85</v>
      </c>
      <c r="D8" s="22" t="s">
        <v>152</v>
      </c>
      <c r="E8" s="81" t="s">
        <v>153</v>
      </c>
      <c r="G8" s="7"/>
      <c r="H8" s="2494"/>
      <c r="I8" s="6"/>
      <c r="J8" s="2494"/>
      <c r="K8" s="5"/>
      <c r="M8" s="7"/>
      <c r="N8" s="2494"/>
      <c r="O8" s="6"/>
      <c r="P8" s="6"/>
      <c r="Q8" s="2503"/>
      <c r="R8" s="6"/>
      <c r="S8" s="6"/>
      <c r="T8" s="2510"/>
      <c r="U8" s="2489"/>
      <c r="X8" s="328" t="s">
        <v>765</v>
      </c>
      <c r="Y8" s="22" t="s">
        <v>84</v>
      </c>
      <c r="Z8" s="1720" t="s">
        <v>85</v>
      </c>
      <c r="AA8" s="22" t="s">
        <v>152</v>
      </c>
      <c r="AB8" s="81" t="s">
        <v>153</v>
      </c>
      <c r="AD8" s="328" t="s">
        <v>184</v>
      </c>
      <c r="AE8" s="2441" t="s">
        <v>84</v>
      </c>
      <c r="AF8" s="1710" t="s">
        <v>85</v>
      </c>
      <c r="AG8" s="59" t="s">
        <v>152</v>
      </c>
      <c r="AH8" s="509" t="s">
        <v>153</v>
      </c>
      <c r="AI8" s="46"/>
      <c r="AJ8" s="323"/>
      <c r="AK8" s="324"/>
      <c r="AL8" s="324"/>
      <c r="AM8" s="323"/>
      <c r="AN8" s="325"/>
      <c r="AP8" s="7"/>
      <c r="AQ8" s="23"/>
      <c r="AR8" s="49"/>
      <c r="AS8" s="23"/>
      <c r="AT8" s="49"/>
      <c r="AV8" s="869"/>
      <c r="AW8" s="508"/>
      <c r="AX8" s="509"/>
      <c r="AY8" s="508"/>
      <c r="AZ8" s="509"/>
      <c r="BB8" s="7">
        <v>3</v>
      </c>
      <c r="BC8" s="23" t="s">
        <v>195</v>
      </c>
      <c r="BD8" s="49" t="s">
        <v>195</v>
      </c>
      <c r="BE8" s="23" t="s">
        <v>195</v>
      </c>
      <c r="BF8" s="49" t="s">
        <v>195</v>
      </c>
    </row>
    <row r="9" spans="1:58" ht="12.75" hidden="1" customHeight="1">
      <c r="A9" s="327" t="s">
        <v>89</v>
      </c>
      <c r="B9" s="70">
        <v>1</v>
      </c>
      <c r="C9" s="873">
        <v>1</v>
      </c>
      <c r="D9" s="871">
        <v>1</v>
      </c>
      <c r="E9" s="872">
        <v>1</v>
      </c>
      <c r="G9" s="77" t="s">
        <v>244</v>
      </c>
      <c r="H9" s="2496" t="s">
        <v>84</v>
      </c>
      <c r="I9" s="2462" t="s">
        <v>85</v>
      </c>
      <c r="J9" s="1709" t="s">
        <v>152</v>
      </c>
      <c r="K9" s="509" t="s">
        <v>153</v>
      </c>
      <c r="M9" s="83" t="s">
        <v>761</v>
      </c>
      <c r="N9" s="5150" t="s">
        <v>84</v>
      </c>
      <c r="O9" s="5151"/>
      <c r="P9" s="5152" t="s">
        <v>85</v>
      </c>
      <c r="Q9" s="5153"/>
      <c r="R9" s="5151" t="s">
        <v>152</v>
      </c>
      <c r="S9" s="5151"/>
      <c r="T9" s="5151" t="s">
        <v>153</v>
      </c>
      <c r="U9" s="5154"/>
      <c r="X9" s="327" t="s">
        <v>89</v>
      </c>
      <c r="Y9" s="2543">
        <v>1</v>
      </c>
      <c r="Z9" s="2544">
        <v>1</v>
      </c>
      <c r="AA9" s="2545">
        <v>1</v>
      </c>
      <c r="AB9" s="872">
        <v>1</v>
      </c>
      <c r="AD9" s="327" t="s">
        <v>89</v>
      </c>
      <c r="AE9" s="2543">
        <v>2</v>
      </c>
      <c r="AF9" s="2507">
        <v>2</v>
      </c>
      <c r="AG9" s="2208">
        <v>2</v>
      </c>
      <c r="AH9" s="872">
        <v>2</v>
      </c>
      <c r="AI9" s="842"/>
      <c r="AJ9" s="328" t="s">
        <v>193</v>
      </c>
      <c r="AK9" s="59" t="s">
        <v>84</v>
      </c>
      <c r="AL9" s="27" t="s">
        <v>85</v>
      </c>
      <c r="AM9" s="588" t="s">
        <v>152</v>
      </c>
      <c r="AN9" s="509" t="s">
        <v>153</v>
      </c>
      <c r="AP9" s="83" t="s">
        <v>180</v>
      </c>
      <c r="AQ9" s="59" t="s">
        <v>84</v>
      </c>
      <c r="AR9" s="82" t="s">
        <v>85</v>
      </c>
      <c r="AS9" s="508" t="s">
        <v>152</v>
      </c>
      <c r="AT9" s="509" t="s">
        <v>153</v>
      </c>
      <c r="AV9" s="83" t="s">
        <v>907</v>
      </c>
      <c r="AW9" s="59" t="s">
        <v>84</v>
      </c>
      <c r="AX9" s="3566" t="s">
        <v>85</v>
      </c>
      <c r="AY9" s="1029" t="s">
        <v>152</v>
      </c>
      <c r="AZ9" s="509" t="s">
        <v>153</v>
      </c>
      <c r="BB9" s="7">
        <v>4</v>
      </c>
      <c r="BC9" s="46" t="s">
        <v>196</v>
      </c>
      <c r="BD9" s="356" t="s">
        <v>196</v>
      </c>
      <c r="BE9" s="46" t="s">
        <v>196</v>
      </c>
      <c r="BF9" s="356" t="s">
        <v>196</v>
      </c>
    </row>
    <row r="10" spans="1:58" ht="12.75" hidden="1" customHeight="1">
      <c r="A10" s="326">
        <v>1</v>
      </c>
      <c r="B10" s="2492" t="s">
        <v>59</v>
      </c>
      <c r="C10" s="23" t="s">
        <v>59</v>
      </c>
      <c r="D10" s="2492" t="s">
        <v>59</v>
      </c>
      <c r="E10" s="49" t="s">
        <v>59</v>
      </c>
      <c r="G10" s="79" t="s">
        <v>92</v>
      </c>
      <c r="H10" s="70">
        <v>1</v>
      </c>
      <c r="I10" s="873">
        <v>1</v>
      </c>
      <c r="J10" s="871">
        <v>1</v>
      </c>
      <c r="K10" s="872">
        <v>1</v>
      </c>
      <c r="M10" s="87"/>
      <c r="N10" s="2524" t="s">
        <v>718</v>
      </c>
      <c r="O10" s="2525" t="s">
        <v>46</v>
      </c>
      <c r="P10" s="2525" t="s">
        <v>718</v>
      </c>
      <c r="Q10" s="2504" t="s">
        <v>46</v>
      </c>
      <c r="R10" s="2525" t="s">
        <v>718</v>
      </c>
      <c r="S10" s="2525" t="s">
        <v>46</v>
      </c>
      <c r="T10" s="2525" t="s">
        <v>718</v>
      </c>
      <c r="U10" s="2043" t="s">
        <v>46</v>
      </c>
      <c r="X10" s="326">
        <v>1</v>
      </c>
      <c r="Y10" s="2492" t="s">
        <v>59</v>
      </c>
      <c r="Z10" s="23" t="s">
        <v>59</v>
      </c>
      <c r="AA10" s="2492" t="s">
        <v>59</v>
      </c>
      <c r="AB10" s="49" t="s">
        <v>59</v>
      </c>
      <c r="AD10" s="326">
        <v>1</v>
      </c>
      <c r="AE10" s="2492" t="s">
        <v>59</v>
      </c>
      <c r="AF10" s="2443" t="s">
        <v>59</v>
      </c>
      <c r="AG10" s="46" t="s">
        <v>59</v>
      </c>
      <c r="AH10" s="49" t="s">
        <v>59</v>
      </c>
      <c r="AI10" s="46"/>
      <c r="AJ10" s="327" t="s">
        <v>89</v>
      </c>
      <c r="AK10" s="70">
        <v>2</v>
      </c>
      <c r="AL10" s="873">
        <v>2</v>
      </c>
      <c r="AM10" s="871">
        <v>2</v>
      </c>
      <c r="AN10" s="872">
        <v>2</v>
      </c>
      <c r="AP10" s="79" t="s">
        <v>89</v>
      </c>
      <c r="AQ10" s="70">
        <v>2</v>
      </c>
      <c r="AR10" s="873">
        <v>2</v>
      </c>
      <c r="AS10" s="871">
        <v>2</v>
      </c>
      <c r="AT10" s="872">
        <v>2</v>
      </c>
      <c r="AV10" s="79" t="s">
        <v>228</v>
      </c>
      <c r="AW10" s="3570">
        <v>47</v>
      </c>
      <c r="AX10" s="3571">
        <v>47</v>
      </c>
      <c r="AY10" s="1030">
        <v>47</v>
      </c>
      <c r="AZ10" s="872">
        <v>47</v>
      </c>
      <c r="BB10" s="80">
        <v>5</v>
      </c>
      <c r="BC10" s="25" t="s">
        <v>233</v>
      </c>
      <c r="BD10" s="81" t="s">
        <v>233</v>
      </c>
      <c r="BE10" s="25" t="s">
        <v>233</v>
      </c>
      <c r="BF10" s="81" t="s">
        <v>233</v>
      </c>
    </row>
    <row r="11" spans="1:58" ht="12.75" hidden="1" customHeight="1">
      <c r="A11" s="326">
        <v>2</v>
      </c>
      <c r="B11" s="2492" t="s">
        <v>117</v>
      </c>
      <c r="C11" s="46" t="s">
        <v>117</v>
      </c>
      <c r="D11" s="2492" t="s">
        <v>117</v>
      </c>
      <c r="E11" s="49" t="s">
        <v>117</v>
      </c>
      <c r="G11" s="7">
        <v>1</v>
      </c>
      <c r="H11" s="22" t="s">
        <v>243</v>
      </c>
      <c r="I11" s="23" t="s">
        <v>243</v>
      </c>
      <c r="J11" s="2441" t="s">
        <v>243</v>
      </c>
      <c r="K11" s="245" t="s">
        <v>243</v>
      </c>
      <c r="M11" s="79" t="s">
        <v>89</v>
      </c>
      <c r="N11" s="2487" t="s">
        <v>154</v>
      </c>
      <c r="O11" s="2487">
        <v>2</v>
      </c>
      <c r="P11" s="2552" t="s">
        <v>154</v>
      </c>
      <c r="Q11" s="2505">
        <v>2</v>
      </c>
      <c r="R11" s="2553" t="s">
        <v>154</v>
      </c>
      <c r="S11" s="2488">
        <v>2</v>
      </c>
      <c r="T11" s="2554" t="s">
        <v>154</v>
      </c>
      <c r="U11" s="2491">
        <v>2</v>
      </c>
      <c r="X11" s="329">
        <v>2</v>
      </c>
      <c r="Y11" s="2498" t="s">
        <v>117</v>
      </c>
      <c r="Z11" s="2285" t="s">
        <v>117</v>
      </c>
      <c r="AA11" s="2498" t="s">
        <v>117</v>
      </c>
      <c r="AB11" s="81" t="s">
        <v>117</v>
      </c>
      <c r="AD11" s="329">
        <v>2</v>
      </c>
      <c r="AE11" s="24" t="s">
        <v>96</v>
      </c>
      <c r="AF11" s="2444" t="s">
        <v>96</v>
      </c>
      <c r="AG11" s="25" t="s">
        <v>96</v>
      </c>
      <c r="AH11" s="81" t="s">
        <v>96</v>
      </c>
      <c r="AI11" s="46"/>
      <c r="AJ11" s="326">
        <v>1</v>
      </c>
      <c r="AK11" s="46" t="s">
        <v>59</v>
      </c>
      <c r="AL11" s="23" t="s">
        <v>59</v>
      </c>
      <c r="AM11" s="586" t="s">
        <v>59</v>
      </c>
      <c r="AN11" s="49" t="s">
        <v>59</v>
      </c>
      <c r="AP11" s="7">
        <v>1</v>
      </c>
      <c r="AQ11" s="46" t="s">
        <v>59</v>
      </c>
      <c r="AR11" s="49" t="s">
        <v>59</v>
      </c>
      <c r="AS11" s="23" t="s">
        <v>59</v>
      </c>
      <c r="AT11" s="49" t="s">
        <v>59</v>
      </c>
      <c r="AV11" s="7">
        <v>1</v>
      </c>
      <c r="AW11" s="46" t="s">
        <v>1124</v>
      </c>
      <c r="AX11" s="245"/>
      <c r="AY11" s="59"/>
      <c r="AZ11" s="23"/>
      <c r="BB11" s="87" t="s">
        <v>235</v>
      </c>
      <c r="BC11" s="23" t="s">
        <v>84</v>
      </c>
      <c r="BD11" s="1669" t="s">
        <v>85</v>
      </c>
      <c r="BE11" s="25" t="s">
        <v>152</v>
      </c>
      <c r="BF11" s="81" t="s">
        <v>153</v>
      </c>
    </row>
    <row r="12" spans="1:58" ht="12.75" hidden="1" customHeight="1">
      <c r="A12" s="869"/>
      <c r="B12" s="2496"/>
      <c r="C12" s="3663"/>
      <c r="D12" s="2496"/>
      <c r="E12" s="3664"/>
      <c r="G12" s="7">
        <v>2</v>
      </c>
      <c r="H12" s="22" t="s">
        <v>245</v>
      </c>
      <c r="I12" s="23" t="s">
        <v>245</v>
      </c>
      <c r="J12" s="22" t="s">
        <v>245</v>
      </c>
      <c r="K12" s="49" t="s">
        <v>245</v>
      </c>
      <c r="M12" s="7">
        <v>1</v>
      </c>
      <c r="N12" s="2492"/>
      <c r="O12" s="2492" t="s">
        <v>59</v>
      </c>
      <c r="P12" s="23"/>
      <c r="Q12" s="2555" t="s">
        <v>59</v>
      </c>
      <c r="R12" s="23"/>
      <c r="S12" s="2492" t="s">
        <v>59</v>
      </c>
      <c r="T12" s="23"/>
      <c r="U12" s="2573" t="s">
        <v>59</v>
      </c>
      <c r="X12" s="2576"/>
      <c r="Y12" s="2497"/>
      <c r="Z12" s="2283"/>
      <c r="AA12" s="2283"/>
      <c r="AB12" s="2284"/>
      <c r="AD12" s="323"/>
      <c r="AE12" s="2499"/>
      <c r="AF12" s="2574"/>
      <c r="AG12" s="324"/>
      <c r="AH12" s="325"/>
      <c r="AI12" s="324"/>
      <c r="AJ12" s="329">
        <v>2</v>
      </c>
      <c r="AK12" s="25" t="s">
        <v>96</v>
      </c>
      <c r="AL12" s="25" t="s">
        <v>96</v>
      </c>
      <c r="AM12" s="587" t="s">
        <v>96</v>
      </c>
      <c r="AN12" s="81" t="s">
        <v>96</v>
      </c>
      <c r="AP12" s="80">
        <v>2</v>
      </c>
      <c r="AQ12" s="25" t="s">
        <v>96</v>
      </c>
      <c r="AR12" s="81" t="s">
        <v>96</v>
      </c>
      <c r="AS12" s="25" t="s">
        <v>96</v>
      </c>
      <c r="AT12" s="81" t="s">
        <v>96</v>
      </c>
      <c r="AV12" s="869"/>
      <c r="AW12" s="508"/>
      <c r="AX12" s="509"/>
      <c r="AY12" s="508"/>
      <c r="AZ12" s="509"/>
      <c r="BB12" s="79" t="s">
        <v>89</v>
      </c>
      <c r="BC12" s="70">
        <v>2</v>
      </c>
      <c r="BD12" s="870">
        <v>2</v>
      </c>
      <c r="BE12" s="2208">
        <v>2</v>
      </c>
      <c r="BF12" s="872">
        <v>2</v>
      </c>
    </row>
    <row r="13" spans="1:58" ht="12.75" hidden="1" customHeight="1">
      <c r="A13" s="2278" t="s">
        <v>1296</v>
      </c>
      <c r="B13" s="22" t="s">
        <v>84</v>
      </c>
      <c r="C13" s="1720" t="s">
        <v>85</v>
      </c>
      <c r="D13" s="22" t="s">
        <v>152</v>
      </c>
      <c r="E13" s="81" t="s">
        <v>153</v>
      </c>
      <c r="G13" s="80">
        <v>3</v>
      </c>
      <c r="H13" s="24" t="s">
        <v>246</v>
      </c>
      <c r="I13" s="25" t="s">
        <v>246</v>
      </c>
      <c r="J13" s="24" t="s">
        <v>246</v>
      </c>
      <c r="K13" s="81" t="s">
        <v>246</v>
      </c>
      <c r="M13" s="80">
        <v>2</v>
      </c>
      <c r="N13" s="24"/>
      <c r="O13" s="24" t="s">
        <v>117</v>
      </c>
      <c r="P13" s="25"/>
      <c r="Q13" s="2556" t="s">
        <v>117</v>
      </c>
      <c r="R13" s="25"/>
      <c r="S13" s="24" t="s">
        <v>117</v>
      </c>
      <c r="T13" s="25"/>
      <c r="U13" s="2485" t="s">
        <v>117</v>
      </c>
      <c r="X13" s="328" t="s">
        <v>803</v>
      </c>
      <c r="Y13" s="2441" t="s">
        <v>84</v>
      </c>
      <c r="Z13" s="2546" t="s">
        <v>85</v>
      </c>
      <c r="AA13" s="2441" t="s">
        <v>152</v>
      </c>
      <c r="AB13" s="509" t="s">
        <v>153</v>
      </c>
      <c r="AD13" s="328" t="s">
        <v>185</v>
      </c>
      <c r="AE13" s="2441" t="s">
        <v>84</v>
      </c>
      <c r="AF13" s="1710" t="s">
        <v>85</v>
      </c>
      <c r="AG13" s="59" t="s">
        <v>152</v>
      </c>
      <c r="AH13" s="509" t="s">
        <v>153</v>
      </c>
      <c r="AI13" s="46"/>
      <c r="AJ13" s="323"/>
      <c r="AK13" s="324"/>
      <c r="AL13" s="324"/>
      <c r="AM13" s="323"/>
      <c r="AN13" s="325"/>
      <c r="AP13" s="7"/>
      <c r="AQ13" s="23"/>
      <c r="AR13" s="81"/>
      <c r="AS13" s="25"/>
      <c r="AT13" s="81"/>
      <c r="AV13" s="1031" t="s">
        <v>409</v>
      </c>
      <c r="AW13" s="59" t="s">
        <v>84</v>
      </c>
      <c r="AX13" s="2204" t="s">
        <v>85</v>
      </c>
      <c r="AY13" s="508" t="s">
        <v>152</v>
      </c>
      <c r="AZ13" s="509" t="s">
        <v>153</v>
      </c>
      <c r="BB13" s="7">
        <v>1</v>
      </c>
      <c r="BC13" s="46" t="s">
        <v>59</v>
      </c>
      <c r="BD13" s="49" t="s">
        <v>59</v>
      </c>
      <c r="BE13" s="23" t="s">
        <v>59</v>
      </c>
      <c r="BF13" s="49" t="s">
        <v>59</v>
      </c>
    </row>
    <row r="14" spans="1:58" ht="13.5" hidden="1" customHeight="1" thickBot="1">
      <c r="A14" s="327" t="s">
        <v>89</v>
      </c>
      <c r="B14" s="3672">
        <v>1</v>
      </c>
      <c r="C14" s="3673">
        <v>1</v>
      </c>
      <c r="D14" s="3674">
        <v>1</v>
      </c>
      <c r="E14" s="872">
        <v>1</v>
      </c>
      <c r="G14" s="7"/>
      <c r="H14" s="2494"/>
      <c r="I14" s="6"/>
      <c r="J14" s="2494"/>
      <c r="K14" s="5"/>
      <c r="M14" s="7"/>
      <c r="N14" s="2494"/>
      <c r="O14" s="6"/>
      <c r="P14" s="6"/>
      <c r="Q14" s="2503"/>
      <c r="R14" s="6"/>
      <c r="S14" s="6"/>
      <c r="T14" s="6"/>
      <c r="U14" s="2547"/>
      <c r="X14" s="327" t="s">
        <v>89</v>
      </c>
      <c r="Y14" s="2543">
        <v>1</v>
      </c>
      <c r="Z14" s="2544">
        <v>1</v>
      </c>
      <c r="AA14" s="2545">
        <v>1</v>
      </c>
      <c r="AB14" s="872">
        <v>1</v>
      </c>
      <c r="AD14" s="327" t="s">
        <v>89</v>
      </c>
      <c r="AE14" s="2543">
        <v>2</v>
      </c>
      <c r="AF14" s="2507">
        <v>2</v>
      </c>
      <c r="AG14" s="2208">
        <v>2</v>
      </c>
      <c r="AH14" s="872">
        <v>2</v>
      </c>
      <c r="AI14" s="842"/>
      <c r="AJ14" s="328" t="s">
        <v>194</v>
      </c>
      <c r="AK14" s="59" t="s">
        <v>84</v>
      </c>
      <c r="AL14" s="27" t="s">
        <v>85</v>
      </c>
      <c r="AM14" s="588" t="s">
        <v>152</v>
      </c>
      <c r="AN14" s="509" t="s">
        <v>153</v>
      </c>
      <c r="AP14" s="83" t="s">
        <v>183</v>
      </c>
      <c r="AQ14" s="59" t="s">
        <v>84</v>
      </c>
      <c r="AR14" s="82" t="s">
        <v>85</v>
      </c>
      <c r="AS14" s="508" t="s">
        <v>152</v>
      </c>
      <c r="AT14" s="509" t="s">
        <v>153</v>
      </c>
      <c r="AV14" s="79" t="s">
        <v>89</v>
      </c>
      <c r="AW14" s="70">
        <v>2</v>
      </c>
      <c r="AX14" s="870">
        <v>2</v>
      </c>
      <c r="AY14" s="2208">
        <v>2</v>
      </c>
      <c r="AZ14" s="872">
        <v>2</v>
      </c>
      <c r="BB14" s="9">
        <v>2</v>
      </c>
      <c r="BC14" s="84" t="s">
        <v>233</v>
      </c>
      <c r="BD14" s="50" t="s">
        <v>233</v>
      </c>
      <c r="BE14" s="84" t="s">
        <v>233</v>
      </c>
      <c r="BF14" s="50" t="s">
        <v>233</v>
      </c>
    </row>
    <row r="15" spans="1:58" ht="12.75" hidden="1" customHeight="1">
      <c r="A15" s="326">
        <v>1</v>
      </c>
      <c r="B15" s="2492" t="s">
        <v>59</v>
      </c>
      <c r="C15" s="23" t="s">
        <v>59</v>
      </c>
      <c r="D15" s="2492" t="s">
        <v>59</v>
      </c>
      <c r="E15" s="49" t="s">
        <v>59</v>
      </c>
      <c r="G15" s="83" t="s">
        <v>158</v>
      </c>
      <c r="H15" s="2496" t="s">
        <v>84</v>
      </c>
      <c r="I15" s="3751" t="s">
        <v>85</v>
      </c>
      <c r="J15" s="1709" t="s">
        <v>152</v>
      </c>
      <c r="K15" s="509" t="s">
        <v>153</v>
      </c>
      <c r="M15" s="83" t="s">
        <v>138</v>
      </c>
      <c r="N15" s="5150" t="s">
        <v>84</v>
      </c>
      <c r="O15" s="5151"/>
      <c r="P15" s="5152" t="s">
        <v>85</v>
      </c>
      <c r="Q15" s="5153"/>
      <c r="R15" s="5151" t="s">
        <v>152</v>
      </c>
      <c r="S15" s="5151"/>
      <c r="T15" s="5151" t="s">
        <v>153</v>
      </c>
      <c r="U15" s="5154"/>
      <c r="X15" s="326">
        <v>1</v>
      </c>
      <c r="Y15" s="2492" t="s">
        <v>59</v>
      </c>
      <c r="Z15" s="23" t="s">
        <v>59</v>
      </c>
      <c r="AA15" s="2492" t="s">
        <v>59</v>
      </c>
      <c r="AB15" s="49" t="s">
        <v>59</v>
      </c>
      <c r="AD15" s="326">
        <v>1</v>
      </c>
      <c r="AE15" s="2492" t="s">
        <v>59</v>
      </c>
      <c r="AF15" s="2443" t="s">
        <v>59</v>
      </c>
      <c r="AG15" s="46" t="s">
        <v>59</v>
      </c>
      <c r="AH15" s="49" t="s">
        <v>59</v>
      </c>
      <c r="AI15" s="46"/>
      <c r="AJ15" s="327" t="s">
        <v>89</v>
      </c>
      <c r="AK15" s="70">
        <v>2</v>
      </c>
      <c r="AL15" s="873">
        <v>3</v>
      </c>
      <c r="AM15" s="871">
        <v>2</v>
      </c>
      <c r="AN15" s="872">
        <v>2</v>
      </c>
      <c r="AP15" s="79" t="s">
        <v>89</v>
      </c>
      <c r="AQ15" s="70">
        <v>3</v>
      </c>
      <c r="AR15" s="873">
        <v>3</v>
      </c>
      <c r="AS15" s="871">
        <v>3</v>
      </c>
      <c r="AT15" s="872">
        <v>3</v>
      </c>
      <c r="AV15" s="7">
        <v>1</v>
      </c>
      <c r="AW15" s="46" t="s">
        <v>59</v>
      </c>
      <c r="AX15" s="49" t="s">
        <v>59</v>
      </c>
      <c r="AY15" s="23" t="s">
        <v>59</v>
      </c>
      <c r="AZ15" s="49" t="s">
        <v>59</v>
      </c>
      <c r="BB15" s="7"/>
      <c r="BC15" s="6"/>
      <c r="BD15" s="5"/>
      <c r="BE15" s="6"/>
      <c r="BF15" s="5"/>
    </row>
    <row r="16" spans="1:58" ht="12.75" hidden="1" customHeight="1">
      <c r="A16" s="326">
        <v>2</v>
      </c>
      <c r="B16" s="2492" t="s">
        <v>117</v>
      </c>
      <c r="C16" s="46" t="s">
        <v>117</v>
      </c>
      <c r="D16" s="2492" t="s">
        <v>117</v>
      </c>
      <c r="E16" s="49" t="s">
        <v>117</v>
      </c>
      <c r="G16" s="79" t="s">
        <v>89</v>
      </c>
      <c r="H16" s="70">
        <v>1</v>
      </c>
      <c r="I16" s="873">
        <v>1</v>
      </c>
      <c r="J16" s="871">
        <v>1</v>
      </c>
      <c r="K16" s="872">
        <v>1</v>
      </c>
      <c r="M16" s="87"/>
      <c r="N16" s="2495" t="s">
        <v>718</v>
      </c>
      <c r="O16" s="1998" t="s">
        <v>46</v>
      </c>
      <c r="P16" s="1998" t="s">
        <v>718</v>
      </c>
      <c r="Q16" s="2504" t="s">
        <v>46</v>
      </c>
      <c r="R16" s="1998" t="s">
        <v>718</v>
      </c>
      <c r="S16" s="1998" t="s">
        <v>46</v>
      </c>
      <c r="T16" s="1998" t="s">
        <v>718</v>
      </c>
      <c r="U16" s="2043" t="s">
        <v>46</v>
      </c>
      <c r="X16" s="326">
        <v>2</v>
      </c>
      <c r="Y16" s="2498" t="s">
        <v>117</v>
      </c>
      <c r="Z16" s="2285" t="s">
        <v>117</v>
      </c>
      <c r="AA16" s="2498" t="s">
        <v>117</v>
      </c>
      <c r="AB16" s="81" t="s">
        <v>117</v>
      </c>
      <c r="AD16" s="329">
        <v>2</v>
      </c>
      <c r="AE16" s="24" t="s">
        <v>96</v>
      </c>
      <c r="AF16" s="2444" t="s">
        <v>96</v>
      </c>
      <c r="AG16" s="25" t="s">
        <v>96</v>
      </c>
      <c r="AH16" s="81" t="s">
        <v>96</v>
      </c>
      <c r="AI16" s="46"/>
      <c r="AJ16" s="326">
        <v>1</v>
      </c>
      <c r="AK16" s="46" t="s">
        <v>59</v>
      </c>
      <c r="AL16" s="23" t="s">
        <v>59</v>
      </c>
      <c r="AM16" s="586" t="s">
        <v>59</v>
      </c>
      <c r="AN16" s="49" t="s">
        <v>59</v>
      </c>
      <c r="AP16" s="7">
        <v>1</v>
      </c>
      <c r="AQ16" s="46" t="s">
        <v>59</v>
      </c>
      <c r="AR16" s="49" t="s">
        <v>59</v>
      </c>
      <c r="AS16" s="23" t="s">
        <v>59</v>
      </c>
      <c r="AT16" s="49" t="s">
        <v>59</v>
      </c>
      <c r="AV16" s="80">
        <v>2</v>
      </c>
      <c r="AW16" s="25" t="s">
        <v>96</v>
      </c>
      <c r="AX16" s="81" t="s">
        <v>96</v>
      </c>
      <c r="AY16" s="25" t="s">
        <v>96</v>
      </c>
      <c r="AZ16" s="81" t="s">
        <v>96</v>
      </c>
      <c r="BB16" s="854" t="s">
        <v>51</v>
      </c>
      <c r="BC16" s="855"/>
      <c r="BD16" s="857"/>
      <c r="BE16" s="855"/>
      <c r="BF16" s="857"/>
    </row>
    <row r="17" spans="1:58" ht="13.5" hidden="1" customHeight="1" thickBot="1">
      <c r="A17" s="2282"/>
      <c r="B17" s="2497"/>
      <c r="C17" s="2283"/>
      <c r="D17" s="2497"/>
      <c r="E17" s="2284"/>
      <c r="G17" s="7">
        <v>1</v>
      </c>
      <c r="H17" s="2492" t="s">
        <v>59</v>
      </c>
      <c r="I17" s="23" t="s">
        <v>59</v>
      </c>
      <c r="J17" s="22" t="s">
        <v>59</v>
      </c>
      <c r="K17" s="49" t="s">
        <v>59</v>
      </c>
      <c r="M17" s="79" t="s">
        <v>89</v>
      </c>
      <c r="N17" s="70">
        <v>2</v>
      </c>
      <c r="O17" s="2487" t="s">
        <v>154</v>
      </c>
      <c r="P17" s="873">
        <v>2</v>
      </c>
      <c r="Q17" s="2505" t="s">
        <v>154</v>
      </c>
      <c r="R17" s="2208">
        <v>2</v>
      </c>
      <c r="S17" s="2488" t="s">
        <v>154</v>
      </c>
      <c r="T17" s="2486">
        <v>2</v>
      </c>
      <c r="U17" s="2491" t="s">
        <v>154</v>
      </c>
      <c r="X17" s="2576"/>
      <c r="Y17" s="2497"/>
      <c r="Z17" s="2283"/>
      <c r="AA17" s="2283"/>
      <c r="AB17" s="2284"/>
      <c r="AD17" s="323"/>
      <c r="AE17" s="2499"/>
      <c r="AF17" s="2574"/>
      <c r="AG17" s="324"/>
      <c r="AH17" s="325"/>
      <c r="AI17" s="324"/>
      <c r="AJ17" s="589">
        <v>2</v>
      </c>
      <c r="AK17" s="84" t="s">
        <v>96</v>
      </c>
      <c r="AL17" s="84" t="s">
        <v>96</v>
      </c>
      <c r="AM17" s="142" t="s">
        <v>96</v>
      </c>
      <c r="AN17" s="50" t="s">
        <v>96</v>
      </c>
      <c r="AP17" s="7">
        <v>2</v>
      </c>
      <c r="AQ17" s="23" t="s">
        <v>1433</v>
      </c>
      <c r="AR17" s="49" t="s">
        <v>1433</v>
      </c>
      <c r="AS17" s="23" t="s">
        <v>1433</v>
      </c>
      <c r="AT17" s="49" t="s">
        <v>1433</v>
      </c>
      <c r="AV17" s="869"/>
      <c r="AW17" s="508"/>
      <c r="AX17" s="509"/>
      <c r="AY17" s="508"/>
      <c r="AZ17" s="509"/>
      <c r="BB17" s="83" t="s">
        <v>234</v>
      </c>
      <c r="BC17" s="59" t="s">
        <v>84</v>
      </c>
      <c r="BD17" s="2204" t="s">
        <v>85</v>
      </c>
      <c r="BE17" s="508" t="s">
        <v>152</v>
      </c>
      <c r="BF17" s="509" t="s">
        <v>153</v>
      </c>
    </row>
    <row r="18" spans="1:58" ht="13.5" hidden="1" customHeight="1" thickBot="1">
      <c r="A18" s="2278" t="s">
        <v>1182</v>
      </c>
      <c r="B18" s="22" t="s">
        <v>84</v>
      </c>
      <c r="C18" s="1720" t="s">
        <v>85</v>
      </c>
      <c r="D18" s="22" t="s">
        <v>152</v>
      </c>
      <c r="E18" s="81" t="s">
        <v>153</v>
      </c>
      <c r="G18" s="7">
        <v>2</v>
      </c>
      <c r="H18" s="2493" t="s">
        <v>96</v>
      </c>
      <c r="I18" s="2493" t="s">
        <v>96</v>
      </c>
      <c r="J18" s="2493" t="s">
        <v>96</v>
      </c>
      <c r="K18" s="2493" t="s">
        <v>96</v>
      </c>
      <c r="M18" s="7">
        <v>1</v>
      </c>
      <c r="N18" s="2492" t="s">
        <v>59</v>
      </c>
      <c r="O18" s="46"/>
      <c r="P18" s="23" t="s">
        <v>59</v>
      </c>
      <c r="Q18" s="2443"/>
      <c r="R18" s="23" t="s">
        <v>59</v>
      </c>
      <c r="S18" s="23"/>
      <c r="T18" s="23" t="s">
        <v>59</v>
      </c>
      <c r="U18" s="49"/>
      <c r="X18" s="328" t="s">
        <v>804</v>
      </c>
      <c r="Y18" s="2441" t="s">
        <v>84</v>
      </c>
      <c r="Z18" s="2596" t="s">
        <v>85</v>
      </c>
      <c r="AA18" s="2441" t="s">
        <v>152</v>
      </c>
      <c r="AB18" s="509" t="s">
        <v>153</v>
      </c>
      <c r="AD18" s="328" t="s">
        <v>216</v>
      </c>
      <c r="AE18" s="2441" t="s">
        <v>84</v>
      </c>
      <c r="AF18" s="1710" t="s">
        <v>85</v>
      </c>
      <c r="AG18" s="59" t="s">
        <v>152</v>
      </c>
      <c r="AH18" s="509" t="s">
        <v>153</v>
      </c>
      <c r="AI18" s="46"/>
      <c r="AJ18" s="7"/>
      <c r="AK18" s="6"/>
      <c r="AL18" s="6"/>
      <c r="AM18" s="6"/>
      <c r="AN18" s="5"/>
      <c r="AP18" s="80">
        <v>3</v>
      </c>
      <c r="AQ18" s="25" t="s">
        <v>192</v>
      </c>
      <c r="AR18" s="81" t="s">
        <v>192</v>
      </c>
      <c r="AS18" s="25" t="s">
        <v>192</v>
      </c>
      <c r="AT18" s="81" t="s">
        <v>192</v>
      </c>
      <c r="AV18" s="1031" t="s">
        <v>408</v>
      </c>
      <c r="AW18" s="59" t="s">
        <v>84</v>
      </c>
      <c r="AX18" s="2204" t="s">
        <v>85</v>
      </c>
      <c r="AY18" s="508" t="s">
        <v>152</v>
      </c>
      <c r="AZ18" s="509" t="s">
        <v>153</v>
      </c>
      <c r="BB18" s="79" t="s">
        <v>89</v>
      </c>
      <c r="BC18" s="70">
        <v>4</v>
      </c>
      <c r="BD18" s="870">
        <v>4</v>
      </c>
      <c r="BE18" s="2208">
        <v>4</v>
      </c>
      <c r="BF18" s="872">
        <v>4</v>
      </c>
    </row>
    <row r="19" spans="1:58" ht="12.75" hidden="1" customHeight="1">
      <c r="A19" s="327" t="s">
        <v>89</v>
      </c>
      <c r="B19" s="70">
        <v>1</v>
      </c>
      <c r="C19" s="873">
        <v>1</v>
      </c>
      <c r="D19" s="871">
        <v>1</v>
      </c>
      <c r="E19" s="872">
        <v>1</v>
      </c>
      <c r="G19" s="244"/>
      <c r="H19" s="2441"/>
      <c r="I19" s="59"/>
      <c r="J19" s="2441"/>
      <c r="K19" s="245"/>
      <c r="M19" s="80">
        <v>2</v>
      </c>
      <c r="N19" s="24" t="s">
        <v>117</v>
      </c>
      <c r="O19" s="25"/>
      <c r="P19" s="25" t="s">
        <v>117</v>
      </c>
      <c r="Q19" s="2444"/>
      <c r="R19" s="25" t="s">
        <v>117</v>
      </c>
      <c r="S19" s="25"/>
      <c r="T19" s="25" t="s">
        <v>117</v>
      </c>
      <c r="U19" s="81"/>
      <c r="X19" s="327" t="s">
        <v>89</v>
      </c>
      <c r="Y19" s="2589">
        <v>2</v>
      </c>
      <c r="Z19" s="2590">
        <v>2</v>
      </c>
      <c r="AA19" s="2591">
        <v>1</v>
      </c>
      <c r="AB19" s="872">
        <v>1</v>
      </c>
      <c r="AD19" s="327" t="s">
        <v>89</v>
      </c>
      <c r="AE19" s="2543">
        <v>2</v>
      </c>
      <c r="AF19" s="2507">
        <v>2</v>
      </c>
      <c r="AG19" s="2208">
        <v>2</v>
      </c>
      <c r="AH19" s="872">
        <v>2</v>
      </c>
      <c r="AI19" s="842"/>
      <c r="AJ19" s="7"/>
      <c r="AK19" s="6"/>
      <c r="AL19" s="6"/>
      <c r="AM19" s="6"/>
      <c r="AN19" s="5"/>
      <c r="AP19" s="7"/>
      <c r="AQ19" s="23"/>
      <c r="AR19" s="49"/>
      <c r="AS19" s="23"/>
      <c r="AT19" s="49"/>
      <c r="AV19" s="79" t="s">
        <v>89</v>
      </c>
      <c r="AW19" s="70">
        <v>2</v>
      </c>
      <c r="AX19" s="870">
        <v>2</v>
      </c>
      <c r="AY19" s="2208">
        <v>2</v>
      </c>
      <c r="AZ19" s="872">
        <v>2</v>
      </c>
      <c r="BB19" s="7">
        <v>1</v>
      </c>
      <c r="BC19" s="46" t="s">
        <v>59</v>
      </c>
      <c r="BD19" s="49" t="s">
        <v>59</v>
      </c>
      <c r="BE19" s="23" t="s">
        <v>59</v>
      </c>
      <c r="BF19" s="49" t="s">
        <v>59</v>
      </c>
    </row>
    <row r="20" spans="1:58" ht="12.75" hidden="1" customHeight="1">
      <c r="A20" s="326">
        <v>1</v>
      </c>
      <c r="B20" s="2492" t="s">
        <v>59</v>
      </c>
      <c r="C20" s="23" t="s">
        <v>59</v>
      </c>
      <c r="D20" s="2492" t="s">
        <v>59</v>
      </c>
      <c r="E20" s="49" t="s">
        <v>59</v>
      </c>
      <c r="G20" s="83" t="s">
        <v>115</v>
      </c>
      <c r="H20" s="2441" t="s">
        <v>84</v>
      </c>
      <c r="I20" s="2462" t="s">
        <v>85</v>
      </c>
      <c r="J20" s="1709" t="s">
        <v>152</v>
      </c>
      <c r="K20" s="509" t="s">
        <v>153</v>
      </c>
      <c r="M20" s="7"/>
      <c r="N20" s="2494"/>
      <c r="O20" s="6"/>
      <c r="P20" s="6"/>
      <c r="Q20" s="2503"/>
      <c r="R20" s="6"/>
      <c r="S20" s="6"/>
      <c r="T20" s="6"/>
      <c r="U20" s="2463"/>
      <c r="X20" s="326">
        <v>1</v>
      </c>
      <c r="Y20" s="2492" t="s">
        <v>59</v>
      </c>
      <c r="Z20" s="23" t="s">
        <v>59</v>
      </c>
      <c r="AA20" s="2492" t="s">
        <v>59</v>
      </c>
      <c r="AB20" s="49" t="s">
        <v>59</v>
      </c>
      <c r="AD20" s="326">
        <v>1</v>
      </c>
      <c r="AE20" s="2492" t="s">
        <v>59</v>
      </c>
      <c r="AF20" s="2443" t="s">
        <v>59</v>
      </c>
      <c r="AG20" s="46" t="s">
        <v>59</v>
      </c>
      <c r="AH20" s="49" t="s">
        <v>59</v>
      </c>
      <c r="AI20" s="46"/>
      <c r="AJ20" s="854" t="s">
        <v>51</v>
      </c>
      <c r="AK20" s="855"/>
      <c r="AL20" s="855"/>
      <c r="AM20" s="856"/>
      <c r="AN20" s="857"/>
      <c r="AP20" s="83" t="s">
        <v>182</v>
      </c>
      <c r="AQ20" s="59" t="s">
        <v>84</v>
      </c>
      <c r="AR20" s="82" t="s">
        <v>85</v>
      </c>
      <c r="AS20" s="508" t="s">
        <v>152</v>
      </c>
      <c r="AT20" s="509" t="s">
        <v>153</v>
      </c>
      <c r="AV20" s="7">
        <v>1</v>
      </c>
      <c r="AW20" s="46" t="s">
        <v>59</v>
      </c>
      <c r="AX20" s="49" t="s">
        <v>59</v>
      </c>
      <c r="AY20" s="23" t="s">
        <v>59</v>
      </c>
      <c r="AZ20" s="49" t="s">
        <v>59</v>
      </c>
      <c r="BB20" s="7">
        <v>2</v>
      </c>
      <c r="BC20" s="23" t="s">
        <v>195</v>
      </c>
      <c r="BD20" s="49" t="s">
        <v>195</v>
      </c>
      <c r="BE20" s="23" t="s">
        <v>195</v>
      </c>
      <c r="BF20" s="49" t="s">
        <v>195</v>
      </c>
    </row>
    <row r="21" spans="1:58" ht="13.5" hidden="1" customHeight="1" thickBot="1">
      <c r="A21" s="329">
        <v>2</v>
      </c>
      <c r="B21" s="2498" t="s">
        <v>117</v>
      </c>
      <c r="C21" s="2285" t="s">
        <v>117</v>
      </c>
      <c r="D21" s="2498" t="s">
        <v>117</v>
      </c>
      <c r="E21" s="81" t="s">
        <v>117</v>
      </c>
      <c r="G21" s="79" t="s">
        <v>89</v>
      </c>
      <c r="H21" s="70">
        <v>2</v>
      </c>
      <c r="I21" s="873">
        <v>2</v>
      </c>
      <c r="J21" s="871">
        <v>2</v>
      </c>
      <c r="K21" s="872">
        <v>2</v>
      </c>
      <c r="M21" s="83" t="s">
        <v>719</v>
      </c>
      <c r="N21" s="5150" t="s">
        <v>84</v>
      </c>
      <c r="O21" s="5151"/>
      <c r="P21" s="5152" t="s">
        <v>85</v>
      </c>
      <c r="Q21" s="5153"/>
      <c r="R21" s="5151" t="s">
        <v>152</v>
      </c>
      <c r="S21" s="5151"/>
      <c r="T21" s="5151" t="s">
        <v>153</v>
      </c>
      <c r="U21" s="5154"/>
      <c r="X21" s="326">
        <v>2</v>
      </c>
      <c r="Y21" s="2498" t="s">
        <v>117</v>
      </c>
      <c r="Z21" s="2285" t="s">
        <v>117</v>
      </c>
      <c r="AA21" s="2498" t="s">
        <v>117</v>
      </c>
      <c r="AB21" s="81" t="s">
        <v>117</v>
      </c>
      <c r="AD21" s="589">
        <v>2</v>
      </c>
      <c r="AE21" s="2493" t="s">
        <v>96</v>
      </c>
      <c r="AF21" s="2502" t="s">
        <v>96</v>
      </c>
      <c r="AG21" s="84" t="s">
        <v>96</v>
      </c>
      <c r="AH21" s="50" t="s">
        <v>96</v>
      </c>
      <c r="AI21" s="46"/>
      <c r="AJ21" s="328" t="s">
        <v>192</v>
      </c>
      <c r="AK21" s="59" t="s">
        <v>84</v>
      </c>
      <c r="AL21" s="27" t="s">
        <v>85</v>
      </c>
      <c r="AM21" s="588" t="s">
        <v>152</v>
      </c>
      <c r="AN21" s="509" t="s">
        <v>153</v>
      </c>
      <c r="AP21" s="79" t="s">
        <v>89</v>
      </c>
      <c r="AQ21" s="70">
        <v>3</v>
      </c>
      <c r="AR21" s="873">
        <v>3</v>
      </c>
      <c r="AS21" s="871">
        <v>3</v>
      </c>
      <c r="AT21" s="872">
        <v>3</v>
      </c>
      <c r="AV21" s="80">
        <v>2</v>
      </c>
      <c r="AW21" s="25" t="s">
        <v>117</v>
      </c>
      <c r="AX21" s="81" t="s">
        <v>117</v>
      </c>
      <c r="AY21" s="25" t="s">
        <v>117</v>
      </c>
      <c r="AZ21" s="81" t="s">
        <v>117</v>
      </c>
      <c r="BB21" s="7">
        <v>3</v>
      </c>
      <c r="BC21" s="46" t="s">
        <v>196</v>
      </c>
      <c r="BD21" s="356" t="s">
        <v>196</v>
      </c>
      <c r="BE21" s="46" t="s">
        <v>196</v>
      </c>
      <c r="BF21" s="356" t="s">
        <v>196</v>
      </c>
    </row>
    <row r="22" spans="1:58" ht="12.75" hidden="1" customHeight="1">
      <c r="A22" s="869"/>
      <c r="B22" s="2496"/>
      <c r="C22" s="3575"/>
      <c r="D22" s="2496"/>
      <c r="E22" s="3576"/>
      <c r="G22" s="7">
        <v>1</v>
      </c>
      <c r="H22" s="2492" t="s">
        <v>59</v>
      </c>
      <c r="I22" s="23" t="s">
        <v>59</v>
      </c>
      <c r="J22" s="22" t="s">
        <v>59</v>
      </c>
      <c r="K22" s="49" t="s">
        <v>59</v>
      </c>
      <c r="M22" s="87"/>
      <c r="N22" s="2495" t="s">
        <v>718</v>
      </c>
      <c r="O22" s="1998" t="s">
        <v>46</v>
      </c>
      <c r="P22" s="1998" t="s">
        <v>718</v>
      </c>
      <c r="Q22" s="2504" t="s">
        <v>46</v>
      </c>
      <c r="R22" s="1998" t="s">
        <v>718</v>
      </c>
      <c r="S22" s="1998" t="s">
        <v>46</v>
      </c>
      <c r="T22" s="1998" t="s">
        <v>718</v>
      </c>
      <c r="U22" s="2043" t="s">
        <v>46</v>
      </c>
      <c r="X22" s="2576"/>
      <c r="Y22" s="2497"/>
      <c r="Z22" s="2283"/>
      <c r="AA22" s="2283"/>
      <c r="AB22" s="2284"/>
      <c r="AI22" s="324"/>
      <c r="AJ22" s="327" t="s">
        <v>89</v>
      </c>
      <c r="AK22" s="70">
        <v>2</v>
      </c>
      <c r="AL22" s="873">
        <v>2</v>
      </c>
      <c r="AM22" s="871">
        <v>2</v>
      </c>
      <c r="AN22" s="872">
        <v>2</v>
      </c>
      <c r="AP22" s="7">
        <v>1</v>
      </c>
      <c r="AQ22" s="46" t="s">
        <v>59</v>
      </c>
      <c r="AR22" s="49" t="s">
        <v>59</v>
      </c>
      <c r="AS22" s="23" t="s">
        <v>59</v>
      </c>
      <c r="AT22" s="49" t="s">
        <v>59</v>
      </c>
      <c r="AV22" s="869"/>
      <c r="AW22" s="508"/>
      <c r="AX22" s="509"/>
      <c r="AY22" s="508"/>
      <c r="AZ22" s="509"/>
      <c r="BB22" s="80">
        <v>4</v>
      </c>
      <c r="BC22" s="25" t="s">
        <v>233</v>
      </c>
      <c r="BD22" s="81" t="s">
        <v>233</v>
      </c>
      <c r="BE22" s="25" t="s">
        <v>233</v>
      </c>
      <c r="BF22" s="81" t="s">
        <v>233</v>
      </c>
    </row>
    <row r="23" spans="1:58" ht="13.5" hidden="1" customHeight="1" thickBot="1">
      <c r="A23" s="2278" t="s">
        <v>1194</v>
      </c>
      <c r="B23" s="22" t="s">
        <v>84</v>
      </c>
      <c r="C23" s="1720" t="s">
        <v>85</v>
      </c>
      <c r="D23" s="22" t="s">
        <v>152</v>
      </c>
      <c r="E23" s="81" t="s">
        <v>153</v>
      </c>
      <c r="G23" s="7">
        <v>2</v>
      </c>
      <c r="H23" s="2493" t="s">
        <v>96</v>
      </c>
      <c r="I23" s="2493" t="s">
        <v>96</v>
      </c>
      <c r="J23" s="2493" t="s">
        <v>96</v>
      </c>
      <c r="K23" s="2493" t="s">
        <v>96</v>
      </c>
      <c r="M23" s="79" t="s">
        <v>89</v>
      </c>
      <c r="N23" s="70">
        <v>1</v>
      </c>
      <c r="O23" s="2454">
        <v>1</v>
      </c>
      <c r="P23" s="873">
        <v>1</v>
      </c>
      <c r="Q23" s="2507">
        <v>1</v>
      </c>
      <c r="R23" s="2501">
        <v>1</v>
      </c>
      <c r="S23" s="2208">
        <v>1</v>
      </c>
      <c r="T23" s="2486">
        <v>1</v>
      </c>
      <c r="U23" s="872">
        <v>1</v>
      </c>
      <c r="X23" s="2577" t="s">
        <v>763</v>
      </c>
      <c r="Y23" s="2441" t="s">
        <v>84</v>
      </c>
      <c r="Z23" s="2546" t="s">
        <v>85</v>
      </c>
      <c r="AA23" s="2441" t="s">
        <v>152</v>
      </c>
      <c r="AB23" s="509" t="s">
        <v>153</v>
      </c>
      <c r="AD23" s="3055" t="s">
        <v>1527</v>
      </c>
      <c r="AE23" s="2441" t="s">
        <v>84</v>
      </c>
      <c r="AF23" s="1710" t="s">
        <v>85</v>
      </c>
      <c r="AG23" s="59" t="s">
        <v>152</v>
      </c>
      <c r="AH23" s="509" t="s">
        <v>153</v>
      </c>
      <c r="AI23" s="46"/>
      <c r="AJ23" s="326">
        <v>1</v>
      </c>
      <c r="AK23" s="46" t="s">
        <v>59</v>
      </c>
      <c r="AL23" s="23" t="s">
        <v>59</v>
      </c>
      <c r="AM23" s="586" t="s">
        <v>59</v>
      </c>
      <c r="AN23" s="49" t="s">
        <v>59</v>
      </c>
      <c r="AP23" s="80">
        <v>2</v>
      </c>
      <c r="AQ23" s="25" t="s">
        <v>96</v>
      </c>
      <c r="AR23" s="81" t="s">
        <v>96</v>
      </c>
      <c r="AS23" s="25" t="s">
        <v>96</v>
      </c>
      <c r="AT23" s="81" t="s">
        <v>96</v>
      </c>
      <c r="AV23" s="1031" t="s">
        <v>306</v>
      </c>
      <c r="AW23" s="59" t="s">
        <v>84</v>
      </c>
      <c r="AX23" s="2204" t="s">
        <v>85</v>
      </c>
      <c r="AY23" s="508" t="s">
        <v>152</v>
      </c>
      <c r="AZ23" s="509" t="s">
        <v>153</v>
      </c>
      <c r="BB23" s="87" t="s">
        <v>235</v>
      </c>
      <c r="BC23" s="23" t="s">
        <v>84</v>
      </c>
      <c r="BD23" s="1669" t="s">
        <v>85</v>
      </c>
      <c r="BE23" s="25" t="s">
        <v>152</v>
      </c>
      <c r="BF23" s="81" t="s">
        <v>153</v>
      </c>
    </row>
    <row r="24" spans="1:58" ht="12.75" hidden="1" customHeight="1">
      <c r="A24" s="327" t="s">
        <v>89</v>
      </c>
      <c r="B24" s="3582">
        <v>1</v>
      </c>
      <c r="C24" s="3583">
        <v>1</v>
      </c>
      <c r="D24" s="3584">
        <v>1</v>
      </c>
      <c r="E24" s="872">
        <v>1</v>
      </c>
      <c r="G24" s="244"/>
      <c r="H24" s="2441"/>
      <c r="I24" s="59"/>
      <c r="J24" s="2441"/>
      <c r="K24" s="245"/>
      <c r="M24" s="7">
        <v>1</v>
      </c>
      <c r="N24" s="2492" t="s">
        <v>59</v>
      </c>
      <c r="O24" s="23" t="s">
        <v>59</v>
      </c>
      <c r="P24" s="23" t="s">
        <v>59</v>
      </c>
      <c r="Q24" s="2443" t="s">
        <v>59</v>
      </c>
      <c r="R24" s="23" t="s">
        <v>59</v>
      </c>
      <c r="S24" s="59" t="s">
        <v>59</v>
      </c>
      <c r="T24" s="23" t="s">
        <v>59</v>
      </c>
      <c r="U24" s="49" t="s">
        <v>59</v>
      </c>
      <c r="X24" s="2578" t="s">
        <v>89</v>
      </c>
      <c r="Y24" s="2543">
        <v>1</v>
      </c>
      <c r="Z24" s="2544">
        <v>1</v>
      </c>
      <c r="AA24" s="2545">
        <v>1</v>
      </c>
      <c r="AB24" s="872">
        <v>1</v>
      </c>
      <c r="AD24" s="3056" t="s">
        <v>859</v>
      </c>
      <c r="AE24" s="2832" t="b">
        <v>0</v>
      </c>
      <c r="AF24" s="2507" t="b">
        <v>0</v>
      </c>
      <c r="AG24" s="2208" t="b">
        <v>1</v>
      </c>
      <c r="AH24" s="872" t="b">
        <v>1</v>
      </c>
      <c r="AI24" s="842"/>
      <c r="AJ24" s="329">
        <v>2</v>
      </c>
      <c r="AK24" s="25" t="s">
        <v>96</v>
      </c>
      <c r="AL24" s="25" t="s">
        <v>96</v>
      </c>
      <c r="AM24" s="587" t="s">
        <v>96</v>
      </c>
      <c r="AN24" s="81" t="s">
        <v>96</v>
      </c>
      <c r="AP24" s="7"/>
      <c r="AQ24" s="6"/>
      <c r="AR24" s="6"/>
      <c r="AS24" s="869"/>
      <c r="AT24" s="5"/>
      <c r="AV24" s="79" t="s">
        <v>89</v>
      </c>
      <c r="AW24" s="70">
        <v>2</v>
      </c>
      <c r="AX24" s="870">
        <v>2</v>
      </c>
      <c r="AY24" s="2208">
        <v>2</v>
      </c>
      <c r="AZ24" s="872">
        <v>2</v>
      </c>
      <c r="BB24" s="79" t="s">
        <v>89</v>
      </c>
      <c r="BC24" s="70">
        <v>2</v>
      </c>
      <c r="BD24" s="870">
        <v>2</v>
      </c>
      <c r="BE24" s="2208">
        <v>2</v>
      </c>
      <c r="BF24" s="872">
        <v>2</v>
      </c>
    </row>
    <row r="25" spans="1:58" ht="12.75" hidden="1" customHeight="1">
      <c r="A25" s="326">
        <v>1</v>
      </c>
      <c r="B25" s="2492" t="s">
        <v>59</v>
      </c>
      <c r="C25" s="23" t="s">
        <v>59</v>
      </c>
      <c r="D25" s="2492" t="s">
        <v>59</v>
      </c>
      <c r="E25" s="49" t="s">
        <v>59</v>
      </c>
      <c r="G25" s="83" t="s">
        <v>155</v>
      </c>
      <c r="H25" s="2441" t="s">
        <v>84</v>
      </c>
      <c r="I25" s="2462" t="s">
        <v>85</v>
      </c>
      <c r="J25" s="1709" t="s">
        <v>152</v>
      </c>
      <c r="K25" s="509" t="s">
        <v>153</v>
      </c>
      <c r="M25" s="80">
        <v>2</v>
      </c>
      <c r="N25" s="24" t="s">
        <v>117</v>
      </c>
      <c r="O25" s="25" t="s">
        <v>117</v>
      </c>
      <c r="P25" s="25" t="s">
        <v>117</v>
      </c>
      <c r="Q25" s="2444" t="s">
        <v>117</v>
      </c>
      <c r="R25" s="25" t="s">
        <v>117</v>
      </c>
      <c r="S25" s="25" t="s">
        <v>117</v>
      </c>
      <c r="T25" s="25" t="s">
        <v>117</v>
      </c>
      <c r="U25" s="81" t="s">
        <v>117</v>
      </c>
      <c r="X25" s="2579">
        <v>1</v>
      </c>
      <c r="Y25" s="2492" t="s">
        <v>59</v>
      </c>
      <c r="Z25" s="23" t="s">
        <v>59</v>
      </c>
      <c r="AA25" s="2492" t="s">
        <v>59</v>
      </c>
      <c r="AB25" s="49" t="s">
        <v>59</v>
      </c>
      <c r="AI25" s="46"/>
      <c r="AJ25" s="323"/>
      <c r="AK25" s="324"/>
      <c r="AL25" s="324"/>
      <c r="AM25" s="323"/>
      <c r="AN25" s="325"/>
      <c r="AP25" s="83" t="s">
        <v>181</v>
      </c>
      <c r="AQ25" s="59" t="s">
        <v>84</v>
      </c>
      <c r="AR25" s="82" t="s">
        <v>85</v>
      </c>
      <c r="AS25" s="508" t="s">
        <v>152</v>
      </c>
      <c r="AT25" s="509" t="s">
        <v>153</v>
      </c>
      <c r="AV25" s="7">
        <v>1</v>
      </c>
      <c r="AW25" s="46" t="s">
        <v>59</v>
      </c>
      <c r="AX25" s="49" t="s">
        <v>59</v>
      </c>
      <c r="AY25" s="23" t="s">
        <v>59</v>
      </c>
      <c r="AZ25" s="49" t="s">
        <v>59</v>
      </c>
      <c r="BB25" s="7">
        <v>1</v>
      </c>
      <c r="BC25" s="46" t="s">
        <v>59</v>
      </c>
      <c r="BD25" s="49" t="s">
        <v>59</v>
      </c>
      <c r="BE25" s="23" t="s">
        <v>59</v>
      </c>
      <c r="BF25" s="49" t="s">
        <v>59</v>
      </c>
    </row>
    <row r="26" spans="1:58" ht="13.5" hidden="1" customHeight="1" thickBot="1">
      <c r="A26" s="326">
        <v>2</v>
      </c>
      <c r="B26" s="2492" t="s">
        <v>117</v>
      </c>
      <c r="C26" s="46" t="s">
        <v>117</v>
      </c>
      <c r="D26" s="2492" t="s">
        <v>117</v>
      </c>
      <c r="E26" s="49" t="s">
        <v>117</v>
      </c>
      <c r="G26" s="79" t="s">
        <v>89</v>
      </c>
      <c r="H26" s="70">
        <v>2</v>
      </c>
      <c r="I26" s="873">
        <v>2</v>
      </c>
      <c r="J26" s="871">
        <v>2</v>
      </c>
      <c r="K26" s="872">
        <v>2</v>
      </c>
      <c r="M26" s="7"/>
      <c r="N26" s="2494"/>
      <c r="O26" s="6"/>
      <c r="P26" s="1720"/>
      <c r="Q26" s="2506"/>
      <c r="R26" s="6"/>
      <c r="S26" s="6"/>
      <c r="T26" s="6"/>
      <c r="U26" s="2463"/>
      <c r="X26" s="2580">
        <v>2</v>
      </c>
      <c r="Y26" s="2498" t="s">
        <v>117</v>
      </c>
      <c r="Z26" s="2285" t="s">
        <v>117</v>
      </c>
      <c r="AA26" s="2498" t="s">
        <v>117</v>
      </c>
      <c r="AB26" s="81" t="s">
        <v>117</v>
      </c>
      <c r="AI26" s="46"/>
      <c r="AJ26" s="328" t="s">
        <v>193</v>
      </c>
      <c r="AK26" s="59" t="s">
        <v>84</v>
      </c>
      <c r="AL26" s="27" t="s">
        <v>85</v>
      </c>
      <c r="AM26" s="588" t="s">
        <v>152</v>
      </c>
      <c r="AN26" s="509" t="s">
        <v>153</v>
      </c>
      <c r="AP26" s="79" t="s">
        <v>89</v>
      </c>
      <c r="AQ26" s="70">
        <v>2</v>
      </c>
      <c r="AR26" s="873">
        <v>2</v>
      </c>
      <c r="AS26" s="871">
        <v>2</v>
      </c>
      <c r="AT26" s="872">
        <v>2</v>
      </c>
      <c r="AV26" s="80">
        <v>2</v>
      </c>
      <c r="AW26" s="25" t="s">
        <v>96</v>
      </c>
      <c r="AX26" s="81" t="s">
        <v>96</v>
      </c>
      <c r="AY26" s="25" t="s">
        <v>96</v>
      </c>
      <c r="AZ26" s="81" t="s">
        <v>96</v>
      </c>
      <c r="BB26" s="9">
        <v>2</v>
      </c>
      <c r="BC26" s="84" t="s">
        <v>233</v>
      </c>
      <c r="BD26" s="50" t="s">
        <v>233</v>
      </c>
      <c r="BE26" s="84" t="s">
        <v>233</v>
      </c>
      <c r="BF26" s="50" t="s">
        <v>233</v>
      </c>
    </row>
    <row r="27" spans="1:58" ht="12.75" hidden="1" customHeight="1">
      <c r="A27" s="2282"/>
      <c r="B27" s="2497"/>
      <c r="C27" s="2283"/>
      <c r="D27" s="2497"/>
      <c r="E27" s="2284"/>
      <c r="G27" s="7">
        <v>1</v>
      </c>
      <c r="H27" s="2492" t="s">
        <v>59</v>
      </c>
      <c r="I27" s="23" t="s">
        <v>59</v>
      </c>
      <c r="J27" s="22" t="s">
        <v>59</v>
      </c>
      <c r="K27" s="49" t="s">
        <v>59</v>
      </c>
      <c r="M27" s="83" t="s">
        <v>720</v>
      </c>
      <c r="N27" s="5150" t="s">
        <v>84</v>
      </c>
      <c r="O27" s="5151"/>
      <c r="P27" s="5152" t="s">
        <v>85</v>
      </c>
      <c r="Q27" s="5153"/>
      <c r="R27" s="5151" t="s">
        <v>152</v>
      </c>
      <c r="S27" s="5151"/>
      <c r="T27" s="5151" t="s">
        <v>153</v>
      </c>
      <c r="U27" s="5154"/>
      <c r="X27" s="323"/>
      <c r="Y27" s="2497"/>
      <c r="Z27" s="2283"/>
      <c r="AA27" s="2283"/>
      <c r="AB27" s="2284"/>
      <c r="AI27" s="324"/>
      <c r="AJ27" s="327" t="s">
        <v>89</v>
      </c>
      <c r="AK27" s="70">
        <v>2</v>
      </c>
      <c r="AL27" s="873">
        <v>2</v>
      </c>
      <c r="AM27" s="871">
        <v>2</v>
      </c>
      <c r="AN27" s="872">
        <v>2</v>
      </c>
      <c r="AP27" s="7">
        <v>1</v>
      </c>
      <c r="AQ27" s="46" t="s">
        <v>59</v>
      </c>
      <c r="AR27" s="49" t="s">
        <v>59</v>
      </c>
      <c r="AS27" s="23" t="s">
        <v>59</v>
      </c>
      <c r="AT27" s="49" t="s">
        <v>59</v>
      </c>
      <c r="AV27" s="869"/>
      <c r="AW27" s="508"/>
      <c r="AX27" s="509"/>
      <c r="AY27" s="508"/>
      <c r="AZ27" s="509"/>
      <c r="BB27" s="7"/>
      <c r="BC27" s="6"/>
      <c r="BD27" s="5"/>
      <c r="BE27" s="6"/>
      <c r="BF27" s="5"/>
    </row>
    <row r="28" spans="1:58" ht="13.5" hidden="1" customHeight="1" thickBot="1">
      <c r="A28" s="2278" t="s">
        <v>1183</v>
      </c>
      <c r="B28" s="22" t="s">
        <v>84</v>
      </c>
      <c r="C28" s="1720" t="s">
        <v>85</v>
      </c>
      <c r="D28" s="22" t="s">
        <v>152</v>
      </c>
      <c r="E28" s="81" t="s">
        <v>153</v>
      </c>
      <c r="G28" s="9">
        <v>2</v>
      </c>
      <c r="H28" s="2493" t="s">
        <v>96</v>
      </c>
      <c r="I28" s="84" t="s">
        <v>96</v>
      </c>
      <c r="J28" s="2493" t="s">
        <v>96</v>
      </c>
      <c r="K28" s="50" t="s">
        <v>96</v>
      </c>
      <c r="M28" s="87"/>
      <c r="N28" s="2495" t="s">
        <v>718</v>
      </c>
      <c r="O28" s="1998" t="s">
        <v>46</v>
      </c>
      <c r="P28" s="1998" t="s">
        <v>718</v>
      </c>
      <c r="Q28" s="2504" t="s">
        <v>46</v>
      </c>
      <c r="R28" s="1998" t="s">
        <v>718</v>
      </c>
      <c r="S28" s="1998" t="s">
        <v>46</v>
      </c>
      <c r="T28" s="1998" t="s">
        <v>718</v>
      </c>
      <c r="U28" s="2043" t="s">
        <v>46</v>
      </c>
      <c r="X28" s="328" t="s">
        <v>762</v>
      </c>
      <c r="Y28" s="2441" t="s">
        <v>84</v>
      </c>
      <c r="Z28" s="2546" t="s">
        <v>85</v>
      </c>
      <c r="AA28" s="2441" t="s">
        <v>152</v>
      </c>
      <c r="AB28" s="509" t="s">
        <v>153</v>
      </c>
      <c r="AI28" s="46"/>
      <c r="AJ28" s="326">
        <v>1</v>
      </c>
      <c r="AK28" s="46" t="s">
        <v>59</v>
      </c>
      <c r="AL28" s="23" t="s">
        <v>59</v>
      </c>
      <c r="AM28" s="586" t="s">
        <v>59</v>
      </c>
      <c r="AN28" s="49" t="s">
        <v>59</v>
      </c>
      <c r="AP28" s="80">
        <v>2</v>
      </c>
      <c r="AQ28" s="25" t="s">
        <v>96</v>
      </c>
      <c r="AR28" s="81" t="s">
        <v>96</v>
      </c>
      <c r="AS28" s="25" t="s">
        <v>96</v>
      </c>
      <c r="AT28" s="81" t="s">
        <v>96</v>
      </c>
      <c r="AV28" s="1031" t="s">
        <v>584</v>
      </c>
      <c r="AW28" s="59" t="s">
        <v>84</v>
      </c>
      <c r="AX28" s="2204" t="s">
        <v>85</v>
      </c>
      <c r="AY28" s="508" t="s">
        <v>152</v>
      </c>
      <c r="AZ28" s="509" t="s">
        <v>153</v>
      </c>
      <c r="BB28" s="854" t="s">
        <v>209</v>
      </c>
      <c r="BC28" s="855"/>
      <c r="BD28" s="857"/>
      <c r="BE28" s="855"/>
      <c r="BF28" s="857"/>
    </row>
    <row r="29" spans="1:58" ht="12.75" hidden="1" customHeight="1">
      <c r="A29" s="327" t="s">
        <v>89</v>
      </c>
      <c r="B29" s="3570">
        <v>1</v>
      </c>
      <c r="C29" s="3571">
        <v>1</v>
      </c>
      <c r="D29" s="3572">
        <v>1</v>
      </c>
      <c r="E29" s="872">
        <v>1</v>
      </c>
      <c r="G29" s="6"/>
      <c r="H29" s="6"/>
      <c r="I29" s="6"/>
      <c r="J29" s="6"/>
      <c r="K29" s="6"/>
      <c r="M29" s="79" t="s">
        <v>89</v>
      </c>
      <c r="N29" s="70">
        <v>1</v>
      </c>
      <c r="O29" s="70">
        <v>1</v>
      </c>
      <c r="P29" s="873">
        <v>1</v>
      </c>
      <c r="Q29" s="2507">
        <v>1</v>
      </c>
      <c r="R29" s="2208">
        <v>1</v>
      </c>
      <c r="S29" s="871">
        <v>1</v>
      </c>
      <c r="T29" s="2486">
        <v>1</v>
      </c>
      <c r="U29" s="872">
        <v>1</v>
      </c>
      <c r="X29" s="327" t="s">
        <v>89</v>
      </c>
      <c r="Y29" s="2543">
        <v>1</v>
      </c>
      <c r="Z29" s="2544">
        <v>1</v>
      </c>
      <c r="AA29" s="2545">
        <v>1</v>
      </c>
      <c r="AB29" s="872">
        <v>1</v>
      </c>
      <c r="AI29" s="842"/>
      <c r="AJ29" s="329">
        <v>2</v>
      </c>
      <c r="AK29" s="25" t="s">
        <v>96</v>
      </c>
      <c r="AL29" s="25" t="s">
        <v>96</v>
      </c>
      <c r="AM29" s="587" t="s">
        <v>96</v>
      </c>
      <c r="AN29" s="81" t="s">
        <v>96</v>
      </c>
      <c r="AP29" s="7"/>
      <c r="AQ29" s="46"/>
      <c r="AR29" s="23"/>
      <c r="AS29" s="23"/>
      <c r="AT29" s="49"/>
      <c r="AV29" s="79" t="s">
        <v>89</v>
      </c>
      <c r="AW29" s="70">
        <v>2</v>
      </c>
      <c r="AX29" s="870">
        <v>2</v>
      </c>
      <c r="AY29" s="2208">
        <v>2</v>
      </c>
      <c r="AZ29" s="872">
        <v>2</v>
      </c>
      <c r="BB29" s="83" t="s">
        <v>234</v>
      </c>
      <c r="BC29" s="59" t="s">
        <v>84</v>
      </c>
      <c r="BD29" s="2204" t="s">
        <v>85</v>
      </c>
      <c r="BE29" s="508" t="s">
        <v>152</v>
      </c>
      <c r="BF29" s="509" t="s">
        <v>153</v>
      </c>
    </row>
    <row r="30" spans="1:58" ht="12.75" hidden="1" customHeight="1">
      <c r="A30" s="326">
        <v>1</v>
      </c>
      <c r="B30" s="2492" t="s">
        <v>59</v>
      </c>
      <c r="C30" s="23" t="s">
        <v>59</v>
      </c>
      <c r="D30" s="2492" t="s">
        <v>59</v>
      </c>
      <c r="E30" s="49" t="s">
        <v>59</v>
      </c>
      <c r="M30" s="7">
        <v>1</v>
      </c>
      <c r="N30" s="2492" t="s">
        <v>59</v>
      </c>
      <c r="O30" s="46" t="s">
        <v>59</v>
      </c>
      <c r="P30" s="23" t="s">
        <v>59</v>
      </c>
      <c r="Q30" s="2443" t="s">
        <v>59</v>
      </c>
      <c r="R30" s="23" t="s">
        <v>59</v>
      </c>
      <c r="S30" s="23" t="s">
        <v>59</v>
      </c>
      <c r="T30" s="23" t="s">
        <v>59</v>
      </c>
      <c r="U30" s="49" t="s">
        <v>59</v>
      </c>
      <c r="X30" s="326">
        <v>1</v>
      </c>
      <c r="Y30" s="2492" t="s">
        <v>59</v>
      </c>
      <c r="Z30" s="23" t="s">
        <v>59</v>
      </c>
      <c r="AA30" s="2492" t="s">
        <v>59</v>
      </c>
      <c r="AB30" s="49" t="s">
        <v>59</v>
      </c>
      <c r="AI30" s="46"/>
      <c r="AJ30" s="323"/>
      <c r="AK30" s="324"/>
      <c r="AL30" s="324"/>
      <c r="AM30" s="323"/>
      <c r="AN30" s="325"/>
      <c r="AP30" s="854" t="s">
        <v>51</v>
      </c>
      <c r="AQ30" s="855"/>
      <c r="AR30" s="855"/>
      <c r="AS30" s="856"/>
      <c r="AT30" s="857"/>
      <c r="AV30" s="7">
        <v>1</v>
      </c>
      <c r="AW30" s="46" t="s">
        <v>59</v>
      </c>
      <c r="AX30" s="49" t="s">
        <v>59</v>
      </c>
      <c r="AY30" s="23" t="s">
        <v>59</v>
      </c>
      <c r="AZ30" s="49" t="s">
        <v>59</v>
      </c>
      <c r="BB30" s="79" t="s">
        <v>89</v>
      </c>
      <c r="BC30" s="70">
        <v>4</v>
      </c>
      <c r="BD30" s="870">
        <v>4</v>
      </c>
      <c r="BE30" s="2208">
        <v>4</v>
      </c>
      <c r="BF30" s="872">
        <v>4</v>
      </c>
    </row>
    <row r="31" spans="1:58" ht="12.75" hidden="1" customHeight="1">
      <c r="A31" s="329">
        <v>2</v>
      </c>
      <c r="B31" s="2498" t="s">
        <v>117</v>
      </c>
      <c r="C31" s="2285" t="s">
        <v>117</v>
      </c>
      <c r="D31" s="2498" t="s">
        <v>117</v>
      </c>
      <c r="E31" s="81" t="s">
        <v>117</v>
      </c>
      <c r="M31" s="7">
        <v>2</v>
      </c>
      <c r="N31" s="22" t="s">
        <v>117</v>
      </c>
      <c r="O31" s="23" t="s">
        <v>117</v>
      </c>
      <c r="P31" s="23" t="s">
        <v>117</v>
      </c>
      <c r="Q31" s="2443" t="s">
        <v>117</v>
      </c>
      <c r="R31" s="23" t="s">
        <v>117</v>
      </c>
      <c r="S31" s="23" t="s">
        <v>117</v>
      </c>
      <c r="T31" s="23" t="s">
        <v>117</v>
      </c>
      <c r="U31" s="49" t="s">
        <v>117</v>
      </c>
      <c r="X31" s="326">
        <v>2</v>
      </c>
      <c r="Y31" s="2492" t="s">
        <v>117</v>
      </c>
      <c r="Z31" s="46" t="s">
        <v>117</v>
      </c>
      <c r="AA31" s="2492" t="s">
        <v>117</v>
      </c>
      <c r="AB31" s="49" t="s">
        <v>117</v>
      </c>
      <c r="AI31" s="46"/>
      <c r="AJ31" s="328" t="s">
        <v>194</v>
      </c>
      <c r="AK31" s="59" t="s">
        <v>84</v>
      </c>
      <c r="AL31" s="27" t="s">
        <v>85</v>
      </c>
      <c r="AM31" s="588" t="s">
        <v>152</v>
      </c>
      <c r="AN31" s="509" t="s">
        <v>153</v>
      </c>
      <c r="AP31" s="83" t="s">
        <v>179</v>
      </c>
      <c r="AQ31" s="59" t="s">
        <v>84</v>
      </c>
      <c r="AR31" s="82" t="s">
        <v>85</v>
      </c>
      <c r="AS31" s="508" t="s">
        <v>152</v>
      </c>
      <c r="AT31" s="509" t="s">
        <v>153</v>
      </c>
      <c r="AV31" s="80">
        <v>2</v>
      </c>
      <c r="AW31" s="25" t="s">
        <v>96</v>
      </c>
      <c r="AX31" s="81" t="s">
        <v>96</v>
      </c>
      <c r="AY31" s="25" t="s">
        <v>96</v>
      </c>
      <c r="AZ31" s="81" t="s">
        <v>96</v>
      </c>
      <c r="BB31" s="7">
        <v>1</v>
      </c>
      <c r="BC31" s="46" t="s">
        <v>59</v>
      </c>
      <c r="BD31" s="49" t="s">
        <v>59</v>
      </c>
      <c r="BE31" s="23" t="s">
        <v>59</v>
      </c>
      <c r="BF31" s="49" t="s">
        <v>59</v>
      </c>
    </row>
    <row r="32" spans="1:58" ht="12.75" hidden="1" customHeight="1">
      <c r="A32" s="323"/>
      <c r="B32" s="324"/>
      <c r="C32" s="324"/>
      <c r="D32" s="2511"/>
      <c r="E32" s="2279"/>
      <c r="M32" s="869"/>
      <c r="N32" s="2496"/>
      <c r="O32" s="2462"/>
      <c r="P32" s="2462"/>
      <c r="Q32" s="1710"/>
      <c r="R32" s="2462"/>
      <c r="S32" s="2462"/>
      <c r="T32" s="2462"/>
      <c r="U32" s="2463"/>
      <c r="X32" s="855"/>
      <c r="Y32" s="855"/>
      <c r="Z32" s="855"/>
      <c r="AA32" s="855"/>
      <c r="AB32" s="855"/>
      <c r="AJ32" s="327" t="s">
        <v>89</v>
      </c>
      <c r="AK32" s="70">
        <v>2</v>
      </c>
      <c r="AL32" s="873">
        <v>2</v>
      </c>
      <c r="AM32" s="871">
        <v>2</v>
      </c>
      <c r="AN32" s="872">
        <v>2</v>
      </c>
      <c r="AP32" s="79" t="s">
        <v>89</v>
      </c>
      <c r="AQ32" s="70">
        <v>2</v>
      </c>
      <c r="AR32" s="873">
        <v>2</v>
      </c>
      <c r="AS32" s="871">
        <v>2</v>
      </c>
      <c r="AT32" s="872">
        <v>2</v>
      </c>
      <c r="AV32" s="869"/>
      <c r="AW32" s="508"/>
      <c r="AX32" s="509"/>
      <c r="AY32" s="508"/>
      <c r="AZ32" s="509"/>
      <c r="BB32" s="7">
        <v>2</v>
      </c>
      <c r="BC32" s="23" t="s">
        <v>195</v>
      </c>
      <c r="BD32" s="49" t="s">
        <v>195</v>
      </c>
      <c r="BE32" s="23" t="s">
        <v>195</v>
      </c>
      <c r="BF32" s="49" t="s">
        <v>195</v>
      </c>
    </row>
    <row r="33" spans="1:58" ht="12.75" hidden="1" customHeight="1">
      <c r="A33" s="328" t="s">
        <v>1207</v>
      </c>
      <c r="B33" s="2441" t="s">
        <v>84</v>
      </c>
      <c r="C33" s="3575" t="s">
        <v>85</v>
      </c>
      <c r="D33" s="22" t="s">
        <v>152</v>
      </c>
      <c r="E33" s="81" t="s">
        <v>153</v>
      </c>
      <c r="M33" s="87" t="s">
        <v>721</v>
      </c>
      <c r="N33" s="5150" t="s">
        <v>84</v>
      </c>
      <c r="O33" s="5151"/>
      <c r="P33" s="5152" t="s">
        <v>85</v>
      </c>
      <c r="Q33" s="5153"/>
      <c r="R33" s="5151" t="s">
        <v>152</v>
      </c>
      <c r="S33" s="5151"/>
      <c r="T33" s="5151" t="s">
        <v>153</v>
      </c>
      <c r="U33" s="5154"/>
      <c r="X33" s="840"/>
      <c r="Y33" s="23"/>
      <c r="Z33" s="6"/>
      <c r="AA33" s="23"/>
      <c r="AB33" s="23"/>
      <c r="AJ33" s="326">
        <v>1</v>
      </c>
      <c r="AK33" s="46" t="s">
        <v>59</v>
      </c>
      <c r="AL33" s="23" t="s">
        <v>59</v>
      </c>
      <c r="AM33" s="586" t="s">
        <v>59</v>
      </c>
      <c r="AN33" s="49" t="s">
        <v>59</v>
      </c>
      <c r="AP33" s="7">
        <v>1</v>
      </c>
      <c r="AQ33" s="46" t="s">
        <v>59</v>
      </c>
      <c r="AR33" s="49" t="s">
        <v>59</v>
      </c>
      <c r="AS33" s="23" t="s">
        <v>59</v>
      </c>
      <c r="AT33" s="49" t="s">
        <v>59</v>
      </c>
      <c r="AV33" s="1031" t="s">
        <v>305</v>
      </c>
      <c r="AW33" s="59" t="s">
        <v>84</v>
      </c>
      <c r="AX33" s="2204" t="s">
        <v>85</v>
      </c>
      <c r="AY33" s="508" t="s">
        <v>152</v>
      </c>
      <c r="AZ33" s="509" t="s">
        <v>153</v>
      </c>
      <c r="BB33" s="7">
        <v>3</v>
      </c>
      <c r="BC33" s="46" t="s">
        <v>196</v>
      </c>
      <c r="BD33" s="356" t="s">
        <v>196</v>
      </c>
      <c r="BE33" s="46" t="s">
        <v>196</v>
      </c>
      <c r="BF33" s="356" t="s">
        <v>196</v>
      </c>
    </row>
    <row r="34" spans="1:58" ht="13.5" hidden="1" customHeight="1" thickBot="1">
      <c r="A34" s="327" t="s">
        <v>89</v>
      </c>
      <c r="B34" s="3582">
        <v>1</v>
      </c>
      <c r="C34" s="3583">
        <v>1</v>
      </c>
      <c r="D34" s="3584">
        <v>1</v>
      </c>
      <c r="E34" s="872">
        <v>1</v>
      </c>
      <c r="M34" s="87"/>
      <c r="N34" s="2495" t="s">
        <v>718</v>
      </c>
      <c r="O34" s="1998" t="s">
        <v>46</v>
      </c>
      <c r="P34" s="1998" t="s">
        <v>718</v>
      </c>
      <c r="Q34" s="2504" t="s">
        <v>46</v>
      </c>
      <c r="R34" s="1998" t="s">
        <v>718</v>
      </c>
      <c r="S34" s="1998" t="s">
        <v>46</v>
      </c>
      <c r="T34" s="1998" t="s">
        <v>718</v>
      </c>
      <c r="U34" s="2043" t="s">
        <v>46</v>
      </c>
      <c r="X34" s="841"/>
      <c r="Y34" s="842"/>
      <c r="Z34" s="842"/>
      <c r="AA34" s="842"/>
      <c r="AB34" s="842"/>
      <c r="AJ34" s="589">
        <v>2</v>
      </c>
      <c r="AK34" s="84" t="s">
        <v>96</v>
      </c>
      <c r="AL34" s="84" t="s">
        <v>96</v>
      </c>
      <c r="AM34" s="142" t="s">
        <v>96</v>
      </c>
      <c r="AN34" s="50" t="s">
        <v>96</v>
      </c>
      <c r="AP34" s="80">
        <v>2</v>
      </c>
      <c r="AQ34" s="25" t="s">
        <v>96</v>
      </c>
      <c r="AR34" s="81" t="s">
        <v>96</v>
      </c>
      <c r="AS34" s="25" t="s">
        <v>96</v>
      </c>
      <c r="AT34" s="81" t="s">
        <v>96</v>
      </c>
      <c r="AV34" s="79" t="s">
        <v>89</v>
      </c>
      <c r="AW34" s="70">
        <v>2</v>
      </c>
      <c r="AX34" s="873">
        <v>2</v>
      </c>
      <c r="AY34" s="1030">
        <v>2</v>
      </c>
      <c r="AZ34" s="872">
        <v>2</v>
      </c>
      <c r="BB34" s="80">
        <v>4</v>
      </c>
      <c r="BC34" s="25" t="s">
        <v>233</v>
      </c>
      <c r="BD34" s="81" t="s">
        <v>233</v>
      </c>
      <c r="BE34" s="25" t="s">
        <v>233</v>
      </c>
      <c r="BF34" s="81" t="s">
        <v>233</v>
      </c>
    </row>
    <row r="35" spans="1:58" ht="12.75" hidden="1" customHeight="1">
      <c r="A35" s="326">
        <v>1</v>
      </c>
      <c r="B35" s="2492" t="s">
        <v>59</v>
      </c>
      <c r="C35" s="23" t="s">
        <v>59</v>
      </c>
      <c r="D35" s="2492" t="s">
        <v>59</v>
      </c>
      <c r="E35" s="49" t="s">
        <v>59</v>
      </c>
      <c r="M35" s="79" t="s">
        <v>89</v>
      </c>
      <c r="N35" s="70">
        <v>3</v>
      </c>
      <c r="O35" s="70">
        <v>3</v>
      </c>
      <c r="P35" s="873">
        <v>3</v>
      </c>
      <c r="Q35" s="2507">
        <v>4</v>
      </c>
      <c r="R35" s="2208">
        <v>3</v>
      </c>
      <c r="S35" s="871">
        <v>4</v>
      </c>
      <c r="T35" s="2486">
        <v>3</v>
      </c>
      <c r="U35" s="872">
        <v>4</v>
      </c>
      <c r="X35" s="2575"/>
      <c r="Y35" s="46"/>
      <c r="Z35" s="23"/>
      <c r="AA35" s="46"/>
      <c r="AB35" s="23"/>
      <c r="AJ35" s="7"/>
      <c r="AK35" s="6"/>
      <c r="AL35" s="6"/>
      <c r="AM35" s="6"/>
      <c r="AN35" s="5"/>
      <c r="AP35" s="7"/>
      <c r="AQ35" s="23"/>
      <c r="AR35" s="49"/>
      <c r="AS35" s="23"/>
      <c r="AT35" s="49"/>
      <c r="AV35" s="7">
        <v>1</v>
      </c>
      <c r="AW35" s="46" t="s">
        <v>59</v>
      </c>
      <c r="AX35" s="46" t="s">
        <v>59</v>
      </c>
      <c r="AY35" s="586" t="s">
        <v>59</v>
      </c>
      <c r="AZ35" s="356" t="s">
        <v>59</v>
      </c>
      <c r="BB35" s="87" t="s">
        <v>235</v>
      </c>
      <c r="BC35" s="23" t="s">
        <v>84</v>
      </c>
      <c r="BD35" s="1669" t="s">
        <v>85</v>
      </c>
      <c r="BE35" s="25" t="s">
        <v>152</v>
      </c>
      <c r="BF35" s="81" t="s">
        <v>153</v>
      </c>
    </row>
    <row r="36" spans="1:58" ht="13.5" hidden="1" customHeight="1" thickBot="1">
      <c r="A36" s="329">
        <v>2</v>
      </c>
      <c r="B36" s="2498" t="s">
        <v>117</v>
      </c>
      <c r="C36" s="2285" t="s">
        <v>117</v>
      </c>
      <c r="D36" s="2498" t="s">
        <v>117</v>
      </c>
      <c r="E36" s="81" t="s">
        <v>117</v>
      </c>
      <c r="M36" s="7">
        <v>1</v>
      </c>
      <c r="N36" s="2492" t="s">
        <v>59</v>
      </c>
      <c r="O36" s="46" t="s">
        <v>59</v>
      </c>
      <c r="P36" s="23" t="s">
        <v>59</v>
      </c>
      <c r="Q36" s="2443" t="s">
        <v>59</v>
      </c>
      <c r="R36" s="23" t="s">
        <v>59</v>
      </c>
      <c r="S36" s="23" t="s">
        <v>59</v>
      </c>
      <c r="T36" s="23" t="s">
        <v>59</v>
      </c>
      <c r="U36" s="49" t="s">
        <v>59</v>
      </c>
      <c r="X36" s="2575"/>
      <c r="Y36" s="46"/>
      <c r="Z36" s="46"/>
      <c r="AA36" s="46"/>
      <c r="AB36" s="23"/>
      <c r="AJ36" s="7"/>
      <c r="AK36" s="6"/>
      <c r="AL36" s="6"/>
      <c r="AM36" s="6"/>
      <c r="AN36" s="5"/>
      <c r="AP36" s="83" t="s">
        <v>180</v>
      </c>
      <c r="AQ36" s="59" t="s">
        <v>84</v>
      </c>
      <c r="AR36" s="82" t="s">
        <v>85</v>
      </c>
      <c r="AS36" s="508" t="s">
        <v>152</v>
      </c>
      <c r="AT36" s="509" t="s">
        <v>153</v>
      </c>
      <c r="AV36" s="9">
        <v>2</v>
      </c>
      <c r="AW36" s="84" t="s">
        <v>96</v>
      </c>
      <c r="AX36" s="84" t="s">
        <v>96</v>
      </c>
      <c r="AY36" s="142" t="s">
        <v>96</v>
      </c>
      <c r="AZ36" s="50" t="s">
        <v>96</v>
      </c>
      <c r="BB36" s="79" t="s">
        <v>89</v>
      </c>
      <c r="BC36" s="70">
        <v>2</v>
      </c>
      <c r="BD36" s="870">
        <v>2</v>
      </c>
      <c r="BE36" s="2208">
        <v>2</v>
      </c>
      <c r="BF36" s="872">
        <v>2</v>
      </c>
    </row>
    <row r="37" spans="1:58" ht="12.75" hidden="1" customHeight="1">
      <c r="A37" s="323"/>
      <c r="B37" s="324"/>
      <c r="C37" s="324"/>
      <c r="D37" s="2511"/>
      <c r="E37" s="2279"/>
      <c r="M37" s="7">
        <v>2</v>
      </c>
      <c r="N37" s="22" t="s">
        <v>117</v>
      </c>
      <c r="O37" s="23" t="s">
        <v>117</v>
      </c>
      <c r="P37" s="23" t="s">
        <v>117</v>
      </c>
      <c r="Q37" s="2443" t="s">
        <v>117</v>
      </c>
      <c r="R37" s="23" t="s">
        <v>117</v>
      </c>
      <c r="S37" s="23" t="s">
        <v>117</v>
      </c>
      <c r="T37" s="23" t="s">
        <v>117</v>
      </c>
      <c r="U37" s="49" t="s">
        <v>117</v>
      </c>
      <c r="AD37" s="324"/>
      <c r="AE37" s="324"/>
      <c r="AF37" s="324"/>
      <c r="AG37" s="324"/>
      <c r="AH37" s="324"/>
      <c r="AJ37" s="854" t="s">
        <v>199</v>
      </c>
      <c r="AK37" s="855"/>
      <c r="AL37" s="855"/>
      <c r="AM37" s="856"/>
      <c r="AN37" s="857"/>
      <c r="AP37" s="79" t="s">
        <v>89</v>
      </c>
      <c r="AQ37" s="70">
        <v>2</v>
      </c>
      <c r="AR37" s="873">
        <v>2</v>
      </c>
      <c r="AS37" s="871">
        <v>2</v>
      </c>
      <c r="AT37" s="872">
        <v>2</v>
      </c>
      <c r="AV37" s="103"/>
      <c r="AW37" s="46"/>
      <c r="AX37" s="46"/>
      <c r="AY37" s="46"/>
      <c r="AZ37" s="46"/>
      <c r="BB37" s="7">
        <v>1</v>
      </c>
      <c r="BC37" s="46" t="s">
        <v>59</v>
      </c>
      <c r="BD37" s="49" t="s">
        <v>59</v>
      </c>
      <c r="BE37" s="23" t="s">
        <v>59</v>
      </c>
      <c r="BF37" s="49" t="s">
        <v>59</v>
      </c>
    </row>
    <row r="38" spans="1:58" ht="13.5" hidden="1" customHeight="1" thickBot="1">
      <c r="A38" s="328" t="s">
        <v>1184</v>
      </c>
      <c r="B38" s="2441" t="s">
        <v>84</v>
      </c>
      <c r="C38" s="2255" t="s">
        <v>85</v>
      </c>
      <c r="D38" s="22" t="s">
        <v>152</v>
      </c>
      <c r="E38" s="81" t="s">
        <v>153</v>
      </c>
      <c r="M38" s="7">
        <v>3</v>
      </c>
      <c r="N38" s="22" t="s">
        <v>96</v>
      </c>
      <c r="O38" s="23" t="s">
        <v>96</v>
      </c>
      <c r="P38" s="23" t="s">
        <v>96</v>
      </c>
      <c r="Q38" s="2443" t="s">
        <v>96</v>
      </c>
      <c r="R38" s="23" t="s">
        <v>96</v>
      </c>
      <c r="S38" s="23" t="s">
        <v>96</v>
      </c>
      <c r="T38" s="23" t="s">
        <v>96</v>
      </c>
      <c r="U38" s="49" t="s">
        <v>96</v>
      </c>
      <c r="AD38" s="840"/>
      <c r="AE38" s="46"/>
      <c r="AF38" s="103"/>
      <c r="AG38" s="46"/>
      <c r="AH38" s="46"/>
      <c r="AJ38" s="328" t="s">
        <v>192</v>
      </c>
      <c r="AK38" s="59" t="s">
        <v>84</v>
      </c>
      <c r="AL38" s="27" t="s">
        <v>85</v>
      </c>
      <c r="AM38" s="588" t="s">
        <v>152</v>
      </c>
      <c r="AN38" s="509" t="s">
        <v>153</v>
      </c>
      <c r="AP38" s="7">
        <v>1</v>
      </c>
      <c r="AQ38" s="46" t="s">
        <v>59</v>
      </c>
      <c r="AR38" s="49" t="s">
        <v>59</v>
      </c>
      <c r="AS38" s="23" t="s">
        <v>59</v>
      </c>
      <c r="AT38" s="49" t="s">
        <v>59</v>
      </c>
      <c r="AV38" s="1028"/>
      <c r="AW38" s="324"/>
      <c r="AX38" s="324"/>
      <c r="AY38" s="324"/>
      <c r="AZ38" s="324"/>
      <c r="BB38" s="9">
        <v>2</v>
      </c>
      <c r="BC38" s="84" t="s">
        <v>233</v>
      </c>
      <c r="BD38" s="50" t="s">
        <v>233</v>
      </c>
      <c r="BE38" s="84" t="s">
        <v>233</v>
      </c>
      <c r="BF38" s="50" t="s">
        <v>233</v>
      </c>
    </row>
    <row r="39" spans="1:58" ht="13.5" hidden="1" customHeight="1" thickBot="1">
      <c r="A39" s="327" t="s">
        <v>89</v>
      </c>
      <c r="B39" s="70">
        <v>1</v>
      </c>
      <c r="C39" s="873">
        <v>1</v>
      </c>
      <c r="D39" s="871">
        <v>1</v>
      </c>
      <c r="E39" s="872">
        <v>1</v>
      </c>
      <c r="M39" s="2517"/>
      <c r="N39" s="2518"/>
      <c r="O39" s="2519"/>
      <c r="P39" s="2519"/>
      <c r="Q39" s="2520"/>
      <c r="R39" s="2519"/>
      <c r="S39" s="2519"/>
      <c r="T39" s="2519"/>
      <c r="U39" s="2521"/>
      <c r="AD39" s="841"/>
      <c r="AE39" s="842"/>
      <c r="AF39" s="842"/>
      <c r="AG39" s="842"/>
      <c r="AH39" s="842"/>
      <c r="AJ39" s="327" t="s">
        <v>89</v>
      </c>
      <c r="AK39" s="70">
        <v>2</v>
      </c>
      <c r="AL39" s="873">
        <v>2</v>
      </c>
      <c r="AM39" s="871">
        <v>2</v>
      </c>
      <c r="AN39" s="872">
        <v>2</v>
      </c>
      <c r="AP39" s="80">
        <v>2</v>
      </c>
      <c r="AQ39" s="25" t="s">
        <v>96</v>
      </c>
      <c r="AR39" s="81" t="s">
        <v>96</v>
      </c>
      <c r="AS39" s="25" t="s">
        <v>96</v>
      </c>
      <c r="AT39" s="81" t="s">
        <v>96</v>
      </c>
      <c r="BB39" s="7"/>
      <c r="BC39" s="6"/>
      <c r="BD39" s="5"/>
      <c r="BE39" s="6"/>
      <c r="BF39" s="5"/>
    </row>
    <row r="40" spans="1:58" ht="12.75" hidden="1" customHeight="1">
      <c r="A40" s="326">
        <v>1</v>
      </c>
      <c r="B40" s="2492" t="s">
        <v>59</v>
      </c>
      <c r="C40" s="23" t="s">
        <v>59</v>
      </c>
      <c r="D40" s="2492" t="s">
        <v>59</v>
      </c>
      <c r="E40" s="49" t="s">
        <v>59</v>
      </c>
      <c r="M40" s="87" t="s">
        <v>736</v>
      </c>
      <c r="N40" s="5155" t="s">
        <v>84</v>
      </c>
      <c r="O40" s="5156"/>
      <c r="P40" s="5157" t="s">
        <v>85</v>
      </c>
      <c r="Q40" s="5158"/>
      <c r="R40" s="5156" t="s">
        <v>152</v>
      </c>
      <c r="S40" s="5156"/>
      <c r="T40" s="5156" t="s">
        <v>153</v>
      </c>
      <c r="U40" s="5159"/>
      <c r="AJ40" s="326">
        <v>1</v>
      </c>
      <c r="AK40" s="46" t="s">
        <v>59</v>
      </c>
      <c r="AL40" s="23" t="s">
        <v>59</v>
      </c>
      <c r="AM40" s="586" t="s">
        <v>59</v>
      </c>
      <c r="AN40" s="49" t="s">
        <v>59</v>
      </c>
      <c r="AP40" s="7"/>
      <c r="AQ40" s="23"/>
      <c r="AR40" s="81"/>
      <c r="AS40" s="25"/>
      <c r="AT40" s="81"/>
      <c r="BB40" s="854" t="s">
        <v>200</v>
      </c>
      <c r="BC40" s="855"/>
      <c r="BD40" s="857"/>
      <c r="BE40" s="855"/>
      <c r="BF40" s="857"/>
    </row>
    <row r="41" spans="1:58" ht="12.75" hidden="1" customHeight="1">
      <c r="A41" s="329">
        <v>2</v>
      </c>
      <c r="B41" s="2498" t="s">
        <v>117</v>
      </c>
      <c r="C41" s="2285" t="s">
        <v>117</v>
      </c>
      <c r="D41" s="2498" t="s">
        <v>117</v>
      </c>
      <c r="E41" s="81" t="s">
        <v>117</v>
      </c>
      <c r="M41" s="87"/>
      <c r="N41" s="2495" t="s">
        <v>718</v>
      </c>
      <c r="O41" s="1998" t="s">
        <v>46</v>
      </c>
      <c r="P41" s="1998" t="s">
        <v>718</v>
      </c>
      <c r="Q41" s="2504" t="s">
        <v>46</v>
      </c>
      <c r="R41" s="1998" t="s">
        <v>718</v>
      </c>
      <c r="S41" s="1998" t="s">
        <v>46</v>
      </c>
      <c r="T41" s="1998" t="s">
        <v>718</v>
      </c>
      <c r="U41" s="2043" t="s">
        <v>46</v>
      </c>
      <c r="AJ41" s="329">
        <v>2</v>
      </c>
      <c r="AK41" s="25" t="s">
        <v>96</v>
      </c>
      <c r="AL41" s="25" t="s">
        <v>96</v>
      </c>
      <c r="AM41" s="587" t="s">
        <v>96</v>
      </c>
      <c r="AN41" s="81" t="s">
        <v>96</v>
      </c>
      <c r="AP41" s="83" t="s">
        <v>183</v>
      </c>
      <c r="AQ41" s="59" t="s">
        <v>84</v>
      </c>
      <c r="AR41" s="82" t="s">
        <v>85</v>
      </c>
      <c r="AS41" s="508" t="s">
        <v>152</v>
      </c>
      <c r="AT41" s="509" t="s">
        <v>153</v>
      </c>
      <c r="BB41" s="83" t="s">
        <v>234</v>
      </c>
      <c r="BC41" s="59" t="s">
        <v>84</v>
      </c>
      <c r="BD41" s="2204" t="s">
        <v>85</v>
      </c>
      <c r="BE41" s="508" t="s">
        <v>152</v>
      </c>
      <c r="BF41" s="509" t="s">
        <v>153</v>
      </c>
    </row>
    <row r="42" spans="1:58" ht="12.75" hidden="1" customHeight="1">
      <c r="A42" s="323"/>
      <c r="B42" s="2499"/>
      <c r="C42" s="324"/>
      <c r="D42" s="2511"/>
      <c r="E42" s="2279"/>
      <c r="M42" s="79" t="s">
        <v>89</v>
      </c>
      <c r="N42" s="70">
        <v>1</v>
      </c>
      <c r="O42" s="70">
        <v>1</v>
      </c>
      <c r="P42" s="873">
        <v>1</v>
      </c>
      <c r="Q42" s="2507">
        <v>1</v>
      </c>
      <c r="R42" s="2208">
        <v>1</v>
      </c>
      <c r="S42" s="871">
        <v>1</v>
      </c>
      <c r="T42" s="2486">
        <v>1</v>
      </c>
      <c r="U42" s="872">
        <v>1</v>
      </c>
      <c r="AJ42" s="323"/>
      <c r="AK42" s="324"/>
      <c r="AL42" s="324"/>
      <c r="AM42" s="323"/>
      <c r="AN42" s="325"/>
      <c r="AP42" s="79" t="s">
        <v>89</v>
      </c>
      <c r="AQ42" s="70">
        <v>2</v>
      </c>
      <c r="AR42" s="873">
        <v>2</v>
      </c>
      <c r="AS42" s="871">
        <v>2</v>
      </c>
      <c r="AT42" s="872">
        <v>2</v>
      </c>
      <c r="BB42" s="79" t="s">
        <v>89</v>
      </c>
      <c r="BC42" s="70">
        <v>4</v>
      </c>
      <c r="BD42" s="870">
        <v>4</v>
      </c>
      <c r="BE42" s="2208">
        <v>4</v>
      </c>
      <c r="BF42" s="872">
        <v>4</v>
      </c>
    </row>
    <row r="43" spans="1:58" ht="12.75" hidden="1" customHeight="1">
      <c r="A43" s="328" t="s">
        <v>637</v>
      </c>
      <c r="B43" s="2441" t="s">
        <v>84</v>
      </c>
      <c r="C43" s="2392" t="s">
        <v>85</v>
      </c>
      <c r="D43" s="22" t="s">
        <v>152</v>
      </c>
      <c r="E43" s="81" t="s">
        <v>153</v>
      </c>
      <c r="M43" s="7">
        <v>1</v>
      </c>
      <c r="N43" s="2492" t="s">
        <v>59</v>
      </c>
      <c r="O43" s="46" t="s">
        <v>59</v>
      </c>
      <c r="P43" s="23" t="s">
        <v>59</v>
      </c>
      <c r="Q43" s="2443" t="s">
        <v>59</v>
      </c>
      <c r="R43" s="23" t="s">
        <v>59</v>
      </c>
      <c r="S43" s="23" t="s">
        <v>59</v>
      </c>
      <c r="T43" s="23" t="s">
        <v>59</v>
      </c>
      <c r="U43" s="49" t="s">
        <v>59</v>
      </c>
      <c r="AJ43" s="328" t="s">
        <v>193</v>
      </c>
      <c r="AK43" s="59" t="s">
        <v>84</v>
      </c>
      <c r="AL43" s="27" t="s">
        <v>85</v>
      </c>
      <c r="AM43" s="588" t="s">
        <v>152</v>
      </c>
      <c r="AN43" s="509" t="s">
        <v>153</v>
      </c>
      <c r="AP43" s="7">
        <v>1</v>
      </c>
      <c r="AQ43" s="46" t="s">
        <v>59</v>
      </c>
      <c r="AR43" s="49" t="s">
        <v>59</v>
      </c>
      <c r="AS43" s="23" t="s">
        <v>59</v>
      </c>
      <c r="AT43" s="49" t="s">
        <v>59</v>
      </c>
      <c r="BB43" s="7">
        <v>1</v>
      </c>
      <c r="BC43" s="46" t="s">
        <v>59</v>
      </c>
      <c r="BD43" s="49" t="s">
        <v>59</v>
      </c>
      <c r="BE43" s="23" t="s">
        <v>59</v>
      </c>
      <c r="BF43" s="49" t="s">
        <v>59</v>
      </c>
    </row>
    <row r="44" spans="1:58" ht="12.75" hidden="1" customHeight="1">
      <c r="A44" s="327" t="s">
        <v>89</v>
      </c>
      <c r="B44" s="70">
        <v>1</v>
      </c>
      <c r="C44" s="873">
        <v>1</v>
      </c>
      <c r="D44" s="871">
        <v>1</v>
      </c>
      <c r="E44" s="872">
        <v>1</v>
      </c>
      <c r="M44" s="7">
        <v>2</v>
      </c>
      <c r="N44" s="22" t="s">
        <v>117</v>
      </c>
      <c r="O44" s="23" t="s">
        <v>117</v>
      </c>
      <c r="P44" s="23" t="s">
        <v>117</v>
      </c>
      <c r="Q44" s="2443" t="s">
        <v>117</v>
      </c>
      <c r="R44" s="23" t="s">
        <v>117</v>
      </c>
      <c r="S44" s="23" t="s">
        <v>117</v>
      </c>
      <c r="T44" s="23" t="s">
        <v>117</v>
      </c>
      <c r="U44" s="49" t="s">
        <v>117</v>
      </c>
      <c r="AJ44" s="327" t="s">
        <v>89</v>
      </c>
      <c r="AK44" s="70">
        <v>2</v>
      </c>
      <c r="AL44" s="873">
        <v>2</v>
      </c>
      <c r="AM44" s="871">
        <v>2</v>
      </c>
      <c r="AN44" s="872">
        <v>2</v>
      </c>
      <c r="AP44" s="80">
        <v>2</v>
      </c>
      <c r="AQ44" s="25" t="s">
        <v>96</v>
      </c>
      <c r="AR44" s="81" t="s">
        <v>96</v>
      </c>
      <c r="AS44" s="25" t="s">
        <v>96</v>
      </c>
      <c r="AT44" s="81" t="s">
        <v>96</v>
      </c>
      <c r="BB44" s="7">
        <v>2</v>
      </c>
      <c r="BC44" s="23" t="s">
        <v>195</v>
      </c>
      <c r="BD44" s="49" t="s">
        <v>195</v>
      </c>
      <c r="BE44" s="23" t="s">
        <v>195</v>
      </c>
      <c r="BF44" s="49" t="s">
        <v>195</v>
      </c>
    </row>
    <row r="45" spans="1:58" ht="12.75" hidden="1" customHeight="1">
      <c r="A45" s="326">
        <v>1</v>
      </c>
      <c r="B45" s="2492" t="s">
        <v>59</v>
      </c>
      <c r="C45" s="23" t="s">
        <v>59</v>
      </c>
      <c r="D45" s="2492" t="s">
        <v>59</v>
      </c>
      <c r="E45" s="49" t="s">
        <v>59</v>
      </c>
      <c r="M45" s="869"/>
      <c r="N45" s="2496"/>
      <c r="O45" s="2480"/>
      <c r="P45" s="2480"/>
      <c r="Q45" s="1710"/>
      <c r="R45" s="2480"/>
      <c r="S45" s="2480"/>
      <c r="T45" s="2480"/>
      <c r="U45" s="2481"/>
      <c r="AJ45" s="326">
        <v>1</v>
      </c>
      <c r="AK45" s="46" t="s">
        <v>59</v>
      </c>
      <c r="AL45" s="23" t="s">
        <v>59</v>
      </c>
      <c r="AM45" s="586" t="s">
        <v>59</v>
      </c>
      <c r="AN45" s="49" t="s">
        <v>59</v>
      </c>
      <c r="AP45" s="7"/>
      <c r="AQ45" s="23"/>
      <c r="AR45" s="49"/>
      <c r="AS45" s="23"/>
      <c r="AT45" s="49"/>
      <c r="BB45" s="7">
        <v>3</v>
      </c>
      <c r="BC45" s="46" t="s">
        <v>196</v>
      </c>
      <c r="BD45" s="356" t="s">
        <v>196</v>
      </c>
      <c r="BE45" s="46" t="s">
        <v>196</v>
      </c>
      <c r="BF45" s="356" t="s">
        <v>196</v>
      </c>
    </row>
    <row r="46" spans="1:58" ht="12.75" hidden="1" customHeight="1">
      <c r="A46" s="329">
        <v>2</v>
      </c>
      <c r="B46" s="2498" t="s">
        <v>117</v>
      </c>
      <c r="C46" s="2285" t="s">
        <v>117</v>
      </c>
      <c r="D46" s="2498" t="s">
        <v>117</v>
      </c>
      <c r="E46" s="81" t="s">
        <v>117</v>
      </c>
      <c r="M46" s="87" t="s">
        <v>737</v>
      </c>
      <c r="N46" s="5155" t="s">
        <v>84</v>
      </c>
      <c r="O46" s="5156"/>
      <c r="P46" s="5157" t="s">
        <v>85</v>
      </c>
      <c r="Q46" s="5158"/>
      <c r="R46" s="5156" t="s">
        <v>152</v>
      </c>
      <c r="S46" s="5156"/>
      <c r="T46" s="5156" t="s">
        <v>153</v>
      </c>
      <c r="U46" s="5159"/>
      <c r="AJ46" s="329">
        <v>2</v>
      </c>
      <c r="AK46" s="25" t="s">
        <v>96</v>
      </c>
      <c r="AL46" s="25" t="s">
        <v>96</v>
      </c>
      <c r="AM46" s="587" t="s">
        <v>96</v>
      </c>
      <c r="AN46" s="81" t="s">
        <v>96</v>
      </c>
      <c r="AP46" s="83" t="s">
        <v>182</v>
      </c>
      <c r="AQ46" s="59" t="s">
        <v>84</v>
      </c>
      <c r="AR46" s="82" t="s">
        <v>85</v>
      </c>
      <c r="AS46" s="508" t="s">
        <v>152</v>
      </c>
      <c r="AT46" s="509" t="s">
        <v>153</v>
      </c>
      <c r="BB46" s="80">
        <v>4</v>
      </c>
      <c r="BC46" s="25" t="s">
        <v>233</v>
      </c>
      <c r="BD46" s="81" t="s">
        <v>233</v>
      </c>
      <c r="BE46" s="25" t="s">
        <v>233</v>
      </c>
      <c r="BF46" s="81" t="s">
        <v>233</v>
      </c>
    </row>
    <row r="47" spans="1:58" ht="12.75" hidden="1" customHeight="1">
      <c r="A47" s="323"/>
      <c r="B47" s="2499"/>
      <c r="C47" s="324"/>
      <c r="D47" s="2511"/>
      <c r="E47" s="2279"/>
      <c r="M47" s="87"/>
      <c r="N47" s="2522" t="s">
        <v>718</v>
      </c>
      <c r="O47" s="2523" t="s">
        <v>46</v>
      </c>
      <c r="P47" s="2523" t="s">
        <v>718</v>
      </c>
      <c r="Q47" s="2504" t="s">
        <v>46</v>
      </c>
      <c r="R47" s="2523" t="s">
        <v>718</v>
      </c>
      <c r="S47" s="2523" t="s">
        <v>46</v>
      </c>
      <c r="T47" s="2523" t="s">
        <v>718</v>
      </c>
      <c r="U47" s="2043" t="s">
        <v>46</v>
      </c>
      <c r="AI47" s="324"/>
      <c r="AJ47" s="323"/>
      <c r="AK47" s="324"/>
      <c r="AL47" s="324"/>
      <c r="AM47" s="323"/>
      <c r="AN47" s="325"/>
      <c r="AP47" s="79" t="s">
        <v>89</v>
      </c>
      <c r="AQ47" s="70">
        <v>2</v>
      </c>
      <c r="AR47" s="873">
        <v>2</v>
      </c>
      <c r="AS47" s="871">
        <v>2</v>
      </c>
      <c r="AT47" s="872">
        <v>2</v>
      </c>
      <c r="BB47" s="87" t="s">
        <v>235</v>
      </c>
      <c r="BC47" s="23" t="s">
        <v>84</v>
      </c>
      <c r="BD47" s="1669" t="s">
        <v>85</v>
      </c>
      <c r="BE47" s="25" t="s">
        <v>152</v>
      </c>
      <c r="BF47" s="81" t="s">
        <v>153</v>
      </c>
    </row>
    <row r="48" spans="1:58" ht="12.75" hidden="1" customHeight="1">
      <c r="A48" s="328" t="s">
        <v>715</v>
      </c>
      <c r="B48" s="2441" t="s">
        <v>84</v>
      </c>
      <c r="C48" s="2429" t="s">
        <v>85</v>
      </c>
      <c r="D48" s="22" t="s">
        <v>152</v>
      </c>
      <c r="E48" s="81" t="s">
        <v>153</v>
      </c>
      <c r="M48" s="79" t="s">
        <v>89</v>
      </c>
      <c r="N48" s="2482">
        <v>1</v>
      </c>
      <c r="O48" s="2482">
        <v>1</v>
      </c>
      <c r="P48" s="2483">
        <v>1</v>
      </c>
      <c r="Q48" s="2507">
        <v>1</v>
      </c>
      <c r="R48" s="2208">
        <v>1</v>
      </c>
      <c r="S48" s="2484">
        <v>1</v>
      </c>
      <c r="T48" s="2512">
        <v>1</v>
      </c>
      <c r="U48" s="872">
        <v>1</v>
      </c>
      <c r="AI48" s="46"/>
      <c r="AJ48" s="328" t="s">
        <v>194</v>
      </c>
      <c r="AK48" s="59" t="s">
        <v>84</v>
      </c>
      <c r="AL48" s="27" t="s">
        <v>85</v>
      </c>
      <c r="AM48" s="588" t="s">
        <v>152</v>
      </c>
      <c r="AN48" s="509" t="s">
        <v>153</v>
      </c>
      <c r="AP48" s="7">
        <v>1</v>
      </c>
      <c r="AQ48" s="46" t="s">
        <v>59</v>
      </c>
      <c r="AR48" s="49" t="s">
        <v>59</v>
      </c>
      <c r="AS48" s="23" t="s">
        <v>59</v>
      </c>
      <c r="AT48" s="49" t="s">
        <v>59</v>
      </c>
      <c r="BB48" s="79" t="s">
        <v>89</v>
      </c>
      <c r="BC48" s="70">
        <v>2</v>
      </c>
      <c r="BD48" s="870">
        <v>2</v>
      </c>
      <c r="BE48" s="2208">
        <v>2</v>
      </c>
      <c r="BF48" s="872">
        <v>2</v>
      </c>
    </row>
    <row r="49" spans="1:58" ht="12.75" hidden="1" customHeight="1">
      <c r="A49" s="327" t="s">
        <v>89</v>
      </c>
      <c r="B49" s="70">
        <v>2</v>
      </c>
      <c r="C49" s="873">
        <v>2</v>
      </c>
      <c r="D49" s="871">
        <v>2</v>
      </c>
      <c r="E49" s="872">
        <v>2</v>
      </c>
      <c r="M49" s="7">
        <v>1</v>
      </c>
      <c r="N49" s="2492" t="s">
        <v>59</v>
      </c>
      <c r="O49" s="46" t="s">
        <v>59</v>
      </c>
      <c r="P49" s="23" t="s">
        <v>59</v>
      </c>
      <c r="Q49" s="2443" t="s">
        <v>59</v>
      </c>
      <c r="R49" s="23" t="s">
        <v>59</v>
      </c>
      <c r="S49" s="23" t="s">
        <v>59</v>
      </c>
      <c r="T49" s="23" t="s">
        <v>59</v>
      </c>
      <c r="U49" s="49" t="s">
        <v>59</v>
      </c>
      <c r="AI49" s="842"/>
      <c r="AJ49" s="327" t="s">
        <v>89</v>
      </c>
      <c r="AK49" s="70">
        <v>2</v>
      </c>
      <c r="AL49" s="873">
        <v>2</v>
      </c>
      <c r="AM49" s="871">
        <v>2</v>
      </c>
      <c r="AN49" s="872">
        <v>2</v>
      </c>
      <c r="AP49" s="80">
        <v>2</v>
      </c>
      <c r="AQ49" s="25" t="s">
        <v>96</v>
      </c>
      <c r="AR49" s="81" t="s">
        <v>96</v>
      </c>
      <c r="AS49" s="25" t="s">
        <v>96</v>
      </c>
      <c r="AT49" s="81" t="s">
        <v>96</v>
      </c>
      <c r="BB49" s="7">
        <v>1</v>
      </c>
      <c r="BC49" s="46" t="s">
        <v>59</v>
      </c>
      <c r="BD49" s="49" t="s">
        <v>59</v>
      </c>
      <c r="BE49" s="23" t="s">
        <v>59</v>
      </c>
      <c r="BF49" s="49" t="s">
        <v>59</v>
      </c>
    </row>
    <row r="50" spans="1:58" ht="13.5" hidden="1" customHeight="1" thickBot="1">
      <c r="A50" s="326">
        <v>1</v>
      </c>
      <c r="B50" s="2492" t="s">
        <v>59</v>
      </c>
      <c r="C50" s="23" t="s">
        <v>59</v>
      </c>
      <c r="D50" s="2492" t="s">
        <v>59</v>
      </c>
      <c r="E50" s="49" t="s">
        <v>59</v>
      </c>
      <c r="M50" s="7">
        <v>2</v>
      </c>
      <c r="N50" s="22" t="s">
        <v>117</v>
      </c>
      <c r="O50" s="23" t="s">
        <v>117</v>
      </c>
      <c r="P50" s="23" t="s">
        <v>117</v>
      </c>
      <c r="Q50" s="2443" t="s">
        <v>117</v>
      </c>
      <c r="R50" s="23" t="s">
        <v>117</v>
      </c>
      <c r="S50" s="23" t="s">
        <v>117</v>
      </c>
      <c r="T50" s="23" t="s">
        <v>117</v>
      </c>
      <c r="U50" s="49" t="s">
        <v>117</v>
      </c>
      <c r="AJ50" s="328" t="s">
        <v>192</v>
      </c>
      <c r="AK50" s="59" t="s">
        <v>84</v>
      </c>
      <c r="AL50" s="27" t="s">
        <v>85</v>
      </c>
      <c r="AM50" s="588" t="s">
        <v>152</v>
      </c>
      <c r="AN50" s="509" t="s">
        <v>153</v>
      </c>
      <c r="AP50" s="7"/>
      <c r="AQ50" s="23"/>
      <c r="AR50" s="49"/>
      <c r="AS50" s="23"/>
      <c r="AT50" s="49"/>
      <c r="AV50" s="1692"/>
      <c r="AW50" s="1692"/>
      <c r="AX50" s="1692"/>
      <c r="AY50" s="1692"/>
      <c r="AZ50" s="1692"/>
      <c r="BB50" s="9">
        <v>2</v>
      </c>
      <c r="BC50" s="84" t="s">
        <v>233</v>
      </c>
      <c r="BD50" s="50" t="s">
        <v>233</v>
      </c>
      <c r="BE50" s="84" t="s">
        <v>233</v>
      </c>
      <c r="BF50" s="50" t="s">
        <v>233</v>
      </c>
    </row>
    <row r="51" spans="1:58" ht="12.75" hidden="1" customHeight="1">
      <c r="A51" s="329">
        <v>2</v>
      </c>
      <c r="B51" s="2498" t="s">
        <v>117</v>
      </c>
      <c r="C51" s="2285" t="s">
        <v>117</v>
      </c>
      <c r="D51" s="2498" t="s">
        <v>117</v>
      </c>
      <c r="E51" s="81" t="s">
        <v>117</v>
      </c>
      <c r="M51" s="244"/>
      <c r="N51" s="2535"/>
      <c r="O51" s="2534"/>
      <c r="P51" s="2534"/>
      <c r="Q51" s="2506"/>
      <c r="R51" s="2534"/>
      <c r="S51" s="2534"/>
      <c r="T51" s="2534"/>
      <c r="U51" s="2536"/>
      <c r="AJ51" s="327" t="s">
        <v>89</v>
      </c>
      <c r="AK51" s="70">
        <v>2</v>
      </c>
      <c r="AL51" s="873">
        <v>2</v>
      </c>
      <c r="AM51" s="871">
        <v>2</v>
      </c>
      <c r="AN51" s="872">
        <v>2</v>
      </c>
      <c r="AP51" s="83" t="s">
        <v>181</v>
      </c>
      <c r="AQ51" s="59" t="s">
        <v>84</v>
      </c>
      <c r="AR51" s="2333" t="s">
        <v>85</v>
      </c>
      <c r="AS51" s="508" t="s">
        <v>152</v>
      </c>
      <c r="AT51" s="509" t="s">
        <v>153</v>
      </c>
    </row>
    <row r="52" spans="1:58" ht="12.75" hidden="1" customHeight="1">
      <c r="A52" s="323"/>
      <c r="B52" s="2499"/>
      <c r="C52" s="324"/>
      <c r="D52" s="2511"/>
      <c r="E52" s="2279"/>
      <c r="M52" s="83" t="s">
        <v>754</v>
      </c>
      <c r="N52" s="5150" t="s">
        <v>84</v>
      </c>
      <c r="O52" s="5151"/>
      <c r="P52" s="5152" t="s">
        <v>85</v>
      </c>
      <c r="Q52" s="5153"/>
      <c r="R52" s="5151" t="s">
        <v>152</v>
      </c>
      <c r="S52" s="5151"/>
      <c r="T52" s="5151" t="s">
        <v>153</v>
      </c>
      <c r="U52" s="5154"/>
      <c r="AJ52" s="326">
        <v>1</v>
      </c>
      <c r="AK52" s="46" t="s">
        <v>59</v>
      </c>
      <c r="AL52" s="23" t="s">
        <v>59</v>
      </c>
      <c r="AM52" s="586" t="s">
        <v>59</v>
      </c>
      <c r="AN52" s="49" t="s">
        <v>59</v>
      </c>
      <c r="AP52" s="79" t="s">
        <v>89</v>
      </c>
      <c r="AQ52" s="70">
        <v>2</v>
      </c>
      <c r="AR52" s="873">
        <v>2</v>
      </c>
      <c r="AS52" s="871">
        <v>2</v>
      </c>
      <c r="AT52" s="872">
        <v>2</v>
      </c>
    </row>
    <row r="53" spans="1:58" ht="12.75" hidden="1" customHeight="1">
      <c r="A53" s="77" t="s">
        <v>643</v>
      </c>
      <c r="B53" s="69" t="s">
        <v>84</v>
      </c>
      <c r="C53" s="507" t="s">
        <v>85</v>
      </c>
      <c r="D53" s="69" t="s">
        <v>152</v>
      </c>
      <c r="E53" s="78" t="s">
        <v>153</v>
      </c>
      <c r="M53" s="87"/>
      <c r="N53" s="2522" t="s">
        <v>718</v>
      </c>
      <c r="O53" s="2523" t="s">
        <v>46</v>
      </c>
      <c r="P53" s="2523" t="s">
        <v>718</v>
      </c>
      <c r="Q53" s="2504" t="s">
        <v>46</v>
      </c>
      <c r="R53" s="2523" t="s">
        <v>718</v>
      </c>
      <c r="S53" s="2523" t="s">
        <v>46</v>
      </c>
      <c r="T53" s="2523" t="s">
        <v>718</v>
      </c>
      <c r="U53" s="2043" t="s">
        <v>46</v>
      </c>
      <c r="AJ53" s="329">
        <v>2</v>
      </c>
      <c r="AK53" s="25" t="s">
        <v>96</v>
      </c>
      <c r="AL53" s="25" t="s">
        <v>96</v>
      </c>
      <c r="AM53" s="587" t="s">
        <v>96</v>
      </c>
      <c r="AN53" s="81" t="s">
        <v>96</v>
      </c>
      <c r="AP53" s="7">
        <v>1</v>
      </c>
      <c r="AQ53" s="46" t="s">
        <v>59</v>
      </c>
      <c r="AR53" s="49" t="s">
        <v>59</v>
      </c>
      <c r="AS53" s="23" t="s">
        <v>59</v>
      </c>
      <c r="AT53" s="49" t="s">
        <v>59</v>
      </c>
    </row>
    <row r="54" spans="1:58" ht="12.75" hidden="1" customHeight="1">
      <c r="A54" s="79" t="s">
        <v>92</v>
      </c>
      <c r="B54" s="70">
        <v>1</v>
      </c>
      <c r="C54" s="873">
        <v>1</v>
      </c>
      <c r="D54" s="871">
        <v>1</v>
      </c>
      <c r="E54" s="872">
        <v>2</v>
      </c>
      <c r="M54" s="79" t="s">
        <v>89</v>
      </c>
      <c r="N54" s="2482">
        <v>1</v>
      </c>
      <c r="O54" s="2482">
        <v>1</v>
      </c>
      <c r="P54" s="2483">
        <v>1</v>
      </c>
      <c r="Q54" s="2507">
        <v>1</v>
      </c>
      <c r="R54" s="2208">
        <v>1</v>
      </c>
      <c r="S54" s="2484">
        <v>1</v>
      </c>
      <c r="T54" s="2512">
        <v>1</v>
      </c>
      <c r="U54" s="872">
        <v>1</v>
      </c>
      <c r="AJ54" s="323"/>
      <c r="AK54" s="324"/>
      <c r="AL54" s="324"/>
      <c r="AM54" s="323"/>
      <c r="AN54" s="325"/>
      <c r="AP54" s="80">
        <v>2</v>
      </c>
      <c r="AQ54" s="25" t="s">
        <v>96</v>
      </c>
      <c r="AR54" s="81" t="s">
        <v>96</v>
      </c>
      <c r="AS54" s="25" t="s">
        <v>96</v>
      </c>
      <c r="AT54" s="81" t="s">
        <v>96</v>
      </c>
    </row>
    <row r="55" spans="1:58" ht="12.75" hidden="1" customHeight="1">
      <c r="A55" s="7">
        <v>1</v>
      </c>
      <c r="B55" s="22" t="s">
        <v>70</v>
      </c>
      <c r="C55" s="23" t="s">
        <v>70</v>
      </c>
      <c r="D55" s="22" t="s">
        <v>70</v>
      </c>
      <c r="E55" s="49" t="s">
        <v>70</v>
      </c>
      <c r="M55" s="7">
        <v>1</v>
      </c>
      <c r="N55" s="2492" t="s">
        <v>59</v>
      </c>
      <c r="O55" s="46" t="s">
        <v>59</v>
      </c>
      <c r="P55" s="23" t="s">
        <v>59</v>
      </c>
      <c r="Q55" s="2443" t="s">
        <v>59</v>
      </c>
      <c r="R55" s="23" t="s">
        <v>59</v>
      </c>
      <c r="S55" s="23" t="s">
        <v>59</v>
      </c>
      <c r="T55" s="23" t="s">
        <v>59</v>
      </c>
      <c r="U55" s="49" t="s">
        <v>59</v>
      </c>
      <c r="AJ55" s="328" t="s">
        <v>193</v>
      </c>
      <c r="AK55" s="59" t="s">
        <v>84</v>
      </c>
      <c r="AL55" s="27" t="s">
        <v>85</v>
      </c>
      <c r="AM55" s="588" t="s">
        <v>152</v>
      </c>
      <c r="AN55" s="509" t="s">
        <v>153</v>
      </c>
      <c r="AP55" s="7"/>
      <c r="AQ55" s="6"/>
      <c r="AR55" s="6"/>
      <c r="AS55" s="6"/>
      <c r="AT55" s="5"/>
    </row>
    <row r="56" spans="1:58" ht="12.75" hidden="1" customHeight="1">
      <c r="A56" s="7">
        <v>2</v>
      </c>
      <c r="B56" s="22" t="s">
        <v>69</v>
      </c>
      <c r="C56" s="23" t="s">
        <v>69</v>
      </c>
      <c r="D56" s="22" t="s">
        <v>69</v>
      </c>
      <c r="E56" s="49" t="s">
        <v>69</v>
      </c>
      <c r="M56" s="7">
        <v>2</v>
      </c>
      <c r="N56" s="22" t="s">
        <v>117</v>
      </c>
      <c r="O56" s="23" t="s">
        <v>117</v>
      </c>
      <c r="P56" s="23" t="s">
        <v>117</v>
      </c>
      <c r="Q56" s="2443" t="s">
        <v>117</v>
      </c>
      <c r="R56" s="23" t="s">
        <v>117</v>
      </c>
      <c r="S56" s="23" t="s">
        <v>117</v>
      </c>
      <c r="T56" s="23" t="s">
        <v>117</v>
      </c>
      <c r="U56" s="49" t="s">
        <v>117</v>
      </c>
      <c r="AJ56" s="327" t="s">
        <v>89</v>
      </c>
      <c r="AK56" s="70">
        <v>2</v>
      </c>
      <c r="AL56" s="873">
        <v>2</v>
      </c>
      <c r="AM56" s="871">
        <v>2</v>
      </c>
      <c r="AN56" s="872">
        <v>2</v>
      </c>
      <c r="AP56" s="854" t="s">
        <v>209</v>
      </c>
      <c r="AQ56" s="855"/>
      <c r="AR56" s="855"/>
      <c r="AS56" s="856"/>
      <c r="AT56" s="857"/>
    </row>
    <row r="57" spans="1:58" ht="12.75" hidden="1" customHeight="1">
      <c r="A57" s="80">
        <v>3</v>
      </c>
      <c r="B57" s="24" t="s">
        <v>82</v>
      </c>
      <c r="C57" s="25" t="s">
        <v>82</v>
      </c>
      <c r="D57" s="24" t="s">
        <v>82</v>
      </c>
      <c r="E57" s="81" t="s">
        <v>82</v>
      </c>
      <c r="M57" s="869"/>
      <c r="N57" s="2496"/>
      <c r="O57" s="2480"/>
      <c r="P57" s="2480"/>
      <c r="Q57" s="1710"/>
      <c r="R57" s="2480"/>
      <c r="S57" s="2480"/>
      <c r="T57" s="2480"/>
      <c r="U57" s="2481"/>
      <c r="AJ57" s="326">
        <v>1</v>
      </c>
      <c r="AK57" s="46" t="s">
        <v>59</v>
      </c>
      <c r="AL57" s="23" t="s">
        <v>59</v>
      </c>
      <c r="AM57" s="586" t="s">
        <v>59</v>
      </c>
      <c r="AN57" s="49" t="s">
        <v>59</v>
      </c>
      <c r="AP57" s="83" t="s">
        <v>179</v>
      </c>
      <c r="AQ57" s="59" t="s">
        <v>84</v>
      </c>
      <c r="AR57" s="82" t="s">
        <v>85</v>
      </c>
      <c r="AS57" s="508" t="s">
        <v>152</v>
      </c>
      <c r="AT57" s="509" t="s">
        <v>153</v>
      </c>
    </row>
    <row r="58" spans="1:58" ht="12.75" hidden="1" customHeight="1">
      <c r="A58" s="869"/>
      <c r="B58" s="2496"/>
      <c r="C58" s="3528"/>
      <c r="D58" s="2496"/>
      <c r="E58" s="3529"/>
      <c r="M58" s="87" t="s">
        <v>740</v>
      </c>
      <c r="N58" s="5155" t="s">
        <v>84</v>
      </c>
      <c r="O58" s="5156"/>
      <c r="P58" s="5157" t="s">
        <v>85</v>
      </c>
      <c r="Q58" s="5158"/>
      <c r="R58" s="5156" t="s">
        <v>152</v>
      </c>
      <c r="S58" s="5156"/>
      <c r="T58" s="5156" t="s">
        <v>153</v>
      </c>
      <c r="U58" s="5159"/>
      <c r="AJ58" s="329">
        <v>2</v>
      </c>
      <c r="AK58" s="25" t="s">
        <v>96</v>
      </c>
      <c r="AL58" s="25" t="s">
        <v>96</v>
      </c>
      <c r="AM58" s="587" t="s">
        <v>96</v>
      </c>
      <c r="AN58" s="81" t="s">
        <v>96</v>
      </c>
      <c r="AP58" s="79" t="s">
        <v>89</v>
      </c>
      <c r="AQ58" s="70">
        <v>2</v>
      </c>
      <c r="AR58" s="873">
        <v>2</v>
      </c>
      <c r="AS58" s="871">
        <v>2</v>
      </c>
      <c r="AT58" s="872">
        <v>2</v>
      </c>
    </row>
    <row r="59" spans="1:58" ht="12.75" hidden="1" customHeight="1">
      <c r="A59" s="2280" t="s">
        <v>647</v>
      </c>
      <c r="B59" s="2500" t="s">
        <v>84</v>
      </c>
      <c r="C59" s="1720" t="s">
        <v>85</v>
      </c>
      <c r="D59" s="24" t="s">
        <v>152</v>
      </c>
      <c r="E59" s="81" t="s">
        <v>153</v>
      </c>
      <c r="M59" s="87"/>
      <c r="N59" s="2522" t="s">
        <v>718</v>
      </c>
      <c r="O59" s="2523" t="s">
        <v>46</v>
      </c>
      <c r="P59" s="2523" t="s">
        <v>718</v>
      </c>
      <c r="Q59" s="2504" t="s">
        <v>46</v>
      </c>
      <c r="R59" s="2523" t="s">
        <v>718</v>
      </c>
      <c r="S59" s="2523" t="s">
        <v>46</v>
      </c>
      <c r="T59" s="2523" t="s">
        <v>718</v>
      </c>
      <c r="U59" s="2043" t="s">
        <v>46</v>
      </c>
      <c r="AJ59" s="323"/>
      <c r="AK59" s="324"/>
      <c r="AL59" s="324"/>
      <c r="AM59" s="323"/>
      <c r="AN59" s="325"/>
      <c r="AP59" s="7">
        <v>1</v>
      </c>
      <c r="AQ59" s="46" t="s">
        <v>59</v>
      </c>
      <c r="AR59" s="49" t="s">
        <v>59</v>
      </c>
      <c r="AS59" s="23" t="s">
        <v>59</v>
      </c>
      <c r="AT59" s="49" t="s">
        <v>59</v>
      </c>
    </row>
    <row r="60" spans="1:58" ht="12.75" hidden="1" customHeight="1">
      <c r="A60" s="79" t="s">
        <v>92</v>
      </c>
      <c r="B60" s="70">
        <v>2</v>
      </c>
      <c r="C60" s="873">
        <v>2</v>
      </c>
      <c r="D60" s="871">
        <v>2</v>
      </c>
      <c r="E60" s="872">
        <v>2</v>
      </c>
      <c r="M60" s="79" t="s">
        <v>89</v>
      </c>
      <c r="N60" s="2482">
        <v>2</v>
      </c>
      <c r="O60" s="2482">
        <v>2</v>
      </c>
      <c r="P60" s="2483">
        <v>2</v>
      </c>
      <c r="Q60" s="2507">
        <v>2</v>
      </c>
      <c r="R60" s="2208">
        <v>2</v>
      </c>
      <c r="S60" s="2484">
        <v>2</v>
      </c>
      <c r="T60" s="2512">
        <v>2</v>
      </c>
      <c r="U60" s="872">
        <v>2</v>
      </c>
      <c r="AJ60" s="328" t="s">
        <v>194</v>
      </c>
      <c r="AK60" s="59" t="s">
        <v>84</v>
      </c>
      <c r="AL60" s="27" t="s">
        <v>85</v>
      </c>
      <c r="AM60" s="588" t="s">
        <v>152</v>
      </c>
      <c r="AN60" s="509" t="s">
        <v>153</v>
      </c>
      <c r="AP60" s="80">
        <v>2</v>
      </c>
      <c r="AQ60" s="25" t="s">
        <v>96</v>
      </c>
      <c r="AR60" s="81" t="s">
        <v>96</v>
      </c>
      <c r="AS60" s="25" t="s">
        <v>96</v>
      </c>
      <c r="AT60" s="81" t="s">
        <v>96</v>
      </c>
    </row>
    <row r="61" spans="1:58" ht="12.75" hidden="1" customHeight="1">
      <c r="A61" s="7">
        <v>1</v>
      </c>
      <c r="B61" s="22" t="s">
        <v>58</v>
      </c>
      <c r="C61" s="23" t="s">
        <v>58</v>
      </c>
      <c r="D61" s="22" t="s">
        <v>58</v>
      </c>
      <c r="E61" s="49" t="s">
        <v>58</v>
      </c>
      <c r="M61" s="7">
        <v>1</v>
      </c>
      <c r="N61" s="2492" t="s">
        <v>59</v>
      </c>
      <c r="O61" s="46" t="s">
        <v>59</v>
      </c>
      <c r="P61" s="23" t="s">
        <v>59</v>
      </c>
      <c r="Q61" s="2443" t="s">
        <v>59</v>
      </c>
      <c r="R61" s="23" t="s">
        <v>59</v>
      </c>
      <c r="S61" s="23" t="s">
        <v>59</v>
      </c>
      <c r="T61" s="23" t="s">
        <v>59</v>
      </c>
      <c r="U61" s="49" t="s">
        <v>59</v>
      </c>
      <c r="AJ61" s="327" t="s">
        <v>89</v>
      </c>
      <c r="AK61" s="70">
        <v>2</v>
      </c>
      <c r="AL61" s="873">
        <v>2</v>
      </c>
      <c r="AM61" s="871">
        <v>2</v>
      </c>
      <c r="AN61" s="872">
        <v>2</v>
      </c>
      <c r="AP61" s="7"/>
      <c r="AQ61" s="23"/>
      <c r="AR61" s="49"/>
      <c r="AS61" s="23"/>
      <c r="AT61" s="49"/>
    </row>
    <row r="62" spans="1:58" ht="12.75" hidden="1" customHeight="1">
      <c r="A62" s="80">
        <v>2</v>
      </c>
      <c r="B62" s="24" t="s">
        <v>41</v>
      </c>
      <c r="C62" s="25" t="s">
        <v>41</v>
      </c>
      <c r="D62" s="24" t="s">
        <v>41</v>
      </c>
      <c r="E62" s="81" t="s">
        <v>41</v>
      </c>
      <c r="M62" s="7">
        <v>2</v>
      </c>
      <c r="N62" s="22" t="s">
        <v>117</v>
      </c>
      <c r="O62" s="23" t="s">
        <v>117</v>
      </c>
      <c r="P62" s="23" t="s">
        <v>117</v>
      </c>
      <c r="Q62" s="2443" t="s">
        <v>117</v>
      </c>
      <c r="R62" s="23" t="s">
        <v>117</v>
      </c>
      <c r="S62" s="23" t="s">
        <v>117</v>
      </c>
      <c r="T62" s="23" t="s">
        <v>117</v>
      </c>
      <c r="U62" s="49" t="s">
        <v>117</v>
      </c>
      <c r="AJ62" s="326">
        <v>1</v>
      </c>
      <c r="AK62" s="46" t="s">
        <v>59</v>
      </c>
      <c r="AL62" s="23" t="s">
        <v>59</v>
      </c>
      <c r="AM62" s="586" t="s">
        <v>59</v>
      </c>
      <c r="AN62" s="49" t="s">
        <v>59</v>
      </c>
      <c r="AP62" s="83" t="s">
        <v>180</v>
      </c>
      <c r="AQ62" s="59" t="s">
        <v>84</v>
      </c>
      <c r="AR62" s="82" t="s">
        <v>85</v>
      </c>
      <c r="AS62" s="508" t="s">
        <v>152</v>
      </c>
      <c r="AT62" s="509" t="s">
        <v>153</v>
      </c>
    </row>
    <row r="63" spans="1:58" ht="13.5" hidden="1" customHeight="1" thickBot="1">
      <c r="A63" s="7"/>
      <c r="B63" s="2494"/>
      <c r="C63" s="6"/>
      <c r="D63" s="2494"/>
      <c r="E63" s="5"/>
      <c r="M63" s="83" t="s">
        <v>753</v>
      </c>
      <c r="N63" s="5150" t="s">
        <v>84</v>
      </c>
      <c r="O63" s="5151"/>
      <c r="P63" s="5152" t="s">
        <v>85</v>
      </c>
      <c r="Q63" s="5153"/>
      <c r="R63" s="5151" t="s">
        <v>152</v>
      </c>
      <c r="S63" s="5151"/>
      <c r="T63" s="5151" t="s">
        <v>153</v>
      </c>
      <c r="U63" s="5154"/>
      <c r="AJ63" s="589">
        <v>2</v>
      </c>
      <c r="AK63" s="84" t="s">
        <v>96</v>
      </c>
      <c r="AL63" s="84" t="s">
        <v>96</v>
      </c>
      <c r="AM63" s="142" t="s">
        <v>96</v>
      </c>
      <c r="AN63" s="50" t="s">
        <v>96</v>
      </c>
      <c r="AP63" s="79" t="s">
        <v>89</v>
      </c>
      <c r="AQ63" s="70">
        <v>2</v>
      </c>
      <c r="AR63" s="873">
        <v>2</v>
      </c>
      <c r="AS63" s="871">
        <v>2</v>
      </c>
      <c r="AT63" s="872">
        <v>2</v>
      </c>
    </row>
    <row r="64" spans="1:58" ht="12.75" hidden="1" customHeight="1">
      <c r="A64" s="77" t="s">
        <v>651</v>
      </c>
      <c r="B64" s="2496" t="s">
        <v>84</v>
      </c>
      <c r="C64" s="2255" t="s">
        <v>85</v>
      </c>
      <c r="D64" s="1709" t="s">
        <v>152</v>
      </c>
      <c r="E64" s="509" t="s">
        <v>153</v>
      </c>
      <c r="M64" s="87"/>
      <c r="N64" s="2524" t="s">
        <v>718</v>
      </c>
      <c r="O64" s="2525" t="s">
        <v>46</v>
      </c>
      <c r="P64" s="2525" t="s">
        <v>718</v>
      </c>
      <c r="Q64" s="2504" t="s">
        <v>46</v>
      </c>
      <c r="R64" s="2525" t="s">
        <v>718</v>
      </c>
      <c r="S64" s="2525" t="s">
        <v>46</v>
      </c>
      <c r="T64" s="2525" t="s">
        <v>718</v>
      </c>
      <c r="U64" s="2043" t="s">
        <v>46</v>
      </c>
      <c r="AP64" s="7">
        <v>1</v>
      </c>
      <c r="AQ64" s="46" t="s">
        <v>59</v>
      </c>
      <c r="AR64" s="49" t="s">
        <v>59</v>
      </c>
      <c r="AS64" s="23" t="s">
        <v>59</v>
      </c>
      <c r="AT64" s="49" t="s">
        <v>59</v>
      </c>
    </row>
    <row r="65" spans="1:46" ht="12.75" hidden="1" customHeight="1">
      <c r="A65" s="79" t="s">
        <v>92</v>
      </c>
      <c r="B65" s="70">
        <v>1</v>
      </c>
      <c r="C65" s="873">
        <v>1</v>
      </c>
      <c r="D65" s="871">
        <v>1</v>
      </c>
      <c r="E65" s="872">
        <v>1</v>
      </c>
      <c r="M65" s="79" t="s">
        <v>89</v>
      </c>
      <c r="N65" s="2526">
        <v>1</v>
      </c>
      <c r="O65" s="2526">
        <v>1</v>
      </c>
      <c r="P65" s="2527">
        <v>1</v>
      </c>
      <c r="Q65" s="2507">
        <v>1</v>
      </c>
      <c r="R65" s="2208">
        <v>1</v>
      </c>
      <c r="S65" s="2528">
        <v>1</v>
      </c>
      <c r="T65" s="2529">
        <v>1</v>
      </c>
      <c r="U65" s="872">
        <v>1</v>
      </c>
      <c r="AP65" s="80">
        <v>2</v>
      </c>
      <c r="AQ65" s="25" t="s">
        <v>96</v>
      </c>
      <c r="AR65" s="81" t="s">
        <v>96</v>
      </c>
      <c r="AS65" s="25" t="s">
        <v>96</v>
      </c>
      <c r="AT65" s="81" t="s">
        <v>96</v>
      </c>
    </row>
    <row r="66" spans="1:46" ht="12.75" hidden="1" customHeight="1">
      <c r="A66" s="7">
        <v>1</v>
      </c>
      <c r="B66" s="22" t="s">
        <v>59</v>
      </c>
      <c r="C66" s="23" t="s">
        <v>59</v>
      </c>
      <c r="D66" s="22" t="s">
        <v>59</v>
      </c>
      <c r="E66" s="49" t="s">
        <v>59</v>
      </c>
      <c r="M66" s="7">
        <v>1</v>
      </c>
      <c r="N66" s="2492" t="s">
        <v>59</v>
      </c>
      <c r="O66" s="46" t="s">
        <v>59</v>
      </c>
      <c r="P66" s="23" t="s">
        <v>59</v>
      </c>
      <c r="Q66" s="2443" t="s">
        <v>59</v>
      </c>
      <c r="R66" s="23" t="s">
        <v>59</v>
      </c>
      <c r="S66" s="23" t="s">
        <v>59</v>
      </c>
      <c r="T66" s="23" t="s">
        <v>59</v>
      </c>
      <c r="U66" s="49" t="s">
        <v>59</v>
      </c>
      <c r="AP66" s="7"/>
      <c r="AQ66" s="23"/>
      <c r="AR66" s="81"/>
      <c r="AS66" s="25"/>
      <c r="AT66" s="81"/>
    </row>
    <row r="67" spans="1:46" ht="12.75" hidden="1" customHeight="1">
      <c r="A67" s="80">
        <v>2</v>
      </c>
      <c r="B67" s="24" t="s">
        <v>117</v>
      </c>
      <c r="C67" s="25" t="s">
        <v>117</v>
      </c>
      <c r="D67" s="24" t="s">
        <v>117</v>
      </c>
      <c r="E67" s="81" t="s">
        <v>117</v>
      </c>
      <c r="M67" s="7">
        <v>2</v>
      </c>
      <c r="N67" s="22" t="s">
        <v>117</v>
      </c>
      <c r="O67" s="23" t="s">
        <v>117</v>
      </c>
      <c r="P67" s="23" t="s">
        <v>117</v>
      </c>
      <c r="Q67" s="2443" t="s">
        <v>117</v>
      </c>
      <c r="R67" s="23" t="s">
        <v>117</v>
      </c>
      <c r="S67" s="23" t="s">
        <v>117</v>
      </c>
      <c r="T67" s="23" t="s">
        <v>117</v>
      </c>
      <c r="U67" s="49" t="s">
        <v>117</v>
      </c>
      <c r="AP67" s="83" t="s">
        <v>183</v>
      </c>
      <c r="AQ67" s="59" t="s">
        <v>84</v>
      </c>
      <c r="AR67" s="82" t="s">
        <v>85</v>
      </c>
      <c r="AS67" s="508" t="s">
        <v>152</v>
      </c>
      <c r="AT67" s="509" t="s">
        <v>153</v>
      </c>
    </row>
    <row r="68" spans="1:46" ht="12.75" hidden="1" customHeight="1">
      <c r="A68" s="7"/>
      <c r="B68" s="2494"/>
      <c r="C68" s="6"/>
      <c r="D68" s="2494"/>
      <c r="E68" s="5"/>
      <c r="M68" s="869"/>
      <c r="N68" s="2496"/>
      <c r="O68" s="2532"/>
      <c r="P68" s="2532"/>
      <c r="Q68" s="1710"/>
      <c r="R68" s="2532"/>
      <c r="S68" s="2532"/>
      <c r="T68" s="2532"/>
      <c r="U68" s="2533"/>
      <c r="AP68" s="79" t="s">
        <v>89</v>
      </c>
      <c r="AQ68" s="70">
        <v>2</v>
      </c>
      <c r="AR68" s="873">
        <v>2</v>
      </c>
      <c r="AS68" s="871">
        <v>2</v>
      </c>
      <c r="AT68" s="872">
        <v>2</v>
      </c>
    </row>
    <row r="69" spans="1:46" ht="12.75" hidden="1" customHeight="1">
      <c r="A69" s="77" t="s">
        <v>649</v>
      </c>
      <c r="B69" s="2496" t="s">
        <v>84</v>
      </c>
      <c r="C69" s="2255" t="s">
        <v>85</v>
      </c>
      <c r="D69" s="1709" t="s">
        <v>152</v>
      </c>
      <c r="E69" s="509" t="s">
        <v>153</v>
      </c>
      <c r="M69" s="87" t="s">
        <v>755</v>
      </c>
      <c r="N69" s="5155" t="s">
        <v>84</v>
      </c>
      <c r="O69" s="5156"/>
      <c r="P69" s="5157" t="s">
        <v>85</v>
      </c>
      <c r="Q69" s="5158"/>
      <c r="R69" s="5156" t="s">
        <v>152</v>
      </c>
      <c r="S69" s="5156"/>
      <c r="T69" s="5156" t="s">
        <v>153</v>
      </c>
      <c r="U69" s="5159"/>
      <c r="AP69" s="7">
        <v>1</v>
      </c>
      <c r="AQ69" s="46" t="s">
        <v>59</v>
      </c>
      <c r="AR69" s="49" t="s">
        <v>59</v>
      </c>
      <c r="AS69" s="23" t="s">
        <v>59</v>
      </c>
      <c r="AT69" s="49" t="s">
        <v>59</v>
      </c>
    </row>
    <row r="70" spans="1:46" ht="12.75" hidden="1" customHeight="1">
      <c r="A70" s="79" t="s">
        <v>92</v>
      </c>
      <c r="B70" s="70">
        <v>2</v>
      </c>
      <c r="C70" s="873">
        <v>2</v>
      </c>
      <c r="D70" s="871">
        <v>2</v>
      </c>
      <c r="E70" s="872">
        <v>2</v>
      </c>
      <c r="M70" s="87"/>
      <c r="N70" s="2524" t="s">
        <v>718</v>
      </c>
      <c r="O70" s="2525" t="s">
        <v>46</v>
      </c>
      <c r="P70" s="2525" t="s">
        <v>718</v>
      </c>
      <c r="Q70" s="2504" t="s">
        <v>46</v>
      </c>
      <c r="R70" s="2525" t="s">
        <v>718</v>
      </c>
      <c r="S70" s="2525" t="s">
        <v>46</v>
      </c>
      <c r="T70" s="2525" t="s">
        <v>718</v>
      </c>
      <c r="U70" s="2043" t="s">
        <v>46</v>
      </c>
      <c r="AP70" s="80">
        <v>2</v>
      </c>
      <c r="AQ70" s="25" t="s">
        <v>96</v>
      </c>
      <c r="AR70" s="81" t="s">
        <v>96</v>
      </c>
      <c r="AS70" s="25" t="s">
        <v>96</v>
      </c>
      <c r="AT70" s="81" t="s">
        <v>96</v>
      </c>
    </row>
    <row r="71" spans="1:46" ht="12.75" hidden="1" customHeight="1">
      <c r="A71" s="7">
        <v>1</v>
      </c>
      <c r="B71" s="22" t="s">
        <v>59</v>
      </c>
      <c r="C71" s="23" t="s">
        <v>59</v>
      </c>
      <c r="D71" s="22" t="s">
        <v>59</v>
      </c>
      <c r="E71" s="49" t="s">
        <v>59</v>
      </c>
      <c r="M71" s="79" t="s">
        <v>89</v>
      </c>
      <c r="N71" s="2526">
        <v>1</v>
      </c>
      <c r="O71" s="2526">
        <v>1</v>
      </c>
      <c r="P71" s="2527">
        <v>1</v>
      </c>
      <c r="Q71" s="2507">
        <v>1</v>
      </c>
      <c r="R71" s="2208">
        <v>1</v>
      </c>
      <c r="S71" s="2528">
        <v>1</v>
      </c>
      <c r="T71" s="2529">
        <v>1</v>
      </c>
      <c r="U71" s="872">
        <v>1</v>
      </c>
      <c r="AP71" s="7"/>
      <c r="AQ71" s="23"/>
      <c r="AR71" s="49"/>
      <c r="AS71" s="23"/>
      <c r="AT71" s="49"/>
    </row>
    <row r="72" spans="1:46" ht="12.75" hidden="1" customHeight="1">
      <c r="A72" s="2737">
        <v>2</v>
      </c>
      <c r="B72" s="24" t="s">
        <v>117</v>
      </c>
      <c r="C72" s="25" t="s">
        <v>117</v>
      </c>
      <c r="D72" s="24" t="s">
        <v>117</v>
      </c>
      <c r="E72" s="81" t="s">
        <v>117</v>
      </c>
      <c r="M72" s="7">
        <v>1</v>
      </c>
      <c r="N72" s="2492" t="s">
        <v>59</v>
      </c>
      <c r="O72" s="46" t="s">
        <v>59</v>
      </c>
      <c r="P72" s="23" t="s">
        <v>59</v>
      </c>
      <c r="Q72" s="2443" t="s">
        <v>59</v>
      </c>
      <c r="R72" s="23" t="s">
        <v>59</v>
      </c>
      <c r="S72" s="23" t="s">
        <v>59</v>
      </c>
      <c r="T72" s="23" t="s">
        <v>59</v>
      </c>
      <c r="U72" s="49" t="s">
        <v>59</v>
      </c>
      <c r="AP72" s="83" t="s">
        <v>182</v>
      </c>
      <c r="AQ72" s="59" t="s">
        <v>84</v>
      </c>
      <c r="AR72" s="82" t="s">
        <v>85</v>
      </c>
      <c r="AS72" s="508" t="s">
        <v>152</v>
      </c>
      <c r="AT72" s="509" t="s">
        <v>153</v>
      </c>
    </row>
    <row r="73" spans="1:46" ht="12.75" hidden="1" customHeight="1">
      <c r="A73" s="7"/>
      <c r="B73" s="2494"/>
      <c r="C73" s="6"/>
      <c r="D73" s="2494"/>
      <c r="E73" s="5"/>
      <c r="M73" s="7">
        <v>2</v>
      </c>
      <c r="N73" s="22" t="s">
        <v>117</v>
      </c>
      <c r="O73" s="23" t="s">
        <v>117</v>
      </c>
      <c r="P73" s="23" t="s">
        <v>117</v>
      </c>
      <c r="Q73" s="2443" t="s">
        <v>117</v>
      </c>
      <c r="R73" s="23" t="s">
        <v>117</v>
      </c>
      <c r="S73" s="23" t="s">
        <v>117</v>
      </c>
      <c r="T73" s="23" t="s">
        <v>117</v>
      </c>
      <c r="U73" s="49" t="s">
        <v>117</v>
      </c>
      <c r="AP73" s="79" t="s">
        <v>89</v>
      </c>
      <c r="AQ73" s="70">
        <v>2</v>
      </c>
      <c r="AR73" s="873">
        <v>2</v>
      </c>
      <c r="AS73" s="871">
        <v>2</v>
      </c>
      <c r="AT73" s="872">
        <v>2</v>
      </c>
    </row>
    <row r="74" spans="1:46" ht="13.5" hidden="1" customHeight="1" thickBot="1">
      <c r="A74" s="77" t="s">
        <v>652</v>
      </c>
      <c r="B74" s="2496" t="s">
        <v>84</v>
      </c>
      <c r="C74" s="2276" t="s">
        <v>85</v>
      </c>
      <c r="D74" s="1709" t="s">
        <v>152</v>
      </c>
      <c r="E74" s="509" t="s">
        <v>153</v>
      </c>
      <c r="M74" s="2517"/>
      <c r="N74" s="2518"/>
      <c r="O74" s="2519"/>
      <c r="P74" s="2519"/>
      <c r="Q74" s="2520"/>
      <c r="R74" s="2519"/>
      <c r="S74" s="2519"/>
      <c r="T74" s="2519"/>
      <c r="U74" s="2521"/>
      <c r="AP74" s="80">
        <v>2</v>
      </c>
      <c r="AQ74" s="25" t="s">
        <v>96</v>
      </c>
      <c r="AR74" s="81" t="s">
        <v>96</v>
      </c>
      <c r="AS74" s="25" t="s">
        <v>96</v>
      </c>
      <c r="AT74" s="81" t="s">
        <v>96</v>
      </c>
    </row>
    <row r="75" spans="1:46" ht="12.75" hidden="1" customHeight="1">
      <c r="A75" s="79" t="s">
        <v>92</v>
      </c>
      <c r="B75" s="70">
        <v>2</v>
      </c>
      <c r="C75" s="873">
        <v>2</v>
      </c>
      <c r="D75" s="871">
        <v>2</v>
      </c>
      <c r="E75" s="872">
        <v>2</v>
      </c>
      <c r="M75" s="87" t="s">
        <v>39</v>
      </c>
      <c r="N75" s="22" t="s">
        <v>84</v>
      </c>
      <c r="O75" s="23"/>
      <c r="P75" s="1720" t="s">
        <v>85</v>
      </c>
      <c r="Q75" s="2508"/>
      <c r="R75" s="25" t="s">
        <v>152</v>
      </c>
      <c r="S75" s="25"/>
      <c r="T75" s="25" t="s">
        <v>153</v>
      </c>
      <c r="U75" s="49"/>
      <c r="AP75" s="7"/>
      <c r="AQ75" s="23"/>
      <c r="AR75" s="49"/>
      <c r="AS75" s="23"/>
      <c r="AT75" s="49"/>
    </row>
    <row r="76" spans="1:46" ht="12.75" hidden="1" customHeight="1">
      <c r="A76" s="7">
        <v>1</v>
      </c>
      <c r="B76" s="22" t="s">
        <v>59</v>
      </c>
      <c r="C76" s="23" t="s">
        <v>59</v>
      </c>
      <c r="D76" s="22" t="s">
        <v>59</v>
      </c>
      <c r="E76" s="49" t="s">
        <v>59</v>
      </c>
      <c r="M76" s="79" t="s">
        <v>89</v>
      </c>
      <c r="N76" s="70">
        <v>2</v>
      </c>
      <c r="O76" s="70"/>
      <c r="P76" s="873">
        <v>2</v>
      </c>
      <c r="Q76" s="2509"/>
      <c r="R76" s="2208">
        <v>2</v>
      </c>
      <c r="S76" s="871"/>
      <c r="T76" s="2486">
        <v>2</v>
      </c>
      <c r="U76" s="2490"/>
      <c r="AP76" s="83" t="s">
        <v>181</v>
      </c>
      <c r="AQ76" s="59" t="s">
        <v>84</v>
      </c>
      <c r="AR76" s="2333" t="s">
        <v>85</v>
      </c>
      <c r="AS76" s="508" t="s">
        <v>152</v>
      </c>
      <c r="AT76" s="509" t="s">
        <v>153</v>
      </c>
    </row>
    <row r="77" spans="1:46" ht="12.75" hidden="1" customHeight="1">
      <c r="A77" s="80">
        <v>2</v>
      </c>
      <c r="B77" s="24" t="s">
        <v>117</v>
      </c>
      <c r="C77" s="25" t="s">
        <v>117</v>
      </c>
      <c r="D77" s="24" t="s">
        <v>117</v>
      </c>
      <c r="E77" s="81" t="s">
        <v>117</v>
      </c>
      <c r="M77" s="7">
        <v>1</v>
      </c>
      <c r="N77" s="2492" t="s">
        <v>59</v>
      </c>
      <c r="O77" s="46"/>
      <c r="P77" s="23" t="s">
        <v>59</v>
      </c>
      <c r="Q77" s="2443"/>
      <c r="R77" s="23" t="s">
        <v>59</v>
      </c>
      <c r="S77" s="23"/>
      <c r="T77" s="23" t="s">
        <v>59</v>
      </c>
      <c r="U77" s="49"/>
      <c r="AP77" s="79" t="s">
        <v>89</v>
      </c>
      <c r="AQ77" s="70">
        <v>2</v>
      </c>
      <c r="AR77" s="873">
        <v>2</v>
      </c>
      <c r="AS77" s="871">
        <v>2</v>
      </c>
      <c r="AT77" s="872">
        <v>2</v>
      </c>
    </row>
    <row r="78" spans="1:46" ht="12.75" hidden="1" customHeight="1">
      <c r="A78" s="7"/>
      <c r="B78" s="2494"/>
      <c r="C78" s="6"/>
      <c r="D78" s="2494"/>
      <c r="E78" s="5"/>
      <c r="M78" s="80">
        <v>2</v>
      </c>
      <c r="N78" s="24" t="s">
        <v>96</v>
      </c>
      <c r="O78" s="25"/>
      <c r="P78" s="25" t="s">
        <v>96</v>
      </c>
      <c r="Q78" s="2444"/>
      <c r="R78" s="25" t="s">
        <v>96</v>
      </c>
      <c r="S78" s="25"/>
      <c r="T78" s="25" t="s">
        <v>96</v>
      </c>
      <c r="U78" s="49"/>
      <c r="AP78" s="7">
        <v>1</v>
      </c>
      <c r="AQ78" s="46" t="s">
        <v>59</v>
      </c>
      <c r="AR78" s="49" t="s">
        <v>59</v>
      </c>
      <c r="AS78" s="23" t="s">
        <v>59</v>
      </c>
      <c r="AT78" s="49" t="s">
        <v>59</v>
      </c>
    </row>
    <row r="79" spans="1:46" ht="12.75" hidden="1" customHeight="1">
      <c r="A79" s="77" t="s">
        <v>653</v>
      </c>
      <c r="B79" s="2496" t="s">
        <v>84</v>
      </c>
      <c r="C79" s="2276" t="s">
        <v>85</v>
      </c>
      <c r="D79" s="1709" t="s">
        <v>152</v>
      </c>
      <c r="E79" s="509" t="s">
        <v>153</v>
      </c>
      <c r="M79" s="7"/>
      <c r="N79" s="2494"/>
      <c r="O79" s="6"/>
      <c r="P79" s="6"/>
      <c r="Q79" s="2503"/>
      <c r="R79" s="6"/>
      <c r="S79" s="6"/>
      <c r="T79" s="6"/>
      <c r="U79" s="2463"/>
      <c r="AP79" s="80">
        <v>2</v>
      </c>
      <c r="AQ79" s="25" t="s">
        <v>96</v>
      </c>
      <c r="AR79" s="81" t="s">
        <v>96</v>
      </c>
      <c r="AS79" s="25" t="s">
        <v>96</v>
      </c>
      <c r="AT79" s="81" t="s">
        <v>96</v>
      </c>
    </row>
    <row r="80" spans="1:46" ht="12.75" hidden="1" customHeight="1">
      <c r="A80" s="79" t="s">
        <v>92</v>
      </c>
      <c r="B80" s="70">
        <v>2</v>
      </c>
      <c r="C80" s="873">
        <v>2</v>
      </c>
      <c r="D80" s="871">
        <v>2</v>
      </c>
      <c r="E80" s="872">
        <v>2</v>
      </c>
      <c r="M80" s="83" t="s">
        <v>136</v>
      </c>
      <c r="N80" s="2441" t="s">
        <v>84</v>
      </c>
      <c r="O80" s="59"/>
      <c r="P80" s="2462" t="s">
        <v>85</v>
      </c>
      <c r="Q80" s="1710"/>
      <c r="R80" s="508" t="s">
        <v>152</v>
      </c>
      <c r="S80" s="508"/>
      <c r="T80" s="508" t="s">
        <v>153</v>
      </c>
      <c r="U80" s="49"/>
      <c r="AP80" s="7"/>
      <c r="AQ80" s="6"/>
      <c r="AR80" s="6"/>
      <c r="AS80" s="6"/>
      <c r="AT80" s="5"/>
    </row>
    <row r="81" spans="1:46" ht="12.75" hidden="1" customHeight="1">
      <c r="A81" s="7">
        <v>1</v>
      </c>
      <c r="B81" s="22" t="s">
        <v>59</v>
      </c>
      <c r="C81" s="23" t="s">
        <v>59</v>
      </c>
      <c r="D81" s="22" t="s">
        <v>59</v>
      </c>
      <c r="E81" s="49" t="s">
        <v>59</v>
      </c>
      <c r="M81" s="79" t="s">
        <v>89</v>
      </c>
      <c r="N81" s="70">
        <v>3</v>
      </c>
      <c r="O81" s="70"/>
      <c r="P81" s="873">
        <v>3</v>
      </c>
      <c r="Q81" s="2509"/>
      <c r="R81" s="2208">
        <v>3</v>
      </c>
      <c r="S81" s="871"/>
      <c r="T81" s="2486">
        <v>3</v>
      </c>
      <c r="U81" s="2490"/>
      <c r="AP81" s="854" t="s">
        <v>200</v>
      </c>
      <c r="AQ81" s="855"/>
      <c r="AR81" s="855"/>
      <c r="AS81" s="856"/>
      <c r="AT81" s="857"/>
    </row>
    <row r="82" spans="1:46" ht="13.5" hidden="1" customHeight="1" thickBot="1">
      <c r="A82" s="9">
        <v>2</v>
      </c>
      <c r="B82" s="24" t="s">
        <v>117</v>
      </c>
      <c r="C82" s="25" t="s">
        <v>117</v>
      </c>
      <c r="D82" s="24" t="s">
        <v>117</v>
      </c>
      <c r="E82" s="81" t="s">
        <v>117</v>
      </c>
      <c r="M82" s="7">
        <v>1</v>
      </c>
      <c r="N82" s="2492" t="s">
        <v>59</v>
      </c>
      <c r="O82" s="46"/>
      <c r="P82" s="23" t="s">
        <v>59</v>
      </c>
      <c r="Q82" s="2443"/>
      <c r="R82" s="23" t="s">
        <v>59</v>
      </c>
      <c r="S82" s="23"/>
      <c r="T82" s="23" t="s">
        <v>59</v>
      </c>
      <c r="U82" s="49"/>
      <c r="AP82" s="83" t="s">
        <v>179</v>
      </c>
      <c r="AQ82" s="59" t="s">
        <v>84</v>
      </c>
      <c r="AR82" s="82" t="s">
        <v>85</v>
      </c>
      <c r="AS82" s="508" t="s">
        <v>152</v>
      </c>
      <c r="AT82" s="509" t="s">
        <v>153</v>
      </c>
    </row>
    <row r="83" spans="1:46" ht="12.75" hidden="1" customHeight="1">
      <c r="A83" s="7"/>
      <c r="B83" s="24"/>
      <c r="C83" s="25"/>
      <c r="D83" s="24"/>
      <c r="E83" s="81"/>
      <c r="M83" s="7">
        <v>2</v>
      </c>
      <c r="N83" s="22" t="s">
        <v>117</v>
      </c>
      <c r="O83" s="23"/>
      <c r="P83" s="23" t="s">
        <v>117</v>
      </c>
      <c r="Q83" s="2443"/>
      <c r="R83" s="23" t="s">
        <v>117</v>
      </c>
      <c r="S83" s="23"/>
      <c r="T83" s="23" t="s">
        <v>117</v>
      </c>
      <c r="U83" s="49"/>
      <c r="AP83" s="79" t="s">
        <v>89</v>
      </c>
      <c r="AQ83" s="70">
        <v>2</v>
      </c>
      <c r="AR83" s="873">
        <v>2</v>
      </c>
      <c r="AS83" s="871">
        <v>2</v>
      </c>
      <c r="AT83" s="872">
        <v>2</v>
      </c>
    </row>
    <row r="84" spans="1:46" ht="12.75" hidden="1" customHeight="1">
      <c r="A84" s="77" t="s">
        <v>784</v>
      </c>
      <c r="B84" s="2496" t="s">
        <v>84</v>
      </c>
      <c r="C84" s="2429" t="s">
        <v>85</v>
      </c>
      <c r="D84" s="1709" t="s">
        <v>152</v>
      </c>
      <c r="E84" s="509" t="s">
        <v>153</v>
      </c>
      <c r="M84" s="80">
        <v>3</v>
      </c>
      <c r="N84" s="24" t="s">
        <v>96</v>
      </c>
      <c r="O84" s="25"/>
      <c r="P84" s="25" t="s">
        <v>96</v>
      </c>
      <c r="Q84" s="2444"/>
      <c r="R84" s="25" t="s">
        <v>96</v>
      </c>
      <c r="S84" s="25"/>
      <c r="T84" s="25" t="s">
        <v>96</v>
      </c>
      <c r="U84" s="49"/>
      <c r="AP84" s="7">
        <v>1</v>
      </c>
      <c r="AQ84" s="46" t="s">
        <v>59</v>
      </c>
      <c r="AR84" s="49" t="s">
        <v>59</v>
      </c>
      <c r="AS84" s="23" t="s">
        <v>59</v>
      </c>
      <c r="AT84" s="49" t="s">
        <v>59</v>
      </c>
    </row>
    <row r="85" spans="1:46" ht="12.75" hidden="1" customHeight="1">
      <c r="A85" s="79" t="s">
        <v>92</v>
      </c>
      <c r="B85" s="70">
        <v>2</v>
      </c>
      <c r="C85" s="873">
        <v>2</v>
      </c>
      <c r="D85" s="871">
        <v>2</v>
      </c>
      <c r="E85" s="872">
        <v>2</v>
      </c>
      <c r="M85" s="7"/>
      <c r="N85" s="2494"/>
      <c r="O85" s="6"/>
      <c r="P85" s="6"/>
      <c r="Q85" s="2503"/>
      <c r="R85" s="6"/>
      <c r="S85" s="6"/>
      <c r="T85" s="6"/>
      <c r="U85" s="2463"/>
      <c r="AP85" s="80">
        <v>2</v>
      </c>
      <c r="AQ85" s="25" t="s">
        <v>96</v>
      </c>
      <c r="AR85" s="81" t="s">
        <v>96</v>
      </c>
      <c r="AS85" s="25" t="s">
        <v>96</v>
      </c>
      <c r="AT85" s="81" t="s">
        <v>96</v>
      </c>
    </row>
    <row r="86" spans="1:46" ht="12.75" hidden="1" customHeight="1">
      <c r="A86" s="7">
        <v>1</v>
      </c>
      <c r="B86" s="22" t="s">
        <v>59</v>
      </c>
      <c r="C86" s="23" t="s">
        <v>59</v>
      </c>
      <c r="D86" s="22" t="s">
        <v>59</v>
      </c>
      <c r="E86" s="49" t="s">
        <v>59</v>
      </c>
      <c r="M86" s="83" t="s">
        <v>122</v>
      </c>
      <c r="N86" s="2441" t="s">
        <v>84</v>
      </c>
      <c r="O86" s="59"/>
      <c r="P86" s="2462" t="s">
        <v>85</v>
      </c>
      <c r="Q86" s="1710"/>
      <c r="R86" s="508" t="s">
        <v>152</v>
      </c>
      <c r="S86" s="508"/>
      <c r="T86" s="508" t="s">
        <v>153</v>
      </c>
      <c r="U86" s="49"/>
      <c r="AP86" s="7"/>
      <c r="AQ86" s="23"/>
      <c r="AR86" s="49"/>
      <c r="AS86" s="23"/>
      <c r="AT86" s="49"/>
    </row>
    <row r="87" spans="1:46" ht="12.75" hidden="1" customHeight="1">
      <c r="A87" s="7">
        <v>2</v>
      </c>
      <c r="B87" s="22" t="s">
        <v>117</v>
      </c>
      <c r="C87" s="23" t="s">
        <v>117</v>
      </c>
      <c r="D87" s="22" t="s">
        <v>117</v>
      </c>
      <c r="E87" s="49" t="s">
        <v>117</v>
      </c>
      <c r="M87" s="79" t="s">
        <v>89</v>
      </c>
      <c r="N87" s="70">
        <v>1</v>
      </c>
      <c r="O87" s="70"/>
      <c r="P87" s="873">
        <v>1</v>
      </c>
      <c r="Q87" s="2509"/>
      <c r="R87" s="2208">
        <v>1</v>
      </c>
      <c r="S87" s="871"/>
      <c r="T87" s="2486">
        <v>1</v>
      </c>
      <c r="U87" s="2490"/>
      <c r="AP87" s="83" t="s">
        <v>180</v>
      </c>
      <c r="AQ87" s="59" t="s">
        <v>84</v>
      </c>
      <c r="AR87" s="82" t="s">
        <v>85</v>
      </c>
      <c r="AS87" s="508" t="s">
        <v>152</v>
      </c>
      <c r="AT87" s="509" t="s">
        <v>153</v>
      </c>
    </row>
    <row r="88" spans="1:46" ht="12.75" hidden="1" customHeight="1">
      <c r="A88" s="2510"/>
      <c r="B88" s="2510"/>
      <c r="C88" s="2510"/>
      <c r="D88" s="2510"/>
      <c r="E88" s="2510"/>
      <c r="M88" s="7">
        <v>1</v>
      </c>
      <c r="N88" s="2492" t="s">
        <v>59</v>
      </c>
      <c r="O88" s="46"/>
      <c r="P88" s="23" t="s">
        <v>59</v>
      </c>
      <c r="Q88" s="2443"/>
      <c r="R88" s="23" t="s">
        <v>59</v>
      </c>
      <c r="S88" s="23"/>
      <c r="T88" s="23" t="s">
        <v>59</v>
      </c>
      <c r="U88" s="49"/>
      <c r="AP88" s="79" t="s">
        <v>89</v>
      </c>
      <c r="AQ88" s="70">
        <v>2</v>
      </c>
      <c r="AR88" s="873">
        <v>2</v>
      </c>
      <c r="AS88" s="871">
        <v>2</v>
      </c>
      <c r="AT88" s="872">
        <v>2</v>
      </c>
    </row>
    <row r="89" spans="1:46" ht="12.75" hidden="1" customHeight="1">
      <c r="M89" s="80">
        <v>2</v>
      </c>
      <c r="N89" s="24" t="s">
        <v>96</v>
      </c>
      <c r="O89" s="25"/>
      <c r="P89" s="25" t="s">
        <v>96</v>
      </c>
      <c r="Q89" s="2444"/>
      <c r="R89" s="25" t="s">
        <v>96</v>
      </c>
      <c r="S89" s="25"/>
      <c r="T89" s="25" t="s">
        <v>96</v>
      </c>
      <c r="U89" s="49"/>
      <c r="AP89" s="7">
        <v>1</v>
      </c>
      <c r="AQ89" s="46" t="s">
        <v>59</v>
      </c>
      <c r="AR89" s="49" t="s">
        <v>59</v>
      </c>
      <c r="AS89" s="23" t="s">
        <v>59</v>
      </c>
      <c r="AT89" s="49" t="s">
        <v>59</v>
      </c>
    </row>
    <row r="90" spans="1:46" ht="12.75" hidden="1" customHeight="1">
      <c r="M90" s="7"/>
      <c r="N90" s="2494"/>
      <c r="O90" s="6"/>
      <c r="P90" s="6"/>
      <c r="Q90" s="2503"/>
      <c r="R90" s="6"/>
      <c r="S90" s="6"/>
      <c r="T90" s="6"/>
      <c r="U90" s="2463"/>
      <c r="AP90" s="80">
        <v>2</v>
      </c>
      <c r="AQ90" s="25" t="s">
        <v>96</v>
      </c>
      <c r="AR90" s="81" t="s">
        <v>96</v>
      </c>
      <c r="AS90" s="25" t="s">
        <v>96</v>
      </c>
      <c r="AT90" s="81" t="s">
        <v>96</v>
      </c>
    </row>
    <row r="91" spans="1:46" ht="12.75" hidden="1" customHeight="1">
      <c r="M91" s="83" t="s">
        <v>133</v>
      </c>
      <c r="N91" s="2441" t="s">
        <v>84</v>
      </c>
      <c r="O91" s="59"/>
      <c r="P91" s="2462" t="s">
        <v>85</v>
      </c>
      <c r="Q91" s="1710"/>
      <c r="R91" s="508" t="s">
        <v>152</v>
      </c>
      <c r="S91" s="508"/>
      <c r="T91" s="508" t="s">
        <v>153</v>
      </c>
      <c r="U91" s="49"/>
      <c r="AP91" s="7"/>
      <c r="AQ91" s="23"/>
      <c r="AR91" s="81"/>
      <c r="AS91" s="25"/>
      <c r="AT91" s="81"/>
    </row>
    <row r="92" spans="1:46" ht="12.75" hidden="1" customHeight="1">
      <c r="M92" s="79" t="s">
        <v>89</v>
      </c>
      <c r="N92" s="70">
        <v>2</v>
      </c>
      <c r="O92" s="70"/>
      <c r="P92" s="873">
        <v>2</v>
      </c>
      <c r="Q92" s="2509"/>
      <c r="R92" s="2208">
        <v>2</v>
      </c>
      <c r="S92" s="871"/>
      <c r="T92" s="2486">
        <v>2</v>
      </c>
      <c r="U92" s="2490"/>
      <c r="AP92" s="83" t="s">
        <v>183</v>
      </c>
      <c r="AQ92" s="59" t="s">
        <v>84</v>
      </c>
      <c r="AR92" s="82" t="s">
        <v>85</v>
      </c>
      <c r="AS92" s="508" t="s">
        <v>152</v>
      </c>
      <c r="AT92" s="509" t="s">
        <v>153</v>
      </c>
    </row>
    <row r="93" spans="1:46" ht="12.75" hidden="1" customHeight="1">
      <c r="M93" s="7">
        <v>1</v>
      </c>
      <c r="N93" s="2492" t="s">
        <v>59</v>
      </c>
      <c r="O93" s="46"/>
      <c r="P93" s="23" t="s">
        <v>59</v>
      </c>
      <c r="Q93" s="2443"/>
      <c r="R93" s="23" t="s">
        <v>59</v>
      </c>
      <c r="S93" s="23"/>
      <c r="T93" s="23" t="s">
        <v>59</v>
      </c>
      <c r="U93" s="49"/>
      <c r="AP93" s="79" t="s">
        <v>89</v>
      </c>
      <c r="AQ93" s="70">
        <v>2</v>
      </c>
      <c r="AR93" s="873">
        <v>2</v>
      </c>
      <c r="AS93" s="871">
        <v>2</v>
      </c>
      <c r="AT93" s="872">
        <v>2</v>
      </c>
    </row>
    <row r="94" spans="1:46" ht="12.75" hidden="1" customHeight="1">
      <c r="M94" s="80">
        <v>2</v>
      </c>
      <c r="N94" s="24" t="s">
        <v>96</v>
      </c>
      <c r="O94" s="25"/>
      <c r="P94" s="25" t="s">
        <v>96</v>
      </c>
      <c r="Q94" s="2444"/>
      <c r="R94" s="25" t="s">
        <v>96</v>
      </c>
      <c r="S94" s="25"/>
      <c r="T94" s="25" t="s">
        <v>96</v>
      </c>
      <c r="U94" s="81"/>
      <c r="AP94" s="7">
        <v>1</v>
      </c>
      <c r="AQ94" s="46" t="s">
        <v>59</v>
      </c>
      <c r="AR94" s="49" t="s">
        <v>59</v>
      </c>
      <c r="AS94" s="23" t="s">
        <v>59</v>
      </c>
      <c r="AT94" s="49" t="s">
        <v>59</v>
      </c>
    </row>
    <row r="95" spans="1:46" ht="12.75" hidden="1" customHeight="1">
      <c r="AP95" s="80">
        <v>2</v>
      </c>
      <c r="AQ95" s="25" t="s">
        <v>96</v>
      </c>
      <c r="AR95" s="81" t="s">
        <v>96</v>
      </c>
      <c r="AS95" s="25" t="s">
        <v>96</v>
      </c>
      <c r="AT95" s="81" t="s">
        <v>96</v>
      </c>
    </row>
    <row r="96" spans="1:46" ht="12.75" hidden="1" customHeight="1">
      <c r="AP96" s="7"/>
      <c r="AQ96" s="23"/>
      <c r="AR96" s="49"/>
      <c r="AS96" s="23"/>
      <c r="AT96" s="49"/>
    </row>
    <row r="97" spans="42:46" ht="12.75" hidden="1" customHeight="1">
      <c r="AP97" s="83" t="s">
        <v>182</v>
      </c>
      <c r="AQ97" s="59" t="s">
        <v>84</v>
      </c>
      <c r="AR97" s="82" t="s">
        <v>85</v>
      </c>
      <c r="AS97" s="508" t="s">
        <v>152</v>
      </c>
      <c r="AT97" s="509" t="s">
        <v>153</v>
      </c>
    </row>
    <row r="98" spans="42:46" ht="12.75" hidden="1" customHeight="1">
      <c r="AP98" s="79" t="s">
        <v>89</v>
      </c>
      <c r="AQ98" s="70">
        <v>2</v>
      </c>
      <c r="AR98" s="873">
        <v>2</v>
      </c>
      <c r="AS98" s="871">
        <v>2</v>
      </c>
      <c r="AT98" s="872">
        <v>2</v>
      </c>
    </row>
    <row r="99" spans="42:46" ht="12.75" hidden="1" customHeight="1">
      <c r="AP99" s="7">
        <v>1</v>
      </c>
      <c r="AQ99" s="46" t="s">
        <v>59</v>
      </c>
      <c r="AR99" s="49" t="s">
        <v>59</v>
      </c>
      <c r="AS99" s="23" t="s">
        <v>59</v>
      </c>
      <c r="AT99" s="49" t="s">
        <v>59</v>
      </c>
    </row>
    <row r="100" spans="42:46" ht="12.75" hidden="1" customHeight="1">
      <c r="AP100" s="80">
        <v>2</v>
      </c>
      <c r="AQ100" s="25" t="s">
        <v>96</v>
      </c>
      <c r="AR100" s="81" t="s">
        <v>96</v>
      </c>
      <c r="AS100" s="25" t="s">
        <v>96</v>
      </c>
      <c r="AT100" s="81" t="s">
        <v>96</v>
      </c>
    </row>
    <row r="101" spans="42:46" ht="12.75" hidden="1" customHeight="1">
      <c r="AP101" s="7"/>
      <c r="AQ101" s="6"/>
      <c r="AR101" s="6"/>
      <c r="AS101" s="869"/>
      <c r="AT101" s="5"/>
    </row>
    <row r="102" spans="42:46" ht="12.75" hidden="1" customHeight="1">
      <c r="AP102" s="83" t="s">
        <v>181</v>
      </c>
      <c r="AQ102" s="59" t="s">
        <v>84</v>
      </c>
      <c r="AR102" s="82" t="s">
        <v>85</v>
      </c>
      <c r="AS102" s="508" t="s">
        <v>152</v>
      </c>
      <c r="AT102" s="509" t="s">
        <v>153</v>
      </c>
    </row>
    <row r="103" spans="42:46" ht="12.75" hidden="1" customHeight="1">
      <c r="AP103" s="79" t="s">
        <v>89</v>
      </c>
      <c r="AQ103" s="70">
        <v>2</v>
      </c>
      <c r="AR103" s="873">
        <v>2</v>
      </c>
      <c r="AS103" s="871">
        <v>2</v>
      </c>
      <c r="AT103" s="872">
        <v>2</v>
      </c>
    </row>
    <row r="104" spans="42:46" ht="12.75" hidden="1" customHeight="1">
      <c r="AP104" s="7">
        <v>1</v>
      </c>
      <c r="AQ104" s="46" t="s">
        <v>59</v>
      </c>
      <c r="AR104" s="49" t="s">
        <v>59</v>
      </c>
      <c r="AS104" s="23" t="s">
        <v>59</v>
      </c>
      <c r="AT104" s="49" t="s">
        <v>59</v>
      </c>
    </row>
    <row r="105" spans="42:46" ht="13.5" hidden="1" customHeight="1" thickBot="1">
      <c r="AP105" s="9">
        <v>2</v>
      </c>
      <c r="AQ105" s="84" t="s">
        <v>96</v>
      </c>
      <c r="AR105" s="50" t="s">
        <v>96</v>
      </c>
      <c r="AS105" s="84" t="s">
        <v>96</v>
      </c>
      <c r="AT105" s="50" t="s">
        <v>96</v>
      </c>
    </row>
    <row r="106" spans="42:46">
      <c r="AP106" s="6"/>
      <c r="AQ106" s="23"/>
      <c r="AR106" s="23"/>
      <c r="AS106" s="23"/>
      <c r="AT106" s="23"/>
    </row>
    <row r="107" spans="42:46">
      <c r="AP107" s="6"/>
      <c r="AQ107" s="6"/>
      <c r="AR107" s="6"/>
      <c r="AS107" s="6"/>
      <c r="AT107" s="6"/>
    </row>
    <row r="108" spans="42:46">
      <c r="AP108" s="6"/>
      <c r="AQ108" s="6"/>
      <c r="AR108" s="6"/>
      <c r="AS108" s="6"/>
      <c r="AT108" s="6"/>
    </row>
  </sheetData>
  <mergeCells count="62">
    <mergeCell ref="A1:K1"/>
    <mergeCell ref="N52:O52"/>
    <mergeCell ref="P52:Q52"/>
    <mergeCell ref="R52:S52"/>
    <mergeCell ref="T52:U52"/>
    <mergeCell ref="R21:S21"/>
    <mergeCell ref="T21:U21"/>
    <mergeCell ref="N4:O4"/>
    <mergeCell ref="P4:Q4"/>
    <mergeCell ref="A2:E2"/>
    <mergeCell ref="M2:T2"/>
    <mergeCell ref="R4:S4"/>
    <mergeCell ref="T4:U4"/>
    <mergeCell ref="N15:O15"/>
    <mergeCell ref="P15:Q15"/>
    <mergeCell ref="R15:S15"/>
    <mergeCell ref="N58:O58"/>
    <mergeCell ref="P58:Q58"/>
    <mergeCell ref="R58:S58"/>
    <mergeCell ref="T58:U58"/>
    <mergeCell ref="BB2:BF2"/>
    <mergeCell ref="AV2:AZ2"/>
    <mergeCell ref="N46:O46"/>
    <mergeCell ref="P46:Q46"/>
    <mergeCell ref="R46:S46"/>
    <mergeCell ref="T46:U46"/>
    <mergeCell ref="N3:O3"/>
    <mergeCell ref="P3:Q3"/>
    <mergeCell ref="R3:S3"/>
    <mergeCell ref="T3:U3"/>
    <mergeCell ref="N21:O21"/>
    <mergeCell ref="P21:Q21"/>
    <mergeCell ref="X2:AB2"/>
    <mergeCell ref="AP2:AT2"/>
    <mergeCell ref="AD2:AH2"/>
    <mergeCell ref="AJ2:AN2"/>
    <mergeCell ref="G2:K2"/>
    <mergeCell ref="T15:U15"/>
    <mergeCell ref="N9:O9"/>
    <mergeCell ref="P9:Q9"/>
    <mergeCell ref="R9:S9"/>
    <mergeCell ref="T9:U9"/>
    <mergeCell ref="N40:O40"/>
    <mergeCell ref="P40:Q40"/>
    <mergeCell ref="R40:S40"/>
    <mergeCell ref="T40:U40"/>
    <mergeCell ref="N27:O27"/>
    <mergeCell ref="P27:Q27"/>
    <mergeCell ref="R27:S27"/>
    <mergeCell ref="T27:U27"/>
    <mergeCell ref="N33:O33"/>
    <mergeCell ref="P33:Q33"/>
    <mergeCell ref="R33:S33"/>
    <mergeCell ref="T33:U33"/>
    <mergeCell ref="N63:O63"/>
    <mergeCell ref="P63:Q63"/>
    <mergeCell ref="R63:S63"/>
    <mergeCell ref="T63:U63"/>
    <mergeCell ref="N69:O69"/>
    <mergeCell ref="P69:Q69"/>
    <mergeCell ref="R69:S69"/>
    <mergeCell ref="T69:U69"/>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sheetPr>
    <pageSetUpPr fitToPage="1"/>
  </sheetPr>
  <dimension ref="A1:P96"/>
  <sheetViews>
    <sheetView topLeftCell="A46" zoomScale="75" zoomScaleNormal="75" workbookViewId="0">
      <selection activeCell="A88" sqref="A88"/>
    </sheetView>
  </sheetViews>
  <sheetFormatPr defaultRowHeight="12.75"/>
  <cols>
    <col min="1" max="1" width="32.28515625" customWidth="1"/>
    <col min="2" max="3" width="13.140625" customWidth="1"/>
    <col min="4" max="4" width="17.140625" customWidth="1"/>
    <col min="5" max="5" width="13.140625" customWidth="1"/>
    <col min="6" max="6" width="12.85546875" customWidth="1"/>
    <col min="7" max="7" width="11.85546875" customWidth="1"/>
    <col min="8" max="8" width="31" customWidth="1"/>
    <col min="9" max="9" width="11.85546875" customWidth="1"/>
    <col min="10" max="10" width="11.42578125" customWidth="1"/>
    <col min="11" max="11" width="13.42578125" customWidth="1"/>
    <col min="12" max="12" width="12.85546875" customWidth="1"/>
    <col min="13" max="13" width="13.5703125" customWidth="1"/>
    <col min="14" max="14" width="14.140625" customWidth="1"/>
    <col min="15" max="15" width="10.85546875" customWidth="1"/>
    <col min="16" max="16" width="37.28515625" customWidth="1"/>
  </cols>
  <sheetData>
    <row r="1" spans="1:16" ht="45.75" customHeight="1" thickBot="1">
      <c r="A1" s="5207" t="s">
        <v>1392</v>
      </c>
      <c r="B1" s="5208"/>
      <c r="C1" s="5208"/>
      <c r="D1" s="5208"/>
      <c r="E1" s="5208"/>
      <c r="F1" s="5208"/>
      <c r="G1" s="5208"/>
      <c r="H1" s="5208"/>
      <c r="I1" s="5208"/>
      <c r="J1" s="5208"/>
      <c r="K1" s="5208"/>
      <c r="L1" s="5208"/>
      <c r="M1" s="5208"/>
      <c r="N1" s="5208"/>
      <c r="O1" s="5209"/>
    </row>
    <row r="2" spans="1:16" ht="77.25" customHeight="1" thickBot="1">
      <c r="A2" s="5210" t="s">
        <v>1396</v>
      </c>
      <c r="B2" s="5211"/>
      <c r="C2" s="5211"/>
      <c r="D2" s="5211"/>
      <c r="E2" s="5211"/>
      <c r="F2" s="5211"/>
      <c r="G2" s="5211"/>
      <c r="H2" s="5211"/>
      <c r="I2" s="5211"/>
      <c r="J2" s="5211"/>
      <c r="K2" s="5211"/>
      <c r="L2" s="5211"/>
      <c r="M2" s="5211"/>
      <c r="N2" s="5211"/>
      <c r="O2" s="5212"/>
    </row>
    <row r="3" spans="1:16" ht="18.75" customHeight="1" thickBot="1">
      <c r="A3" s="3725"/>
      <c r="B3" s="3725"/>
      <c r="C3" s="3725"/>
      <c r="D3" s="3725"/>
      <c r="E3" s="3725"/>
      <c r="F3" s="3725"/>
      <c r="G3" s="3725"/>
      <c r="H3" s="3725"/>
      <c r="I3" s="3725"/>
      <c r="J3" s="3725"/>
      <c r="K3" s="3725"/>
      <c r="L3" s="3725"/>
      <c r="M3" s="3725"/>
      <c r="N3" s="3725"/>
      <c r="O3" s="3725"/>
    </row>
    <row r="4" spans="1:16">
      <c r="A4" s="5175" t="s">
        <v>66</v>
      </c>
      <c r="B4" s="5176"/>
      <c r="C4" s="5176"/>
      <c r="D4" s="5176"/>
      <c r="E4" s="5199"/>
      <c r="H4" s="5175" t="s">
        <v>1397</v>
      </c>
      <c r="I4" s="5177"/>
      <c r="J4" s="5213" t="s">
        <v>291</v>
      </c>
      <c r="K4" s="5214"/>
    </row>
    <row r="5" spans="1:16" ht="13.5" thickBot="1">
      <c r="A5" s="33" t="s">
        <v>108</v>
      </c>
      <c r="B5" s="6">
        <v>1</v>
      </c>
      <c r="C5" s="23" t="s">
        <v>110</v>
      </c>
      <c r="D5" s="141">
        <v>2.4710538099999999</v>
      </c>
      <c r="E5" s="49" t="s">
        <v>109</v>
      </c>
      <c r="H5" s="3733" t="s">
        <v>1526</v>
      </c>
      <c r="I5" s="3734">
        <v>45</v>
      </c>
      <c r="J5" s="5187" t="s">
        <v>1083</v>
      </c>
      <c r="K5" s="5188"/>
    </row>
    <row r="6" spans="1:16" ht="13.5" thickBot="1">
      <c r="A6" s="33" t="s">
        <v>111</v>
      </c>
      <c r="B6" s="6">
        <v>1</v>
      </c>
      <c r="C6" s="23" t="s">
        <v>112</v>
      </c>
      <c r="D6" s="141">
        <v>0.40468564200000001</v>
      </c>
      <c r="E6" s="49" t="s">
        <v>110</v>
      </c>
    </row>
    <row r="7" spans="1:16">
      <c r="A7" s="33"/>
      <c r="B7" s="6"/>
      <c r="C7" s="23"/>
      <c r="D7" s="141"/>
      <c r="E7" s="49"/>
      <c r="H7" s="5215" t="s">
        <v>1118</v>
      </c>
      <c r="I7" s="5216"/>
      <c r="J7" s="5216"/>
      <c r="K7" s="5216"/>
      <c r="L7" s="5216"/>
      <c r="M7" s="5216"/>
      <c r="N7" s="5216"/>
      <c r="O7" s="5216"/>
      <c r="P7" s="5217"/>
    </row>
    <row r="8" spans="1:16" ht="51">
      <c r="A8" s="33" t="s">
        <v>67</v>
      </c>
      <c r="B8" s="6">
        <v>1</v>
      </c>
      <c r="C8" s="6" t="s">
        <v>40</v>
      </c>
      <c r="D8" s="6">
        <v>2.2046230000000002</v>
      </c>
      <c r="E8" s="5" t="s">
        <v>41</v>
      </c>
      <c r="H8" s="2861" t="s">
        <v>1088</v>
      </c>
      <c r="I8" s="26" t="s">
        <v>43</v>
      </c>
      <c r="J8" s="26" t="s">
        <v>52</v>
      </c>
      <c r="K8" s="26" t="s">
        <v>44</v>
      </c>
      <c r="L8" s="26" t="s">
        <v>45</v>
      </c>
      <c r="M8" s="26" t="s">
        <v>54</v>
      </c>
      <c r="N8" s="26" t="s">
        <v>55</v>
      </c>
      <c r="O8" s="26" t="s">
        <v>202</v>
      </c>
      <c r="P8" s="3129" t="s">
        <v>1</v>
      </c>
    </row>
    <row r="9" spans="1:16" ht="26.25" thickBot="1">
      <c r="A9" s="142" t="s">
        <v>68</v>
      </c>
      <c r="B9" s="8">
        <v>1</v>
      </c>
      <c r="C9" s="8" t="s">
        <v>42</v>
      </c>
      <c r="D9" s="8">
        <f>1/D8</f>
        <v>0.45359229219689712</v>
      </c>
      <c r="E9" s="143" t="s">
        <v>36</v>
      </c>
      <c r="H9" s="33" t="s">
        <v>48</v>
      </c>
      <c r="I9" s="23">
        <v>630</v>
      </c>
      <c r="J9" s="23">
        <v>172</v>
      </c>
      <c r="K9" s="23">
        <v>31.4</v>
      </c>
      <c r="L9" s="23">
        <v>21.7</v>
      </c>
      <c r="M9" s="23">
        <v>0.17499999999999999</v>
      </c>
      <c r="N9" s="28">
        <f>N10</f>
        <v>4.4000000000000003E-3</v>
      </c>
      <c r="O9" s="28">
        <f>O10</f>
        <v>1.29E-2</v>
      </c>
      <c r="P9" s="3130" t="s">
        <v>63</v>
      </c>
    </row>
    <row r="10" spans="1:16" ht="13.5" thickBot="1">
      <c r="H10" s="33" t="s">
        <v>49</v>
      </c>
      <c r="I10" s="23">
        <v>617</v>
      </c>
      <c r="J10" s="23">
        <v>165</v>
      </c>
      <c r="K10" s="23">
        <v>31.5</v>
      </c>
      <c r="L10" s="23">
        <v>21.9</v>
      </c>
      <c r="M10" s="23">
        <v>3.5499999999999997E-2</v>
      </c>
      <c r="N10" s="23">
        <v>4.4000000000000003E-3</v>
      </c>
      <c r="O10" s="23">
        <v>1.29E-2</v>
      </c>
      <c r="P10" s="3130"/>
    </row>
    <row r="11" spans="1:16" ht="12.75" customHeight="1">
      <c r="A11" s="5175" t="s">
        <v>1095</v>
      </c>
      <c r="B11" s="5176"/>
      <c r="C11" s="5176"/>
      <c r="D11" s="5199"/>
      <c r="H11" s="33" t="s">
        <v>50</v>
      </c>
      <c r="I11" s="23">
        <v>591</v>
      </c>
      <c r="J11" s="23">
        <v>38</v>
      </c>
      <c r="K11" s="23">
        <v>66.5</v>
      </c>
      <c r="L11" s="23">
        <v>18.2</v>
      </c>
      <c r="M11" s="23"/>
      <c r="N11" s="23">
        <v>4.5999999999999999E-3</v>
      </c>
      <c r="O11" s="23">
        <v>1.5699999999999999E-2</v>
      </c>
      <c r="P11" s="3130"/>
    </row>
    <row r="12" spans="1:16" ht="42" customHeight="1">
      <c r="A12" s="3728" t="s">
        <v>282</v>
      </c>
      <c r="B12" s="3729" t="s">
        <v>1393</v>
      </c>
      <c r="C12" s="4430" t="s">
        <v>291</v>
      </c>
      <c r="D12" s="4431"/>
      <c r="H12" s="33" t="s">
        <v>51</v>
      </c>
      <c r="I12" s="23">
        <v>755</v>
      </c>
      <c r="J12" s="23"/>
      <c r="K12" s="23"/>
      <c r="L12" s="23">
        <v>10.4</v>
      </c>
      <c r="M12" s="23">
        <v>0.13300000000000001</v>
      </c>
      <c r="N12" s="28">
        <f>N10</f>
        <v>4.4000000000000003E-3</v>
      </c>
      <c r="O12" s="28">
        <f>O10</f>
        <v>1.29E-2</v>
      </c>
      <c r="P12" s="3130" t="s">
        <v>63</v>
      </c>
    </row>
    <row r="13" spans="1:16" ht="16.5" customHeight="1">
      <c r="A13" s="3509" t="s">
        <v>1208</v>
      </c>
      <c r="B13" s="3510">
        <v>0.23599999999999999</v>
      </c>
      <c r="C13" s="5224" t="s">
        <v>1094</v>
      </c>
      <c r="D13" s="5225"/>
      <c r="H13" s="33" t="s">
        <v>46</v>
      </c>
      <c r="I13" s="23">
        <v>437</v>
      </c>
      <c r="J13" s="23"/>
      <c r="K13" s="23"/>
      <c r="L13" s="23">
        <v>8.34</v>
      </c>
      <c r="M13" s="23">
        <v>0.112</v>
      </c>
      <c r="N13" s="23">
        <v>2.8999999999999998E-3</v>
      </c>
      <c r="O13" s="23">
        <v>1.47E-2</v>
      </c>
      <c r="P13" s="3130"/>
    </row>
    <row r="14" spans="1:16">
      <c r="A14" s="1031" t="s">
        <v>1209</v>
      </c>
      <c r="B14" s="3650">
        <v>0.02</v>
      </c>
      <c r="C14" s="5185" t="s">
        <v>1193</v>
      </c>
      <c r="D14" s="5186"/>
      <c r="H14" s="587" t="s">
        <v>47</v>
      </c>
      <c r="I14" s="25">
        <v>152.80000000000001</v>
      </c>
      <c r="J14" s="25"/>
      <c r="K14" s="25"/>
      <c r="L14" s="25">
        <v>3.37</v>
      </c>
      <c r="M14" s="25">
        <v>0.16600000000000001</v>
      </c>
      <c r="N14" s="25">
        <v>3.7000000000000002E-3</v>
      </c>
      <c r="O14" s="29">
        <f>O13</f>
        <v>1.47E-2</v>
      </c>
      <c r="P14" s="3131" t="s">
        <v>64</v>
      </c>
    </row>
    <row r="15" spans="1:16">
      <c r="A15" s="1031" t="s">
        <v>1210</v>
      </c>
      <c r="B15" s="3280">
        <v>5.7000000000000002E-2</v>
      </c>
      <c r="C15" s="5185" t="s">
        <v>847</v>
      </c>
      <c r="D15" s="5186"/>
      <c r="H15" s="5218" t="s">
        <v>833</v>
      </c>
      <c r="I15" s="5219"/>
      <c r="J15" s="5219"/>
      <c r="K15" s="5219"/>
      <c r="L15" s="5219"/>
      <c r="M15" s="5219"/>
      <c r="N15" s="5219"/>
      <c r="O15" s="5219"/>
      <c r="P15" s="5220"/>
    </row>
    <row r="16" spans="1:16" ht="12" customHeight="1" thickBot="1">
      <c r="A16" s="1031" t="s">
        <v>1211</v>
      </c>
      <c r="B16" s="3280">
        <v>5.7000000000000002E-2</v>
      </c>
      <c r="C16" s="5185" t="s">
        <v>847</v>
      </c>
      <c r="D16" s="5186"/>
      <c r="H16" s="2862" t="s">
        <v>960</v>
      </c>
      <c r="I16" s="8"/>
      <c r="J16" s="8"/>
      <c r="K16" s="8"/>
      <c r="L16" s="8"/>
      <c r="M16" s="8"/>
      <c r="N16" s="8"/>
      <c r="O16" s="8"/>
      <c r="P16" s="143"/>
    </row>
    <row r="17" spans="1:14">
      <c r="A17" s="1031" t="s">
        <v>1212</v>
      </c>
      <c r="B17" s="3280">
        <v>1.7999999999999999E-2</v>
      </c>
      <c r="C17" s="5185" t="s">
        <v>847</v>
      </c>
      <c r="D17" s="5186"/>
    </row>
    <row r="18" spans="1:14" ht="15" customHeight="1">
      <c r="A18" s="1031" t="s">
        <v>1213</v>
      </c>
      <c r="B18" s="3280">
        <v>1.7999999999999999E-2</v>
      </c>
      <c r="C18" s="5185" t="s">
        <v>847</v>
      </c>
      <c r="D18" s="5186"/>
      <c r="H18" s="5222" t="s">
        <v>1231</v>
      </c>
      <c r="I18" s="5223"/>
      <c r="J18" s="5223"/>
      <c r="K18" s="5223"/>
      <c r="L18" s="5223"/>
      <c r="M18" s="5223"/>
      <c r="N18" s="5223"/>
    </row>
    <row r="19" spans="1:14" ht="26.25" thickBot="1">
      <c r="A19" s="1031" t="s">
        <v>846</v>
      </c>
      <c r="B19" s="3280">
        <v>7.8E-2</v>
      </c>
      <c r="C19" s="5187" t="s">
        <v>847</v>
      </c>
      <c r="D19" s="5188"/>
      <c r="H19" s="3588" t="s">
        <v>1126</v>
      </c>
      <c r="I19" s="3585" t="s">
        <v>907</v>
      </c>
      <c r="J19" s="3536" t="s">
        <v>226</v>
      </c>
      <c r="K19" s="3536" t="s">
        <v>908</v>
      </c>
      <c r="L19" s="3591" t="s">
        <v>1530</v>
      </c>
      <c r="M19" s="3536" t="s">
        <v>1529</v>
      </c>
      <c r="N19" s="3589" t="s">
        <v>1127</v>
      </c>
    </row>
    <row r="20" spans="1:14">
      <c r="A20" s="5175" t="s">
        <v>1093</v>
      </c>
      <c r="B20" s="5176"/>
      <c r="C20" s="5176"/>
      <c r="D20" s="5221"/>
      <c r="H20" s="3587">
        <v>1</v>
      </c>
      <c r="I20" s="6" t="s">
        <v>956</v>
      </c>
      <c r="J20" s="1995">
        <v>0.5</v>
      </c>
      <c r="K20" s="1995">
        <v>0.15</v>
      </c>
      <c r="L20" s="3592">
        <v>0.65</v>
      </c>
      <c r="M20" s="2741">
        <v>5.8000000000000003E-2</v>
      </c>
      <c r="N20" s="49" t="s">
        <v>1128</v>
      </c>
    </row>
    <row r="21" spans="1:14">
      <c r="A21" s="586" t="s">
        <v>87</v>
      </c>
      <c r="B21" s="2337" t="s">
        <v>70</v>
      </c>
      <c r="C21" s="2337" t="s">
        <v>69</v>
      </c>
      <c r="D21" s="2338" t="s">
        <v>82</v>
      </c>
      <c r="H21" s="3587">
        <v>2</v>
      </c>
      <c r="I21" s="6" t="s">
        <v>939</v>
      </c>
      <c r="J21" s="1995">
        <v>0.76</v>
      </c>
      <c r="K21" s="1995">
        <v>0.42</v>
      </c>
      <c r="L21" s="3592">
        <v>0.59</v>
      </c>
      <c r="M21" s="2741">
        <v>5.6000000000000001E-2</v>
      </c>
      <c r="N21" s="49" t="s">
        <v>1131</v>
      </c>
    </row>
    <row r="22" spans="1:14" ht="30" customHeight="1">
      <c r="A22" s="586" t="s">
        <v>48</v>
      </c>
      <c r="B22" s="842">
        <v>650</v>
      </c>
      <c r="C22" s="842">
        <v>400</v>
      </c>
      <c r="D22" s="2042">
        <v>525</v>
      </c>
      <c r="H22" s="3587">
        <v>3</v>
      </c>
      <c r="I22" s="6" t="s">
        <v>941</v>
      </c>
      <c r="J22" s="1995">
        <v>0.76</v>
      </c>
      <c r="K22" s="1995">
        <v>0.38</v>
      </c>
      <c r="L22" s="3592">
        <v>0.62</v>
      </c>
      <c r="M22" s="2741">
        <v>5.7000000000000002E-2</v>
      </c>
      <c r="N22" s="49" t="s">
        <v>1133</v>
      </c>
    </row>
    <row r="23" spans="1:14">
      <c r="A23" s="586" t="s">
        <v>51</v>
      </c>
      <c r="B23" s="842">
        <v>755</v>
      </c>
      <c r="C23" s="842">
        <v>500</v>
      </c>
      <c r="D23" s="2042">
        <v>625</v>
      </c>
      <c r="H23" s="3587">
        <v>4</v>
      </c>
      <c r="I23" s="6" t="s">
        <v>950</v>
      </c>
      <c r="J23" s="1995">
        <v>0.8</v>
      </c>
      <c r="K23" s="1995">
        <v>0.62</v>
      </c>
      <c r="L23" s="3592">
        <v>0.65</v>
      </c>
      <c r="M23" s="2741">
        <v>5.8000000000000003E-2</v>
      </c>
      <c r="N23" s="49" t="s">
        <v>1128</v>
      </c>
    </row>
    <row r="24" spans="1:14">
      <c r="A24" s="586" t="s">
        <v>127</v>
      </c>
      <c r="B24" s="1995">
        <v>437</v>
      </c>
      <c r="C24" s="1995">
        <v>275</v>
      </c>
      <c r="D24" s="2042">
        <v>350</v>
      </c>
      <c r="H24" s="3587">
        <v>5</v>
      </c>
      <c r="I24" s="6" t="s">
        <v>955</v>
      </c>
      <c r="J24" s="1995">
        <v>0.74</v>
      </c>
      <c r="K24" s="1995">
        <v>0.35</v>
      </c>
      <c r="L24" s="3593">
        <v>0.69</v>
      </c>
      <c r="M24" s="3840">
        <v>4.8000000000000001E-2</v>
      </c>
      <c r="N24" s="49" t="s">
        <v>1132</v>
      </c>
    </row>
    <row r="25" spans="1:14" ht="13.5" customHeight="1">
      <c r="A25" s="586" t="s">
        <v>790</v>
      </c>
      <c r="B25" s="1995">
        <v>153</v>
      </c>
      <c r="C25" s="1995">
        <v>100</v>
      </c>
      <c r="D25" s="2042">
        <v>125</v>
      </c>
      <c r="H25" s="3587">
        <v>6</v>
      </c>
      <c r="I25" s="6" t="s">
        <v>948</v>
      </c>
      <c r="J25" s="1995">
        <v>0.66</v>
      </c>
      <c r="K25" s="1995">
        <v>0.22</v>
      </c>
      <c r="L25" s="3592">
        <v>0.74</v>
      </c>
      <c r="M25" s="2741">
        <v>5.8000000000000003E-2</v>
      </c>
      <c r="N25" s="49" t="s">
        <v>1130</v>
      </c>
    </row>
    <row r="26" spans="1:14">
      <c r="A26" s="586" t="s">
        <v>784</v>
      </c>
      <c r="B26" s="842">
        <v>700</v>
      </c>
      <c r="C26" s="842">
        <v>450</v>
      </c>
      <c r="D26" s="2042">
        <v>575</v>
      </c>
      <c r="E26" s="21"/>
      <c r="H26" s="3587">
        <v>7</v>
      </c>
      <c r="I26" s="6" t="s">
        <v>914</v>
      </c>
      <c r="J26" s="1995">
        <v>0.69</v>
      </c>
      <c r="K26" s="1995">
        <v>0.25</v>
      </c>
      <c r="L26" s="3592">
        <v>0.65</v>
      </c>
      <c r="M26" s="2741">
        <v>5.8000000000000003E-2</v>
      </c>
      <c r="N26" s="49" t="s">
        <v>547</v>
      </c>
    </row>
    <row r="27" spans="1:14" ht="13.5" thickBot="1">
      <c r="A27" s="5182" t="s">
        <v>1002</v>
      </c>
      <c r="B27" s="5183"/>
      <c r="C27" s="5183"/>
      <c r="D27" s="5184"/>
      <c r="H27" s="3587">
        <v>8</v>
      </c>
      <c r="I27" s="6" t="s">
        <v>918</v>
      </c>
      <c r="J27" s="1995">
        <v>0.74</v>
      </c>
      <c r="K27" s="1995">
        <v>0.32</v>
      </c>
      <c r="L27" s="3592">
        <v>0.65</v>
      </c>
      <c r="M27" s="2741">
        <v>5.8000000000000003E-2</v>
      </c>
      <c r="N27" s="49" t="s">
        <v>547</v>
      </c>
    </row>
    <row r="28" spans="1:14" ht="13.5" thickBot="1">
      <c r="A28" s="46"/>
      <c r="B28" s="1995"/>
      <c r="C28" s="1995"/>
      <c r="D28" s="1995"/>
      <c r="H28" s="3587">
        <v>9</v>
      </c>
      <c r="I28" s="6" t="s">
        <v>938</v>
      </c>
      <c r="J28" s="1995">
        <v>0.79</v>
      </c>
      <c r="K28" s="1995">
        <v>0.54</v>
      </c>
      <c r="L28" s="3592">
        <v>0.59</v>
      </c>
      <c r="M28" s="2741">
        <v>5.6000000000000001E-2</v>
      </c>
      <c r="N28" s="49" t="s">
        <v>1131</v>
      </c>
    </row>
    <row r="29" spans="1:14">
      <c r="A29" s="5175" t="s">
        <v>1115</v>
      </c>
      <c r="B29" s="5176"/>
      <c r="C29" s="5176"/>
      <c r="D29" s="3726" t="s">
        <v>291</v>
      </c>
      <c r="H29" s="3587">
        <v>10</v>
      </c>
      <c r="I29" s="6" t="s">
        <v>937</v>
      </c>
      <c r="J29" s="1995">
        <v>0.77</v>
      </c>
      <c r="K29" s="1995">
        <v>0.41</v>
      </c>
      <c r="L29" s="3592">
        <v>0.59</v>
      </c>
      <c r="M29" s="2741">
        <v>5.6000000000000001E-2</v>
      </c>
      <c r="N29" s="49" t="s">
        <v>1131</v>
      </c>
    </row>
    <row r="30" spans="1:14">
      <c r="A30" s="33" t="s">
        <v>807</v>
      </c>
      <c r="B30" s="23"/>
      <c r="C30" s="2786">
        <v>282</v>
      </c>
      <c r="D30" s="2876"/>
      <c r="F30" s="6"/>
      <c r="H30" s="3587">
        <v>11</v>
      </c>
      <c r="I30" s="6" t="s">
        <v>957</v>
      </c>
      <c r="J30" s="1995">
        <v>0.77</v>
      </c>
      <c r="K30" s="1995">
        <v>0.59</v>
      </c>
      <c r="L30" s="3592">
        <v>0.65</v>
      </c>
      <c r="M30" s="2741">
        <v>5.8000000000000003E-2</v>
      </c>
      <c r="N30" s="49" t="s">
        <v>1128</v>
      </c>
    </row>
    <row r="31" spans="1:14" ht="12.75" customHeight="1">
      <c r="A31" s="586" t="s">
        <v>155</v>
      </c>
      <c r="B31" s="46"/>
      <c r="C31" s="2786">
        <v>57.8</v>
      </c>
      <c r="D31" s="2877" t="s">
        <v>843</v>
      </c>
      <c r="E31" s="1995"/>
      <c r="H31" s="3587">
        <v>12</v>
      </c>
      <c r="I31" s="6" t="s">
        <v>926</v>
      </c>
      <c r="J31" s="1995">
        <v>0.71</v>
      </c>
      <c r="K31" s="1995">
        <v>0.27</v>
      </c>
      <c r="L31" s="3592">
        <v>0.65</v>
      </c>
      <c r="M31" s="2741">
        <v>5.8000000000000003E-2</v>
      </c>
      <c r="N31" s="49" t="s">
        <v>1129</v>
      </c>
    </row>
    <row r="32" spans="1:14" ht="13.5" thickBot="1">
      <c r="A32" s="586" t="s">
        <v>1413</v>
      </c>
      <c r="B32" s="46"/>
      <c r="C32" s="2786">
        <v>60</v>
      </c>
      <c r="D32" s="2877"/>
      <c r="E32" s="1995"/>
      <c r="H32" s="3587">
        <v>13</v>
      </c>
      <c r="I32" s="6" t="s">
        <v>946</v>
      </c>
      <c r="J32" s="1995">
        <v>0.69</v>
      </c>
      <c r="K32" s="1995">
        <v>0.25</v>
      </c>
      <c r="L32" s="3592">
        <v>0.65</v>
      </c>
      <c r="M32" s="2741">
        <v>5.8000000000000003E-2</v>
      </c>
      <c r="N32" s="49" t="s">
        <v>1128</v>
      </c>
    </row>
    <row r="33" spans="1:14" ht="13.5" thickBot="1">
      <c r="A33" s="3556"/>
      <c r="B33" s="3556"/>
      <c r="C33" s="3557"/>
      <c r="D33" s="3558"/>
      <c r="E33" s="1995"/>
      <c r="H33" s="3587">
        <v>14</v>
      </c>
      <c r="I33" s="6" t="s">
        <v>925</v>
      </c>
      <c r="J33" s="1995">
        <v>0.74</v>
      </c>
      <c r="K33" s="1995">
        <v>0.32</v>
      </c>
      <c r="L33" s="3592">
        <v>0.65</v>
      </c>
      <c r="M33" s="2741">
        <v>5.8000000000000003E-2</v>
      </c>
      <c r="N33" s="49" t="s">
        <v>1129</v>
      </c>
    </row>
    <row r="34" spans="1:14">
      <c r="A34" s="5175" t="s">
        <v>1359</v>
      </c>
      <c r="B34" s="5176"/>
      <c r="C34" s="5176"/>
      <c r="D34" s="3726" t="s">
        <v>291</v>
      </c>
      <c r="E34" s="1995"/>
      <c r="H34" s="3587">
        <v>15</v>
      </c>
      <c r="I34" s="6" t="s">
        <v>924</v>
      </c>
      <c r="J34" s="1995">
        <v>0.73</v>
      </c>
      <c r="K34" s="1995">
        <v>0.28999999999999998</v>
      </c>
      <c r="L34" s="3592">
        <v>0.65</v>
      </c>
      <c r="M34" s="2741">
        <v>5.8000000000000003E-2</v>
      </c>
      <c r="N34" s="49" t="s">
        <v>1129</v>
      </c>
    </row>
    <row r="35" spans="1:14">
      <c r="A35" s="586" t="s">
        <v>809</v>
      </c>
      <c r="B35" s="46"/>
      <c r="C35" s="2786">
        <v>60</v>
      </c>
      <c r="D35" s="2877"/>
      <c r="E35" s="1995"/>
      <c r="H35" s="3587">
        <v>16</v>
      </c>
      <c r="I35" s="6" t="s">
        <v>930</v>
      </c>
      <c r="J35" s="1995">
        <v>0.75</v>
      </c>
      <c r="K35" s="1995">
        <v>0.33</v>
      </c>
      <c r="L35" s="3592">
        <v>0.74</v>
      </c>
      <c r="M35" s="2741">
        <v>5.8000000000000003E-2</v>
      </c>
      <c r="N35" s="49" t="s">
        <v>1130</v>
      </c>
    </row>
    <row r="36" spans="1:14">
      <c r="A36" s="586" t="s">
        <v>811</v>
      </c>
      <c r="B36" s="46"/>
      <c r="C36" s="2786">
        <v>25.2</v>
      </c>
      <c r="D36" s="2877" t="s">
        <v>844</v>
      </c>
      <c r="E36" s="1995"/>
      <c r="H36" s="3587">
        <v>17</v>
      </c>
      <c r="I36" s="6" t="s">
        <v>934</v>
      </c>
      <c r="J36" s="1995">
        <v>0.76</v>
      </c>
      <c r="K36" s="1995">
        <v>0.35</v>
      </c>
      <c r="L36" s="3592">
        <v>0.59</v>
      </c>
      <c r="M36" s="2741">
        <v>5.6000000000000001E-2</v>
      </c>
      <c r="N36" s="49" t="s">
        <v>1131</v>
      </c>
    </row>
    <row r="37" spans="1:14">
      <c r="A37" s="5180" t="s">
        <v>140</v>
      </c>
      <c r="B37" s="5181"/>
      <c r="C37" s="2875">
        <v>0.50800000000000001</v>
      </c>
      <c r="D37" s="2877" t="s">
        <v>842</v>
      </c>
      <c r="H37" s="3587">
        <v>18</v>
      </c>
      <c r="I37" s="6" t="s">
        <v>942</v>
      </c>
      <c r="J37" s="1995">
        <v>0.79</v>
      </c>
      <c r="K37" s="1995">
        <v>0.47</v>
      </c>
      <c r="L37" s="3592">
        <v>0.62</v>
      </c>
      <c r="M37" s="2741">
        <v>5.7000000000000002E-2</v>
      </c>
      <c r="N37" s="49" t="s">
        <v>1133</v>
      </c>
    </row>
    <row r="38" spans="1:14" ht="13.5" customHeight="1">
      <c r="A38" s="5180" t="s">
        <v>129</v>
      </c>
      <c r="B38" s="5181"/>
      <c r="C38" s="2875">
        <f>1-C37</f>
        <v>0.49199999999999999</v>
      </c>
      <c r="D38" s="2877" t="s">
        <v>842</v>
      </c>
      <c r="H38" s="3587">
        <v>19</v>
      </c>
      <c r="I38" s="6" t="s">
        <v>912</v>
      </c>
      <c r="J38" s="1995">
        <v>0.67</v>
      </c>
      <c r="K38" s="1995">
        <v>0.24</v>
      </c>
      <c r="L38" s="3592">
        <v>0.65</v>
      </c>
      <c r="M38" s="2741">
        <v>5.8000000000000003E-2</v>
      </c>
      <c r="N38" s="49" t="s">
        <v>547</v>
      </c>
    </row>
    <row r="39" spans="1:14">
      <c r="A39" s="3541" t="s">
        <v>812</v>
      </c>
      <c r="B39" s="3540"/>
      <c r="C39" s="3730">
        <v>5</v>
      </c>
      <c r="D39" s="3722" t="s">
        <v>1083</v>
      </c>
      <c r="H39" s="3587">
        <v>20</v>
      </c>
      <c r="I39" s="6" t="s">
        <v>919</v>
      </c>
      <c r="J39" s="1995">
        <v>0.73</v>
      </c>
      <c r="K39" s="1995">
        <v>0.31</v>
      </c>
      <c r="L39" s="3592">
        <v>0.65</v>
      </c>
      <c r="M39" s="2741">
        <v>5.8000000000000003E-2</v>
      </c>
      <c r="N39" s="49" t="s">
        <v>547</v>
      </c>
    </row>
    <row r="40" spans="1:14" ht="13.5" thickBot="1">
      <c r="A40" s="2514" t="s">
        <v>292</v>
      </c>
      <c r="B40" s="2785"/>
      <c r="C40" s="2515"/>
      <c r="D40" s="2516"/>
      <c r="E40" s="1995"/>
      <c r="H40" s="3587">
        <v>21</v>
      </c>
      <c r="I40" s="23" t="s">
        <v>909</v>
      </c>
      <c r="J40" s="1995">
        <v>0.62</v>
      </c>
      <c r="K40" s="1995">
        <v>0.2</v>
      </c>
      <c r="L40" s="3592">
        <v>0.65</v>
      </c>
      <c r="M40" s="2741">
        <v>5.8000000000000003E-2</v>
      </c>
      <c r="N40" s="49" t="s">
        <v>547</v>
      </c>
    </row>
    <row r="41" spans="1:14">
      <c r="H41" s="3587">
        <v>22</v>
      </c>
      <c r="I41" s="6" t="s">
        <v>920</v>
      </c>
      <c r="J41" s="1995">
        <v>0.69</v>
      </c>
      <c r="K41" s="1995">
        <v>0.25</v>
      </c>
      <c r="L41" s="3592">
        <v>0.65</v>
      </c>
      <c r="M41" s="2741">
        <v>5.8000000000000003E-2</v>
      </c>
      <c r="N41" s="49" t="s">
        <v>1129</v>
      </c>
    </row>
    <row r="42" spans="1:14" ht="13.5" thickBot="1">
      <c r="H42" s="3587">
        <v>23</v>
      </c>
      <c r="I42" s="6" t="s">
        <v>922</v>
      </c>
      <c r="J42" s="1995">
        <v>0.68</v>
      </c>
      <c r="K42" s="1995">
        <v>0.25</v>
      </c>
      <c r="L42" s="3592">
        <v>0.65</v>
      </c>
      <c r="M42" s="2741">
        <v>5.8000000000000003E-2</v>
      </c>
      <c r="N42" s="49" t="s">
        <v>1129</v>
      </c>
    </row>
    <row r="43" spans="1:14" ht="13.5" customHeight="1">
      <c r="A43" s="5175" t="s">
        <v>1514</v>
      </c>
      <c r="B43" s="5176"/>
      <c r="C43" s="5176"/>
      <c r="D43" s="5176"/>
      <c r="E43" s="5177"/>
      <c r="F43" s="3727" t="s">
        <v>83</v>
      </c>
      <c r="H43" s="3587">
        <v>24</v>
      </c>
      <c r="I43" s="6" t="s">
        <v>927</v>
      </c>
      <c r="J43" s="1995">
        <v>0.75</v>
      </c>
      <c r="K43" s="1995">
        <v>0.34</v>
      </c>
      <c r="L43" s="3592">
        <v>0.65</v>
      </c>
      <c r="M43" s="2741">
        <v>5.8000000000000003E-2</v>
      </c>
      <c r="N43" s="49" t="s">
        <v>1129</v>
      </c>
    </row>
    <row r="44" spans="1:14">
      <c r="A44" s="2540" t="s">
        <v>679</v>
      </c>
      <c r="B44" s="2541"/>
      <c r="C44" s="2542" t="s">
        <v>93</v>
      </c>
      <c r="D44" s="2542" t="s">
        <v>107</v>
      </c>
      <c r="E44" s="2542" t="s">
        <v>680</v>
      </c>
      <c r="F44" s="2743"/>
      <c r="H44" s="3587">
        <v>25</v>
      </c>
      <c r="I44" s="6" t="s">
        <v>940</v>
      </c>
      <c r="J44" s="1995">
        <v>0.78</v>
      </c>
      <c r="K44" s="1995">
        <v>0.44</v>
      </c>
      <c r="L44" s="3592">
        <v>0.59</v>
      </c>
      <c r="M44" s="2741">
        <v>5.6000000000000001E-2</v>
      </c>
      <c r="N44" s="49" t="s">
        <v>1131</v>
      </c>
    </row>
    <row r="45" spans="1:14">
      <c r="A45" s="2039" t="s">
        <v>733</v>
      </c>
      <c r="B45" s="6"/>
      <c r="C45" s="1990"/>
      <c r="D45" s="1990"/>
      <c r="E45" s="1990"/>
      <c r="F45" s="2743"/>
      <c r="H45" s="3587">
        <v>26</v>
      </c>
      <c r="I45" s="6" t="s">
        <v>945</v>
      </c>
      <c r="J45" s="1995">
        <v>0.63</v>
      </c>
      <c r="K45" s="1995">
        <v>0.21</v>
      </c>
      <c r="L45" s="3592">
        <v>0.74</v>
      </c>
      <c r="M45" s="2741">
        <v>5.8000000000000003E-2</v>
      </c>
      <c r="N45" s="49" t="s">
        <v>1130</v>
      </c>
    </row>
    <row r="46" spans="1:14">
      <c r="A46" s="5178" t="s">
        <v>719</v>
      </c>
      <c r="B46" s="5179"/>
      <c r="C46" s="2341">
        <v>0.55000000000000004</v>
      </c>
      <c r="D46" s="2341">
        <v>0.35</v>
      </c>
      <c r="E46" s="2739">
        <v>0.45</v>
      </c>
      <c r="F46" s="2743"/>
      <c r="H46" s="3587">
        <v>27</v>
      </c>
      <c r="I46" s="6" t="s">
        <v>933</v>
      </c>
      <c r="J46" s="1995">
        <v>0.75</v>
      </c>
      <c r="K46" s="1995">
        <v>0.34</v>
      </c>
      <c r="L46" s="3592">
        <v>0.59</v>
      </c>
      <c r="M46" s="2741">
        <v>5.6000000000000001E-2</v>
      </c>
      <c r="N46" s="49" t="s">
        <v>1131</v>
      </c>
    </row>
    <row r="47" spans="1:14">
      <c r="A47" s="5178" t="s">
        <v>810</v>
      </c>
      <c r="B47" s="5179"/>
      <c r="C47" s="2343">
        <v>1.4</v>
      </c>
      <c r="D47" s="2343">
        <v>2.4750000000000001</v>
      </c>
      <c r="E47" s="2343">
        <v>2.8</v>
      </c>
      <c r="F47" s="2743"/>
      <c r="H47" s="3587">
        <v>28</v>
      </c>
      <c r="I47" s="6" t="s">
        <v>928</v>
      </c>
      <c r="J47" s="1995">
        <v>0.66</v>
      </c>
      <c r="K47" s="1995">
        <v>0.23</v>
      </c>
      <c r="L47" s="3592">
        <v>0.74</v>
      </c>
      <c r="M47" s="2741">
        <v>5.8000000000000003E-2</v>
      </c>
      <c r="N47" s="49" t="s">
        <v>1130</v>
      </c>
    </row>
    <row r="48" spans="1:14">
      <c r="A48" s="5180" t="s">
        <v>681</v>
      </c>
      <c r="B48" s="5181"/>
      <c r="C48" s="2343">
        <v>32</v>
      </c>
      <c r="D48" s="2343">
        <v>40</v>
      </c>
      <c r="E48" s="2343">
        <v>36</v>
      </c>
      <c r="F48" s="2743"/>
      <c r="H48" s="3587">
        <v>29</v>
      </c>
      <c r="I48" s="6" t="s">
        <v>547</v>
      </c>
      <c r="J48" s="1995">
        <v>0.72</v>
      </c>
      <c r="K48" s="1995">
        <v>0.28999999999999998</v>
      </c>
      <c r="L48" s="3592">
        <v>0.74</v>
      </c>
      <c r="M48" s="2741">
        <v>5.8000000000000003E-2</v>
      </c>
      <c r="N48" s="49" t="s">
        <v>1130</v>
      </c>
    </row>
    <row r="49" spans="1:14">
      <c r="A49" s="3541" t="s">
        <v>791</v>
      </c>
      <c r="B49" s="3540"/>
      <c r="C49" s="2341">
        <v>0.57999999999999996</v>
      </c>
      <c r="D49" s="2341">
        <v>0.5</v>
      </c>
      <c r="E49" s="2739">
        <v>0.5</v>
      </c>
      <c r="F49" s="2743"/>
      <c r="H49" s="3587">
        <v>30</v>
      </c>
      <c r="I49" s="23" t="s">
        <v>910</v>
      </c>
      <c r="J49" s="1995">
        <v>0.64</v>
      </c>
      <c r="K49" s="1995">
        <v>0.21</v>
      </c>
      <c r="L49" s="3592">
        <v>0.65</v>
      </c>
      <c r="M49" s="2741">
        <v>5.8000000000000003E-2</v>
      </c>
      <c r="N49" s="49" t="s">
        <v>547</v>
      </c>
    </row>
    <row r="50" spans="1:14">
      <c r="A50" s="3541" t="s">
        <v>792</v>
      </c>
      <c r="B50" s="3540"/>
      <c r="C50" s="2343">
        <v>30</v>
      </c>
      <c r="D50" s="2343">
        <v>30</v>
      </c>
      <c r="E50" s="2740">
        <v>30</v>
      </c>
      <c r="F50" s="2743"/>
      <c r="H50" s="3587">
        <v>31</v>
      </c>
      <c r="I50" s="6" t="s">
        <v>916</v>
      </c>
      <c r="J50" s="1995">
        <v>0.72</v>
      </c>
      <c r="K50" s="1995">
        <v>0.28999999999999998</v>
      </c>
      <c r="L50" s="3592">
        <v>0.65</v>
      </c>
      <c r="M50" s="2741">
        <v>5.8000000000000003E-2</v>
      </c>
      <c r="N50" s="49" t="s">
        <v>547</v>
      </c>
    </row>
    <row r="51" spans="1:14">
      <c r="A51" s="5178" t="s">
        <v>743</v>
      </c>
      <c r="B51" s="5179"/>
      <c r="C51" s="2341">
        <v>0.09</v>
      </c>
      <c r="D51" s="2341">
        <v>0.16</v>
      </c>
      <c r="E51" s="2739">
        <v>0.13</v>
      </c>
      <c r="F51" s="2743"/>
      <c r="H51" s="3587">
        <v>32</v>
      </c>
      <c r="I51" s="6" t="s">
        <v>949</v>
      </c>
      <c r="J51" s="1995">
        <v>0.73</v>
      </c>
      <c r="K51" s="1995">
        <v>0.3</v>
      </c>
      <c r="L51" s="3592">
        <v>0.65</v>
      </c>
      <c r="M51" s="2741">
        <v>5.8000000000000003E-2</v>
      </c>
      <c r="N51" s="49" t="s">
        <v>1128</v>
      </c>
    </row>
    <row r="52" spans="1:14">
      <c r="A52" s="5178" t="s">
        <v>793</v>
      </c>
      <c r="B52" s="5179"/>
      <c r="C52" s="2343">
        <v>60</v>
      </c>
      <c r="D52" s="2343">
        <v>60</v>
      </c>
      <c r="E52" s="2740">
        <v>60</v>
      </c>
      <c r="F52" s="2743"/>
      <c r="H52" s="3587">
        <v>33</v>
      </c>
      <c r="I52" s="6" t="s">
        <v>952</v>
      </c>
      <c r="J52" s="1995">
        <v>0.71</v>
      </c>
      <c r="K52" s="1995">
        <v>0.27</v>
      </c>
      <c r="L52" s="3592">
        <v>0.65</v>
      </c>
      <c r="M52" s="2741">
        <v>5.8000000000000003E-2</v>
      </c>
      <c r="N52" s="49" t="s">
        <v>1128</v>
      </c>
    </row>
    <row r="53" spans="1:14">
      <c r="A53" s="5178" t="s">
        <v>744</v>
      </c>
      <c r="B53" s="5179"/>
      <c r="C53" s="2341">
        <v>0.03</v>
      </c>
      <c r="D53" s="2342">
        <v>4.4999999999999998E-2</v>
      </c>
      <c r="E53" s="2741">
        <v>4.2000000000000003E-2</v>
      </c>
      <c r="F53" s="3275">
        <v>2</v>
      </c>
      <c r="H53" s="3587">
        <v>34</v>
      </c>
      <c r="I53" s="6" t="s">
        <v>915</v>
      </c>
      <c r="J53" s="1995">
        <v>0.66</v>
      </c>
      <c r="K53" s="1995">
        <v>0.23</v>
      </c>
      <c r="L53" s="3592">
        <v>0.65</v>
      </c>
      <c r="M53" s="2741">
        <v>5.8000000000000003E-2</v>
      </c>
      <c r="N53" s="49" t="s">
        <v>547</v>
      </c>
    </row>
    <row r="54" spans="1:14">
      <c r="A54" s="5178" t="s">
        <v>794</v>
      </c>
      <c r="B54" s="5179"/>
      <c r="C54" s="2343">
        <v>100</v>
      </c>
      <c r="D54" s="2343">
        <v>100</v>
      </c>
      <c r="E54" s="2740">
        <v>100</v>
      </c>
      <c r="F54" s="3054"/>
      <c r="H54" s="3587">
        <v>35</v>
      </c>
      <c r="I54" s="6" t="s">
        <v>923</v>
      </c>
      <c r="J54" s="1995">
        <v>0.71</v>
      </c>
      <c r="K54" s="1995">
        <v>0.28000000000000003</v>
      </c>
      <c r="L54" s="3592">
        <v>0.65</v>
      </c>
      <c r="M54" s="2741">
        <v>5.8000000000000003E-2</v>
      </c>
      <c r="N54" s="49" t="s">
        <v>1129</v>
      </c>
    </row>
    <row r="55" spans="1:14">
      <c r="A55" s="5180" t="s">
        <v>60</v>
      </c>
      <c r="B55" s="5181"/>
      <c r="C55" s="2341">
        <v>0.94</v>
      </c>
      <c r="D55" s="2340">
        <v>0.86</v>
      </c>
      <c r="E55" s="2739">
        <v>0.88</v>
      </c>
      <c r="F55" s="3054"/>
      <c r="H55" s="3587">
        <v>36</v>
      </c>
      <c r="I55" s="6" t="s">
        <v>943</v>
      </c>
      <c r="J55" s="1995">
        <v>0.77</v>
      </c>
      <c r="K55" s="1995">
        <v>0.39</v>
      </c>
      <c r="L55" s="3592">
        <v>0.62</v>
      </c>
      <c r="M55" s="2741">
        <v>5.7000000000000002E-2</v>
      </c>
      <c r="N55" s="49" t="s">
        <v>1133</v>
      </c>
    </row>
    <row r="56" spans="1:14">
      <c r="A56" s="3539" t="s">
        <v>713</v>
      </c>
      <c r="B56" s="3540"/>
      <c r="C56" s="2513">
        <v>25</v>
      </c>
      <c r="D56" s="2513">
        <v>40</v>
      </c>
      <c r="E56" s="2742">
        <v>40</v>
      </c>
      <c r="F56" s="3054"/>
      <c r="H56" s="3587">
        <v>37</v>
      </c>
      <c r="I56" s="6" t="s">
        <v>954</v>
      </c>
      <c r="J56" s="1995">
        <v>0.63</v>
      </c>
      <c r="K56" s="1995">
        <v>0.21</v>
      </c>
      <c r="L56" s="3592">
        <v>0.65</v>
      </c>
      <c r="M56" s="2741">
        <v>5.8000000000000003E-2</v>
      </c>
      <c r="N56" s="49" t="s">
        <v>1128</v>
      </c>
    </row>
    <row r="57" spans="1:14">
      <c r="A57" s="2039" t="s">
        <v>734</v>
      </c>
      <c r="B57" s="6"/>
      <c r="C57" s="1990"/>
      <c r="D57" s="1990"/>
      <c r="E57" s="1990"/>
      <c r="F57" s="3054"/>
      <c r="H57" s="3587">
        <v>38</v>
      </c>
      <c r="I57" s="6" t="s">
        <v>917</v>
      </c>
      <c r="J57" s="1995">
        <v>0.7</v>
      </c>
      <c r="K57" s="1995">
        <v>0.26</v>
      </c>
      <c r="L57" s="3592">
        <v>0.65</v>
      </c>
      <c r="M57" s="2741">
        <v>5.8000000000000003E-2</v>
      </c>
      <c r="N57" s="49" t="s">
        <v>547</v>
      </c>
    </row>
    <row r="58" spans="1:14">
      <c r="A58" s="33" t="s">
        <v>760</v>
      </c>
      <c r="B58" s="6"/>
      <c r="C58" s="1990">
        <v>12.65</v>
      </c>
      <c r="D58" s="1990">
        <v>12.65</v>
      </c>
      <c r="E58" s="1990">
        <v>12.65</v>
      </c>
      <c r="F58" s="3054">
        <v>1</v>
      </c>
      <c r="H58" s="3587">
        <v>39</v>
      </c>
      <c r="I58" s="6" t="s">
        <v>913</v>
      </c>
      <c r="J58" s="1995">
        <v>0.7</v>
      </c>
      <c r="K58" s="1995">
        <v>0.26</v>
      </c>
      <c r="L58" s="3592">
        <v>0.65</v>
      </c>
      <c r="M58" s="2741">
        <v>5.8000000000000003E-2</v>
      </c>
      <c r="N58" s="49" t="s">
        <v>547</v>
      </c>
    </row>
    <row r="59" spans="1:14">
      <c r="A59" s="5178" t="s">
        <v>719</v>
      </c>
      <c r="B59" s="5179"/>
      <c r="C59" s="2341">
        <v>0.15</v>
      </c>
      <c r="D59" s="2341">
        <v>0.15</v>
      </c>
      <c r="E59" s="2739">
        <v>0.15</v>
      </c>
      <c r="F59" s="3054"/>
      <c r="H59" s="3587">
        <v>40</v>
      </c>
      <c r="I59" s="6" t="s">
        <v>936</v>
      </c>
      <c r="J59" s="1995">
        <v>0.78</v>
      </c>
      <c r="K59" s="1995">
        <v>0.41</v>
      </c>
      <c r="L59" s="3592">
        <v>0.59</v>
      </c>
      <c r="M59" s="2741">
        <v>5.6000000000000001E-2</v>
      </c>
      <c r="N59" s="49" t="s">
        <v>1131</v>
      </c>
    </row>
    <row r="60" spans="1:14">
      <c r="A60" s="5178" t="s">
        <v>810</v>
      </c>
      <c r="B60" s="5179"/>
      <c r="C60" s="2343">
        <v>1.4</v>
      </c>
      <c r="D60" s="2343">
        <v>2.4750000000000001</v>
      </c>
      <c r="E60" s="2343">
        <v>2.8</v>
      </c>
      <c r="F60" s="3054"/>
      <c r="H60" s="3587">
        <v>41</v>
      </c>
      <c r="I60" s="6" t="s">
        <v>929</v>
      </c>
      <c r="J60" s="1995">
        <v>0.7</v>
      </c>
      <c r="K60" s="1995">
        <v>0.26</v>
      </c>
      <c r="L60" s="3592">
        <v>0.74</v>
      </c>
      <c r="M60" s="2741">
        <v>5.8000000000000003E-2</v>
      </c>
      <c r="N60" s="49" t="s">
        <v>1130</v>
      </c>
    </row>
    <row r="61" spans="1:14">
      <c r="A61" s="5180" t="s">
        <v>681</v>
      </c>
      <c r="B61" s="5181"/>
      <c r="C61" s="2343">
        <v>32</v>
      </c>
      <c r="D61" s="2343">
        <v>40</v>
      </c>
      <c r="E61" s="2343">
        <v>36</v>
      </c>
      <c r="F61" s="3054"/>
      <c r="H61" s="3587">
        <v>42</v>
      </c>
      <c r="I61" s="6" t="s">
        <v>935</v>
      </c>
      <c r="J61" s="1995">
        <v>0.76</v>
      </c>
      <c r="K61" s="1995">
        <v>0.35</v>
      </c>
      <c r="L61" s="3592">
        <v>0.59</v>
      </c>
      <c r="M61" s="2741">
        <v>5.6000000000000001E-2</v>
      </c>
      <c r="N61" s="49" t="s">
        <v>1131</v>
      </c>
    </row>
    <row r="62" spans="1:14">
      <c r="A62" s="3541" t="s">
        <v>791</v>
      </c>
      <c r="B62" s="3540"/>
      <c r="C62" s="2341">
        <v>0.57999999999999996</v>
      </c>
      <c r="D62" s="2341">
        <v>0.5</v>
      </c>
      <c r="E62" s="2739">
        <v>0.5</v>
      </c>
      <c r="F62" s="3054"/>
      <c r="H62" s="3587">
        <v>43</v>
      </c>
      <c r="I62" s="6" t="s">
        <v>944</v>
      </c>
      <c r="J62" s="1995">
        <v>0.78</v>
      </c>
      <c r="K62" s="1995">
        <v>0.43</v>
      </c>
      <c r="L62" s="3592">
        <v>0.62</v>
      </c>
      <c r="M62" s="2741">
        <v>5.7000000000000002E-2</v>
      </c>
      <c r="N62" s="49" t="s">
        <v>1133</v>
      </c>
    </row>
    <row r="63" spans="1:14">
      <c r="A63" s="3541" t="s">
        <v>792</v>
      </c>
      <c r="B63" s="3540"/>
      <c r="C63" s="2343">
        <v>30</v>
      </c>
      <c r="D63" s="2343">
        <v>30</v>
      </c>
      <c r="E63" s="2740">
        <v>30</v>
      </c>
      <c r="F63" s="3054"/>
      <c r="H63" s="3587">
        <v>44</v>
      </c>
      <c r="I63" s="6" t="s">
        <v>951</v>
      </c>
      <c r="J63" s="1995">
        <v>0.69</v>
      </c>
      <c r="K63" s="1995">
        <v>0.25</v>
      </c>
      <c r="L63" s="3592">
        <v>0.65</v>
      </c>
      <c r="M63" s="2741">
        <v>5.8000000000000003E-2</v>
      </c>
      <c r="N63" s="49" t="s">
        <v>1128</v>
      </c>
    </row>
    <row r="64" spans="1:14">
      <c r="A64" s="5178" t="s">
        <v>743</v>
      </c>
      <c r="B64" s="5179"/>
      <c r="C64" s="2341">
        <v>0.09</v>
      </c>
      <c r="D64" s="2341">
        <v>0.16</v>
      </c>
      <c r="E64" s="2739">
        <v>0.13</v>
      </c>
      <c r="F64" s="3054"/>
      <c r="H64" s="3587">
        <v>45</v>
      </c>
      <c r="I64" s="6" t="s">
        <v>931</v>
      </c>
      <c r="J64" s="1995">
        <v>0.73</v>
      </c>
      <c r="K64" s="1995">
        <v>0.3</v>
      </c>
      <c r="L64" s="3592">
        <v>0.59</v>
      </c>
      <c r="M64" s="2741">
        <v>5.6000000000000001E-2</v>
      </c>
      <c r="N64" s="49" t="s">
        <v>1131</v>
      </c>
    </row>
    <row r="65" spans="1:14" ht="12.75" customHeight="1">
      <c r="A65" s="5178" t="s">
        <v>793</v>
      </c>
      <c r="B65" s="5179"/>
      <c r="C65" s="2343">
        <v>60</v>
      </c>
      <c r="D65" s="2343">
        <v>60</v>
      </c>
      <c r="E65" s="2740">
        <v>60</v>
      </c>
      <c r="F65" s="3054"/>
      <c r="H65" s="3587">
        <v>46</v>
      </c>
      <c r="I65" s="6" t="s">
        <v>911</v>
      </c>
      <c r="J65" s="1995">
        <v>0.63</v>
      </c>
      <c r="K65" s="1995">
        <v>0.21</v>
      </c>
      <c r="L65" s="3592">
        <v>0.65</v>
      </c>
      <c r="M65" s="2741">
        <v>5.8000000000000003E-2</v>
      </c>
      <c r="N65" s="49" t="s">
        <v>547</v>
      </c>
    </row>
    <row r="66" spans="1:14">
      <c r="A66" s="5178" t="s">
        <v>744</v>
      </c>
      <c r="B66" s="5179"/>
      <c r="C66" s="2342">
        <v>3.3000000000000002E-2</v>
      </c>
      <c r="D66" s="2342">
        <v>3.3000000000000002E-2</v>
      </c>
      <c r="E66" s="2741">
        <v>3.3000000000000002E-2</v>
      </c>
      <c r="F66" s="3054"/>
      <c r="H66" s="3587">
        <v>47</v>
      </c>
      <c r="I66" s="103" t="s">
        <v>953</v>
      </c>
      <c r="J66" s="842">
        <v>0.63</v>
      </c>
      <c r="K66" s="842">
        <v>0.21</v>
      </c>
      <c r="L66" s="3592">
        <v>0.65</v>
      </c>
      <c r="M66" s="2741">
        <v>5.8000000000000003E-2</v>
      </c>
      <c r="N66" s="49" t="s">
        <v>1128</v>
      </c>
    </row>
    <row r="67" spans="1:14">
      <c r="A67" s="5191" t="s">
        <v>794</v>
      </c>
      <c r="B67" s="5192"/>
      <c r="C67" s="3611">
        <v>100</v>
      </c>
      <c r="D67" s="3611">
        <v>100</v>
      </c>
      <c r="E67" s="3612">
        <v>100</v>
      </c>
      <c r="F67" s="3613"/>
      <c r="H67" s="3587">
        <v>48</v>
      </c>
      <c r="I67" s="6" t="s">
        <v>921</v>
      </c>
      <c r="J67" s="1995">
        <v>0.68</v>
      </c>
      <c r="K67" s="1995">
        <v>0.24</v>
      </c>
      <c r="L67" s="3592">
        <v>0.65</v>
      </c>
      <c r="M67" s="2741">
        <v>5.8000000000000003E-2</v>
      </c>
      <c r="N67" s="49" t="s">
        <v>1129</v>
      </c>
    </row>
    <row r="68" spans="1:14">
      <c r="A68" s="5189" t="s">
        <v>20</v>
      </c>
      <c r="B68" s="5190"/>
      <c r="C68" s="5190"/>
      <c r="D68" s="5190"/>
      <c r="E68" s="5190"/>
      <c r="F68" s="5"/>
      <c r="H68" s="3587">
        <v>49</v>
      </c>
      <c r="I68" s="6" t="s">
        <v>932</v>
      </c>
      <c r="J68" s="1995">
        <v>0.72</v>
      </c>
      <c r="K68" s="1995">
        <v>0.28000000000000003</v>
      </c>
      <c r="L68" s="3592">
        <v>0.59</v>
      </c>
      <c r="M68" s="2741">
        <v>5.6000000000000001E-2</v>
      </c>
      <c r="N68" s="49" t="s">
        <v>1131</v>
      </c>
    </row>
    <row r="69" spans="1:14" ht="12.75" customHeight="1">
      <c r="A69" s="4631" t="s">
        <v>856</v>
      </c>
      <c r="B69" s="4632"/>
      <c r="C69" s="4632"/>
      <c r="D69" s="4632"/>
      <c r="E69" s="4632"/>
      <c r="F69" s="4633"/>
      <c r="H69" s="3590">
        <v>50</v>
      </c>
      <c r="I69" s="1720" t="s">
        <v>947</v>
      </c>
      <c r="J69" s="3573">
        <v>0.63</v>
      </c>
      <c r="K69" s="3573">
        <v>0.2</v>
      </c>
      <c r="L69" s="3594">
        <v>0.74</v>
      </c>
      <c r="M69" s="2741">
        <v>5.8000000000000003E-2</v>
      </c>
      <c r="N69" s="81" t="s">
        <v>1130</v>
      </c>
    </row>
    <row r="70" spans="1:14" ht="12.75" customHeight="1">
      <c r="A70" s="4631" t="s">
        <v>1003</v>
      </c>
      <c r="B70" s="4632"/>
      <c r="C70" s="4632"/>
      <c r="D70" s="4632"/>
      <c r="E70" s="4632"/>
      <c r="F70" s="4633"/>
      <c r="H70" s="5196" t="s">
        <v>1528</v>
      </c>
      <c r="I70" s="5197"/>
      <c r="J70" s="5197"/>
      <c r="K70" s="5197"/>
      <c r="L70" s="5197"/>
      <c r="M70" s="5197"/>
      <c r="N70" s="5198"/>
    </row>
    <row r="71" spans="1:14">
      <c r="A71" s="4631"/>
      <c r="B71" s="4632"/>
      <c r="C71" s="4632"/>
      <c r="D71" s="4632"/>
      <c r="E71" s="4632"/>
      <c r="F71" s="4633"/>
      <c r="H71" s="5201"/>
      <c r="I71" s="5202"/>
      <c r="J71" s="5202"/>
      <c r="K71" s="5202"/>
      <c r="L71" s="5202"/>
      <c r="M71" s="5202"/>
      <c r="N71" s="5203"/>
    </row>
    <row r="72" spans="1:14">
      <c r="A72" s="4631"/>
      <c r="B72" s="4632"/>
      <c r="C72" s="4632"/>
      <c r="D72" s="4632"/>
      <c r="E72" s="4632"/>
      <c r="F72" s="4633"/>
      <c r="H72" s="5201"/>
      <c r="I72" s="5202"/>
      <c r="J72" s="5202"/>
      <c r="K72" s="5202"/>
      <c r="L72" s="5202"/>
      <c r="M72" s="5202"/>
      <c r="N72" s="5203"/>
    </row>
    <row r="73" spans="1:14" ht="13.5" thickBot="1">
      <c r="A73" s="5193"/>
      <c r="B73" s="5194"/>
      <c r="C73" s="5194"/>
      <c r="D73" s="5194"/>
      <c r="E73" s="5194"/>
      <c r="F73" s="5195"/>
      <c r="H73" s="4411"/>
      <c r="I73" s="4412"/>
      <c r="J73" s="4412"/>
      <c r="K73" s="4412"/>
      <c r="L73" s="4412"/>
      <c r="M73" s="4412"/>
      <c r="N73" s="5200"/>
    </row>
    <row r="74" spans="1:14" ht="13.5" thickBot="1"/>
    <row r="75" spans="1:14" ht="13.5" thickBot="1">
      <c r="H75" s="5175" t="s">
        <v>1117</v>
      </c>
      <c r="I75" s="5176"/>
      <c r="J75" s="5176"/>
      <c r="K75" s="5176"/>
      <c r="L75" s="5199"/>
    </row>
    <row r="76" spans="1:14">
      <c r="A76" s="5175" t="s">
        <v>764</v>
      </c>
      <c r="B76" s="5177"/>
      <c r="C76" s="2584" t="s">
        <v>291</v>
      </c>
      <c r="D76" s="2585"/>
      <c r="E76" s="2585"/>
      <c r="F76" s="2586"/>
      <c r="H76" s="2039" t="s">
        <v>586</v>
      </c>
      <c r="I76" s="2032"/>
      <c r="J76" s="2033" t="s">
        <v>269</v>
      </c>
      <c r="K76" s="2033" t="s">
        <v>590</v>
      </c>
      <c r="L76" s="2040" t="s">
        <v>270</v>
      </c>
    </row>
    <row r="77" spans="1:14">
      <c r="A77" s="33" t="s">
        <v>765</v>
      </c>
      <c r="B77" s="2581">
        <v>0.12720000000000001</v>
      </c>
      <c r="C77" s="22" t="s">
        <v>768</v>
      </c>
      <c r="D77" s="6"/>
      <c r="E77" s="6"/>
      <c r="F77" s="5"/>
      <c r="H77" s="2041" t="s">
        <v>587</v>
      </c>
      <c r="I77" s="6"/>
      <c r="J77" s="1995">
        <v>5.0000000000000001E-3</v>
      </c>
      <c r="K77" s="1995">
        <v>5.0000000000000001E-3</v>
      </c>
      <c r="L77" s="2042">
        <v>5.0000000000000001E-3</v>
      </c>
    </row>
    <row r="78" spans="1:14">
      <c r="A78" s="33" t="s">
        <v>800</v>
      </c>
      <c r="B78" s="2582">
        <v>0.25</v>
      </c>
      <c r="C78" s="22"/>
      <c r="D78" s="6"/>
      <c r="E78" s="6"/>
      <c r="F78" s="5"/>
      <c r="H78" s="2041" t="s">
        <v>588</v>
      </c>
      <c r="I78" s="6"/>
      <c r="J78" s="224">
        <v>5.0000000000000001E-3</v>
      </c>
      <c r="K78" s="224">
        <v>0.01</v>
      </c>
      <c r="L78" s="2043">
        <v>1.4999999999999999E-2</v>
      </c>
    </row>
    <row r="79" spans="1:14">
      <c r="A79" s="33" t="s">
        <v>801</v>
      </c>
      <c r="B79" s="2582">
        <v>0.85</v>
      </c>
      <c r="C79" s="22"/>
      <c r="D79" s="6"/>
      <c r="E79" s="6"/>
      <c r="F79" s="5"/>
      <c r="H79" s="2041" t="s">
        <v>589</v>
      </c>
      <c r="I79" s="6"/>
      <c r="J79" s="224">
        <v>1E-3</v>
      </c>
      <c r="K79" s="224">
        <v>5.0000000000000001E-3</v>
      </c>
      <c r="L79" s="2043">
        <v>0.01</v>
      </c>
    </row>
    <row r="80" spans="1:14">
      <c r="A80" s="33" t="s">
        <v>766</v>
      </c>
      <c r="B80" s="2582">
        <v>150</v>
      </c>
      <c r="C80" s="2494"/>
      <c r="D80" s="6"/>
      <c r="E80" s="6"/>
      <c r="F80" s="5"/>
      <c r="H80" s="2041" t="s">
        <v>230</v>
      </c>
      <c r="I80" s="6"/>
      <c r="J80" s="224">
        <v>0.01</v>
      </c>
      <c r="K80" s="224">
        <v>1.4999999999999999E-2</v>
      </c>
      <c r="L80" s="2043">
        <v>0.05</v>
      </c>
    </row>
    <row r="81" spans="1:12" ht="13.5" thickBot="1">
      <c r="A81" s="142" t="s">
        <v>767</v>
      </c>
      <c r="B81" s="2583">
        <v>75</v>
      </c>
      <c r="C81" s="1691"/>
      <c r="D81" s="8"/>
      <c r="E81" s="8"/>
      <c r="F81" s="143"/>
      <c r="H81" s="586" t="s">
        <v>227</v>
      </c>
      <c r="I81" s="6"/>
      <c r="J81" s="224">
        <v>0</v>
      </c>
      <c r="K81" s="224">
        <v>0</v>
      </c>
      <c r="L81" s="2043">
        <v>0</v>
      </c>
    </row>
    <row r="82" spans="1:12">
      <c r="H82" s="2041" t="s">
        <v>19</v>
      </c>
      <c r="I82" s="6"/>
      <c r="J82" s="224">
        <v>0.01</v>
      </c>
      <c r="K82" s="224">
        <v>1.4999999999999999E-2</v>
      </c>
      <c r="L82" s="2043">
        <v>1.4999999999999999E-2</v>
      </c>
    </row>
    <row r="83" spans="1:12">
      <c r="H83" s="2044" t="s">
        <v>224</v>
      </c>
      <c r="I83" s="1720"/>
      <c r="J83" s="2031">
        <v>0.02</v>
      </c>
      <c r="K83" s="2031">
        <v>0.04</v>
      </c>
      <c r="L83" s="2045">
        <v>0.05</v>
      </c>
    </row>
    <row r="84" spans="1:12">
      <c r="H84" s="5196" t="s">
        <v>808</v>
      </c>
      <c r="I84" s="5197"/>
      <c r="J84" s="5197"/>
      <c r="K84" s="5197"/>
      <c r="L84" s="5198"/>
    </row>
    <row r="85" spans="1:12" ht="27" customHeight="1" thickBot="1">
      <c r="H85" s="4411"/>
      <c r="I85" s="4412"/>
      <c r="J85" s="4412"/>
      <c r="K85" s="4412"/>
      <c r="L85" s="5200"/>
    </row>
    <row r="86" spans="1:12" ht="13.5" thickBot="1"/>
    <row r="87" spans="1:12" ht="30" customHeight="1">
      <c r="H87" s="5204" t="s">
        <v>1116</v>
      </c>
      <c r="I87" s="5205"/>
      <c r="J87" s="5205"/>
      <c r="K87" s="5206"/>
    </row>
    <row r="88" spans="1:12">
      <c r="H88" s="586" t="s">
        <v>602</v>
      </c>
      <c r="I88" s="6"/>
      <c r="J88" s="6">
        <v>0.24</v>
      </c>
      <c r="K88" s="3586">
        <v>1</v>
      </c>
    </row>
    <row r="89" spans="1:12">
      <c r="H89" s="5196" t="s">
        <v>292</v>
      </c>
      <c r="I89" s="5197"/>
      <c r="J89" s="5197"/>
      <c r="K89" s="5198"/>
    </row>
    <row r="90" spans="1:12">
      <c r="H90" s="4631" t="s">
        <v>1154</v>
      </c>
      <c r="I90" s="4632"/>
      <c r="J90" s="4632"/>
      <c r="K90" s="4633"/>
    </row>
    <row r="91" spans="1:12" ht="13.5" customHeight="1"/>
    <row r="92" spans="1:12" ht="26.25" customHeight="1"/>
    <row r="93" spans="1:12" ht="12.75" customHeight="1"/>
    <row r="95" spans="1:12" ht="36.75" customHeight="1"/>
    <row r="96" spans="1:12" ht="24.75" customHeight="1"/>
  </sheetData>
  <sheetProtection password="E0BE" sheet="1" objects="1" scenarios="1"/>
  <mergeCells count="53">
    <mergeCell ref="A1:O1"/>
    <mergeCell ref="A2:O2"/>
    <mergeCell ref="A34:C34"/>
    <mergeCell ref="A29:C29"/>
    <mergeCell ref="C12:D12"/>
    <mergeCell ref="H4:I4"/>
    <mergeCell ref="J4:K4"/>
    <mergeCell ref="J5:K5"/>
    <mergeCell ref="A11:D11"/>
    <mergeCell ref="A4:E4"/>
    <mergeCell ref="H7:P7"/>
    <mergeCell ref="H15:P15"/>
    <mergeCell ref="A20:D20"/>
    <mergeCell ref="H18:N18"/>
    <mergeCell ref="C13:D13"/>
    <mergeCell ref="C14:D14"/>
    <mergeCell ref="H90:K90"/>
    <mergeCell ref="A72:F72"/>
    <mergeCell ref="A73:F73"/>
    <mergeCell ref="H89:K89"/>
    <mergeCell ref="A70:F70"/>
    <mergeCell ref="A71:F71"/>
    <mergeCell ref="H75:L75"/>
    <mergeCell ref="H84:L85"/>
    <mergeCell ref="H70:N73"/>
    <mergeCell ref="H87:K87"/>
    <mergeCell ref="A69:F69"/>
    <mergeCell ref="A68:E68"/>
    <mergeCell ref="A54:B54"/>
    <mergeCell ref="A46:B46"/>
    <mergeCell ref="A76:B76"/>
    <mergeCell ref="A59:B59"/>
    <mergeCell ref="A51:B51"/>
    <mergeCell ref="A53:B53"/>
    <mergeCell ref="A55:B55"/>
    <mergeCell ref="A60:B60"/>
    <mergeCell ref="A52:B52"/>
    <mergeCell ref="A67:B67"/>
    <mergeCell ref="A65:B65"/>
    <mergeCell ref="A66:B66"/>
    <mergeCell ref="A61:B61"/>
    <mergeCell ref="A64:B64"/>
    <mergeCell ref="C15:D15"/>
    <mergeCell ref="C16:D16"/>
    <mergeCell ref="C18:D18"/>
    <mergeCell ref="C19:D19"/>
    <mergeCell ref="C17:D17"/>
    <mergeCell ref="A43:E43"/>
    <mergeCell ref="A47:B47"/>
    <mergeCell ref="A48:B48"/>
    <mergeCell ref="A38:B38"/>
    <mergeCell ref="A27:D27"/>
    <mergeCell ref="A37:B37"/>
  </mergeCells>
  <printOptions horizontalCentered="1" gridLines="1"/>
  <pageMargins left="0.7" right="0.7" top="0.75" bottom="0.75" header="0.3" footer="0.3"/>
  <pageSetup scale="46" fitToHeight="0" orientation="landscape" horizontalDpi="1200" verticalDpi="1200" r:id="rId1"/>
  <headerFooter>
    <oddFooter>&amp;L&amp;A&amp;C&amp;F&amp;R&amp;D</oddFooter>
  </headerFooter>
  <rowBreaks count="1" manualBreakCount="1">
    <brk id="42" max="15" man="1"/>
  </rowBreaks>
</worksheet>
</file>

<file path=xl/worksheets/sheet4.xml><?xml version="1.0" encoding="utf-8"?>
<worksheet xmlns="http://schemas.openxmlformats.org/spreadsheetml/2006/main" xmlns:r="http://schemas.openxmlformats.org/officeDocument/2006/relationships">
  <dimension ref="A1:AA120"/>
  <sheetViews>
    <sheetView zoomScale="85" zoomScaleNormal="85" workbookViewId="0">
      <selection activeCell="G8" sqref="G8"/>
    </sheetView>
  </sheetViews>
  <sheetFormatPr defaultRowHeight="12.75"/>
  <cols>
    <col min="1" max="1" width="35.5703125" customWidth="1"/>
    <col min="2" max="5" width="11.7109375" customWidth="1"/>
    <col min="6" max="6" width="34.5703125" customWidth="1"/>
    <col min="7" max="10" width="11.85546875" customWidth="1"/>
  </cols>
  <sheetData>
    <row r="1" spans="1:27" s="1627" customFormat="1" ht="45.75" customHeight="1">
      <c r="A1" s="3918" t="str">
        <f>CONCATENATE("Parameter Values Chosen for ",'Application Setup'!B3," Application of the “Shades of Green” Dairy Farm Management System Calculator, Version 1.1")</f>
        <v>Parameter Values Chosen for Conventional and Organic Farm Environmental Footprints (COFEF) Application of the “Shades of Green” Dairy Farm Management System Calculator, Version 1.1</v>
      </c>
      <c r="B1" s="3919"/>
      <c r="C1" s="3919"/>
      <c r="D1" s="3919"/>
      <c r="E1" s="3919"/>
      <c r="F1" s="3919"/>
      <c r="G1" s="3919"/>
      <c r="H1" s="3919"/>
      <c r="I1" s="3919"/>
      <c r="J1" s="3920"/>
      <c r="K1" s="40"/>
      <c r="L1" s="40"/>
      <c r="M1" s="40"/>
      <c r="N1" s="40"/>
      <c r="O1" s="40"/>
      <c r="P1" s="40"/>
      <c r="Q1" s="40"/>
      <c r="R1" s="40"/>
      <c r="S1" s="40"/>
      <c r="T1" s="40"/>
      <c r="U1" s="40"/>
      <c r="V1" s="40"/>
      <c r="W1" s="40"/>
      <c r="X1" s="40"/>
      <c r="Y1" s="40"/>
      <c r="Z1" s="40"/>
      <c r="AA1" s="40"/>
    </row>
    <row r="2" spans="1:27" s="3" customFormat="1" ht="27.75" customHeight="1" thickBot="1">
      <c r="A2" s="3911" t="s">
        <v>466</v>
      </c>
      <c r="B2" s="3912"/>
      <c r="C2" s="3912"/>
      <c r="D2" s="3912"/>
      <c r="E2" s="3912"/>
      <c r="F2" s="3912"/>
      <c r="G2" s="3912"/>
      <c r="H2" s="3912"/>
      <c r="I2" s="3912"/>
      <c r="J2" s="3913"/>
      <c r="K2" s="1708"/>
      <c r="L2" s="1708"/>
      <c r="M2" s="1708"/>
      <c r="N2" s="1708"/>
      <c r="O2" s="1708"/>
      <c r="P2" s="1708"/>
      <c r="Q2" s="1708"/>
      <c r="R2" s="1708"/>
      <c r="S2" s="1708"/>
      <c r="T2" s="1708"/>
      <c r="U2" s="1708"/>
      <c r="V2" s="1708"/>
      <c r="W2" s="1708"/>
      <c r="X2" s="1708"/>
      <c r="Y2" s="1708"/>
      <c r="Z2" s="1708"/>
      <c r="AA2" s="1708"/>
    </row>
    <row r="3" spans="1:27" s="3" customFormat="1" ht="29.25" customHeight="1" thickTop="1">
      <c r="A3" s="3921"/>
      <c r="B3" s="3914" t="s">
        <v>1157</v>
      </c>
      <c r="C3" s="3915"/>
      <c r="D3" s="3915"/>
      <c r="E3" s="3916"/>
      <c r="F3" s="2226"/>
      <c r="G3" s="3914" t="s">
        <v>389</v>
      </c>
      <c r="H3" s="3915"/>
      <c r="I3" s="3915"/>
      <c r="J3" s="3917"/>
      <c r="K3" s="1708"/>
      <c r="L3" s="1708"/>
      <c r="M3" s="1708"/>
      <c r="N3" s="1708"/>
      <c r="O3" s="1708"/>
      <c r="P3" s="1708"/>
      <c r="Q3" s="1708"/>
      <c r="R3" s="1708"/>
      <c r="S3" s="1708"/>
      <c r="T3" s="1708"/>
      <c r="U3" s="1708"/>
      <c r="V3" s="1708"/>
      <c r="W3" s="1708"/>
      <c r="X3" s="1708"/>
      <c r="Y3" s="1708"/>
      <c r="Z3" s="1708"/>
      <c r="AA3" s="1708"/>
    </row>
    <row r="4" spans="1:27" ht="26.25" thickBot="1">
      <c r="A4" s="3922"/>
      <c r="B4" s="2216" t="s">
        <v>273</v>
      </c>
      <c r="C4" s="2217" t="s">
        <v>274</v>
      </c>
      <c r="D4" s="2217" t="s">
        <v>275</v>
      </c>
      <c r="E4" s="2218" t="s">
        <v>276</v>
      </c>
      <c r="F4" s="2219" t="s">
        <v>282</v>
      </c>
      <c r="G4" s="2220" t="s">
        <v>390</v>
      </c>
      <c r="H4" s="2220" t="s">
        <v>391</v>
      </c>
      <c r="I4" s="2220" t="s">
        <v>392</v>
      </c>
      <c r="J4" s="2221" t="s">
        <v>393</v>
      </c>
      <c r="K4" s="40"/>
      <c r="L4" s="40"/>
      <c r="M4" s="40"/>
      <c r="N4" s="40"/>
      <c r="O4" s="40"/>
      <c r="P4" s="40"/>
      <c r="Q4" s="40"/>
      <c r="R4" s="40"/>
      <c r="S4" s="40"/>
      <c r="T4" s="40"/>
      <c r="U4" s="40"/>
      <c r="V4" s="40"/>
      <c r="W4" s="40"/>
      <c r="X4" s="40"/>
      <c r="Y4" s="40"/>
      <c r="Z4" s="40"/>
      <c r="AA4" s="40"/>
    </row>
    <row r="5" spans="1:27">
      <c r="A5" s="281"/>
      <c r="B5" s="1610"/>
      <c r="C5" s="1656"/>
      <c r="D5" s="1660"/>
      <c r="E5" s="2860"/>
      <c r="F5" s="2223"/>
      <c r="G5" s="1629"/>
      <c r="H5" s="1630"/>
      <c r="I5" s="1630"/>
      <c r="J5" s="1683"/>
      <c r="K5" s="40"/>
      <c r="L5" s="40"/>
      <c r="M5" s="40"/>
      <c r="N5" s="40"/>
      <c r="O5" s="40"/>
      <c r="P5" s="40"/>
      <c r="Q5" s="40"/>
      <c r="R5" s="40"/>
      <c r="S5" s="40"/>
      <c r="T5" s="40"/>
      <c r="U5" s="40"/>
      <c r="V5" s="40"/>
      <c r="W5" s="40"/>
      <c r="X5" s="40"/>
      <c r="Y5" s="40"/>
      <c r="Z5" s="40"/>
      <c r="AA5" s="40"/>
    </row>
    <row r="6" spans="1:27" ht="15">
      <c r="A6" s="182" t="s">
        <v>283</v>
      </c>
      <c r="B6" s="1610"/>
      <c r="C6" s="1656"/>
      <c r="D6" s="1660"/>
      <c r="E6" s="1623"/>
      <c r="F6" s="2223"/>
      <c r="G6" s="1629"/>
      <c r="H6" s="1630"/>
      <c r="I6" s="1630"/>
      <c r="J6" s="1683"/>
      <c r="K6" s="40"/>
      <c r="L6" s="40"/>
      <c r="M6" s="40"/>
      <c r="N6" s="40"/>
      <c r="O6" s="40"/>
      <c r="P6" s="40"/>
      <c r="Q6" s="40"/>
      <c r="R6" s="40"/>
      <c r="S6" s="40"/>
      <c r="T6" s="40"/>
      <c r="U6" s="40"/>
      <c r="V6" s="40"/>
      <c r="W6" s="40"/>
      <c r="X6" s="40"/>
      <c r="Y6" s="40"/>
      <c r="Z6" s="40"/>
      <c r="AA6" s="40"/>
    </row>
    <row r="7" spans="1:27" ht="25.5">
      <c r="A7" s="3615" t="s">
        <v>884</v>
      </c>
      <c r="B7" s="1610"/>
      <c r="C7" s="3718"/>
      <c r="D7" s="3719"/>
      <c r="E7" s="1623"/>
      <c r="F7" s="2223"/>
      <c r="G7" s="1629"/>
      <c r="H7" s="1630"/>
      <c r="I7" s="1630"/>
      <c r="J7" s="1683"/>
      <c r="K7" s="40"/>
      <c r="L7" s="40"/>
      <c r="M7" s="40"/>
      <c r="N7" s="40"/>
      <c r="O7" s="40"/>
      <c r="P7" s="40"/>
      <c r="Q7" s="40"/>
      <c r="R7" s="40"/>
      <c r="S7" s="40"/>
      <c r="T7" s="40"/>
      <c r="U7" s="40"/>
      <c r="V7" s="40"/>
      <c r="W7" s="40"/>
      <c r="X7" s="40"/>
      <c r="Y7" s="40"/>
      <c r="Z7" s="40"/>
      <c r="AA7" s="40"/>
    </row>
    <row r="8" spans="1:27">
      <c r="A8" s="236" t="s">
        <v>1644</v>
      </c>
      <c r="B8" s="3736">
        <f>IF(Options!AE4=1,F1_DMI_Lact_Cow_at_Milk_Production_lb_reported,F1_DMI_Lact_Cow_at_Milk_Production_lb_default)</f>
        <v>50.27</v>
      </c>
      <c r="C8" s="116">
        <f>IF(Options!AF4=1,F2_DMI_Lact_Cow_at_Milk_Production_lb_reported,F2_DMI_Lact_Cow_at_Milk_Production_lb_default)</f>
        <v>48.4</v>
      </c>
      <c r="D8" s="642">
        <f>IF(Options!AG4=1,F3_DMI_Lact_Cow_at_Milk_Production_lb_reported,F3_DMI_Lact_Cow_at_Milk_Production_lb_default)</f>
        <v>47.3</v>
      </c>
      <c r="E8" s="3737">
        <f>IF(Options!AH4=1,F4_DMI_Lact_Cow_at_Milk_Production_lb_reported,F4_DMI_Lact_Cow_at_Milk_Production_lb_default)</f>
        <v>39.049999999999997</v>
      </c>
      <c r="F8" s="2222" t="s">
        <v>1652</v>
      </c>
      <c r="G8" s="1629"/>
      <c r="H8" s="1606"/>
      <c r="I8" s="1630"/>
      <c r="J8" s="1683"/>
      <c r="K8" s="40"/>
      <c r="L8" s="40"/>
      <c r="M8" s="40"/>
      <c r="N8" s="40"/>
      <c r="O8" s="40"/>
      <c r="P8" s="40"/>
      <c r="Q8" s="40"/>
      <c r="R8" s="40"/>
      <c r="S8" s="40"/>
      <c r="T8" s="40"/>
      <c r="U8" s="40"/>
      <c r="V8" s="40"/>
      <c r="W8" s="40"/>
      <c r="X8" s="40"/>
      <c r="Y8" s="40"/>
      <c r="Z8" s="40"/>
      <c r="AA8" s="40"/>
    </row>
    <row r="9" spans="1:27">
      <c r="A9" s="236" t="s">
        <v>1645</v>
      </c>
      <c r="B9" s="3736">
        <f>IF(Options!AE4=1,F1_DMI_Lact_Cow_at_Milk_Production_kg_reported,F1_DMI_Lact_Cow_at_Milk_Production_kg_default)</f>
        <v>22.802084528738021</v>
      </c>
      <c r="C9" s="116">
        <f>IF(Options!AF4=1,F2_DMI_Lact_Cow_at_Milk_Production_kg_reported,F2_DMI_Lact_Cow_at_Milk_Production_kg_default)</f>
        <v>21.953866942329821</v>
      </c>
      <c r="D9" s="642">
        <f>IF(Options!AG4=1,F3_DMI_Lact_Cow_at_Milk_Production_kg_reported,F3_DMI_Lact_Cow_at_Milk_Production_kg_default)</f>
        <v>21.454915420913231</v>
      </c>
      <c r="E9" s="3737">
        <f>IF(Options!AH4=1,F4_DMI_Lact_Cow_at_Milk_Production_kg_reported,F4_DMI_Lact_Cow_at_Milk_Production_kg_default)</f>
        <v>17.712779010288831</v>
      </c>
      <c r="F9" s="2222" t="s">
        <v>1653</v>
      </c>
      <c r="G9" s="1629"/>
      <c r="H9" s="1606"/>
      <c r="I9" s="1630"/>
      <c r="J9" s="1683"/>
      <c r="K9" s="40"/>
      <c r="L9" s="40"/>
      <c r="M9" s="40"/>
      <c r="N9" s="40"/>
      <c r="O9" s="40"/>
      <c r="P9" s="40"/>
      <c r="Q9" s="40"/>
      <c r="R9" s="40"/>
      <c r="S9" s="40"/>
      <c r="T9" s="40"/>
      <c r="U9" s="40"/>
      <c r="V9" s="40"/>
      <c r="W9" s="40"/>
      <c r="X9" s="40"/>
      <c r="Y9" s="40"/>
      <c r="Z9" s="40"/>
      <c r="AA9" s="40"/>
    </row>
    <row r="10" spans="1:27">
      <c r="A10" s="206"/>
      <c r="B10" s="1609"/>
      <c r="C10" s="3720"/>
      <c r="D10" s="3721"/>
      <c r="E10" s="1622"/>
      <c r="F10" s="2222"/>
      <c r="G10" s="1629"/>
      <c r="H10" s="1606"/>
      <c r="I10" s="1630"/>
      <c r="J10" s="1683"/>
      <c r="K10" s="40"/>
      <c r="L10" s="40"/>
      <c r="M10" s="40"/>
      <c r="N10" s="40"/>
      <c r="O10" s="40"/>
      <c r="P10" s="40"/>
      <c r="Q10" s="40"/>
      <c r="R10" s="40"/>
      <c r="S10" s="40"/>
      <c r="T10" s="40"/>
      <c r="U10" s="40"/>
      <c r="V10" s="40"/>
      <c r="W10" s="40"/>
      <c r="X10" s="40"/>
      <c r="Y10" s="40"/>
      <c r="Z10" s="40"/>
      <c r="AA10" s="40"/>
    </row>
    <row r="11" spans="1:27" ht="25.5">
      <c r="A11" s="3615" t="s">
        <v>885</v>
      </c>
      <c r="B11" s="1609"/>
      <c r="C11" s="3564"/>
      <c r="D11" s="3721"/>
      <c r="E11" s="1622"/>
      <c r="F11" s="2222"/>
      <c r="G11" s="1629"/>
      <c r="H11" s="1606"/>
      <c r="I11" s="1630"/>
      <c r="J11" s="1683"/>
      <c r="K11" s="40"/>
      <c r="L11" s="40"/>
      <c r="M11" s="40"/>
      <c r="N11" s="40"/>
      <c r="O11" s="40"/>
      <c r="P11" s="40"/>
      <c r="Q11" s="40"/>
      <c r="R11" s="40"/>
      <c r="S11" s="40"/>
      <c r="T11" s="40"/>
      <c r="U11" s="40"/>
      <c r="V11" s="40"/>
      <c r="W11" s="40"/>
      <c r="X11" s="40"/>
      <c r="Y11" s="40"/>
      <c r="Z11" s="40"/>
      <c r="AA11" s="40"/>
    </row>
    <row r="12" spans="1:27">
      <c r="A12" s="236" t="s">
        <v>1646</v>
      </c>
      <c r="B12" s="1609">
        <f>IF(Options!AE9=1,'Step 6--DMI Required'!D39,'Step 6--DMI Required'!D41)</f>
        <v>22.928079200000003</v>
      </c>
      <c r="C12" s="3530">
        <f>IF(Options!AF9=1,'Step 6--DMI Required'!N39,'Step 6--DMI Required'!N41)</f>
        <v>22.928079200000003</v>
      </c>
      <c r="D12" s="3531">
        <f>IF(Options!AG9=1,'Step 6--DMI Required'!X39,'Step 6--DMI Required'!X41)</f>
        <v>22.928079200000003</v>
      </c>
      <c r="E12" s="1622">
        <f>IF(Options!AH9=1,'Step 6--DMI Required'!AH39,'Step 6--DMI Required'!AH41)</f>
        <v>15.184158410596027</v>
      </c>
      <c r="F12" s="2222" t="s">
        <v>836</v>
      </c>
      <c r="G12" s="1629"/>
      <c r="H12" s="1630"/>
      <c r="I12" s="1630"/>
      <c r="J12" s="1683"/>
      <c r="K12" s="40"/>
      <c r="L12" s="40"/>
      <c r="M12" s="40"/>
      <c r="N12" s="40"/>
      <c r="O12" s="40"/>
      <c r="P12" s="40"/>
      <c r="Q12" s="40"/>
      <c r="R12" s="40"/>
      <c r="S12" s="40"/>
      <c r="T12" s="40"/>
      <c r="U12" s="40"/>
      <c r="V12" s="40"/>
      <c r="W12" s="40"/>
      <c r="X12" s="40"/>
      <c r="Y12" s="40"/>
      <c r="Z12" s="40"/>
      <c r="AA12" s="40"/>
    </row>
    <row r="13" spans="1:27">
      <c r="A13" s="236" t="s">
        <v>1647</v>
      </c>
      <c r="B13" s="1609">
        <f>IF(Options!AE14=1,'Step 6--DMI Required'!D46,'Step 6--DMI Required'!D48)</f>
        <v>18.386555820000002</v>
      </c>
      <c r="C13" s="3530">
        <f>IF(Options!AF14=1,'Step 6--DMI Required'!N46,'Step 6--DMI Required'!N48)</f>
        <v>18.386555820000002</v>
      </c>
      <c r="D13" s="3531">
        <f>IF(Options!AG14=1,'Step 6--DMI Required'!X46,'Step 6--DMI Required'!X48)</f>
        <v>18.386555820000002</v>
      </c>
      <c r="E13" s="1622">
        <f>IF(Options!AH14=1,'Step 6--DMI Required'!AH46,'Step 6--DMI Required'!AH48)</f>
        <v>11.570487072082381</v>
      </c>
      <c r="F13" s="2222" t="s">
        <v>837</v>
      </c>
      <c r="G13" s="1629"/>
      <c r="H13" s="1630"/>
      <c r="I13" s="1630"/>
      <c r="J13" s="1683"/>
      <c r="K13" s="40"/>
      <c r="L13" s="40"/>
      <c r="M13" s="40"/>
      <c r="N13" s="40"/>
      <c r="O13" s="40"/>
      <c r="P13" s="40"/>
      <c r="Q13" s="40"/>
      <c r="R13" s="40"/>
      <c r="S13" s="40"/>
      <c r="T13" s="40"/>
      <c r="U13" s="40"/>
      <c r="V13" s="40"/>
      <c r="W13" s="40"/>
      <c r="X13" s="40"/>
      <c r="Y13" s="40"/>
      <c r="Z13" s="40"/>
      <c r="AA13" s="40"/>
    </row>
    <row r="14" spans="1:27">
      <c r="A14" s="236" t="s">
        <v>1648</v>
      </c>
      <c r="B14" s="1609">
        <f>IF(Options!AE19=1,'Step 6--DMI Required'!D53,'Step 6--DMI Required'!D55)</f>
        <v>7.439304090510471</v>
      </c>
      <c r="C14" s="3530">
        <f>IF(Options!AF19=1,'Step 6--DMI Required'!N53,'Step 6--DMI Required'!N55)</f>
        <v>7.439304090510471</v>
      </c>
      <c r="D14" s="3531">
        <f>IF(Options!AG19=1,'Step 6--DMI Required'!X53,'Step 6--DMI Required'!X55)</f>
        <v>7.439304090510471</v>
      </c>
      <c r="E14" s="1622">
        <f>IF(Options!AH19=1,'Step 6--DMI Required'!AH53,'Step 6--DMI Required'!AH55)</f>
        <v>4.8622902552356022</v>
      </c>
      <c r="F14" s="2222" t="s">
        <v>834</v>
      </c>
      <c r="G14" s="1629"/>
      <c r="H14" s="1630"/>
      <c r="I14" s="1630"/>
      <c r="J14" s="1683"/>
      <c r="K14" s="40"/>
      <c r="L14" s="40"/>
      <c r="M14" s="40"/>
      <c r="N14" s="40"/>
      <c r="O14" s="40"/>
      <c r="P14" s="40"/>
      <c r="Q14" s="40"/>
      <c r="R14" s="40"/>
      <c r="S14" s="40"/>
      <c r="T14" s="40"/>
      <c r="U14" s="40"/>
      <c r="V14" s="40"/>
      <c r="W14" s="40"/>
      <c r="X14" s="40"/>
      <c r="Y14" s="40"/>
      <c r="Z14" s="40"/>
      <c r="AA14" s="40"/>
    </row>
    <row r="15" spans="1:27" ht="6.75" customHeight="1">
      <c r="A15" s="236"/>
      <c r="B15" s="1610"/>
      <c r="C15" s="1656"/>
      <c r="D15" s="2792"/>
      <c r="E15" s="1623"/>
      <c r="F15" s="2222"/>
      <c r="G15" s="1629"/>
      <c r="H15" s="1630"/>
      <c r="I15" s="1630"/>
      <c r="J15" s="1683"/>
      <c r="K15" s="40"/>
      <c r="L15" s="40"/>
      <c r="M15" s="40"/>
      <c r="N15" s="40"/>
      <c r="O15" s="40"/>
      <c r="P15" s="40"/>
      <c r="Q15" s="40"/>
      <c r="R15" s="40"/>
      <c r="S15" s="40"/>
      <c r="T15" s="40"/>
      <c r="U15" s="40"/>
      <c r="V15" s="40"/>
      <c r="W15" s="40"/>
      <c r="X15" s="40"/>
      <c r="Y15" s="40"/>
      <c r="Z15" s="40"/>
      <c r="AA15" s="40"/>
    </row>
    <row r="16" spans="1:27">
      <c r="A16" s="236" t="s">
        <v>1649</v>
      </c>
      <c r="B16" s="1609">
        <f>IF(Options!AE9=1,F1_DMI_Dry_Cow_reported_kg,F1_DMI_Dry_Cow_projected_kg)</f>
        <v>10.4</v>
      </c>
      <c r="C16" s="1615">
        <f>IF(Options!AF9=1,F2_DMI_Dry_Cow_reported_kg,F2_DMI_Dry_Cow_projected_kg)</f>
        <v>10.4</v>
      </c>
      <c r="D16" s="1618">
        <f>IF(Options!AG9=1,F3_DMI_Dry_Cow_reported_kg,F3_DMI_Dry_Cow_projected_kg)</f>
        <v>10.4</v>
      </c>
      <c r="E16" s="1622">
        <f>IF(Options!AH9=1,F4_DMI_Dry_Cow_reported_kg,F4_DMI_Dry_Cow_projected_kg)</f>
        <v>6.887417218543046</v>
      </c>
      <c r="F16" s="2222" t="s">
        <v>309</v>
      </c>
      <c r="G16" s="1629"/>
      <c r="H16" s="1630"/>
      <c r="I16" s="1630"/>
      <c r="J16" s="1683"/>
      <c r="K16" s="40"/>
      <c r="L16" s="40"/>
      <c r="M16" s="40"/>
      <c r="N16" s="40"/>
      <c r="O16" s="40"/>
      <c r="P16" s="40"/>
      <c r="Q16" s="40"/>
      <c r="R16" s="40"/>
      <c r="S16" s="40"/>
      <c r="T16" s="40"/>
      <c r="U16" s="40"/>
      <c r="V16" s="40"/>
      <c r="W16" s="40"/>
      <c r="X16" s="40"/>
      <c r="Y16" s="40"/>
      <c r="Z16" s="40"/>
      <c r="AA16" s="40"/>
    </row>
    <row r="17" spans="1:27">
      <c r="A17" s="236" t="s">
        <v>1650</v>
      </c>
      <c r="B17" s="1609">
        <f>IF(Options!AE14=1,F1_DMI_Heifer_reported_kg,F1_DMI_Heifer_projected_kg)</f>
        <v>8.34</v>
      </c>
      <c r="C17" s="1615">
        <f>IF(Options!AF14=1,F2_DMI_Heifer_reported_kg,F2_DMI_Heifer_projected_kg)</f>
        <v>8.34</v>
      </c>
      <c r="D17" s="1618">
        <f>IF(Options!AG14=1,F3_DMI_Heifer_reported_kg,F3_DMI_Heifer_projected_kg)</f>
        <v>8.34</v>
      </c>
      <c r="E17" s="1622">
        <f>IF(Options!AH14=1,F4_DMI_Heifer_reported_kg,F4_DMI_Heifer_projected_kg)</f>
        <v>5.248283752860412</v>
      </c>
      <c r="F17" s="2222" t="s">
        <v>310</v>
      </c>
      <c r="G17" s="1629"/>
      <c r="H17" s="1630"/>
      <c r="I17" s="1630"/>
      <c r="J17" s="1683"/>
      <c r="K17" s="40"/>
      <c r="L17" s="40"/>
      <c r="M17" s="40"/>
      <c r="N17" s="40"/>
      <c r="O17" s="40"/>
      <c r="P17" s="40"/>
      <c r="Q17" s="40"/>
      <c r="R17" s="40"/>
      <c r="S17" s="40"/>
      <c r="T17" s="40"/>
      <c r="U17" s="40"/>
      <c r="V17" s="40"/>
      <c r="W17" s="40"/>
      <c r="X17" s="40"/>
      <c r="Y17" s="40"/>
      <c r="Z17" s="40"/>
      <c r="AA17" s="40"/>
    </row>
    <row r="18" spans="1:27">
      <c r="A18" s="236" t="s">
        <v>1651</v>
      </c>
      <c r="B18" s="1609">
        <f>IF(Options!AE19=1,F1_DMI_Heifer_Calf_reported_kg,F1_DMI_Heifer_Calf_projected_kg)</f>
        <v>3.3744109947643977</v>
      </c>
      <c r="C18" s="1615">
        <f>IF(Options!AF19=1,F2_DMI_Heifer_Calf_reported_kg,F2_DMI_Heifer_Calf_projected_kg)</f>
        <v>3.3744109947643977</v>
      </c>
      <c r="D18" s="1618">
        <f>IF(Options!AG19=1,F3_DMI_Heifer_Calf_reported_kg,F3_DMI_Heifer_Calf_projected_kg)</f>
        <v>3.3744109947643977</v>
      </c>
      <c r="E18" s="1622">
        <f>IF(Options!AH19=1,F4_DMI_Heifer_Calf_reported_kg,F4_DMI_Heifer_Calf_projected_kg)</f>
        <v>2.2054973821989527</v>
      </c>
      <c r="F18" s="2222" t="s">
        <v>835</v>
      </c>
      <c r="G18" s="1629"/>
      <c r="H18" s="1630"/>
      <c r="I18" s="1630"/>
      <c r="J18" s="1683"/>
      <c r="K18" s="40"/>
      <c r="L18" s="40"/>
      <c r="M18" s="40"/>
      <c r="N18" s="40"/>
      <c r="O18" s="40"/>
      <c r="P18" s="40"/>
      <c r="Q18" s="40"/>
      <c r="R18" s="40"/>
      <c r="S18" s="40"/>
      <c r="T18" s="40"/>
      <c r="U18" s="40"/>
      <c r="V18" s="40"/>
      <c r="W18" s="40"/>
      <c r="X18" s="40"/>
      <c r="Y18" s="40"/>
      <c r="Z18" s="40"/>
      <c r="AA18" s="40"/>
    </row>
    <row r="19" spans="1:27" s="1693" customFormat="1">
      <c r="A19" s="206"/>
      <c r="B19" s="1609"/>
      <c r="C19" s="1615"/>
      <c r="D19" s="1618"/>
      <c r="E19" s="1622"/>
      <c r="F19" s="2222"/>
      <c r="G19" s="1629"/>
      <c r="H19" s="1630"/>
      <c r="I19" s="1630"/>
      <c r="J19" s="1683"/>
      <c r="K19" s="3052"/>
      <c r="L19" s="3052"/>
      <c r="M19" s="3052"/>
      <c r="N19" s="3052"/>
      <c r="O19" s="3052"/>
      <c r="P19" s="3052"/>
      <c r="Q19" s="3052"/>
      <c r="R19" s="3052"/>
      <c r="S19" s="3052"/>
      <c r="T19" s="3052"/>
      <c r="U19" s="3052"/>
      <c r="V19" s="3052"/>
      <c r="W19" s="3052"/>
      <c r="X19" s="3052"/>
      <c r="Y19" s="3052"/>
      <c r="Z19" s="3052"/>
      <c r="AA19" s="3052"/>
    </row>
    <row r="20" spans="1:27" s="1693" customFormat="1" ht="15">
      <c r="A20" s="3619" t="s">
        <v>1158</v>
      </c>
      <c r="B20" s="3053" t="s">
        <v>1155</v>
      </c>
      <c r="C20" s="3044"/>
      <c r="D20" s="3045"/>
      <c r="E20" s="3046"/>
      <c r="F20" s="3048"/>
      <c r="G20" s="3049"/>
      <c r="H20" s="3050"/>
      <c r="I20" s="3050"/>
      <c r="J20" s="3051"/>
      <c r="K20" s="3052"/>
      <c r="L20" s="3052"/>
      <c r="M20" s="3052"/>
      <c r="N20" s="3052"/>
      <c r="O20" s="3052"/>
      <c r="P20" s="3052"/>
      <c r="Q20" s="3052"/>
      <c r="R20" s="3052"/>
      <c r="S20" s="3052"/>
      <c r="T20" s="3052"/>
      <c r="U20" s="3052"/>
      <c r="V20" s="3052"/>
      <c r="W20" s="3052"/>
      <c r="X20" s="3052"/>
      <c r="Y20" s="3052"/>
      <c r="Z20" s="3052"/>
      <c r="AA20" s="3052"/>
    </row>
    <row r="21" spans="1:27" s="1693" customFormat="1">
      <c r="A21" s="3620"/>
      <c r="B21" s="3043"/>
      <c r="C21" s="3044"/>
      <c r="D21" s="3045"/>
      <c r="E21" s="3046"/>
      <c r="F21" s="3048"/>
      <c r="G21" s="3049"/>
      <c r="H21" s="3050"/>
      <c r="I21" s="3050"/>
      <c r="J21" s="3051"/>
      <c r="K21" s="3052"/>
      <c r="L21" s="3052"/>
      <c r="M21" s="3052"/>
      <c r="N21" s="3052"/>
      <c r="O21" s="3052"/>
      <c r="P21" s="3052"/>
      <c r="Q21" s="3052"/>
      <c r="R21" s="3052"/>
      <c r="S21" s="3052"/>
      <c r="T21" s="3052"/>
      <c r="U21" s="3052"/>
      <c r="V21" s="3052"/>
      <c r="W21" s="3052"/>
      <c r="X21" s="3052"/>
      <c r="Y21" s="3052"/>
      <c r="Z21" s="3052"/>
      <c r="AA21" s="3052"/>
    </row>
    <row r="22" spans="1:27" ht="30">
      <c r="A22" s="3619" t="s">
        <v>1159</v>
      </c>
      <c r="B22" s="3624" t="s">
        <v>1170</v>
      </c>
      <c r="C22" s="3044"/>
      <c r="D22" s="3045"/>
      <c r="E22" s="3046"/>
      <c r="F22" s="3048"/>
      <c r="G22" s="3049"/>
      <c r="H22" s="3050"/>
      <c r="I22" s="3050"/>
      <c r="J22" s="3051"/>
      <c r="K22" s="40"/>
      <c r="L22" s="40"/>
      <c r="M22" s="40"/>
      <c r="N22" s="40"/>
      <c r="O22" s="40"/>
      <c r="P22" s="40"/>
      <c r="Q22" s="40"/>
      <c r="R22" s="40"/>
      <c r="S22" s="40"/>
      <c r="T22" s="40"/>
      <c r="U22" s="40"/>
      <c r="V22" s="40"/>
      <c r="W22" s="40"/>
      <c r="X22" s="40"/>
      <c r="Y22" s="40"/>
      <c r="Z22" s="40"/>
      <c r="AA22" s="40"/>
    </row>
    <row r="23" spans="1:27">
      <c r="A23" s="3614" t="s">
        <v>1160</v>
      </c>
      <c r="B23" s="1609"/>
      <c r="C23" s="3564"/>
      <c r="D23" s="3565"/>
      <c r="E23" s="1622"/>
      <c r="F23" s="2222"/>
      <c r="G23" s="1629"/>
      <c r="H23" s="1630"/>
      <c r="I23" s="1630"/>
      <c r="J23" s="1683"/>
      <c r="K23" s="40"/>
      <c r="L23" s="40"/>
      <c r="M23" s="40"/>
      <c r="N23" s="40"/>
      <c r="O23" s="40"/>
      <c r="P23" s="40"/>
      <c r="Q23" s="40"/>
      <c r="R23" s="40"/>
      <c r="S23" s="40"/>
      <c r="T23" s="40"/>
      <c r="U23" s="40"/>
      <c r="V23" s="40"/>
      <c r="W23" s="40"/>
      <c r="X23" s="40"/>
      <c r="Y23" s="40"/>
      <c r="Z23" s="40"/>
      <c r="AA23" s="40"/>
    </row>
    <row r="24" spans="1:27">
      <c r="A24" s="236" t="s">
        <v>104</v>
      </c>
      <c r="B24" s="1633">
        <f>'Step 8a--DMI Worksheet'!O9</f>
        <v>0.2</v>
      </c>
      <c r="C24" s="1635">
        <f>'Step 9a--Daily DMI Rations'!AE12</f>
        <v>0.25</v>
      </c>
      <c r="D24" s="1636">
        <f>'Step 9b--Daily DMI Rations'!D12</f>
        <v>0.27</v>
      </c>
      <c r="E24" s="1642">
        <f>'Step 9b--Daily DMI Rations'!AE12</f>
        <v>0.17</v>
      </c>
      <c r="F24" s="2222"/>
      <c r="G24" s="1629"/>
      <c r="H24" s="1630"/>
      <c r="I24" s="1630"/>
      <c r="J24" s="1683"/>
      <c r="K24" s="40"/>
      <c r="L24" s="40"/>
      <c r="M24" s="40"/>
      <c r="N24" s="40"/>
      <c r="O24" s="40"/>
      <c r="P24" s="40"/>
      <c r="Q24" s="40"/>
      <c r="R24" s="40"/>
      <c r="S24" s="40"/>
      <c r="T24" s="40"/>
      <c r="U24" s="40"/>
      <c r="V24" s="40"/>
      <c r="W24" s="40"/>
      <c r="X24" s="40"/>
      <c r="Y24" s="40"/>
      <c r="Z24" s="40"/>
      <c r="AA24" s="40"/>
    </row>
    <row r="25" spans="1:27">
      <c r="A25" s="236" t="s">
        <v>29</v>
      </c>
      <c r="B25" s="1633">
        <f>'Step 8a--DMI Worksheet'!O10</f>
        <v>0</v>
      </c>
      <c r="C25" s="1635">
        <f>'Step 9a--Daily DMI Rations'!AE14</f>
        <v>1.4999999999999999E-2</v>
      </c>
      <c r="D25" s="1636">
        <f>'Step 9b--Daily DMI Rations'!D14</f>
        <v>0.09</v>
      </c>
      <c r="E25" s="1642">
        <f>'Step 9b--Daily DMI Rations'!AE14</f>
        <v>0.153</v>
      </c>
      <c r="F25" s="2222"/>
      <c r="G25" s="1629"/>
      <c r="H25" s="1630"/>
      <c r="I25" s="1630"/>
      <c r="J25" s="1683"/>
      <c r="K25" s="40"/>
      <c r="L25" s="40"/>
      <c r="M25" s="40"/>
      <c r="N25" s="40"/>
      <c r="O25" s="40"/>
      <c r="P25" s="40"/>
      <c r="Q25" s="40"/>
      <c r="R25" s="40"/>
      <c r="S25" s="40"/>
      <c r="T25" s="40"/>
      <c r="U25" s="40"/>
      <c r="V25" s="40"/>
      <c r="W25" s="40"/>
      <c r="X25" s="40"/>
      <c r="Y25" s="40"/>
      <c r="Z25" s="40"/>
      <c r="AA25" s="40"/>
    </row>
    <row r="26" spans="1:27">
      <c r="A26" s="236" t="s">
        <v>3</v>
      </c>
      <c r="B26" s="1633">
        <f>'Step 8a--DMI Worksheet'!O11</f>
        <v>0.33</v>
      </c>
      <c r="C26" s="1635">
        <f>'Step 9a--Daily DMI Rations'!AE16</f>
        <v>0.3</v>
      </c>
      <c r="D26" s="1636">
        <f>'Step 9b--Daily DMI Rations'!D16</f>
        <v>0.08</v>
      </c>
      <c r="E26" s="1642">
        <f>'Step 9b--Daily DMI Rations'!AE16</f>
        <v>0.05</v>
      </c>
      <c r="F26" s="2222"/>
      <c r="G26" s="1629"/>
      <c r="H26" s="1630"/>
      <c r="I26" s="1630"/>
      <c r="J26" s="1683"/>
      <c r="K26" s="40"/>
      <c r="L26" s="40"/>
      <c r="M26" s="40"/>
      <c r="N26" s="40"/>
      <c r="O26" s="40"/>
      <c r="P26" s="40"/>
      <c r="Q26" s="40"/>
      <c r="R26" s="40"/>
      <c r="S26" s="40"/>
      <c r="T26" s="40"/>
      <c r="U26" s="40"/>
      <c r="V26" s="40"/>
      <c r="W26" s="40"/>
      <c r="X26" s="40"/>
      <c r="Y26" s="40"/>
      <c r="Z26" s="40"/>
      <c r="AA26" s="40"/>
    </row>
    <row r="27" spans="1:27">
      <c r="A27" s="236" t="s">
        <v>35</v>
      </c>
      <c r="B27" s="1633">
        <f>'Step 8a--DMI Worksheet'!O12</f>
        <v>0.03</v>
      </c>
      <c r="C27" s="1635">
        <f>'Step 9a--Daily DMI Rations'!AE18</f>
        <v>0.05</v>
      </c>
      <c r="D27" s="1636">
        <f>'Step 9b--Daily DMI Rations'!D18</f>
        <v>0.08</v>
      </c>
      <c r="E27" s="1637">
        <f>'Step 9b--Daily DMI Rations'!AE18</f>
        <v>0.08</v>
      </c>
      <c r="F27" s="2222"/>
      <c r="G27" s="1629"/>
      <c r="H27" s="1630"/>
      <c r="I27" s="1630"/>
      <c r="J27" s="1683"/>
      <c r="K27" s="40"/>
      <c r="L27" s="40"/>
      <c r="M27" s="40"/>
      <c r="N27" s="40"/>
      <c r="O27" s="40"/>
      <c r="P27" s="40"/>
      <c r="Q27" s="40"/>
      <c r="R27" s="40"/>
      <c r="S27" s="40"/>
      <c r="T27" s="40"/>
      <c r="U27" s="40"/>
      <c r="V27" s="40"/>
      <c r="W27" s="40"/>
      <c r="X27" s="40"/>
      <c r="Y27" s="40"/>
      <c r="Z27" s="40"/>
      <c r="AA27" s="40"/>
    </row>
    <row r="28" spans="1:27">
      <c r="A28" s="236" t="s">
        <v>19</v>
      </c>
      <c r="B28" s="1633">
        <f>'Step 8a--DMI Worksheet'!O13</f>
        <v>0.01</v>
      </c>
      <c r="C28" s="1635">
        <f>'Step 9a--Daily DMI Rations'!AE20</f>
        <v>2.5000000000000001E-2</v>
      </c>
      <c r="D28" s="1636">
        <f>'Step 9b--Daily DMI Rations'!D20</f>
        <v>0.25</v>
      </c>
      <c r="E28" s="1637">
        <f>'Step 9b--Daily DMI Rations'!AE20</f>
        <v>0.35</v>
      </c>
      <c r="F28" s="2222"/>
      <c r="G28" s="1629"/>
      <c r="H28" s="1630"/>
      <c r="I28" s="1630"/>
      <c r="J28" s="1683"/>
      <c r="K28" s="40"/>
      <c r="L28" s="40"/>
      <c r="M28" s="40"/>
      <c r="N28" s="40"/>
      <c r="O28" s="40"/>
      <c r="P28" s="40"/>
      <c r="Q28" s="40"/>
      <c r="R28" s="40"/>
      <c r="S28" s="40"/>
      <c r="T28" s="40"/>
      <c r="U28" s="40"/>
      <c r="V28" s="40"/>
      <c r="W28" s="40"/>
      <c r="X28" s="40"/>
      <c r="Y28" s="40"/>
      <c r="Z28" s="40"/>
      <c r="AA28" s="40"/>
    </row>
    <row r="29" spans="1:27">
      <c r="A29" s="236" t="s">
        <v>31</v>
      </c>
      <c r="B29" s="1633">
        <f>'Step 8a--DMI Worksheet'!O14</f>
        <v>0.02</v>
      </c>
      <c r="C29" s="1635">
        <f>'Step 9a--Daily DMI Rations'!AE22</f>
        <v>0.02</v>
      </c>
      <c r="D29" s="1636">
        <f>'Step 9b--Daily DMI Rations'!D22</f>
        <v>0.04</v>
      </c>
      <c r="E29" s="1637">
        <f>'Step 9b--Daily DMI Rations'!AE22</f>
        <v>0.03</v>
      </c>
      <c r="F29" s="2222"/>
      <c r="G29" s="1629"/>
      <c r="H29" s="1630"/>
      <c r="I29" s="1630"/>
      <c r="J29" s="1683"/>
      <c r="K29" s="40"/>
      <c r="L29" s="40"/>
      <c r="M29" s="40"/>
      <c r="N29" s="40"/>
      <c r="O29" s="40"/>
      <c r="P29" s="40"/>
      <c r="Q29" s="40"/>
      <c r="R29" s="40"/>
      <c r="S29" s="40"/>
      <c r="T29" s="40"/>
      <c r="U29" s="40"/>
      <c r="V29" s="40"/>
      <c r="W29" s="40"/>
      <c r="X29" s="40"/>
      <c r="Y29" s="40"/>
      <c r="Z29" s="40"/>
      <c r="AA29" s="40"/>
    </row>
    <row r="30" spans="1:27">
      <c r="A30" s="2227" t="str">
        <f>IF('[1]Step 7a--Feedstuff Required'!B20="[add forage crop here]","Additional forage crop",'[1]Step 7a--Feedstuff Required'!B20)</f>
        <v>Additional forage crop</v>
      </c>
      <c r="B30" s="1633">
        <f>IF('Step 8a--DMI Worksheet'!O15=0," ",'Step 8a--DMI Worksheet'!O15)</f>
        <v>0.01</v>
      </c>
      <c r="C30" s="1635" t="str">
        <f>IF('Step 8a--DMI Worksheet'!AC15=0," ",'Step 8a--DMI Worksheet'!AC15)</f>
        <v xml:space="preserve"> </v>
      </c>
      <c r="D30" s="1636" t="str">
        <f>IF('Step 8b--DMI Worksheet'!O15=0," ",'Step 8b--DMI Worksheet'!O15)</f>
        <v xml:space="preserve"> </v>
      </c>
      <c r="E30" s="1637" t="str">
        <f>IF('Step 8b--DMI Worksheet'!AC15=0," ",'Step 8b--DMI Worksheet'!AC15)</f>
        <v xml:space="preserve"> </v>
      </c>
      <c r="F30" s="2222"/>
      <c r="G30" s="1629"/>
      <c r="H30" s="1630"/>
      <c r="I30" s="1630"/>
      <c r="J30" s="1683"/>
      <c r="K30" s="40"/>
      <c r="L30" s="40"/>
      <c r="M30" s="40"/>
      <c r="N30" s="40"/>
      <c r="O30" s="40"/>
      <c r="P30" s="40"/>
      <c r="Q30" s="40"/>
      <c r="R30" s="40"/>
      <c r="S30" s="40"/>
      <c r="T30" s="40"/>
      <c r="U30" s="40"/>
      <c r="V30" s="40"/>
      <c r="W30" s="40"/>
      <c r="X30" s="40"/>
      <c r="Y30" s="40"/>
      <c r="Z30" s="40"/>
      <c r="AA30" s="40"/>
    </row>
    <row r="31" spans="1:27">
      <c r="A31" s="2227" t="str">
        <f>IF('[1]Step 7a--Feedstuff Required'!B22="[add forage crop here]","Additional forage crop",'[1]Step 7a--Feedstuff Required'!B22)</f>
        <v>Additional forage crop</v>
      </c>
      <c r="B31" s="1633" t="str">
        <f>IF('Step 8a--DMI Worksheet'!O16=0," ",'Step 8a--DMI Worksheet'!O16)</f>
        <v xml:space="preserve"> </v>
      </c>
      <c r="C31" s="1635" t="str">
        <f>IF('Step 8a--DMI Worksheet'!AC16=0," ",'Step 8a--DMI Worksheet'!AC16)</f>
        <v xml:space="preserve"> </v>
      </c>
      <c r="D31" s="1636" t="str">
        <f>IF('Step 8b--DMI Worksheet'!O16=0," ",'Step 8b--DMI Worksheet'!O16)</f>
        <v xml:space="preserve"> </v>
      </c>
      <c r="E31" s="1637" t="str">
        <f>IF('Step 8b--DMI Worksheet'!AC16=0," ",'Step 8b--DMI Worksheet'!AC16)</f>
        <v xml:space="preserve"> </v>
      </c>
      <c r="F31" s="2222"/>
      <c r="G31" s="1629"/>
      <c r="H31" s="1630"/>
      <c r="I31" s="1630"/>
      <c r="J31" s="1683"/>
      <c r="K31" s="40"/>
      <c r="L31" s="40"/>
      <c r="M31" s="40"/>
      <c r="N31" s="40"/>
      <c r="O31" s="40"/>
      <c r="P31" s="40"/>
      <c r="Q31" s="40"/>
      <c r="R31" s="40"/>
      <c r="S31" s="40"/>
      <c r="T31" s="40"/>
      <c r="U31" s="40"/>
      <c r="V31" s="40"/>
      <c r="W31" s="40"/>
      <c r="X31" s="40"/>
      <c r="Y31" s="40"/>
      <c r="Z31" s="40"/>
      <c r="AA31" s="40"/>
    </row>
    <row r="32" spans="1:27">
      <c r="A32" s="2227" t="str">
        <f>IF('[1]Step 7a--Feedstuff Required'!B24="[add forage crop here]","Additional forage crop",'[1]Step 7a--Feedstuff Required'!B24)</f>
        <v>Additional forage crop</v>
      </c>
      <c r="B32" s="1633" t="str">
        <f>IF('Step 8a--DMI Worksheet'!O17=0," ",'Step 8a--DMI Worksheet'!O17)</f>
        <v xml:space="preserve"> </v>
      </c>
      <c r="C32" s="1635" t="str">
        <f>IF('Step 8a--DMI Worksheet'!AC17=0," ",'Step 8a--DMI Worksheet'!AC17)</f>
        <v xml:space="preserve"> </v>
      </c>
      <c r="D32" s="1636" t="str">
        <f>IF('Step 8b--DMI Worksheet'!O17=0," ",'Step 8b--DMI Worksheet'!O17)</f>
        <v xml:space="preserve"> </v>
      </c>
      <c r="E32" s="1637" t="str">
        <f>IF('Step 8b--DMI Worksheet'!AC17=0," ",'Step 8b--DMI Worksheet'!AC17)</f>
        <v xml:space="preserve"> </v>
      </c>
      <c r="F32" s="2222"/>
      <c r="G32" s="1629"/>
      <c r="H32" s="1630"/>
      <c r="I32" s="1630"/>
      <c r="J32" s="1683"/>
      <c r="K32" s="40"/>
      <c r="L32" s="40"/>
      <c r="M32" s="40"/>
      <c r="N32" s="40"/>
      <c r="O32" s="40"/>
      <c r="P32" s="40"/>
      <c r="Q32" s="40"/>
      <c r="R32" s="40"/>
      <c r="S32" s="40"/>
      <c r="T32" s="40"/>
      <c r="U32" s="40"/>
      <c r="V32" s="40"/>
      <c r="W32" s="40"/>
      <c r="X32" s="40"/>
      <c r="Y32" s="40"/>
      <c r="Z32" s="40"/>
      <c r="AA32" s="40"/>
    </row>
    <row r="33" spans="1:27">
      <c r="A33" s="3622" t="s">
        <v>1161</v>
      </c>
      <c r="B33" s="1633"/>
      <c r="C33" s="1635"/>
      <c r="D33" s="1636"/>
      <c r="E33" s="1637"/>
      <c r="F33" s="2222"/>
      <c r="G33" s="1629"/>
      <c r="H33" s="1630"/>
      <c r="I33" s="1630"/>
      <c r="J33" s="1683"/>
      <c r="K33" s="40"/>
      <c r="L33" s="40"/>
      <c r="M33" s="40"/>
      <c r="N33" s="40"/>
      <c r="O33" s="40"/>
      <c r="P33" s="40"/>
      <c r="Q33" s="40"/>
      <c r="R33" s="40"/>
      <c r="S33" s="40"/>
      <c r="T33" s="40"/>
      <c r="U33" s="40"/>
      <c r="V33" s="40"/>
      <c r="W33" s="40"/>
      <c r="X33" s="40"/>
      <c r="Y33" s="40"/>
      <c r="Z33" s="40"/>
      <c r="AA33" s="40"/>
    </row>
    <row r="34" spans="1:27">
      <c r="A34" s="236" t="s">
        <v>406</v>
      </c>
      <c r="B34" s="1633">
        <f>'Step 8a--DMI Worksheet'!O20</f>
        <v>0.26</v>
      </c>
      <c r="C34" s="1635">
        <f>'Step 9a--Daily DMI Rations'!AE34</f>
        <v>0.22</v>
      </c>
      <c r="D34" s="1636">
        <f>'Step 9b--Daily DMI Rations'!D34</f>
        <v>0.1</v>
      </c>
      <c r="E34" s="1637">
        <f>'Step 9b--Daily DMI Rations'!AE34</f>
        <v>0.1</v>
      </c>
      <c r="F34" s="2222"/>
      <c r="G34" s="1629"/>
      <c r="H34" s="1630"/>
      <c r="I34" s="1630"/>
      <c r="J34" s="1683"/>
      <c r="K34" s="40"/>
      <c r="L34" s="40"/>
      <c r="M34" s="40"/>
      <c r="N34" s="40"/>
      <c r="O34" s="40"/>
      <c r="P34" s="40"/>
      <c r="Q34" s="40"/>
      <c r="R34" s="40"/>
      <c r="S34" s="40"/>
      <c r="T34" s="40"/>
      <c r="U34" s="40"/>
      <c r="V34" s="40"/>
      <c r="W34" s="40"/>
      <c r="X34" s="40"/>
      <c r="Y34" s="40"/>
      <c r="Z34" s="40"/>
      <c r="AA34" s="40"/>
    </row>
    <row r="35" spans="1:27">
      <c r="A35" s="236" t="s">
        <v>22</v>
      </c>
      <c r="B35" s="1633">
        <f>'Step 8a--DMI Worksheet'!O21</f>
        <v>0</v>
      </c>
      <c r="C35" s="1635">
        <f>'Step 9a--Daily DMI Rations'!AE36</f>
        <v>0</v>
      </c>
      <c r="D35" s="1636">
        <f>'Step 9b--Daily DMI Rations'!D36</f>
        <v>0.02</v>
      </c>
      <c r="E35" s="1637">
        <f>'Step 9b--Daily DMI Rations'!AE36</f>
        <v>2.3E-2</v>
      </c>
      <c r="F35" s="2222"/>
      <c r="G35" s="1629"/>
      <c r="H35" s="1630"/>
      <c r="I35" s="1630"/>
      <c r="J35" s="1683"/>
      <c r="K35" s="40"/>
      <c r="L35" s="40"/>
      <c r="M35" s="40"/>
      <c r="N35" s="40"/>
      <c r="O35" s="40"/>
      <c r="P35" s="40"/>
      <c r="Q35" s="40"/>
      <c r="R35" s="40"/>
      <c r="S35" s="40"/>
      <c r="T35" s="40"/>
      <c r="U35" s="40"/>
      <c r="V35" s="40"/>
      <c r="W35" s="40"/>
      <c r="X35" s="40"/>
      <c r="Y35" s="40"/>
      <c r="Z35" s="40"/>
      <c r="AA35" s="40"/>
    </row>
    <row r="36" spans="1:27">
      <c r="A36" s="236" t="s">
        <v>25</v>
      </c>
      <c r="B36" s="1633">
        <f>'Step 8a--DMI Worksheet'!O22</f>
        <v>0</v>
      </c>
      <c r="C36" s="1635">
        <f>'Step 9a--Daily DMI Rations'!AE38</f>
        <v>0</v>
      </c>
      <c r="D36" s="1636">
        <f>'Step 9b--Daily DMI Rations'!D38</f>
        <v>0.02</v>
      </c>
      <c r="E36" s="1637">
        <f>'Step 9b--Daily DMI Rations'!AE38</f>
        <v>2.4E-2</v>
      </c>
      <c r="F36" s="2222"/>
      <c r="G36" s="1629"/>
      <c r="H36" s="1630"/>
      <c r="I36" s="1630"/>
      <c r="J36" s="1683"/>
      <c r="K36" s="40"/>
      <c r="L36" s="40"/>
      <c r="M36" s="40"/>
      <c r="N36" s="40"/>
      <c r="O36" s="40"/>
      <c r="P36" s="40"/>
      <c r="Q36" s="40"/>
      <c r="R36" s="40"/>
      <c r="S36" s="40"/>
      <c r="T36" s="40"/>
      <c r="U36" s="40"/>
      <c r="V36" s="40"/>
      <c r="W36" s="40"/>
      <c r="X36" s="40"/>
      <c r="Y36" s="40"/>
      <c r="Z36" s="40"/>
      <c r="AA36" s="40"/>
    </row>
    <row r="37" spans="1:27">
      <c r="A37" s="236" t="s">
        <v>27</v>
      </c>
      <c r="B37" s="1633">
        <f>'Step 8a--DMI Worksheet'!O23</f>
        <v>0</v>
      </c>
      <c r="C37" s="1635">
        <f>'Step 9a--Daily DMI Rations'!AE40</f>
        <v>0</v>
      </c>
      <c r="D37" s="1636">
        <f>'Step 9b--Daily DMI Rations'!D40</f>
        <v>0</v>
      </c>
      <c r="E37" s="1637">
        <f>'Step 9b--Daily DMI Rations'!AE40</f>
        <v>0</v>
      </c>
      <c r="F37" s="2222"/>
      <c r="G37" s="1629"/>
      <c r="H37" s="1630"/>
      <c r="I37" s="1630"/>
      <c r="J37" s="1683"/>
      <c r="K37" s="40"/>
      <c r="L37" s="40"/>
      <c r="M37" s="40"/>
      <c r="N37" s="40"/>
      <c r="O37" s="40"/>
      <c r="P37" s="40"/>
      <c r="Q37" s="40"/>
      <c r="R37" s="40"/>
      <c r="S37" s="40"/>
      <c r="T37" s="40"/>
      <c r="U37" s="40"/>
      <c r="V37" s="40"/>
      <c r="W37" s="40"/>
      <c r="X37" s="40"/>
      <c r="Y37" s="40"/>
      <c r="Z37" s="40"/>
      <c r="AA37" s="40"/>
    </row>
    <row r="38" spans="1:27">
      <c r="A38" s="2227" t="str">
        <f>IF('[1]Step 7a--Feedstuff Required'!B38="[add grain crop here]","Additional grain crop",'[1]Step 7a--Feedstuff Required'!B38)</f>
        <v>Additional grain crop</v>
      </c>
      <c r="B38" s="1633" t="str">
        <f>IF('Step 8a--DMI Worksheet'!O24=0," ",'Step 8a--DMI Worksheet'!O24)</f>
        <v xml:space="preserve"> </v>
      </c>
      <c r="C38" s="1635" t="str">
        <f>IF('Step 8a--DMI Worksheet'!AC24=0," ",'Step 8a--DMI Worksheet'!AC24)</f>
        <v xml:space="preserve"> </v>
      </c>
      <c r="D38" s="1636" t="str">
        <f>IF('Step 8b--DMI Worksheet'!O24=0," ",'Step 8b--DMI Worksheet'!O24)</f>
        <v xml:space="preserve"> </v>
      </c>
      <c r="E38" s="1637" t="str">
        <f>IF('Step 8b--DMI Worksheet'!AC24=0," ",'Step 8b--DMI Worksheet'!AC24)</f>
        <v xml:space="preserve"> </v>
      </c>
      <c r="F38" s="2222"/>
      <c r="G38" s="1629"/>
      <c r="H38" s="1630"/>
      <c r="I38" s="1630"/>
      <c r="J38" s="1683"/>
      <c r="K38" s="40"/>
      <c r="L38" s="40"/>
      <c r="M38" s="40"/>
      <c r="N38" s="40"/>
      <c r="O38" s="40"/>
      <c r="P38" s="40"/>
      <c r="Q38" s="40"/>
      <c r="R38" s="40"/>
      <c r="S38" s="40"/>
      <c r="T38" s="40"/>
      <c r="U38" s="40"/>
      <c r="V38" s="40"/>
      <c r="W38" s="40"/>
      <c r="X38" s="40"/>
      <c r="Y38" s="40"/>
      <c r="Z38" s="40"/>
      <c r="AA38" s="40"/>
    </row>
    <row r="39" spans="1:27">
      <c r="A39" s="2227" t="str">
        <f>IF('[1]Step 7a--Feedstuff Required'!B40="[add grain crop here]","Additional grain crop",'[1]Step 7a--Feedstuff Required'!B40)</f>
        <v>Additional grain crop</v>
      </c>
      <c r="B39" s="1633" t="str">
        <f>IF('Step 8a--DMI Worksheet'!O25=0," ",'Step 8a--DMI Worksheet'!O25)</f>
        <v xml:space="preserve"> </v>
      </c>
      <c r="C39" s="1635" t="str">
        <f>IF('Step 8a--DMI Worksheet'!AC25=0," ",'Step 8a--DMI Worksheet'!AC25)</f>
        <v xml:space="preserve"> </v>
      </c>
      <c r="D39" s="1636" t="str">
        <f>IF('Step 8b--DMI Worksheet'!O25=0," ",'Step 8b--DMI Worksheet'!O25)</f>
        <v xml:space="preserve"> </v>
      </c>
      <c r="E39" s="1637" t="str">
        <f>IF('Step 8b--DMI Worksheet'!AC25=0," ",'Step 8b--DMI Worksheet'!AC25)</f>
        <v xml:space="preserve"> </v>
      </c>
      <c r="F39" s="2222"/>
      <c r="G39" s="1629"/>
      <c r="H39" s="1630"/>
      <c r="I39" s="1630"/>
      <c r="J39" s="1683"/>
      <c r="K39" s="40"/>
      <c r="L39" s="40"/>
      <c r="M39" s="40"/>
      <c r="N39" s="40"/>
      <c r="O39" s="40"/>
      <c r="P39" s="40"/>
      <c r="Q39" s="40"/>
      <c r="R39" s="40"/>
      <c r="S39" s="40"/>
      <c r="T39" s="40"/>
      <c r="U39" s="40"/>
      <c r="V39" s="40"/>
      <c r="W39" s="40"/>
      <c r="X39" s="40"/>
      <c r="Y39" s="40"/>
      <c r="Z39" s="40"/>
      <c r="AA39" s="40"/>
    </row>
    <row r="40" spans="1:27">
      <c r="A40" s="2227" t="str">
        <f>IF('[1]Step 7a--Feedstuff Required'!B42="[add grain crop here]","Additional grain crop",'[1]Step 7a--Feedstuff Required'!B42)</f>
        <v>Additional grain crop</v>
      </c>
      <c r="B40" s="1633" t="str">
        <f>IF('Step 8a--DMI Worksheet'!O26=0," ",'Step 8a--DMI Worksheet'!O26)</f>
        <v xml:space="preserve"> </v>
      </c>
      <c r="C40" s="1635" t="str">
        <f>IF('Step 8a--DMI Worksheet'!AC26=0," ",'Step 8a--DMI Worksheet'!AC26)</f>
        <v xml:space="preserve"> </v>
      </c>
      <c r="D40" s="1636" t="str">
        <f>IF('Step 8b--DMI Worksheet'!O26=0," ",'Step 8b--DMI Worksheet'!O26)</f>
        <v xml:space="preserve"> </v>
      </c>
      <c r="E40" s="1637" t="str">
        <f>IF('Step 8b--DMI Worksheet'!AC26=0," ",'Step 8b--DMI Worksheet'!AC26)</f>
        <v xml:space="preserve"> </v>
      </c>
      <c r="F40" s="2222"/>
      <c r="G40" s="1629"/>
      <c r="H40" s="1630"/>
      <c r="I40" s="1630"/>
      <c r="J40" s="1683"/>
      <c r="K40" s="40"/>
      <c r="L40" s="40"/>
      <c r="M40" s="40"/>
      <c r="N40" s="40"/>
      <c r="O40" s="40"/>
      <c r="P40" s="40"/>
      <c r="Q40" s="40"/>
      <c r="R40" s="40"/>
      <c r="S40" s="40"/>
      <c r="T40" s="40"/>
      <c r="U40" s="40"/>
      <c r="V40" s="40"/>
      <c r="W40" s="40"/>
      <c r="X40" s="40"/>
      <c r="Y40" s="40"/>
      <c r="Z40" s="40"/>
      <c r="AA40" s="40"/>
    </row>
    <row r="41" spans="1:27">
      <c r="A41" s="3623" t="s">
        <v>1162</v>
      </c>
      <c r="B41" s="1633"/>
      <c r="C41" s="1635"/>
      <c r="D41" s="1636"/>
      <c r="E41" s="1637"/>
      <c r="F41" s="2222"/>
      <c r="G41" s="1629"/>
      <c r="H41" s="1630"/>
      <c r="I41" s="1630"/>
      <c r="J41" s="1683"/>
      <c r="K41" s="40"/>
      <c r="L41" s="40"/>
      <c r="M41" s="40"/>
      <c r="N41" s="40"/>
      <c r="O41" s="40"/>
      <c r="P41" s="40"/>
      <c r="Q41" s="40"/>
      <c r="R41" s="40"/>
      <c r="S41" s="40"/>
      <c r="T41" s="40"/>
      <c r="U41" s="40"/>
      <c r="V41" s="40"/>
      <c r="W41" s="40"/>
      <c r="X41" s="40"/>
      <c r="Y41" s="40"/>
      <c r="Z41" s="40"/>
      <c r="AA41" s="40"/>
    </row>
    <row r="42" spans="1:27">
      <c r="A42" s="236" t="s">
        <v>7</v>
      </c>
      <c r="B42" s="1633">
        <f>'Step 8a--DMI Worksheet'!O29</f>
        <v>0.14000000000000001</v>
      </c>
      <c r="C42" s="1635">
        <f>'Step 9a--Daily DMI Rations'!AE52</f>
        <v>0.12</v>
      </c>
      <c r="D42" s="1636">
        <f>'Step 9b--Daily DMI Rations'!D52</f>
        <v>0.05</v>
      </c>
      <c r="E42" s="1637">
        <f>'Step 9b--Daily DMI Rations'!AE52</f>
        <v>0.02</v>
      </c>
      <c r="F42" s="2222"/>
      <c r="G42" s="1629"/>
      <c r="H42" s="1630"/>
      <c r="I42" s="1630"/>
      <c r="J42" s="1683"/>
      <c r="K42" s="40"/>
      <c r="L42" s="40"/>
      <c r="M42" s="40"/>
      <c r="N42" s="40"/>
      <c r="O42" s="40"/>
      <c r="P42" s="40"/>
      <c r="Q42" s="40"/>
      <c r="R42" s="40"/>
      <c r="S42" s="40"/>
      <c r="T42" s="40"/>
      <c r="U42" s="40"/>
      <c r="V42" s="40"/>
      <c r="W42" s="40"/>
      <c r="X42" s="40"/>
      <c r="Y42" s="40"/>
      <c r="Z42" s="40"/>
      <c r="AA42" s="40"/>
    </row>
    <row r="43" spans="1:27">
      <c r="A43" s="236" t="s">
        <v>6</v>
      </c>
      <c r="B43" s="1633">
        <f>'Step 8a--DMI Worksheet'!O30</f>
        <v>0</v>
      </c>
      <c r="C43" s="1635">
        <f>'Step 9a--Daily DMI Rations'!AE54</f>
        <v>0</v>
      </c>
      <c r="D43" s="1636">
        <f>'Step 9b--Daily DMI Rations'!D54</f>
        <v>0</v>
      </c>
      <c r="E43" s="1637">
        <f>'Step 9b--Daily DMI Rations'!AE54</f>
        <v>0</v>
      </c>
      <c r="F43" s="2222"/>
      <c r="G43" s="1629"/>
      <c r="H43" s="1630"/>
      <c r="I43" s="1630"/>
      <c r="J43" s="1683"/>
      <c r="K43" s="40"/>
      <c r="L43" s="40"/>
      <c r="M43" s="40"/>
      <c r="N43" s="40"/>
      <c r="O43" s="40"/>
      <c r="P43" s="40"/>
      <c r="Q43" s="40"/>
      <c r="R43" s="40"/>
      <c r="S43" s="40"/>
      <c r="T43" s="40"/>
      <c r="U43" s="40"/>
      <c r="V43" s="40"/>
      <c r="W43" s="40"/>
      <c r="X43" s="40"/>
      <c r="Y43" s="40"/>
      <c r="Z43" s="40"/>
      <c r="AA43" s="40"/>
    </row>
    <row r="44" spans="1:27">
      <c r="A44" s="2227" t="str">
        <f>IF('[1]Step 7a--Feedstuff Required'!B52="[add protein source here]","Additional protein source",'[1]Step 7a--Feedstuff Required'!B52)</f>
        <v>Additional protein source</v>
      </c>
      <c r="B44" s="1633" t="str">
        <f>IF('Step 8a--DMI Worksheet'!O31=0," ",'Step 8a--DMI Worksheet'!O31)</f>
        <v xml:space="preserve"> </v>
      </c>
      <c r="C44" s="1635" t="str">
        <f>IF('Step 8a--DMI Worksheet'!AC31=0," ",'Step 8a--DMI Worksheet'!AC31)</f>
        <v xml:space="preserve"> </v>
      </c>
      <c r="D44" s="1636" t="str">
        <f>IF('Step 8b--DMI Worksheet'!O31=0," ",'Step 8b--DMI Worksheet'!O31)</f>
        <v xml:space="preserve"> </v>
      </c>
      <c r="E44" s="1637" t="str">
        <f>IF('Step 8b--DMI Worksheet'!AC31=0," ",'Step 8b--DMI Worksheet'!AC31)</f>
        <v xml:space="preserve"> </v>
      </c>
      <c r="F44" s="2222"/>
      <c r="G44" s="1629"/>
      <c r="H44" s="1630"/>
      <c r="I44" s="1630"/>
      <c r="J44" s="1683"/>
      <c r="K44" s="40"/>
      <c r="L44" s="40"/>
      <c r="M44" s="40"/>
      <c r="N44" s="40"/>
      <c r="O44" s="40"/>
      <c r="P44" s="40"/>
      <c r="Q44" s="40"/>
      <c r="R44" s="40"/>
      <c r="S44" s="40"/>
      <c r="T44" s="40"/>
      <c r="U44" s="40"/>
      <c r="V44" s="40"/>
      <c r="W44" s="40"/>
      <c r="X44" s="40"/>
      <c r="Y44" s="40"/>
      <c r="Z44" s="40"/>
      <c r="AA44" s="40"/>
    </row>
    <row r="45" spans="1:27">
      <c r="A45" s="2227" t="str">
        <f>IF('[1]Step 7a--Feedstuff Required'!B54="[add protein source here]","Additional protein sources",'[1]Step 7a--Feedstuff Required'!B54)</f>
        <v>Additional protein sources</v>
      </c>
      <c r="B45" s="1633" t="str">
        <f>IF('Step 8a--DMI Worksheet'!O32=0," ",'Step 8a--DMI Worksheet'!O32)</f>
        <v xml:space="preserve"> </v>
      </c>
      <c r="C45" s="1635" t="str">
        <f>IF('Step 8a--DMI Worksheet'!AC32=0," ",'Step 8a--DMI Worksheet'!AC32)</f>
        <v xml:space="preserve"> </v>
      </c>
      <c r="D45" s="1636" t="str">
        <f>IF('Step 8b--DMI Worksheet'!O32=0," ",'Step 8b--DMI Worksheet'!O32)</f>
        <v xml:space="preserve"> </v>
      </c>
      <c r="E45" s="1637" t="str">
        <f>IF('Step 8b--DMI Worksheet'!AC32=0," ",'Step 8b--DMI Worksheet'!AC32)</f>
        <v xml:space="preserve"> </v>
      </c>
      <c r="F45" s="2222"/>
      <c r="G45" s="1629"/>
      <c r="H45" s="1630"/>
      <c r="I45" s="1630"/>
      <c r="J45" s="1683"/>
      <c r="K45" s="40"/>
      <c r="L45" s="40"/>
      <c r="M45" s="40"/>
      <c r="N45" s="40"/>
      <c r="O45" s="40"/>
      <c r="P45" s="40"/>
      <c r="Q45" s="40"/>
      <c r="R45" s="40"/>
      <c r="S45" s="40"/>
      <c r="T45" s="40"/>
      <c r="U45" s="40"/>
      <c r="V45" s="40"/>
      <c r="W45" s="40"/>
      <c r="X45" s="40"/>
      <c r="Y45" s="40"/>
      <c r="Z45" s="40"/>
      <c r="AA45" s="40"/>
    </row>
    <row r="46" spans="1:27">
      <c r="A46" s="2227" t="str">
        <f>IF('[1]Step 7a--Feedstuff Required'!B56="[add protein source here]","Additional protein sources",'[1]Step 7a--Feedstuff Required'!B56)</f>
        <v>Additional protein sources</v>
      </c>
      <c r="B46" s="1633" t="str">
        <f>IF('Step 8a--DMI Worksheet'!O33=0," ",'Step 8a--DMI Worksheet'!O33)</f>
        <v xml:space="preserve"> </v>
      </c>
      <c r="C46" s="1635" t="str">
        <f>IF('Step 8a--DMI Worksheet'!AC33=0," ",'Step 8a--DMI Worksheet'!AC33)</f>
        <v xml:space="preserve"> </v>
      </c>
      <c r="D46" s="1636" t="str">
        <f>IF('Step 8b--DMI Worksheet'!O33=0," ",'Step 8b--DMI Worksheet'!O33)</f>
        <v xml:space="preserve"> </v>
      </c>
      <c r="E46" s="1637" t="str">
        <f>IF('Step 8b--DMI Worksheet'!AC33=0," ",'Step 8b--DMI Worksheet'!AC33)</f>
        <v xml:space="preserve"> </v>
      </c>
      <c r="F46" s="2222"/>
      <c r="G46" s="1629"/>
      <c r="H46" s="1630"/>
      <c r="I46" s="1630"/>
      <c r="J46" s="1683"/>
      <c r="K46" s="40"/>
      <c r="L46" s="40"/>
      <c r="M46" s="40"/>
      <c r="N46" s="40"/>
      <c r="O46" s="40"/>
      <c r="P46" s="40"/>
      <c r="Q46" s="40"/>
      <c r="R46" s="40"/>
      <c r="S46" s="40"/>
      <c r="T46" s="40"/>
      <c r="U46" s="40"/>
      <c r="V46" s="40"/>
      <c r="W46" s="40"/>
      <c r="X46" s="40"/>
      <c r="Y46" s="40"/>
      <c r="Z46" s="40"/>
      <c r="AA46" s="40"/>
    </row>
    <row r="47" spans="1:27">
      <c r="A47" s="206"/>
      <c r="B47" s="1609"/>
      <c r="C47" s="1615"/>
      <c r="D47" s="1618"/>
      <c r="E47" s="1622"/>
      <c r="F47" s="2222"/>
      <c r="G47" s="1629"/>
      <c r="H47" s="1630"/>
      <c r="I47" s="1630"/>
      <c r="J47" s="1683"/>
      <c r="K47" s="40"/>
      <c r="L47" s="40"/>
      <c r="M47" s="40"/>
      <c r="N47" s="40"/>
      <c r="O47" s="40"/>
      <c r="P47" s="40"/>
      <c r="Q47" s="40"/>
      <c r="R47" s="40"/>
      <c r="S47" s="40"/>
      <c r="T47" s="40"/>
      <c r="U47" s="40"/>
      <c r="V47" s="40"/>
      <c r="W47" s="40"/>
      <c r="X47" s="40"/>
      <c r="Y47" s="40"/>
      <c r="Z47" s="40"/>
      <c r="AA47" s="40"/>
    </row>
    <row r="48" spans="1:27" ht="15">
      <c r="A48" s="182" t="s">
        <v>598</v>
      </c>
      <c r="B48" s="1609"/>
      <c r="C48" s="1615"/>
      <c r="D48" s="1618"/>
      <c r="E48" s="1622"/>
      <c r="F48" s="2222"/>
      <c r="G48" s="1629"/>
      <c r="H48" s="1630"/>
      <c r="I48" s="1630"/>
      <c r="J48" s="1683"/>
      <c r="K48" s="40"/>
      <c r="L48" s="40"/>
      <c r="M48" s="40"/>
      <c r="N48" s="40"/>
      <c r="O48" s="40"/>
      <c r="P48" s="40"/>
      <c r="Q48" s="40"/>
      <c r="R48" s="40"/>
      <c r="S48" s="40"/>
      <c r="T48" s="40"/>
      <c r="U48" s="40"/>
      <c r="V48" s="40"/>
      <c r="W48" s="40"/>
      <c r="X48" s="40"/>
      <c r="Y48" s="40"/>
      <c r="Z48" s="40"/>
      <c r="AA48" s="40"/>
    </row>
    <row r="49" spans="1:27">
      <c r="A49" s="221" t="s">
        <v>1166</v>
      </c>
      <c r="B49" s="1609"/>
      <c r="C49" s="1615"/>
      <c r="D49" s="1618"/>
      <c r="E49" s="1622"/>
      <c r="F49" s="2222"/>
      <c r="G49" s="1629"/>
      <c r="H49" s="1630"/>
      <c r="I49" s="1630"/>
      <c r="J49" s="1683"/>
      <c r="K49" s="40"/>
      <c r="L49" s="40"/>
      <c r="M49" s="40"/>
      <c r="N49" s="40"/>
      <c r="O49" s="40"/>
      <c r="P49" s="40"/>
      <c r="Q49" s="40"/>
      <c r="R49" s="40"/>
      <c r="S49" s="40"/>
      <c r="T49" s="40"/>
      <c r="U49" s="40"/>
      <c r="V49" s="40"/>
      <c r="W49" s="40"/>
      <c r="X49" s="40"/>
      <c r="Y49" s="40"/>
      <c r="Z49" s="40"/>
      <c r="AA49" s="40"/>
    </row>
    <row r="50" spans="1:27">
      <c r="A50" s="3614" t="s">
        <v>1163</v>
      </c>
      <c r="B50" s="1609"/>
      <c r="C50" s="3564"/>
      <c r="D50" s="3565"/>
      <c r="E50" s="1622"/>
      <c r="F50" s="2222"/>
      <c r="G50" s="1629"/>
      <c r="H50" s="1630"/>
      <c r="I50" s="1630"/>
      <c r="J50" s="1683"/>
      <c r="K50" s="40"/>
      <c r="L50" s="40"/>
      <c r="M50" s="40"/>
      <c r="N50" s="40"/>
      <c r="O50" s="40"/>
      <c r="P50" s="40"/>
      <c r="Q50" s="40"/>
      <c r="R50" s="40"/>
      <c r="S50" s="40"/>
      <c r="T50" s="40"/>
      <c r="U50" s="40"/>
      <c r="V50" s="40"/>
      <c r="W50" s="40"/>
      <c r="X50" s="40"/>
      <c r="Y50" s="40"/>
      <c r="Z50" s="40"/>
      <c r="AA50" s="40"/>
    </row>
    <row r="51" spans="1:27">
      <c r="A51" s="236" t="s">
        <v>104</v>
      </c>
      <c r="B51" s="1633">
        <f>'Step 9a--Daily DMI Rations'!J12</f>
        <v>0.5</v>
      </c>
      <c r="C51" s="1635">
        <f>'Step 9a--Daily DMI Rations'!AK12</f>
        <v>0.5</v>
      </c>
      <c r="D51" s="1636">
        <f>'Step 9b--Daily DMI Rations'!J12</f>
        <v>0.5</v>
      </c>
      <c r="E51" s="1642">
        <f>'Step 9b--Daily DMI Rations'!AK12</f>
        <v>0.5</v>
      </c>
      <c r="F51" s="2222"/>
      <c r="G51" s="1629"/>
      <c r="H51" s="1630"/>
      <c r="I51" s="1630"/>
      <c r="J51" s="1683"/>
      <c r="K51" s="40"/>
      <c r="L51" s="40"/>
      <c r="M51" s="40"/>
      <c r="N51" s="40"/>
      <c r="O51" s="40"/>
      <c r="P51" s="40"/>
      <c r="Q51" s="40"/>
      <c r="R51" s="40"/>
      <c r="S51" s="40"/>
      <c r="T51" s="40"/>
      <c r="U51" s="40"/>
      <c r="V51" s="40"/>
      <c r="W51" s="40"/>
      <c r="X51" s="40"/>
      <c r="Y51" s="40"/>
      <c r="Z51" s="40"/>
      <c r="AA51" s="40"/>
    </row>
    <row r="52" spans="1:27">
      <c r="A52" s="236" t="s">
        <v>29</v>
      </c>
      <c r="B52" s="1633">
        <f>'Step 9a--Daily DMI Rations'!J14</f>
        <v>0</v>
      </c>
      <c r="C52" s="1635">
        <f>'Step 9a--Daily DMI Rations'!AK14</f>
        <v>0</v>
      </c>
      <c r="D52" s="1636">
        <f>'Step 9b--Daily DMI Rations'!J14</f>
        <v>0</v>
      </c>
      <c r="E52" s="1642">
        <f>'Step 9b--Daily DMI Rations'!AK14</f>
        <v>0</v>
      </c>
      <c r="F52" s="2222"/>
      <c r="G52" s="1629"/>
      <c r="H52" s="1630"/>
      <c r="I52" s="1630"/>
      <c r="J52" s="1683"/>
      <c r="K52" s="40"/>
      <c r="L52" s="40"/>
      <c r="M52" s="40"/>
      <c r="N52" s="40"/>
      <c r="O52" s="40"/>
      <c r="P52" s="40"/>
      <c r="Q52" s="40"/>
      <c r="R52" s="40"/>
      <c r="S52" s="40"/>
      <c r="T52" s="40"/>
      <c r="U52" s="40"/>
      <c r="V52" s="40"/>
      <c r="W52" s="40"/>
      <c r="X52" s="40"/>
      <c r="Y52" s="40"/>
      <c r="Z52" s="40"/>
      <c r="AA52" s="40"/>
    </row>
    <row r="53" spans="1:27">
      <c r="A53" s="236" t="s">
        <v>3</v>
      </c>
      <c r="B53" s="1633">
        <f>'Step 9a--Daily DMI Rations'!J16</f>
        <v>0</v>
      </c>
      <c r="C53" s="1635">
        <f>'Step 9a--Daily DMI Rations'!AK16</f>
        <v>0</v>
      </c>
      <c r="D53" s="1636">
        <f>'Step 9b--Daily DMI Rations'!J16</f>
        <v>0</v>
      </c>
      <c r="E53" s="1642">
        <f>'Step 9b--Daily DMI Rations'!AK16</f>
        <v>0</v>
      </c>
      <c r="F53" s="2222"/>
      <c r="G53" s="1629"/>
      <c r="H53" s="1630"/>
      <c r="I53" s="1630"/>
      <c r="J53" s="1683"/>
      <c r="K53" s="40"/>
      <c r="L53" s="40"/>
      <c r="M53" s="40"/>
      <c r="N53" s="40"/>
      <c r="O53" s="40"/>
      <c r="P53" s="40"/>
      <c r="Q53" s="40"/>
      <c r="R53" s="40"/>
      <c r="S53" s="40"/>
      <c r="T53" s="40"/>
      <c r="U53" s="40"/>
      <c r="V53" s="40"/>
      <c r="W53" s="40"/>
      <c r="X53" s="40"/>
      <c r="Y53" s="40"/>
      <c r="Z53" s="40"/>
      <c r="AA53" s="40"/>
    </row>
    <row r="54" spans="1:27">
      <c r="A54" s="236" t="s">
        <v>35</v>
      </c>
      <c r="B54" s="1633">
        <f>'Step 9a--Daily DMI Rations'!J18</f>
        <v>0.15</v>
      </c>
      <c r="C54" s="1635">
        <f>'Step 9a--Daily DMI Rations'!AK18</f>
        <v>0.15</v>
      </c>
      <c r="D54" s="1636">
        <f>'Step 9b--Daily DMI Rations'!J18</f>
        <v>0.15</v>
      </c>
      <c r="E54" s="1637">
        <f>'Step 9b--Daily DMI Rations'!AK18</f>
        <v>0.15</v>
      </c>
      <c r="F54" s="2222"/>
      <c r="G54" s="1629"/>
      <c r="H54" s="1630"/>
      <c r="I54" s="1630"/>
      <c r="J54" s="1683"/>
      <c r="K54" s="40"/>
      <c r="L54" s="40"/>
      <c r="M54" s="40"/>
      <c r="N54" s="40"/>
      <c r="O54" s="40"/>
      <c r="P54" s="40"/>
      <c r="Q54" s="40"/>
      <c r="R54" s="40"/>
      <c r="S54" s="40"/>
      <c r="T54" s="40"/>
      <c r="U54" s="40"/>
      <c r="V54" s="40"/>
      <c r="W54" s="40"/>
      <c r="X54" s="40"/>
      <c r="Y54" s="40"/>
      <c r="Z54" s="40"/>
      <c r="AA54" s="40"/>
    </row>
    <row r="55" spans="1:27">
      <c r="A55" s="236" t="s">
        <v>19</v>
      </c>
      <c r="B55" s="1633">
        <f>'Step 9a--Daily DMI Rations'!J20</f>
        <v>0.25</v>
      </c>
      <c r="C55" s="1635">
        <f>'Step 9a--Daily DMI Rations'!AK20</f>
        <v>0.25</v>
      </c>
      <c r="D55" s="1636">
        <f>'Step 9b--Daily DMI Rations'!J20</f>
        <v>0.25</v>
      </c>
      <c r="E55" s="1637">
        <f>'Step 9b--Daily DMI Rations'!AK20</f>
        <v>0.25</v>
      </c>
      <c r="F55" s="2222"/>
      <c r="G55" s="1629"/>
      <c r="H55" s="1630"/>
      <c r="I55" s="1630"/>
      <c r="J55" s="1683"/>
      <c r="K55" s="40"/>
      <c r="L55" s="40"/>
      <c r="M55" s="40"/>
      <c r="N55" s="40"/>
      <c r="O55" s="40"/>
      <c r="P55" s="40"/>
      <c r="Q55" s="40"/>
      <c r="R55" s="40"/>
      <c r="S55" s="40"/>
      <c r="T55" s="40"/>
      <c r="U55" s="40"/>
      <c r="V55" s="40"/>
      <c r="W55" s="40"/>
      <c r="X55" s="40"/>
      <c r="Y55" s="40"/>
      <c r="Z55" s="40"/>
      <c r="AA55" s="40"/>
    </row>
    <row r="56" spans="1:27">
      <c r="A56" s="236" t="s">
        <v>31</v>
      </c>
      <c r="B56" s="1633">
        <f>'Step 9a--Daily DMI Rations'!J22</f>
        <v>0.1</v>
      </c>
      <c r="C56" s="1635">
        <f>'Step 9a--Daily DMI Rations'!AK22</f>
        <v>0.1</v>
      </c>
      <c r="D56" s="1636">
        <f>'Step 9b--Daily DMI Rations'!J22</f>
        <v>0.1</v>
      </c>
      <c r="E56" s="1637">
        <f>'Step 9b--Daily DMI Rations'!AK22</f>
        <v>0.1</v>
      </c>
      <c r="F56" s="2222"/>
      <c r="G56" s="1629"/>
      <c r="H56" s="1630"/>
      <c r="I56" s="1630"/>
      <c r="J56" s="1683"/>
      <c r="K56" s="40"/>
      <c r="L56" s="40"/>
      <c r="M56" s="40"/>
      <c r="N56" s="40"/>
      <c r="O56" s="40"/>
      <c r="P56" s="40"/>
      <c r="Q56" s="40"/>
      <c r="R56" s="40"/>
      <c r="S56" s="40"/>
      <c r="T56" s="40"/>
      <c r="U56" s="40"/>
      <c r="V56" s="40"/>
      <c r="W56" s="40"/>
      <c r="X56" s="40"/>
      <c r="Y56" s="40"/>
      <c r="Z56" s="40"/>
      <c r="AA56" s="40"/>
    </row>
    <row r="57" spans="1:27">
      <c r="A57" s="3622" t="s">
        <v>1164</v>
      </c>
      <c r="B57" s="1633"/>
      <c r="C57" s="1635"/>
      <c r="D57" s="1636"/>
      <c r="E57" s="1637"/>
      <c r="F57" s="2222"/>
      <c r="G57" s="1629"/>
      <c r="H57" s="1630"/>
      <c r="I57" s="1630"/>
      <c r="J57" s="1683"/>
      <c r="K57" s="40"/>
      <c r="L57" s="40"/>
      <c r="M57" s="40"/>
      <c r="N57" s="40"/>
      <c r="O57" s="40"/>
      <c r="P57" s="40"/>
      <c r="Q57" s="40"/>
      <c r="R57" s="40"/>
      <c r="S57" s="40"/>
      <c r="T57" s="40"/>
      <c r="U57" s="40"/>
      <c r="V57" s="40"/>
      <c r="W57" s="40"/>
      <c r="X57" s="40"/>
      <c r="Y57" s="40"/>
      <c r="Z57" s="40"/>
      <c r="AA57" s="40"/>
    </row>
    <row r="58" spans="1:27">
      <c r="A58" s="236" t="s">
        <v>406</v>
      </c>
      <c r="B58" s="1633">
        <f>'Step 9a--Daily DMI Rations'!J34</f>
        <v>0</v>
      </c>
      <c r="C58" s="1635">
        <f>'Step 9a--Daily DMI Rations'!AK34</f>
        <v>0</v>
      </c>
      <c r="D58" s="1636">
        <f>'Step 9b--Daily DMI Rations'!J34</f>
        <v>0</v>
      </c>
      <c r="E58" s="1637">
        <f>'Step 9b--Daily DMI Rations'!AK34</f>
        <v>0</v>
      </c>
      <c r="F58" s="2222"/>
      <c r="G58" s="1629"/>
      <c r="H58" s="1630"/>
      <c r="I58" s="1630"/>
      <c r="J58" s="1683"/>
      <c r="K58" s="40"/>
      <c r="L58" s="40"/>
      <c r="M58" s="40"/>
      <c r="N58" s="40"/>
      <c r="O58" s="40"/>
      <c r="P58" s="40"/>
      <c r="Q58" s="40"/>
      <c r="R58" s="40"/>
      <c r="S58" s="40"/>
      <c r="T58" s="40"/>
      <c r="U58" s="40"/>
      <c r="V58" s="40"/>
      <c r="W58" s="40"/>
      <c r="X58" s="40"/>
      <c r="Y58" s="40"/>
      <c r="Z58" s="40"/>
      <c r="AA58" s="40"/>
    </row>
    <row r="59" spans="1:27">
      <c r="A59" s="236" t="s">
        <v>22</v>
      </c>
      <c r="B59" s="1633">
        <f>'Step 9a--Daily DMI Rations'!J36</f>
        <v>0</v>
      </c>
      <c r="C59" s="1635">
        <f>'Step 9a--Daily DMI Rations'!AK36</f>
        <v>0</v>
      </c>
      <c r="D59" s="1636">
        <f>'Step 9b--Daily DMI Rations'!J36</f>
        <v>0</v>
      </c>
      <c r="E59" s="1637">
        <f>'Step 9b--Daily DMI Rations'!AK36</f>
        <v>0</v>
      </c>
      <c r="F59" s="2222"/>
      <c r="G59" s="1629"/>
      <c r="H59" s="1630"/>
      <c r="I59" s="1630"/>
      <c r="J59" s="1683"/>
      <c r="K59" s="40"/>
      <c r="L59" s="40"/>
      <c r="M59" s="40"/>
      <c r="N59" s="40"/>
      <c r="O59" s="40"/>
      <c r="P59" s="40"/>
      <c r="Q59" s="40"/>
      <c r="R59" s="40"/>
      <c r="S59" s="40"/>
      <c r="T59" s="40"/>
      <c r="U59" s="40"/>
      <c r="V59" s="40"/>
      <c r="W59" s="40"/>
      <c r="X59" s="40"/>
      <c r="Y59" s="40"/>
      <c r="Z59" s="40"/>
      <c r="AA59" s="40"/>
    </row>
    <row r="60" spans="1:27">
      <c r="A60" s="236" t="s">
        <v>25</v>
      </c>
      <c r="B60" s="1633">
        <f>'Step 9a--Daily DMI Rations'!J38</f>
        <v>0</v>
      </c>
      <c r="C60" s="1635">
        <f>'Step 9a--Daily DMI Rations'!AK38</f>
        <v>0</v>
      </c>
      <c r="D60" s="1636">
        <f>'Step 9b--Daily DMI Rations'!J38</f>
        <v>0</v>
      </c>
      <c r="E60" s="1637">
        <f>'Step 9b--Daily DMI Rations'!AK38</f>
        <v>0</v>
      </c>
      <c r="F60" s="2222"/>
      <c r="G60" s="1629"/>
      <c r="H60" s="1630"/>
      <c r="I60" s="1630"/>
      <c r="J60" s="1683"/>
      <c r="K60" s="40"/>
      <c r="L60" s="40"/>
      <c r="M60" s="40"/>
      <c r="N60" s="40"/>
      <c r="O60" s="40"/>
      <c r="P60" s="40"/>
      <c r="Q60" s="40"/>
      <c r="R60" s="40"/>
      <c r="S60" s="40"/>
      <c r="T60" s="40"/>
      <c r="U60" s="40"/>
      <c r="V60" s="40"/>
      <c r="W60" s="40"/>
      <c r="X60" s="40"/>
      <c r="Y60" s="40"/>
      <c r="Z60" s="40"/>
      <c r="AA60" s="40"/>
    </row>
    <row r="61" spans="1:27">
      <c r="A61" s="236" t="s">
        <v>27</v>
      </c>
      <c r="B61" s="1633">
        <f>'Step 9a--Daily DMI Rations'!J40</f>
        <v>0</v>
      </c>
      <c r="C61" s="1635">
        <f>'Step 9a--Daily DMI Rations'!AK40</f>
        <v>0</v>
      </c>
      <c r="D61" s="1636">
        <f>'Step 9b--Daily DMI Rations'!J40</f>
        <v>0</v>
      </c>
      <c r="E61" s="1637">
        <f>'Step 9b--Daily DMI Rations'!AK40</f>
        <v>0</v>
      </c>
      <c r="F61" s="2222"/>
      <c r="G61" s="1629"/>
      <c r="H61" s="1630"/>
      <c r="I61" s="1630"/>
      <c r="J61" s="1683"/>
      <c r="K61" s="40"/>
      <c r="L61" s="40"/>
      <c r="M61" s="40"/>
      <c r="N61" s="40"/>
      <c r="O61" s="40"/>
      <c r="P61" s="40"/>
      <c r="Q61" s="40"/>
      <c r="R61" s="40"/>
      <c r="S61" s="40"/>
      <c r="T61" s="40"/>
      <c r="U61" s="40"/>
      <c r="V61" s="40"/>
      <c r="W61" s="40"/>
      <c r="X61" s="40"/>
      <c r="Y61" s="40"/>
      <c r="Z61" s="40"/>
      <c r="AA61" s="40"/>
    </row>
    <row r="62" spans="1:27">
      <c r="A62" s="3623" t="s">
        <v>1165</v>
      </c>
      <c r="B62" s="1633"/>
      <c r="C62" s="1635"/>
      <c r="D62" s="1636"/>
      <c r="E62" s="1637"/>
      <c r="F62" s="2222"/>
      <c r="G62" s="1629"/>
      <c r="H62" s="1630"/>
      <c r="I62" s="1630"/>
      <c r="J62" s="1683"/>
      <c r="K62" s="40"/>
      <c r="L62" s="40"/>
      <c r="M62" s="40"/>
      <c r="N62" s="40"/>
      <c r="O62" s="40"/>
      <c r="P62" s="40"/>
      <c r="Q62" s="40"/>
      <c r="R62" s="40"/>
      <c r="S62" s="40"/>
      <c r="T62" s="40"/>
      <c r="U62" s="40"/>
      <c r="V62" s="40"/>
      <c r="W62" s="40"/>
      <c r="X62" s="40"/>
      <c r="Y62" s="40"/>
      <c r="Z62" s="40"/>
      <c r="AA62" s="40"/>
    </row>
    <row r="63" spans="1:27">
      <c r="A63" s="236" t="s">
        <v>7</v>
      </c>
      <c r="B63" s="1641">
        <f>'Step 9a--Daily DMI Rations'!J52</f>
        <v>0</v>
      </c>
      <c r="C63" s="1635">
        <f>'Step 9a--Daily DMI Rations'!AK52</f>
        <v>0</v>
      </c>
      <c r="D63" s="1636">
        <f>'Step 9b--Daily DMI Rations'!J52</f>
        <v>0</v>
      </c>
      <c r="E63" s="1637">
        <f>'Step 9b--Daily DMI Rations'!AK52</f>
        <v>0</v>
      </c>
      <c r="F63" s="2222"/>
      <c r="G63" s="1629"/>
      <c r="H63" s="1630"/>
      <c r="I63" s="1630"/>
      <c r="J63" s="1683"/>
      <c r="K63" s="40"/>
      <c r="L63" s="40"/>
      <c r="M63" s="40"/>
      <c r="N63" s="40"/>
      <c r="O63" s="40"/>
      <c r="P63" s="40"/>
      <c r="Q63" s="40"/>
      <c r="R63" s="40"/>
      <c r="S63" s="40"/>
      <c r="T63" s="40"/>
      <c r="U63" s="40"/>
      <c r="V63" s="40"/>
      <c r="W63" s="40"/>
      <c r="X63" s="40"/>
      <c r="Y63" s="40"/>
      <c r="Z63" s="40"/>
      <c r="AA63" s="40"/>
    </row>
    <row r="64" spans="1:27">
      <c r="A64" s="236" t="s">
        <v>6</v>
      </c>
      <c r="B64" s="1633">
        <f>'Step 9a--Daily DMI Rations'!J54</f>
        <v>0</v>
      </c>
      <c r="C64" s="1635">
        <f>'Step 9a--Daily DMI Rations'!AK54</f>
        <v>0</v>
      </c>
      <c r="D64" s="1636">
        <f>'Step 9b--Daily DMI Rations'!J54</f>
        <v>0</v>
      </c>
      <c r="E64" s="1637">
        <f>'Step 9b--Daily DMI Rations'!AK54</f>
        <v>0</v>
      </c>
      <c r="F64" s="2222"/>
      <c r="G64" s="1629"/>
      <c r="H64" s="1630"/>
      <c r="I64" s="1630"/>
      <c r="J64" s="1683"/>
      <c r="K64" s="40"/>
      <c r="L64" s="40"/>
      <c r="M64" s="40"/>
      <c r="N64" s="40"/>
      <c r="O64" s="40"/>
      <c r="P64" s="40"/>
      <c r="Q64" s="40"/>
      <c r="R64" s="40"/>
      <c r="S64" s="40"/>
      <c r="T64" s="40"/>
      <c r="U64" s="40"/>
      <c r="V64" s="40"/>
      <c r="W64" s="40"/>
      <c r="X64" s="40"/>
      <c r="Y64" s="40"/>
      <c r="Z64" s="40"/>
      <c r="AA64" s="40"/>
    </row>
    <row r="65" spans="1:27" ht="25.5">
      <c r="A65" s="3616" t="s">
        <v>1169</v>
      </c>
      <c r="B65" s="1609" t="str">
        <f>IF('Step 9a--Daily DMI Rations'!J24+'Step 9a--Daily DMI Rations'!J26+'Step 9a--Daily DMI Rations'!J28+'Step 9a--Daily DMI Rations'!J42+'Step 9a--Daily DMI Rations'!J44+'Step 9a--Daily DMI Rations'!J46+'Step 9a--Daily DMI Rations'!J56+'Step 9a--Daily DMI Rations'!J58+'Step 9a--Daily DMI Rations'!J60&gt;0,"Yes","No")</f>
        <v>No</v>
      </c>
      <c r="C65" s="116" t="str">
        <f>IF('Step 9a--Daily DMI Rations'!AK24+'Step 9a--Daily DMI Rations'!AK26+'Step 9a--Daily DMI Rations'!AK28+'Step 9a--Daily DMI Rations'!AK42+'Step 9a--Daily DMI Rations'!AK44+'Step 9a--Daily DMI Rations'!AK46+'Step 9a--Daily DMI Rations'!AK56+'Step 9a--Daily DMI Rations'!AK58+'Step 9a--Daily DMI Rations'!AK60&gt;0,"Yes","No")</f>
        <v>No</v>
      </c>
      <c r="D65" s="1618" t="str">
        <f>IF('Step 9b--Daily DMI Rations'!J24+'Step 9b--Daily DMI Rations'!J26+'Step 9b--Daily DMI Rations'!J28+'Step 9b--Daily DMI Rations'!J42+'Step 9b--Daily DMI Rations'!J44+'Step 9b--Daily DMI Rations'!J46+'Step 9b--Daily DMI Rations'!J56+'Step 9b--Daily DMI Rations'!J58+'Step 9b--Daily DMI Rations'!J60&gt;0,"Yes","No")</f>
        <v>No</v>
      </c>
      <c r="E65" s="1622" t="str">
        <f>IF('Step 9b--Daily DMI Rations'!AK24+'Step 9b--Daily DMI Rations'!AK26+'Step 9b--Daily DMI Rations'!AK28+'Step 9b--Daily DMI Rations'!AK42+'Step 9b--Daily DMI Rations'!AK44+'Step 9b--Daily DMI Rations'!AK46+'Step 9b--Daily DMI Rations'!AK56+'Step 9b--Daily DMI Rations'!AK58+'Step 9b--Daily DMI Rations'!AK60&gt;0,"Yes","No")</f>
        <v>No</v>
      </c>
      <c r="F65" s="2222"/>
      <c r="G65" s="1629"/>
      <c r="H65" s="1630"/>
      <c r="I65" s="1630"/>
      <c r="J65" s="1683"/>
      <c r="K65" s="40"/>
      <c r="L65" s="40"/>
      <c r="M65" s="40"/>
      <c r="N65" s="40"/>
      <c r="O65" s="40"/>
      <c r="P65" s="40"/>
      <c r="Q65" s="40"/>
      <c r="R65" s="40"/>
      <c r="S65" s="40"/>
      <c r="T65" s="40"/>
      <c r="U65" s="40"/>
      <c r="V65" s="40"/>
      <c r="W65" s="40"/>
      <c r="X65" s="40"/>
      <c r="Y65" s="40"/>
      <c r="Z65" s="40"/>
      <c r="AA65" s="40"/>
    </row>
    <row r="66" spans="1:27">
      <c r="A66" s="206"/>
      <c r="B66" s="1609"/>
      <c r="C66" s="1615"/>
      <c r="D66" s="1618"/>
      <c r="E66" s="1622"/>
      <c r="F66" s="2222"/>
      <c r="G66" s="1629"/>
      <c r="H66" s="1630"/>
      <c r="I66" s="1630"/>
      <c r="J66" s="1683"/>
      <c r="K66" s="40"/>
      <c r="L66" s="40"/>
      <c r="M66" s="40"/>
      <c r="N66" s="40"/>
      <c r="O66" s="40"/>
      <c r="P66" s="40"/>
      <c r="Q66" s="40"/>
      <c r="R66" s="40"/>
      <c r="S66" s="40"/>
      <c r="T66" s="40"/>
      <c r="U66" s="40"/>
      <c r="V66" s="40"/>
      <c r="W66" s="40"/>
      <c r="X66" s="40"/>
      <c r="Y66" s="40"/>
      <c r="Z66" s="40"/>
      <c r="AA66" s="40"/>
    </row>
    <row r="67" spans="1:27">
      <c r="A67" s="221" t="s">
        <v>1167</v>
      </c>
      <c r="B67" s="1609"/>
      <c r="C67" s="1615"/>
      <c r="D67" s="1618"/>
      <c r="E67" s="1622"/>
      <c r="F67" s="2222"/>
      <c r="G67" s="1629"/>
      <c r="H67" s="1630"/>
      <c r="I67" s="1630"/>
      <c r="J67" s="1683"/>
      <c r="K67" s="40"/>
      <c r="L67" s="40"/>
      <c r="M67" s="40"/>
      <c r="N67" s="40"/>
      <c r="O67" s="40"/>
      <c r="P67" s="40"/>
      <c r="Q67" s="40"/>
      <c r="R67" s="40"/>
      <c r="S67" s="40"/>
      <c r="T67" s="40"/>
      <c r="U67" s="40"/>
      <c r="V67" s="40"/>
      <c r="W67" s="40"/>
      <c r="X67" s="40"/>
      <c r="Y67" s="40"/>
      <c r="Z67" s="40"/>
      <c r="AA67" s="40"/>
    </row>
    <row r="68" spans="1:27">
      <c r="A68" s="3614" t="s">
        <v>1163</v>
      </c>
      <c r="B68" s="1609"/>
      <c r="C68" s="3564"/>
      <c r="D68" s="3565"/>
      <c r="E68" s="1622"/>
      <c r="F68" s="2222"/>
      <c r="G68" s="1629"/>
      <c r="H68" s="1630"/>
      <c r="I68" s="1630"/>
      <c r="J68" s="1683"/>
      <c r="K68" s="40"/>
      <c r="L68" s="40"/>
      <c r="M68" s="40"/>
      <c r="N68" s="40"/>
      <c r="O68" s="40"/>
      <c r="P68" s="40"/>
      <c r="Q68" s="40"/>
      <c r="R68" s="40"/>
      <c r="S68" s="40"/>
      <c r="T68" s="40"/>
      <c r="U68" s="40"/>
      <c r="V68" s="40"/>
      <c r="W68" s="40"/>
      <c r="X68" s="40"/>
      <c r="Y68" s="40"/>
      <c r="Z68" s="40"/>
      <c r="AA68" s="40"/>
    </row>
    <row r="69" spans="1:27">
      <c r="A69" s="236" t="s">
        <v>104</v>
      </c>
      <c r="B69" s="1633">
        <f>'Step 9a--Daily DMI Rations'!P12</f>
        <v>0.5</v>
      </c>
      <c r="C69" s="1635">
        <f>'Step 9a--Daily DMI Rations'!AQ12</f>
        <v>0.5</v>
      </c>
      <c r="D69" s="1636">
        <f>'Step 9b--Daily DMI Rations'!P12</f>
        <v>0.5</v>
      </c>
      <c r="E69" s="1642">
        <f>'Step 9b--Daily DMI Rations'!AQ12</f>
        <v>0.5</v>
      </c>
      <c r="F69" s="2222"/>
      <c r="G69" s="1629"/>
      <c r="H69" s="1630"/>
      <c r="I69" s="1630"/>
      <c r="J69" s="1683"/>
      <c r="K69" s="40"/>
      <c r="L69" s="40"/>
      <c r="M69" s="40"/>
      <c r="N69" s="40"/>
      <c r="O69" s="40"/>
      <c r="P69" s="40"/>
      <c r="Q69" s="40"/>
      <c r="R69" s="40"/>
      <c r="S69" s="40"/>
      <c r="T69" s="40"/>
      <c r="U69" s="40"/>
      <c r="V69" s="40"/>
      <c r="W69" s="40"/>
      <c r="X69" s="40"/>
      <c r="Y69" s="40"/>
      <c r="Z69" s="40"/>
      <c r="AA69" s="40"/>
    </row>
    <row r="70" spans="1:27">
      <c r="A70" s="236" t="s">
        <v>29</v>
      </c>
      <c r="B70" s="1633">
        <f>'Step 9a--Daily DMI Rations'!P14</f>
        <v>0</v>
      </c>
      <c r="C70" s="1635">
        <f>'Step 9a--Daily DMI Rations'!AQ14</f>
        <v>0</v>
      </c>
      <c r="D70" s="1636">
        <f>'Step 9b--Daily DMI Rations'!P14</f>
        <v>0</v>
      </c>
      <c r="E70" s="1642">
        <f>'Step 9b--Daily DMI Rations'!AQ14</f>
        <v>0</v>
      </c>
      <c r="F70" s="2222"/>
      <c r="G70" s="1629"/>
      <c r="H70" s="1630"/>
      <c r="I70" s="1630"/>
      <c r="J70" s="1683"/>
      <c r="K70" s="40"/>
      <c r="L70" s="40"/>
      <c r="M70" s="40"/>
      <c r="N70" s="40"/>
      <c r="O70" s="40"/>
      <c r="P70" s="40"/>
      <c r="Q70" s="40"/>
      <c r="R70" s="40"/>
      <c r="S70" s="40"/>
      <c r="T70" s="40"/>
      <c r="U70" s="40"/>
      <c r="V70" s="40"/>
      <c r="W70" s="40"/>
      <c r="X70" s="40"/>
      <c r="Y70" s="40"/>
      <c r="Z70" s="40"/>
      <c r="AA70" s="40"/>
    </row>
    <row r="71" spans="1:27">
      <c r="A71" s="236" t="s">
        <v>3</v>
      </c>
      <c r="B71" s="1633">
        <f>'Step 9a--Daily DMI Rations'!P16</f>
        <v>0</v>
      </c>
      <c r="C71" s="1635">
        <f>'Step 9a--Daily DMI Rations'!AQ16</f>
        <v>0</v>
      </c>
      <c r="D71" s="1636">
        <f>'Step 9b--Daily DMI Rations'!P16</f>
        <v>0</v>
      </c>
      <c r="E71" s="1642">
        <f>'Step 9b--Daily DMI Rations'!AQ16</f>
        <v>0</v>
      </c>
      <c r="F71" s="2222"/>
      <c r="G71" s="1629"/>
      <c r="H71" s="1630"/>
      <c r="I71" s="1630"/>
      <c r="J71" s="1683"/>
      <c r="K71" s="40"/>
      <c r="L71" s="40"/>
      <c r="M71" s="40"/>
      <c r="N71" s="40"/>
      <c r="O71" s="40"/>
      <c r="P71" s="40"/>
      <c r="Q71" s="40"/>
      <c r="R71" s="40"/>
      <c r="S71" s="40"/>
      <c r="T71" s="40"/>
      <c r="U71" s="40"/>
      <c r="V71" s="40"/>
      <c r="W71" s="40"/>
      <c r="X71" s="40"/>
      <c r="Y71" s="40"/>
      <c r="Z71" s="40"/>
      <c r="AA71" s="40"/>
    </row>
    <row r="72" spans="1:27">
      <c r="A72" s="236" t="s">
        <v>35</v>
      </c>
      <c r="B72" s="1633">
        <f>'Step 9a--Daily DMI Rations'!P18</f>
        <v>0.15</v>
      </c>
      <c r="C72" s="1635">
        <f>'Step 9a--Daily DMI Rations'!AQ18</f>
        <v>0.15</v>
      </c>
      <c r="D72" s="1636">
        <f>'Step 9b--Daily DMI Rations'!P18</f>
        <v>0.15</v>
      </c>
      <c r="E72" s="1637">
        <f>'Step 9b--Daily DMI Rations'!AQ18</f>
        <v>0.15</v>
      </c>
      <c r="F72" s="2222"/>
      <c r="G72" s="1629"/>
      <c r="H72" s="1630"/>
      <c r="I72" s="1630"/>
      <c r="J72" s="1683"/>
      <c r="K72" s="40"/>
      <c r="L72" s="40"/>
      <c r="M72" s="40"/>
      <c r="N72" s="40"/>
      <c r="O72" s="40"/>
      <c r="P72" s="40"/>
      <c r="Q72" s="40"/>
      <c r="R72" s="40"/>
      <c r="S72" s="40"/>
      <c r="T72" s="40"/>
      <c r="U72" s="40"/>
      <c r="V72" s="40"/>
      <c r="W72" s="40"/>
      <c r="X72" s="40"/>
      <c r="Y72" s="40"/>
      <c r="Z72" s="40"/>
      <c r="AA72" s="40"/>
    </row>
    <row r="73" spans="1:27">
      <c r="A73" s="236" t="s">
        <v>19</v>
      </c>
      <c r="B73" s="1633">
        <f>'Step 9a--Daily DMI Rations'!P20</f>
        <v>0.25</v>
      </c>
      <c r="C73" s="1635">
        <f>'Step 9a--Daily DMI Rations'!AQ20</f>
        <v>0.25</v>
      </c>
      <c r="D73" s="1636">
        <f>'Step 9b--Daily DMI Rations'!P20</f>
        <v>0.25</v>
      </c>
      <c r="E73" s="1637">
        <f>'Step 9b--Daily DMI Rations'!AQ20</f>
        <v>0.25</v>
      </c>
      <c r="F73" s="2222"/>
      <c r="G73" s="1629"/>
      <c r="H73" s="1630"/>
      <c r="I73" s="1630"/>
      <c r="J73" s="1683"/>
      <c r="K73" s="40"/>
      <c r="L73" s="40"/>
      <c r="M73" s="40"/>
      <c r="N73" s="40"/>
      <c r="O73" s="40"/>
      <c r="P73" s="40"/>
      <c r="Q73" s="40"/>
      <c r="R73" s="40"/>
      <c r="S73" s="40"/>
      <c r="T73" s="40"/>
      <c r="U73" s="40"/>
      <c r="V73" s="40"/>
      <c r="W73" s="40"/>
      <c r="X73" s="40"/>
      <c r="Y73" s="40"/>
      <c r="Z73" s="40"/>
      <c r="AA73" s="40"/>
    </row>
    <row r="74" spans="1:27">
      <c r="A74" s="236" t="s">
        <v>31</v>
      </c>
      <c r="B74" s="1633">
        <f>'Step 9a--Daily DMI Rations'!P22</f>
        <v>0.1</v>
      </c>
      <c r="C74" s="1635">
        <f>'Step 9a--Daily DMI Rations'!AQ22</f>
        <v>0.1</v>
      </c>
      <c r="D74" s="1636">
        <f>'Step 9b--Daily DMI Rations'!P22</f>
        <v>0.1</v>
      </c>
      <c r="E74" s="1637">
        <f>'Step 9b--Daily DMI Rations'!AQ22</f>
        <v>0.1</v>
      </c>
      <c r="F74" s="2222"/>
      <c r="G74" s="1629"/>
      <c r="H74" s="1630"/>
      <c r="I74" s="1630"/>
      <c r="J74" s="1683"/>
      <c r="K74" s="40"/>
      <c r="L74" s="40"/>
      <c r="M74" s="40"/>
      <c r="N74" s="40"/>
      <c r="O74" s="40"/>
      <c r="P74" s="40"/>
      <c r="Q74" s="40"/>
      <c r="R74" s="40"/>
      <c r="S74" s="40"/>
      <c r="T74" s="40"/>
      <c r="U74" s="40"/>
      <c r="V74" s="40"/>
      <c r="W74" s="40"/>
      <c r="X74" s="40"/>
      <c r="Y74" s="40"/>
      <c r="Z74" s="40"/>
      <c r="AA74" s="40"/>
    </row>
    <row r="75" spans="1:27">
      <c r="A75" s="3622" t="s">
        <v>1164</v>
      </c>
      <c r="B75" s="1633"/>
      <c r="C75" s="1635"/>
      <c r="D75" s="1636"/>
      <c r="E75" s="1637"/>
      <c r="F75" s="2222"/>
      <c r="G75" s="1629"/>
      <c r="H75" s="1630"/>
      <c r="I75" s="1630"/>
      <c r="J75" s="1683"/>
      <c r="K75" s="40"/>
      <c r="L75" s="40"/>
      <c r="M75" s="40"/>
      <c r="N75" s="40"/>
      <c r="O75" s="40"/>
      <c r="P75" s="40"/>
      <c r="Q75" s="40"/>
      <c r="R75" s="40"/>
      <c r="S75" s="40"/>
      <c r="T75" s="40"/>
      <c r="U75" s="40"/>
      <c r="V75" s="40"/>
      <c r="W75" s="40"/>
      <c r="X75" s="40"/>
      <c r="Y75" s="40"/>
      <c r="Z75" s="40"/>
      <c r="AA75" s="40"/>
    </row>
    <row r="76" spans="1:27">
      <c r="A76" s="236" t="s">
        <v>406</v>
      </c>
      <c r="B76" s="1633">
        <f>'Step 9a--Daily DMI Rations'!P34</f>
        <v>0</v>
      </c>
      <c r="C76" s="1635">
        <f>'Step 9a--Daily DMI Rations'!AQ34</f>
        <v>0</v>
      </c>
      <c r="D76" s="1636">
        <f>'Step 9b--Daily DMI Rations'!P34</f>
        <v>0</v>
      </c>
      <c r="E76" s="1637">
        <f>'Step 9b--Daily DMI Rations'!AQ34</f>
        <v>0</v>
      </c>
      <c r="F76" s="2222"/>
      <c r="G76" s="1629"/>
      <c r="H76" s="1630"/>
      <c r="I76" s="1630"/>
      <c r="J76" s="1683"/>
      <c r="K76" s="40"/>
      <c r="L76" s="40"/>
      <c r="M76" s="40"/>
      <c r="N76" s="40"/>
      <c r="O76" s="40"/>
      <c r="P76" s="40"/>
      <c r="Q76" s="40"/>
      <c r="R76" s="40"/>
      <c r="S76" s="40"/>
      <c r="T76" s="40"/>
      <c r="U76" s="40"/>
      <c r="V76" s="40"/>
      <c r="W76" s="40"/>
      <c r="X76" s="40"/>
      <c r="Y76" s="40"/>
      <c r="Z76" s="40"/>
      <c r="AA76" s="40"/>
    </row>
    <row r="77" spans="1:27">
      <c r="A77" s="236" t="s">
        <v>22</v>
      </c>
      <c r="B77" s="1633">
        <f>'Step 9a--Daily DMI Rations'!P36</f>
        <v>0</v>
      </c>
      <c r="C77" s="1635">
        <f>'Step 9a--Daily DMI Rations'!AQ36</f>
        <v>0</v>
      </c>
      <c r="D77" s="1636">
        <f>'Step 9b--Daily DMI Rations'!P36</f>
        <v>0</v>
      </c>
      <c r="E77" s="1637">
        <f>'Step 9b--Daily DMI Rations'!AQ36</f>
        <v>0</v>
      </c>
      <c r="F77" s="2222"/>
      <c r="G77" s="1629"/>
      <c r="H77" s="1630"/>
      <c r="I77" s="1630"/>
      <c r="J77" s="1683"/>
      <c r="K77" s="40"/>
      <c r="L77" s="40"/>
      <c r="M77" s="40"/>
      <c r="N77" s="40"/>
      <c r="O77" s="40"/>
      <c r="P77" s="40"/>
      <c r="Q77" s="40"/>
      <c r="R77" s="40"/>
      <c r="S77" s="40"/>
      <c r="T77" s="40"/>
      <c r="U77" s="40"/>
      <c r="V77" s="40"/>
      <c r="W77" s="40"/>
      <c r="X77" s="40"/>
      <c r="Y77" s="40"/>
      <c r="Z77" s="40"/>
      <c r="AA77" s="40"/>
    </row>
    <row r="78" spans="1:27">
      <c r="A78" s="236" t="s">
        <v>25</v>
      </c>
      <c r="B78" s="1633">
        <f>'Step 9a--Daily DMI Rations'!P38</f>
        <v>0</v>
      </c>
      <c r="C78" s="1635">
        <f>'Step 9a--Daily DMI Rations'!AQ38</f>
        <v>0</v>
      </c>
      <c r="D78" s="1636">
        <f>'Step 9b--Daily DMI Rations'!P38</f>
        <v>0</v>
      </c>
      <c r="E78" s="1637">
        <f>'Step 9b--Daily DMI Rations'!AQ38</f>
        <v>0</v>
      </c>
      <c r="F78" s="2222"/>
      <c r="G78" s="1629"/>
      <c r="H78" s="1630"/>
      <c r="I78" s="1630"/>
      <c r="J78" s="1683"/>
      <c r="K78" s="40"/>
      <c r="L78" s="40"/>
      <c r="M78" s="40"/>
      <c r="N78" s="40"/>
      <c r="O78" s="40"/>
      <c r="P78" s="40"/>
      <c r="Q78" s="40"/>
      <c r="R78" s="40"/>
      <c r="S78" s="40"/>
      <c r="T78" s="40"/>
      <c r="U78" s="40"/>
      <c r="V78" s="40"/>
      <c r="W78" s="40"/>
      <c r="X78" s="40"/>
      <c r="Y78" s="40"/>
      <c r="Z78" s="40"/>
      <c r="AA78" s="40"/>
    </row>
    <row r="79" spans="1:27">
      <c r="A79" s="236" t="s">
        <v>27</v>
      </c>
      <c r="B79" s="1633">
        <f>'Step 9a--Daily DMI Rations'!P40</f>
        <v>0</v>
      </c>
      <c r="C79" s="1635">
        <f>'Step 9a--Daily DMI Rations'!AQ40</f>
        <v>0</v>
      </c>
      <c r="D79" s="1636">
        <f>'Step 9b--Daily DMI Rations'!P40</f>
        <v>0</v>
      </c>
      <c r="E79" s="1637">
        <f>'Step 9b--Daily DMI Rations'!AQ40</f>
        <v>0</v>
      </c>
      <c r="F79" s="2222"/>
      <c r="G79" s="1629"/>
      <c r="H79" s="1630"/>
      <c r="I79" s="1630"/>
      <c r="J79" s="1683"/>
      <c r="K79" s="40"/>
      <c r="L79" s="40"/>
      <c r="M79" s="40"/>
      <c r="N79" s="40"/>
      <c r="O79" s="40"/>
      <c r="P79" s="40"/>
      <c r="Q79" s="40"/>
      <c r="R79" s="40"/>
      <c r="S79" s="40"/>
      <c r="T79" s="40"/>
      <c r="U79" s="40"/>
      <c r="V79" s="40"/>
      <c r="W79" s="40"/>
      <c r="X79" s="40"/>
      <c r="Y79" s="40"/>
      <c r="Z79" s="40"/>
      <c r="AA79" s="40"/>
    </row>
    <row r="80" spans="1:27">
      <c r="A80" s="3623" t="s">
        <v>1165</v>
      </c>
      <c r="B80" s="1633"/>
      <c r="C80" s="1635"/>
      <c r="D80" s="1636"/>
      <c r="E80" s="1637"/>
      <c r="F80" s="2222"/>
      <c r="G80" s="1629"/>
      <c r="H80" s="1630"/>
      <c r="I80" s="1630"/>
      <c r="J80" s="1683"/>
      <c r="K80" s="40"/>
      <c r="L80" s="40"/>
      <c r="M80" s="40"/>
      <c r="N80" s="40"/>
      <c r="O80" s="40"/>
      <c r="P80" s="40"/>
      <c r="Q80" s="40"/>
      <c r="R80" s="40"/>
      <c r="S80" s="40"/>
      <c r="T80" s="40"/>
      <c r="U80" s="40"/>
      <c r="V80" s="40"/>
      <c r="W80" s="40"/>
      <c r="X80" s="40"/>
      <c r="Y80" s="40"/>
      <c r="Z80" s="40"/>
      <c r="AA80" s="40"/>
    </row>
    <row r="81" spans="1:27">
      <c r="A81" s="236" t="s">
        <v>7</v>
      </c>
      <c r="B81" s="1641">
        <f>'Step 9a--Daily DMI Rations'!P52</f>
        <v>0</v>
      </c>
      <c r="C81" s="1635">
        <f>'Step 9a--Daily DMI Rations'!AQ52</f>
        <v>0</v>
      </c>
      <c r="D81" s="1636">
        <f>'Step 9b--Daily DMI Rations'!P52</f>
        <v>0</v>
      </c>
      <c r="E81" s="1637">
        <f>'Step 9b--Daily DMI Rations'!AQ52</f>
        <v>0</v>
      </c>
      <c r="F81" s="2222"/>
      <c r="G81" s="1629"/>
      <c r="H81" s="1630"/>
      <c r="I81" s="1630"/>
      <c r="J81" s="1683"/>
      <c r="K81" s="40"/>
      <c r="L81" s="40"/>
      <c r="M81" s="40"/>
      <c r="N81" s="40"/>
      <c r="O81" s="40"/>
      <c r="P81" s="40"/>
      <c r="Q81" s="40"/>
      <c r="R81" s="40"/>
      <c r="S81" s="40"/>
      <c r="T81" s="40"/>
      <c r="U81" s="40"/>
      <c r="V81" s="40"/>
      <c r="W81" s="40"/>
      <c r="X81" s="40"/>
      <c r="Y81" s="40"/>
      <c r="Z81" s="40"/>
      <c r="AA81" s="40"/>
    </row>
    <row r="82" spans="1:27">
      <c r="A82" s="236" t="s">
        <v>6</v>
      </c>
      <c r="B82" s="1633">
        <f>'Step 9a--Daily DMI Rations'!P54</f>
        <v>0</v>
      </c>
      <c r="C82" s="1635">
        <f>'Step 9a--Daily DMI Rations'!AQ54</f>
        <v>0</v>
      </c>
      <c r="D82" s="1636">
        <f>'Step 9b--Daily DMI Rations'!P54</f>
        <v>0</v>
      </c>
      <c r="E82" s="1637">
        <f>'Step 9b--Daily DMI Rations'!AQ54</f>
        <v>0</v>
      </c>
      <c r="F82" s="2222"/>
      <c r="G82" s="1629"/>
      <c r="H82" s="1630"/>
      <c r="I82" s="1630"/>
      <c r="J82" s="1683"/>
      <c r="K82" s="40"/>
      <c r="L82" s="40"/>
      <c r="M82" s="40"/>
      <c r="N82" s="40"/>
      <c r="O82" s="40"/>
      <c r="P82" s="40"/>
      <c r="Q82" s="40"/>
      <c r="R82" s="40"/>
      <c r="S82" s="40"/>
      <c r="T82" s="40"/>
      <c r="U82" s="40"/>
      <c r="V82" s="40"/>
      <c r="W82" s="40"/>
      <c r="X82" s="40"/>
      <c r="Y82" s="40"/>
      <c r="Z82" s="40"/>
      <c r="AA82" s="40"/>
    </row>
    <row r="83" spans="1:27" ht="25.5">
      <c r="A83" s="3616" t="s">
        <v>1169</v>
      </c>
      <c r="B83" s="1609" t="str">
        <f>IF('Step 9a--Daily DMI Rations'!P24+'Step 9a--Daily DMI Rations'!P26+'Step 9a--Daily DMI Rations'!P28+'Step 9a--Daily DMI Rations'!P42+'Step 9a--Daily DMI Rations'!P44+'Step 9a--Daily DMI Rations'!P46+'Step 9a--Daily DMI Rations'!P56+'Step 9a--Daily DMI Rations'!P58+'Step 9a--Daily DMI Rations'!P60&gt;0,"Yes","No")</f>
        <v>No</v>
      </c>
      <c r="C83" s="116" t="str">
        <f>IF('Step 9a--Daily DMI Rations'!AQ24+'Step 9a--Daily DMI Rations'!AQ26+'Step 9a--Daily DMI Rations'!AQ28+'Step 9a--Daily DMI Rations'!AQ42+'Step 9a--Daily DMI Rations'!AQ44+'Step 9a--Daily DMI Rations'!AQ46+'Step 9a--Daily DMI Rations'!AQ56+'Step 9a--Daily DMI Rations'!AQ58+'Step 9a--Daily DMI Rations'!AQ60&gt;0,"Yes","No")</f>
        <v>No</v>
      </c>
      <c r="D83" s="1618" t="str">
        <f>IF('Step 9b--Daily DMI Rations'!P24+'Step 9b--Daily DMI Rations'!P26+'Step 9b--Daily DMI Rations'!P28+'Step 9b--Daily DMI Rations'!P42+'Step 9b--Daily DMI Rations'!P44+'Step 9b--Daily DMI Rations'!P46+'Step 9b--Daily DMI Rations'!P56+'Step 9b--Daily DMI Rations'!P58+'Step 9b--Daily DMI Rations'!P60&gt;0,"Yes","No")</f>
        <v>No</v>
      </c>
      <c r="E83" s="1622" t="str">
        <f>IF('Step 9b--Daily DMI Rations'!AQ24+'Step 9b--Daily DMI Rations'!AQ26+'Step 9b--Daily DMI Rations'!AQ28+'Step 9b--Daily DMI Rations'!AQ42+'Step 9b--Daily DMI Rations'!AQ44+'Step 9b--Daily DMI Rations'!AQ46+'Step 9b--Daily DMI Rations'!AQ56+'Step 9b--Daily DMI Rations'!AQ58+'Step 9b--Daily DMI Rations'!AQ60&gt;0,"Yes","No")</f>
        <v>No</v>
      </c>
      <c r="F83" s="2222"/>
      <c r="G83" s="1629"/>
      <c r="H83" s="1630"/>
      <c r="I83" s="1630"/>
      <c r="J83" s="1683"/>
      <c r="K83" s="40"/>
      <c r="L83" s="40"/>
      <c r="M83" s="40"/>
      <c r="N83" s="40"/>
      <c r="O83" s="40"/>
      <c r="P83" s="40"/>
      <c r="Q83" s="40"/>
      <c r="R83" s="40"/>
      <c r="S83" s="40"/>
      <c r="T83" s="40"/>
      <c r="U83" s="40"/>
      <c r="V83" s="40"/>
      <c r="W83" s="40"/>
      <c r="X83" s="40"/>
      <c r="Y83" s="40"/>
      <c r="Z83" s="40"/>
      <c r="AA83" s="40"/>
    </row>
    <row r="84" spans="1:27">
      <c r="A84" s="206"/>
      <c r="B84" s="1609"/>
      <c r="C84" s="1615"/>
      <c r="D84" s="1618"/>
      <c r="E84" s="1622"/>
      <c r="F84" s="2222"/>
      <c r="G84" s="1629"/>
      <c r="H84" s="1630"/>
      <c r="I84" s="1630"/>
      <c r="J84" s="1683"/>
      <c r="K84" s="40"/>
      <c r="L84" s="40"/>
      <c r="M84" s="40"/>
      <c r="N84" s="40"/>
      <c r="O84" s="40"/>
      <c r="P84" s="40"/>
      <c r="Q84" s="40"/>
      <c r="R84" s="40"/>
      <c r="S84" s="40"/>
      <c r="T84" s="40"/>
      <c r="U84" s="40"/>
      <c r="V84" s="40"/>
      <c r="W84" s="40"/>
      <c r="X84" s="40"/>
      <c r="Y84" s="40"/>
      <c r="Z84" s="40"/>
      <c r="AA84" s="40"/>
    </row>
    <row r="85" spans="1:27">
      <c r="A85" s="221" t="s">
        <v>1168</v>
      </c>
      <c r="B85" s="1609"/>
      <c r="C85" s="1615"/>
      <c r="D85" s="1618"/>
      <c r="E85" s="1622"/>
      <c r="F85" s="2222"/>
      <c r="G85" s="1629"/>
      <c r="H85" s="1630"/>
      <c r="I85" s="1630"/>
      <c r="J85" s="1683"/>
      <c r="K85" s="40"/>
      <c r="L85" s="40"/>
      <c r="M85" s="40"/>
      <c r="N85" s="40"/>
      <c r="O85" s="40"/>
      <c r="P85" s="40"/>
      <c r="Q85" s="40"/>
      <c r="R85" s="40"/>
      <c r="S85" s="40"/>
      <c r="T85" s="40"/>
      <c r="U85" s="40"/>
      <c r="V85" s="40"/>
      <c r="W85" s="40"/>
      <c r="X85" s="40"/>
      <c r="Y85" s="40"/>
      <c r="Z85" s="40"/>
      <c r="AA85" s="40"/>
    </row>
    <row r="86" spans="1:27">
      <c r="A86" s="3614" t="s">
        <v>1163</v>
      </c>
      <c r="B86" s="1609"/>
      <c r="C86" s="3564"/>
      <c r="D86" s="3565"/>
      <c r="E86" s="1622"/>
      <c r="F86" s="2222"/>
      <c r="G86" s="1629"/>
      <c r="H86" s="1630"/>
      <c r="I86" s="1630"/>
      <c r="J86" s="1683"/>
      <c r="K86" s="40"/>
      <c r="L86" s="40"/>
      <c r="M86" s="40"/>
      <c r="N86" s="40"/>
      <c r="O86" s="40"/>
      <c r="P86" s="40"/>
      <c r="Q86" s="40"/>
      <c r="R86" s="40"/>
      <c r="S86" s="40"/>
      <c r="T86" s="40"/>
      <c r="U86" s="40"/>
      <c r="V86" s="40"/>
      <c r="W86" s="40"/>
      <c r="X86" s="40"/>
      <c r="Y86" s="40"/>
      <c r="Z86" s="40"/>
      <c r="AA86" s="40"/>
    </row>
    <row r="87" spans="1:27">
      <c r="A87" s="236" t="s">
        <v>104</v>
      </c>
      <c r="B87" s="1633">
        <f>'Step 9a--Daily DMI Rations'!V12</f>
        <v>0.5</v>
      </c>
      <c r="C87" s="1635">
        <f>'Step 9a--Daily DMI Rations'!AW12</f>
        <v>0.5</v>
      </c>
      <c r="D87" s="1636">
        <f>'Step 9b--Daily DMI Rations'!V12</f>
        <v>0.5</v>
      </c>
      <c r="E87" s="1642">
        <f>'Step 9b--Daily DMI Rations'!AW12</f>
        <v>0.5</v>
      </c>
      <c r="F87" s="2222"/>
      <c r="G87" s="1629"/>
      <c r="H87" s="1630"/>
      <c r="I87" s="1630"/>
      <c r="J87" s="1683"/>
      <c r="K87" s="40"/>
      <c r="L87" s="40"/>
      <c r="M87" s="40"/>
      <c r="N87" s="40"/>
      <c r="O87" s="40"/>
      <c r="P87" s="40"/>
      <c r="Q87" s="40"/>
      <c r="R87" s="40"/>
      <c r="S87" s="40"/>
      <c r="T87" s="40"/>
      <c r="U87" s="40"/>
      <c r="V87" s="40"/>
      <c r="W87" s="40"/>
      <c r="X87" s="40"/>
      <c r="Y87" s="40"/>
      <c r="Z87" s="40"/>
      <c r="AA87" s="40"/>
    </row>
    <row r="88" spans="1:27">
      <c r="A88" s="236" t="s">
        <v>29</v>
      </c>
      <c r="B88" s="1633">
        <f>'Step 9a--Daily DMI Rations'!V14</f>
        <v>0</v>
      </c>
      <c r="C88" s="1635">
        <f>'Step 9a--Daily DMI Rations'!AW14</f>
        <v>0</v>
      </c>
      <c r="D88" s="1636">
        <f>'Step 9b--Daily DMI Rations'!V14</f>
        <v>0</v>
      </c>
      <c r="E88" s="1642">
        <f>'Step 9b--Daily DMI Rations'!AW14</f>
        <v>0</v>
      </c>
      <c r="F88" s="2222"/>
      <c r="G88" s="1629"/>
      <c r="H88" s="1630"/>
      <c r="I88" s="1630"/>
      <c r="J88" s="1683"/>
      <c r="K88" s="40"/>
      <c r="L88" s="40"/>
      <c r="M88" s="40"/>
      <c r="N88" s="40"/>
      <c r="O88" s="40"/>
      <c r="P88" s="40"/>
      <c r="Q88" s="40"/>
      <c r="R88" s="40"/>
      <c r="S88" s="40"/>
      <c r="T88" s="40"/>
      <c r="U88" s="40"/>
      <c r="V88" s="40"/>
      <c r="W88" s="40"/>
      <c r="X88" s="40"/>
      <c r="Y88" s="40"/>
      <c r="Z88" s="40"/>
      <c r="AA88" s="40"/>
    </row>
    <row r="89" spans="1:27">
      <c r="A89" s="236" t="s">
        <v>3</v>
      </c>
      <c r="B89" s="1633">
        <f>'Step 9a--Daily DMI Rations'!V16</f>
        <v>0</v>
      </c>
      <c r="C89" s="1635">
        <f>'Step 9a--Daily DMI Rations'!AW16</f>
        <v>0</v>
      </c>
      <c r="D89" s="1636">
        <f>'Step 9b--Daily DMI Rations'!V16</f>
        <v>0</v>
      </c>
      <c r="E89" s="1642">
        <f>'Step 9b--Daily DMI Rations'!AW16</f>
        <v>0</v>
      </c>
      <c r="F89" s="2222"/>
      <c r="G89" s="1629"/>
      <c r="H89" s="1630"/>
      <c r="I89" s="1630"/>
      <c r="J89" s="1683"/>
      <c r="K89" s="40"/>
      <c r="L89" s="40"/>
      <c r="M89" s="40"/>
      <c r="N89" s="40"/>
      <c r="O89" s="40"/>
      <c r="P89" s="40"/>
      <c r="Q89" s="40"/>
      <c r="R89" s="40"/>
      <c r="S89" s="40"/>
      <c r="T89" s="40"/>
      <c r="U89" s="40"/>
      <c r="V89" s="40"/>
      <c r="W89" s="40"/>
      <c r="X89" s="40"/>
      <c r="Y89" s="40"/>
      <c r="Z89" s="40"/>
      <c r="AA89" s="40"/>
    </row>
    <row r="90" spans="1:27">
      <c r="A90" s="236" t="s">
        <v>35</v>
      </c>
      <c r="B90" s="1633">
        <f>'Step 9a--Daily DMI Rations'!V18</f>
        <v>0.15</v>
      </c>
      <c r="C90" s="1635">
        <f>'Step 9a--Daily DMI Rations'!AW18</f>
        <v>0.15</v>
      </c>
      <c r="D90" s="1636">
        <f>'Step 9b--Daily DMI Rations'!V18</f>
        <v>0.15</v>
      </c>
      <c r="E90" s="1637">
        <f>'Step 9b--Daily DMI Rations'!AW18</f>
        <v>0.15</v>
      </c>
      <c r="F90" s="2222"/>
      <c r="G90" s="1629"/>
      <c r="H90" s="1630"/>
      <c r="I90" s="1630"/>
      <c r="J90" s="1683"/>
      <c r="K90" s="40"/>
      <c r="L90" s="40"/>
      <c r="M90" s="40"/>
      <c r="N90" s="40"/>
      <c r="O90" s="40"/>
      <c r="P90" s="40"/>
      <c r="Q90" s="40"/>
      <c r="R90" s="40"/>
      <c r="S90" s="40"/>
      <c r="T90" s="40"/>
      <c r="U90" s="40"/>
      <c r="V90" s="40"/>
      <c r="W90" s="40"/>
      <c r="X90" s="40"/>
      <c r="Y90" s="40"/>
      <c r="Z90" s="40"/>
      <c r="AA90" s="40"/>
    </row>
    <row r="91" spans="1:27">
      <c r="A91" s="236" t="s">
        <v>19</v>
      </c>
      <c r="B91" s="1633">
        <f>'Step 9a--Daily DMI Rations'!V20</f>
        <v>0.25</v>
      </c>
      <c r="C91" s="1635">
        <f>'Step 9a--Daily DMI Rations'!AW20</f>
        <v>0.25</v>
      </c>
      <c r="D91" s="1636">
        <f>'Step 9b--Daily DMI Rations'!V20</f>
        <v>0.25</v>
      </c>
      <c r="E91" s="1637">
        <f>'Step 9b--Daily DMI Rations'!AW20</f>
        <v>0.25</v>
      </c>
      <c r="F91" s="2222"/>
      <c r="G91" s="1629"/>
      <c r="H91" s="1630"/>
      <c r="I91" s="1630"/>
      <c r="J91" s="1683"/>
      <c r="K91" s="40"/>
      <c r="L91" s="40"/>
      <c r="M91" s="40"/>
      <c r="N91" s="40"/>
      <c r="O91" s="40"/>
      <c r="P91" s="40"/>
      <c r="Q91" s="40"/>
      <c r="R91" s="40"/>
      <c r="S91" s="40"/>
      <c r="T91" s="40"/>
      <c r="U91" s="40"/>
      <c r="V91" s="40"/>
      <c r="W91" s="40"/>
      <c r="X91" s="40"/>
      <c r="Y91" s="40"/>
      <c r="Z91" s="40"/>
      <c r="AA91" s="40"/>
    </row>
    <row r="92" spans="1:27">
      <c r="A92" s="236" t="s">
        <v>31</v>
      </c>
      <c r="B92" s="1633">
        <f>'Step 9a--Daily DMI Rations'!V22</f>
        <v>0.1</v>
      </c>
      <c r="C92" s="1635">
        <f>'Step 9a--Daily DMI Rations'!AW22</f>
        <v>0.1</v>
      </c>
      <c r="D92" s="1636">
        <f>'Step 9b--Daily DMI Rations'!V22</f>
        <v>0.1</v>
      </c>
      <c r="E92" s="1637">
        <f>'Step 9b--Daily DMI Rations'!AW22</f>
        <v>0.1</v>
      </c>
      <c r="F92" s="2222"/>
      <c r="G92" s="1629"/>
      <c r="H92" s="1630"/>
      <c r="I92" s="1630"/>
      <c r="J92" s="1683"/>
      <c r="K92" s="40"/>
      <c r="L92" s="40"/>
      <c r="M92" s="40"/>
      <c r="N92" s="40"/>
      <c r="O92" s="40"/>
      <c r="P92" s="40"/>
      <c r="Q92" s="40"/>
      <c r="R92" s="40"/>
      <c r="S92" s="40"/>
      <c r="T92" s="40"/>
      <c r="U92" s="40"/>
      <c r="V92" s="40"/>
      <c r="W92" s="40"/>
      <c r="X92" s="40"/>
      <c r="Y92" s="40"/>
      <c r="Z92" s="40"/>
      <c r="AA92" s="40"/>
    </row>
    <row r="93" spans="1:27">
      <c r="A93" s="3622" t="s">
        <v>1164</v>
      </c>
      <c r="B93" s="1633"/>
      <c r="C93" s="1635"/>
      <c r="D93" s="1636"/>
      <c r="E93" s="1637"/>
      <c r="F93" s="2222"/>
      <c r="G93" s="1629"/>
      <c r="H93" s="1630"/>
      <c r="I93" s="1630"/>
      <c r="J93" s="1683"/>
      <c r="K93" s="40"/>
      <c r="L93" s="40"/>
      <c r="M93" s="40"/>
      <c r="N93" s="40"/>
      <c r="O93" s="40"/>
      <c r="P93" s="40"/>
      <c r="Q93" s="40"/>
      <c r="R93" s="40"/>
      <c r="S93" s="40"/>
      <c r="T93" s="40"/>
      <c r="U93" s="40"/>
      <c r="V93" s="40"/>
      <c r="W93" s="40"/>
      <c r="X93" s="40"/>
      <c r="Y93" s="40"/>
      <c r="Z93" s="40"/>
      <c r="AA93" s="40"/>
    </row>
    <row r="94" spans="1:27">
      <c r="A94" s="236" t="s">
        <v>406</v>
      </c>
      <c r="B94" s="1633">
        <f>'Step 9a--Daily DMI Rations'!V34</f>
        <v>0</v>
      </c>
      <c r="C94" s="1635">
        <f>'Step 9a--Daily DMI Rations'!AW34</f>
        <v>0</v>
      </c>
      <c r="D94" s="1636">
        <f>'Step 9b--Daily DMI Rations'!V34</f>
        <v>0</v>
      </c>
      <c r="E94" s="1637">
        <f>'Step 9b--Daily DMI Rations'!AW34</f>
        <v>0</v>
      </c>
      <c r="F94" s="2222"/>
      <c r="G94" s="1629"/>
      <c r="H94" s="1630"/>
      <c r="I94" s="1630"/>
      <c r="J94" s="1683"/>
      <c r="K94" s="40"/>
      <c r="L94" s="40"/>
      <c r="M94" s="40"/>
      <c r="N94" s="40"/>
      <c r="O94" s="40"/>
      <c r="P94" s="40"/>
      <c r="Q94" s="40"/>
      <c r="R94" s="40"/>
      <c r="S94" s="40"/>
      <c r="T94" s="40"/>
      <c r="U94" s="40"/>
      <c r="V94" s="40"/>
      <c r="W94" s="40"/>
      <c r="X94" s="40"/>
      <c r="Y94" s="40"/>
      <c r="Z94" s="40"/>
      <c r="AA94" s="40"/>
    </row>
    <row r="95" spans="1:27">
      <c r="A95" s="236" t="s">
        <v>22</v>
      </c>
      <c r="B95" s="1633">
        <f>'Step 9a--Daily DMI Rations'!V36</f>
        <v>0</v>
      </c>
      <c r="C95" s="1635">
        <f>'Step 9a--Daily DMI Rations'!AW36</f>
        <v>0</v>
      </c>
      <c r="D95" s="1636">
        <f>'Step 9b--Daily DMI Rations'!V36</f>
        <v>0</v>
      </c>
      <c r="E95" s="1637">
        <f>'Step 9b--Daily DMI Rations'!AW36</f>
        <v>0</v>
      </c>
      <c r="F95" s="2222"/>
      <c r="G95" s="1629"/>
      <c r="H95" s="1630"/>
      <c r="I95" s="1630"/>
      <c r="J95" s="1683"/>
      <c r="K95" s="40"/>
      <c r="L95" s="40"/>
      <c r="M95" s="40"/>
      <c r="N95" s="40"/>
      <c r="O95" s="40"/>
      <c r="P95" s="40"/>
      <c r="Q95" s="40"/>
      <c r="R95" s="40"/>
      <c r="S95" s="40"/>
      <c r="T95" s="40"/>
      <c r="U95" s="40"/>
      <c r="V95" s="40"/>
      <c r="W95" s="40"/>
      <c r="X95" s="40"/>
      <c r="Y95" s="40"/>
      <c r="Z95" s="40"/>
      <c r="AA95" s="40"/>
    </row>
    <row r="96" spans="1:27">
      <c r="A96" s="236" t="s">
        <v>25</v>
      </c>
      <c r="B96" s="1633">
        <f>'Step 9a--Daily DMI Rations'!V38</f>
        <v>0</v>
      </c>
      <c r="C96" s="1635">
        <f>'Step 9a--Daily DMI Rations'!AW38</f>
        <v>0</v>
      </c>
      <c r="D96" s="1636">
        <f>'Step 9b--Daily DMI Rations'!V38</f>
        <v>0</v>
      </c>
      <c r="E96" s="1637">
        <f>'Step 9b--Daily DMI Rations'!AW38</f>
        <v>0</v>
      </c>
      <c r="F96" s="2222"/>
      <c r="G96" s="1629"/>
      <c r="H96" s="1630"/>
      <c r="I96" s="1630"/>
      <c r="J96" s="1683"/>
      <c r="K96" s="40"/>
      <c r="L96" s="40"/>
      <c r="M96" s="40"/>
      <c r="N96" s="40"/>
      <c r="O96" s="40"/>
      <c r="P96" s="40"/>
      <c r="Q96" s="40"/>
      <c r="R96" s="40"/>
      <c r="S96" s="40"/>
      <c r="T96" s="40"/>
      <c r="U96" s="40"/>
      <c r="V96" s="40"/>
      <c r="W96" s="40"/>
      <c r="X96" s="40"/>
      <c r="Y96" s="40"/>
      <c r="Z96" s="40"/>
      <c r="AA96" s="40"/>
    </row>
    <row r="97" spans="1:27">
      <c r="A97" s="236" t="s">
        <v>27</v>
      </c>
      <c r="B97" s="1633">
        <f>'Step 9a--Daily DMI Rations'!V40</f>
        <v>0</v>
      </c>
      <c r="C97" s="1635">
        <f>'Step 9a--Daily DMI Rations'!AW40</f>
        <v>0</v>
      </c>
      <c r="D97" s="1636">
        <f>'Step 9b--Daily DMI Rations'!V40</f>
        <v>0</v>
      </c>
      <c r="E97" s="1637">
        <f>'Step 9b--Daily DMI Rations'!AW40</f>
        <v>0</v>
      </c>
      <c r="F97" s="2222"/>
      <c r="G97" s="1629"/>
      <c r="H97" s="1630"/>
      <c r="I97" s="1630"/>
      <c r="J97" s="1683"/>
      <c r="K97" s="40"/>
      <c r="L97" s="40"/>
      <c r="M97" s="40"/>
      <c r="N97" s="40"/>
      <c r="O97" s="40"/>
      <c r="P97" s="40"/>
      <c r="Q97" s="40"/>
      <c r="R97" s="40"/>
      <c r="S97" s="40"/>
      <c r="T97" s="40"/>
      <c r="U97" s="40"/>
      <c r="V97" s="40"/>
      <c r="W97" s="40"/>
      <c r="X97" s="40"/>
      <c r="Y97" s="40"/>
      <c r="Z97" s="40"/>
      <c r="AA97" s="40"/>
    </row>
    <row r="98" spans="1:27">
      <c r="A98" s="3623" t="s">
        <v>1165</v>
      </c>
      <c r="B98" s="1633"/>
      <c r="C98" s="1635"/>
      <c r="D98" s="1636"/>
      <c r="E98" s="1637"/>
      <c r="F98" s="2222"/>
      <c r="G98" s="1629"/>
      <c r="H98" s="1630"/>
      <c r="I98" s="1630"/>
      <c r="J98" s="1683"/>
      <c r="K98" s="40"/>
      <c r="L98" s="40"/>
      <c r="M98" s="40"/>
      <c r="N98" s="40"/>
      <c r="O98" s="40"/>
      <c r="P98" s="40"/>
      <c r="Q98" s="40"/>
      <c r="R98" s="40"/>
      <c r="S98" s="40"/>
      <c r="T98" s="40"/>
      <c r="U98" s="40"/>
      <c r="V98" s="40"/>
      <c r="W98" s="40"/>
      <c r="X98" s="40"/>
      <c r="Y98" s="40"/>
      <c r="Z98" s="40"/>
      <c r="AA98" s="40"/>
    </row>
    <row r="99" spans="1:27">
      <c r="A99" s="236" t="s">
        <v>7</v>
      </c>
      <c r="B99" s="1641">
        <f>'Step 9a--Daily DMI Rations'!V52</f>
        <v>0</v>
      </c>
      <c r="C99" s="1635">
        <f>'Step 9a--Daily DMI Rations'!AW52</f>
        <v>0</v>
      </c>
      <c r="D99" s="1636">
        <f>'Step 9b--Daily DMI Rations'!V52</f>
        <v>0</v>
      </c>
      <c r="E99" s="1637">
        <f>'Step 9b--Daily DMI Rations'!AW52</f>
        <v>0</v>
      </c>
      <c r="F99" s="2222"/>
      <c r="G99" s="1629"/>
      <c r="H99" s="1630"/>
      <c r="I99" s="1630"/>
      <c r="J99" s="1683"/>
      <c r="K99" s="40"/>
      <c r="L99" s="40"/>
      <c r="M99" s="40"/>
      <c r="N99" s="40"/>
      <c r="O99" s="40"/>
      <c r="P99" s="40"/>
      <c r="Q99" s="40"/>
      <c r="R99" s="40"/>
      <c r="S99" s="40"/>
      <c r="T99" s="40"/>
      <c r="U99" s="40"/>
      <c r="V99" s="40"/>
      <c r="W99" s="40"/>
      <c r="X99" s="40"/>
      <c r="Y99" s="40"/>
      <c r="Z99" s="40"/>
      <c r="AA99" s="40"/>
    </row>
    <row r="100" spans="1:27">
      <c r="A100" s="236" t="s">
        <v>6</v>
      </c>
      <c r="B100" s="1633">
        <f>'Step 9a--Daily DMI Rations'!V54</f>
        <v>0</v>
      </c>
      <c r="C100" s="1635">
        <f>'Step 9a--Daily DMI Rations'!AW54</f>
        <v>0</v>
      </c>
      <c r="D100" s="1636">
        <f>'Step 9b--Daily DMI Rations'!V54</f>
        <v>0</v>
      </c>
      <c r="E100" s="1637">
        <f>'Step 9b--Daily DMI Rations'!AW54</f>
        <v>0</v>
      </c>
      <c r="F100" s="2222"/>
      <c r="G100" s="1629"/>
      <c r="H100" s="1630"/>
      <c r="I100" s="1630"/>
      <c r="J100" s="1683"/>
      <c r="K100" s="40"/>
      <c r="L100" s="40"/>
      <c r="M100" s="40"/>
      <c r="N100" s="40"/>
      <c r="O100" s="40"/>
      <c r="P100" s="40"/>
      <c r="Q100" s="40"/>
      <c r="R100" s="40"/>
      <c r="S100" s="40"/>
      <c r="T100" s="40"/>
      <c r="U100" s="40"/>
      <c r="V100" s="40"/>
      <c r="W100" s="40"/>
      <c r="X100" s="40"/>
      <c r="Y100" s="40"/>
      <c r="Z100" s="40"/>
      <c r="AA100" s="40"/>
    </row>
    <row r="101" spans="1:27" ht="25.5">
      <c r="A101" s="3616" t="s">
        <v>1169</v>
      </c>
      <c r="B101" s="1609" t="str">
        <f>IF('Step 9a--Daily DMI Rations'!V24+'Step 9a--Daily DMI Rations'!V26+'Step 9a--Daily DMI Rations'!V28+'Step 9a--Daily DMI Rations'!V42+'Step 9a--Daily DMI Rations'!V44+'Step 9a--Daily DMI Rations'!V46+'Step 9a--Daily DMI Rations'!V56+'Step 9a--Daily DMI Rations'!V58+'Step 9a--Daily DMI Rations'!V60&gt;0,"Yes","No")</f>
        <v>No</v>
      </c>
      <c r="C101" s="116" t="str">
        <f>IF('Step 9a--Daily DMI Rations'!AW24+'Step 9a--Daily DMI Rations'!AW26+'Step 9a--Daily DMI Rations'!AW28+'Step 9a--Daily DMI Rations'!AW42+'Step 9a--Daily DMI Rations'!AW44+'Step 9a--Daily DMI Rations'!AW46+'Step 9a--Daily DMI Rations'!AW56+'Step 9a--Daily DMI Rations'!AW58+'Step 9a--Daily DMI Rations'!AW60&gt;0,"Yes","No")</f>
        <v>No</v>
      </c>
      <c r="D101" s="1618" t="str">
        <f>IF('Step 9b--Daily DMI Rations'!V24+'Step 9b--Daily DMI Rations'!V26+'Step 9b--Daily DMI Rations'!V28+'Step 9b--Daily DMI Rations'!V42+'Step 9b--Daily DMI Rations'!V44+'Step 9b--Daily DMI Rations'!V46+'Step 9b--Daily DMI Rations'!V56+'Step 9b--Daily DMI Rations'!V58+'Step 9b--Daily DMI Rations'!V60&gt;0,"Yes","No")</f>
        <v>No</v>
      </c>
      <c r="E101" s="1622" t="str">
        <f>IF('Step 9b--Daily DMI Rations'!AW24+'Step 9b--Daily DMI Rations'!AW26+'Step 9b--Daily DMI Rations'!AW28+'Step 9b--Daily DMI Rations'!AW42+'Step 9b--Daily DMI Rations'!AW44+'Step 9b--Daily DMI Rations'!AW46+'Step 9b--Daily DMI Rations'!AW56+'Step 9b--Daily DMI Rations'!AW58+'Step 9b--Daily DMI Rations'!AW60&gt;0,"Yes","No")</f>
        <v>No</v>
      </c>
      <c r="F101" s="2222"/>
      <c r="G101" s="1629"/>
      <c r="H101" s="1630"/>
      <c r="I101" s="1630"/>
      <c r="J101" s="1683"/>
      <c r="K101" s="40"/>
      <c r="L101" s="40"/>
      <c r="M101" s="40"/>
      <c r="N101" s="40"/>
      <c r="O101" s="40"/>
      <c r="P101" s="40"/>
      <c r="Q101" s="40"/>
      <c r="R101" s="40"/>
      <c r="S101" s="40"/>
      <c r="T101" s="40"/>
      <c r="U101" s="40"/>
      <c r="V101" s="40"/>
      <c r="W101" s="40"/>
      <c r="X101" s="40"/>
      <c r="Y101" s="40"/>
      <c r="Z101" s="40"/>
      <c r="AA101" s="40"/>
    </row>
    <row r="102" spans="1:27">
      <c r="A102" s="206"/>
      <c r="B102" s="1609"/>
      <c r="C102" s="1615"/>
      <c r="D102" s="1618"/>
      <c r="E102" s="1622"/>
      <c r="F102" s="2222"/>
      <c r="G102" s="1629"/>
      <c r="H102" s="1630"/>
      <c r="I102" s="1630"/>
      <c r="J102" s="1683"/>
      <c r="K102" s="40"/>
      <c r="L102" s="40"/>
      <c r="M102" s="40"/>
      <c r="N102" s="40"/>
      <c r="O102" s="40"/>
      <c r="P102" s="40"/>
      <c r="Q102" s="40"/>
      <c r="R102" s="40"/>
      <c r="S102" s="40"/>
      <c r="T102" s="40"/>
      <c r="U102" s="40"/>
      <c r="V102" s="40"/>
      <c r="W102" s="40"/>
      <c r="X102" s="40"/>
      <c r="Y102" s="40"/>
      <c r="Z102" s="40"/>
      <c r="AA102" s="40"/>
    </row>
    <row r="103" spans="1:27" ht="15">
      <c r="A103" s="182" t="s">
        <v>599</v>
      </c>
      <c r="B103" s="1609"/>
      <c r="C103" s="1615"/>
      <c r="D103" s="1618"/>
      <c r="E103" s="1622"/>
      <c r="F103" s="2222"/>
      <c r="G103" s="1629"/>
      <c r="H103" s="1630"/>
      <c r="I103" s="1630"/>
      <c r="J103" s="1683"/>
      <c r="K103" s="40"/>
      <c r="L103" s="40"/>
      <c r="M103" s="40"/>
      <c r="N103" s="40"/>
      <c r="O103" s="40"/>
      <c r="P103" s="40"/>
      <c r="Q103" s="40"/>
      <c r="R103" s="40"/>
      <c r="S103" s="40"/>
      <c r="T103" s="40"/>
      <c r="U103" s="40"/>
      <c r="V103" s="40"/>
      <c r="W103" s="40"/>
      <c r="X103" s="40"/>
      <c r="Y103" s="40"/>
      <c r="Z103" s="40"/>
      <c r="AA103" s="40"/>
    </row>
    <row r="104" spans="1:27" ht="25.5">
      <c r="A104" s="3615" t="s">
        <v>1643</v>
      </c>
      <c r="B104" s="1609"/>
      <c r="C104" s="1615"/>
      <c r="D104" s="1618"/>
      <c r="E104" s="1622"/>
      <c r="F104" s="2222"/>
      <c r="G104" s="1629"/>
      <c r="H104" s="1630"/>
      <c r="I104" s="1630"/>
      <c r="J104" s="1683"/>
      <c r="K104" s="40"/>
      <c r="L104" s="40"/>
      <c r="M104" s="40"/>
      <c r="N104" s="40"/>
      <c r="O104" s="40"/>
      <c r="P104" s="40"/>
      <c r="Q104" s="40"/>
      <c r="R104" s="40"/>
      <c r="S104" s="40"/>
      <c r="T104" s="40"/>
      <c r="U104" s="40"/>
      <c r="V104" s="40"/>
      <c r="W104" s="40"/>
      <c r="X104" s="40"/>
      <c r="Y104" s="40"/>
      <c r="Z104" s="40"/>
      <c r="AA104" s="40"/>
    </row>
    <row r="105" spans="1:27">
      <c r="A105" s="236" t="s">
        <v>317</v>
      </c>
      <c r="B105" s="1609">
        <f>IF(Options!AK5=1, F1_Dietary_CP_Lact_Cow_reported,F1_Dietary_CP_Lact_Cow_projected)</f>
        <v>0.18388777845756468</v>
      </c>
      <c r="C105" s="1615">
        <f>IF(Options!AL5=1, F2_Dietary_CP_Lact_Cow_reported,F2_Dietary_CP_Lact_Cow_projected)</f>
        <v>0.17704731405104693</v>
      </c>
      <c r="D105" s="1618">
        <f>IF(Options!AM5=1, F3_Dietary_CP_Lact_Cow_reported,F3_Dietary_CP_Lact_Cow_projected)</f>
        <v>0.17302351145897765</v>
      </c>
      <c r="E105" s="1622">
        <f>IF(Options!AN5=1, F4_Dietary_CP_Lact_Cow_reported,F4_Dietary_CP_Lact_Cow_projected)</f>
        <v>0.14284499201845829</v>
      </c>
      <c r="F105" s="2222" t="s">
        <v>316</v>
      </c>
      <c r="G105" s="1629"/>
      <c r="H105" s="1630"/>
      <c r="I105" s="1630"/>
      <c r="J105" s="1683"/>
      <c r="K105" s="40"/>
      <c r="L105" s="40"/>
      <c r="M105" s="40"/>
      <c r="N105" s="40"/>
      <c r="O105" s="40"/>
      <c r="P105" s="40"/>
      <c r="Q105" s="40"/>
      <c r="R105" s="40"/>
      <c r="S105" s="40"/>
      <c r="T105" s="40"/>
      <c r="U105" s="40"/>
      <c r="V105" s="40"/>
      <c r="W105" s="40"/>
      <c r="X105" s="40"/>
      <c r="Y105" s="40"/>
      <c r="Z105" s="40"/>
      <c r="AA105" s="40"/>
    </row>
    <row r="106" spans="1:27">
      <c r="A106" s="236" t="s">
        <v>319</v>
      </c>
      <c r="B106" s="1611">
        <f>IF(Options!AK10=1,F1_Dietary_P_Lact_Cow_reported,F1_Dietary_P_Lact_Cow_projected)</f>
        <v>4.6234641440759125E-3</v>
      </c>
      <c r="C106" s="1655">
        <f>IF(Options!AL10=1,F2_Dietary_P_Lact_Cow_reported,F2_Dietary_P_Lact_Cow_projected)</f>
        <v>4.4514753247120375E-3</v>
      </c>
      <c r="D106" s="1659">
        <f>IF(Options!AM10=1,F3_Dietary_P_Lact_Cow_reported,F3_Dietary_P_Lact_Cow_projected)</f>
        <v>4.3503054309685816E-3</v>
      </c>
      <c r="E106" s="1624">
        <f>IF(Options!AN10=1,F4_Dietary_P_Lact_Cow_reported,F4_Dietary_P_Lact_Cow_projected)</f>
        <v>3.5915312278926663E-3</v>
      </c>
      <c r="F106" s="2222" t="s">
        <v>320</v>
      </c>
      <c r="G106" s="1629"/>
      <c r="H106" s="1630"/>
      <c r="I106" s="1630"/>
      <c r="J106" s="1683"/>
      <c r="K106" s="40"/>
      <c r="L106" s="40"/>
      <c r="M106" s="40"/>
      <c r="N106" s="40"/>
      <c r="O106" s="40"/>
      <c r="P106" s="40"/>
      <c r="Q106" s="40"/>
      <c r="R106" s="40"/>
      <c r="S106" s="40"/>
      <c r="T106" s="40"/>
      <c r="U106" s="40"/>
      <c r="V106" s="40"/>
      <c r="W106" s="40"/>
      <c r="X106" s="40"/>
      <c r="Y106" s="40"/>
      <c r="Z106" s="40"/>
      <c r="AA106" s="40"/>
    </row>
    <row r="107" spans="1:27">
      <c r="A107" s="236" t="s">
        <v>318</v>
      </c>
      <c r="B107" s="1611">
        <f>IF(Options!AK15=1,F1_Dietary_K_Lact_Cow_reported,F1_Dietary_K_Lact_Cow_projected)</f>
        <v>1.3555156240586197E-2</v>
      </c>
      <c r="C107" s="1655">
        <f>IF(Options!AL15=1,F2_Dietary_K_Lact_Cow_reported,F2_Dietary_K_Lact_Cow_projected)</f>
        <v>1.3050916292905747E-2</v>
      </c>
      <c r="D107" s="1659">
        <f>IF(Options!AM15=1,F3_Dietary_K_Lact_Cow_reported,F3_Dietary_K_Lact_Cow_projected)</f>
        <v>1.275430455897607E-2</v>
      </c>
      <c r="E107" s="1624">
        <f>IF(Options!AN15=1,F4_Dietary_K_Lact_Cow_reported,F4_Dietary_K_Lact_Cow_projected)</f>
        <v>1.0529716554503498E-2</v>
      </c>
      <c r="F107" s="2222" t="s">
        <v>321</v>
      </c>
      <c r="G107" s="1629"/>
      <c r="H107" s="1630"/>
      <c r="I107" s="1630"/>
      <c r="J107" s="1683"/>
      <c r="K107" s="40"/>
      <c r="L107" s="40"/>
      <c r="M107" s="40"/>
      <c r="N107" s="40"/>
      <c r="O107" s="40"/>
      <c r="P107" s="40"/>
      <c r="Q107" s="40"/>
      <c r="R107" s="40"/>
      <c r="S107" s="40"/>
      <c r="T107" s="40"/>
      <c r="U107" s="40"/>
      <c r="V107" s="40"/>
      <c r="W107" s="40"/>
      <c r="X107" s="40"/>
      <c r="Y107" s="40"/>
      <c r="Z107" s="40"/>
      <c r="AA107" s="40"/>
    </row>
    <row r="108" spans="1:27" ht="25.5">
      <c r="A108" s="3615" t="s">
        <v>895</v>
      </c>
      <c r="B108" s="1609"/>
      <c r="C108" s="1615"/>
      <c r="D108" s="1618"/>
      <c r="E108" s="1622"/>
      <c r="F108" s="2222"/>
      <c r="G108" s="1629"/>
      <c r="H108" s="1630"/>
      <c r="I108" s="1630"/>
      <c r="J108" s="1683"/>
      <c r="K108" s="40"/>
      <c r="L108" s="40"/>
      <c r="M108" s="40"/>
      <c r="N108" s="40"/>
      <c r="O108" s="40"/>
      <c r="P108" s="40"/>
      <c r="Q108" s="40"/>
      <c r="R108" s="40"/>
      <c r="S108" s="40"/>
      <c r="T108" s="40"/>
      <c r="U108" s="40"/>
      <c r="V108" s="40"/>
      <c r="W108" s="40"/>
      <c r="X108" s="40"/>
      <c r="Y108" s="40"/>
      <c r="Z108" s="40"/>
      <c r="AA108" s="40"/>
    </row>
    <row r="109" spans="1:27">
      <c r="A109" s="236" t="s">
        <v>317</v>
      </c>
      <c r="B109" s="1609">
        <f>IF(Options!AK22=1, F1_Dietary_CP_Dry_Cow_reported,F1_Dietary_CP_Dry_Cow_projected)</f>
        <v>0.13300000000000001</v>
      </c>
      <c r="C109" s="1615">
        <f>IF(Options!AL22=1, F2_Dietary_CP_Dry_Cow_reported,F2_Dietary_CP_Dry_Cow_projected)</f>
        <v>0.13300000000000001</v>
      </c>
      <c r="D109" s="1618">
        <f>IF(Options!AM22=1, F3_Dietary_CP_Dry_Cow_reported,F3_Dietary_CP_Dry_Cow_projected)</f>
        <v>0.13300000000000001</v>
      </c>
      <c r="E109" s="1622">
        <f>IF(Options!AN22=1, F4_Dietary_CP_Dry_Cow_reported,F4_Dietary_CP_Dry_Cow_projected)</f>
        <v>8.8079470198675486E-2</v>
      </c>
      <c r="F109" s="2222" t="s">
        <v>322</v>
      </c>
      <c r="G109" s="1629"/>
      <c r="H109" s="1630"/>
      <c r="I109" s="1630"/>
      <c r="J109" s="1683"/>
      <c r="K109" s="40"/>
      <c r="L109" s="40"/>
      <c r="M109" s="40"/>
      <c r="N109" s="40"/>
      <c r="O109" s="40"/>
      <c r="P109" s="40"/>
      <c r="Q109" s="40"/>
      <c r="R109" s="40"/>
      <c r="S109" s="40"/>
      <c r="T109" s="40"/>
      <c r="U109" s="40"/>
      <c r="V109" s="40"/>
      <c r="W109" s="40"/>
      <c r="X109" s="40"/>
      <c r="Y109" s="40"/>
      <c r="Z109" s="40"/>
      <c r="AA109" s="40"/>
    </row>
    <row r="110" spans="1:27">
      <c r="A110" s="236" t="s">
        <v>319</v>
      </c>
      <c r="B110" s="1611">
        <f>IF(Options!AK27=1,F1_Dietary_P_Dry_Cow_reported,F1_Dietary_P_Dry_Cow_projected)</f>
        <v>4.4000000000000003E-3</v>
      </c>
      <c r="C110" s="1655">
        <f>IF(Options!AL27=1,F2_Dietary_P_Dry_Cow_reported,F2_Dietary_P_Dry_Cow_projected)</f>
        <v>4.4000000000000003E-3</v>
      </c>
      <c r="D110" s="1659">
        <f>IF(Options!AM27=1,F3_Dietary_P_Dry_Cow_reported,F3_Dietary_P_Dry_Cow_projected)</f>
        <v>4.4000000000000003E-3</v>
      </c>
      <c r="E110" s="1624">
        <f>IF(Options!AN27=1,F4_Dietary_P_Dry_Cow_reported,F4_Dietary_P_Dry_Cow_projected)</f>
        <v>2.9139072847682119E-3</v>
      </c>
      <c r="F110" s="2222" t="s">
        <v>323</v>
      </c>
      <c r="G110" s="1629"/>
      <c r="H110" s="1630"/>
      <c r="I110" s="1630"/>
      <c r="J110" s="1683"/>
      <c r="K110" s="40"/>
      <c r="L110" s="40"/>
      <c r="M110" s="40"/>
      <c r="N110" s="40"/>
      <c r="O110" s="40"/>
      <c r="P110" s="40"/>
      <c r="Q110" s="40"/>
      <c r="R110" s="40"/>
      <c r="S110" s="40"/>
      <c r="T110" s="40"/>
      <c r="U110" s="40"/>
      <c r="V110" s="40"/>
      <c r="W110" s="40"/>
      <c r="X110" s="40"/>
      <c r="Y110" s="40"/>
      <c r="Z110" s="40"/>
      <c r="AA110" s="40"/>
    </row>
    <row r="111" spans="1:27">
      <c r="A111" s="236" t="s">
        <v>318</v>
      </c>
      <c r="B111" s="1611">
        <f>IF(Options!AK32=1,F1_Dietary_K_Dry_Cow_reported,F1_Dietary_K_Dry_Cow_projected)</f>
        <v>1.29E-2</v>
      </c>
      <c r="C111" s="1655">
        <f>IF(Options!AL32=1,F2_Dietary_K_Dry_Cow_reported,F2_Dietary_K_Dry_Cow_projected)</f>
        <v>1.29E-2</v>
      </c>
      <c r="D111" s="1659">
        <f>IF(Options!AM32=1,F3_Dietary_K_Dry_Cow_reported,F3_Dietary_K_Dry_Cow_projected)</f>
        <v>1.29E-2</v>
      </c>
      <c r="E111" s="1624">
        <f>IF(Options!AN32=1,F4_Dietary_K_Dry_Cow_reported,F4_Dietary_K_Dry_Cow_projected)</f>
        <v>8.5430463576158938E-3</v>
      </c>
      <c r="F111" s="2222" t="s">
        <v>324</v>
      </c>
      <c r="G111" s="1629"/>
      <c r="H111" s="1630"/>
      <c r="I111" s="1630"/>
      <c r="J111" s="1683"/>
      <c r="K111" s="40"/>
      <c r="L111" s="40"/>
      <c r="M111" s="40"/>
      <c r="N111" s="40"/>
      <c r="O111" s="40"/>
      <c r="P111" s="40"/>
      <c r="Q111" s="40"/>
      <c r="R111" s="40"/>
      <c r="S111" s="40"/>
      <c r="T111" s="40"/>
      <c r="U111" s="40"/>
      <c r="V111" s="40"/>
      <c r="W111" s="40"/>
      <c r="X111" s="40"/>
      <c r="Y111" s="40"/>
      <c r="Z111" s="40"/>
      <c r="AA111" s="40"/>
    </row>
    <row r="112" spans="1:27" ht="25.5">
      <c r="A112" s="3615" t="s">
        <v>896</v>
      </c>
      <c r="B112" s="1609"/>
      <c r="C112" s="1615"/>
      <c r="D112" s="1618"/>
      <c r="E112" s="1622"/>
      <c r="F112" s="2222"/>
      <c r="G112" s="1629"/>
      <c r="H112" s="1630"/>
      <c r="I112" s="1630"/>
      <c r="J112" s="1683"/>
      <c r="K112" s="40"/>
      <c r="L112" s="40"/>
      <c r="M112" s="40"/>
      <c r="N112" s="40"/>
      <c r="O112" s="40"/>
      <c r="P112" s="40"/>
      <c r="Q112" s="40"/>
      <c r="R112" s="40"/>
      <c r="S112" s="40"/>
      <c r="T112" s="40"/>
      <c r="U112" s="40"/>
      <c r="V112" s="40"/>
      <c r="W112" s="40"/>
      <c r="X112" s="40"/>
      <c r="Y112" s="40"/>
      <c r="Z112" s="40"/>
      <c r="AA112" s="40"/>
    </row>
    <row r="113" spans="1:27">
      <c r="A113" s="236" t="s">
        <v>317</v>
      </c>
      <c r="B113" s="1609">
        <f>IF(Options!AK39=1, F1_Dietary_CP_Heifers_reported,F1_Dietary_CP_Heifers_projected)</f>
        <v>0.112</v>
      </c>
      <c r="C113" s="1615">
        <f>IF(Options!AL39=1, F2_Dietary_CP_Heifer_reported,F2_Dietary_CP_Heifer_projected)</f>
        <v>0.112</v>
      </c>
      <c r="D113" s="1618">
        <f>IF(Options!AM39=1, F3_Dietary_CP_Heifer_reported,F3_Dietary_CP_Heifer_projected)</f>
        <v>0.112</v>
      </c>
      <c r="E113" s="1622">
        <f>IF(Options!AN39=1, F4_Dietary_CP_Heifer_reported,F4_Dietary_CP_Heifer_projected)</f>
        <v>7.0480549199084683E-2</v>
      </c>
      <c r="F113" s="2222" t="s">
        <v>325</v>
      </c>
      <c r="G113" s="1629"/>
      <c r="H113" s="1630"/>
      <c r="I113" s="1630"/>
      <c r="J113" s="1683"/>
      <c r="K113" s="40"/>
      <c r="L113" s="40"/>
      <c r="M113" s="40"/>
      <c r="N113" s="40"/>
      <c r="O113" s="40"/>
      <c r="P113" s="40"/>
      <c r="Q113" s="40"/>
      <c r="R113" s="40"/>
      <c r="S113" s="40"/>
      <c r="T113" s="40"/>
      <c r="U113" s="40"/>
      <c r="V113" s="40"/>
      <c r="W113" s="40"/>
      <c r="X113" s="40"/>
      <c r="Y113" s="40"/>
      <c r="Z113" s="40"/>
      <c r="AA113" s="40"/>
    </row>
    <row r="114" spans="1:27">
      <c r="A114" s="236" t="s">
        <v>319</v>
      </c>
      <c r="B114" s="1611">
        <f>IF(Options!AK44=1,F1_Dietary_P_Heifer_reported,F1_Dietary_P_Heifer_projected)</f>
        <v>2.8999999999999998E-3</v>
      </c>
      <c r="C114" s="1655">
        <f>IF(Options!AL44=1,F2_Dietary_P_Heifer_reported,F2_Dietary_P_Heifer_projected)</f>
        <v>2.8999999999999998E-3</v>
      </c>
      <c r="D114" s="1659">
        <f>IF(Options!AM44=1,F3_Dietary_P_Heifer_reported,F3_Dietary_P_Heifer_projected)</f>
        <v>2.8999999999999998E-3</v>
      </c>
      <c r="E114" s="1624">
        <f>IF(Options!AN44=1,F4_Dietary_P_Heifer_reported,F4_Dietary_P_Heifer_projected)</f>
        <v>1.8249427917620136E-3</v>
      </c>
      <c r="F114" s="2222" t="s">
        <v>326</v>
      </c>
      <c r="G114" s="1629"/>
      <c r="H114" s="1630"/>
      <c r="I114" s="1630"/>
      <c r="J114" s="1683"/>
      <c r="K114" s="40"/>
      <c r="L114" s="40"/>
      <c r="M114" s="40"/>
      <c r="N114" s="40"/>
      <c r="O114" s="40"/>
      <c r="P114" s="40"/>
      <c r="Q114" s="40"/>
      <c r="R114" s="40"/>
      <c r="S114" s="40"/>
      <c r="T114" s="40"/>
      <c r="U114" s="40"/>
      <c r="V114" s="40"/>
      <c r="W114" s="40"/>
      <c r="X114" s="40"/>
      <c r="Y114" s="40"/>
      <c r="Z114" s="40"/>
      <c r="AA114" s="40"/>
    </row>
    <row r="115" spans="1:27">
      <c r="A115" s="236" t="s">
        <v>318</v>
      </c>
      <c r="B115" s="1611">
        <f>IF(Options!AK49=1,F1_Dietary_K_Heifer_reported,F1_Dietary_K_Heifer_projected)</f>
        <v>1.47E-2</v>
      </c>
      <c r="C115" s="1655">
        <f>IF(Options!AL49=1,F2_Dietary_K_Heifer_reported,F2_Dietary_K_Heifer_projected)</f>
        <v>1.47E-2</v>
      </c>
      <c r="D115" s="1659">
        <f>IF(Options!AM49=1,F3_Dietary_K_Heifer_reported,F3_Dietary_K_Heifer_projected)</f>
        <v>1.47E-2</v>
      </c>
      <c r="E115" s="1624">
        <f>IF(Options!AN49=1,F4_Dietary_K_Heifer_reported,F4_Dietary_K_Heifer_projected)</f>
        <v>9.2505720823798637E-3</v>
      </c>
      <c r="F115" s="2222" t="s">
        <v>327</v>
      </c>
      <c r="G115" s="1629"/>
      <c r="H115" s="1630"/>
      <c r="I115" s="1630"/>
      <c r="J115" s="1683"/>
      <c r="K115" s="40"/>
      <c r="L115" s="40"/>
      <c r="M115" s="40"/>
      <c r="N115" s="40"/>
      <c r="O115" s="40"/>
      <c r="P115" s="40"/>
      <c r="Q115" s="40"/>
      <c r="R115" s="40"/>
      <c r="S115" s="40"/>
      <c r="T115" s="40"/>
      <c r="U115" s="40"/>
      <c r="V115" s="40"/>
      <c r="W115" s="40"/>
      <c r="X115" s="40"/>
      <c r="Y115" s="40"/>
      <c r="Z115" s="40"/>
      <c r="AA115" s="40"/>
    </row>
    <row r="116" spans="1:27" ht="25.5">
      <c r="A116" s="3615" t="s">
        <v>1536</v>
      </c>
      <c r="B116" s="1609"/>
      <c r="C116" s="1615"/>
      <c r="D116" s="1618"/>
      <c r="E116" s="1622"/>
      <c r="F116" s="2222"/>
      <c r="G116" s="1629"/>
      <c r="H116" s="1630"/>
      <c r="I116" s="1630"/>
      <c r="J116" s="1683"/>
      <c r="K116" s="40"/>
      <c r="L116" s="40"/>
      <c r="M116" s="40"/>
      <c r="N116" s="40"/>
      <c r="O116" s="40"/>
      <c r="P116" s="40"/>
      <c r="Q116" s="40"/>
      <c r="R116" s="40"/>
      <c r="S116" s="40"/>
      <c r="T116" s="40"/>
      <c r="U116" s="40"/>
      <c r="V116" s="40"/>
      <c r="W116" s="40"/>
      <c r="X116" s="40"/>
      <c r="Y116" s="40"/>
      <c r="Z116" s="40"/>
      <c r="AA116" s="40"/>
    </row>
    <row r="117" spans="1:27">
      <c r="A117" s="236" t="s">
        <v>317</v>
      </c>
      <c r="B117" s="1609">
        <f>IF(Options!AK51=1, F1_Dietary_CP_Calf_reported,F1_Dietary_CP_Calf_projected)</f>
        <v>0.16621727748691098</v>
      </c>
      <c r="C117" s="1615">
        <f>IF(Options!AL51=1, F2_Dietary_CP_Calf_reported,F2_Dietary_CP_Calf_projected)</f>
        <v>0.16621727748691098</v>
      </c>
      <c r="D117" s="1618">
        <f>IF(Options!AM51=1, F3_Dietary_CP_Calf_reported,F3_Dietary_CP_Calf_projected)</f>
        <v>0.16621727748691098</v>
      </c>
      <c r="E117" s="1622">
        <f>IF(Options!AN51=1, F4_Dietary_CP_Calf_reported,F4_Dietary_CP_Calf_projected)</f>
        <v>0.10863874345549737</v>
      </c>
      <c r="F117" s="2222" t="s">
        <v>328</v>
      </c>
      <c r="G117" s="1629"/>
      <c r="H117" s="1630"/>
      <c r="I117" s="1630"/>
      <c r="J117" s="1683"/>
      <c r="K117" s="40"/>
      <c r="L117" s="40"/>
      <c r="M117" s="40"/>
      <c r="N117" s="40"/>
      <c r="O117" s="40"/>
      <c r="P117" s="40"/>
      <c r="Q117" s="40"/>
      <c r="R117" s="40"/>
      <c r="S117" s="40"/>
      <c r="T117" s="40"/>
      <c r="U117" s="40"/>
      <c r="V117" s="40"/>
      <c r="W117" s="40"/>
      <c r="X117" s="40"/>
      <c r="Y117" s="40"/>
      <c r="Z117" s="40"/>
      <c r="AA117" s="40"/>
    </row>
    <row r="118" spans="1:27">
      <c r="A118" s="236" t="s">
        <v>319</v>
      </c>
      <c r="B118" s="1611">
        <f>IF(Options!AK56=1,F1_Dietary_P_Calf_reported,F1_Dietary_P_Calf_projected)</f>
        <v>3.7048429319371727E-3</v>
      </c>
      <c r="C118" s="1655">
        <f>IF(Options!AL56=1,F2_Dietary_P_Calf_reported,F2_Dietary_P_Calf_projected)</f>
        <v>3.7048429319371727E-3</v>
      </c>
      <c r="D118" s="1659">
        <f>IF(Options!AM56=1,F3_Dietary_P_Calf_reported,F3_Dietary_P_Calf_projected)</f>
        <v>3.7048429319371727E-3</v>
      </c>
      <c r="E118" s="1624">
        <f>IF(Options!AN56=1,F4_Dietary_P_Calf_reported,F4_Dietary_P_Calf_projected)</f>
        <v>2.4214659685863876E-3</v>
      </c>
      <c r="F118" s="2222" t="s">
        <v>329</v>
      </c>
      <c r="G118" s="1629"/>
      <c r="H118" s="1630"/>
      <c r="I118" s="1630"/>
      <c r="J118" s="1683"/>
      <c r="K118" s="40"/>
      <c r="L118" s="40"/>
      <c r="M118" s="40"/>
      <c r="N118" s="40"/>
      <c r="O118" s="40"/>
      <c r="P118" s="40"/>
      <c r="Q118" s="40"/>
      <c r="R118" s="40"/>
      <c r="S118" s="40"/>
      <c r="T118" s="40"/>
      <c r="U118" s="40"/>
      <c r="V118" s="40"/>
      <c r="W118" s="40"/>
      <c r="X118" s="40"/>
      <c r="Y118" s="40"/>
      <c r="Z118" s="40"/>
      <c r="AA118" s="40"/>
    </row>
    <row r="119" spans="1:27">
      <c r="A119" s="236" t="s">
        <v>318</v>
      </c>
      <c r="B119" s="1611">
        <f>IF(Options!AK61=1,F1_Dietary_K_Calf_reported,F1_Dietary_K_Calf_projected)</f>
        <v>1.4719240837696332E-2</v>
      </c>
      <c r="C119" s="1655">
        <f>IF(Options!AL61=1,F2_Dietary_K_Calf_reported,F2_Dietary_K_Calf_projected)</f>
        <v>1.4719240837696332E-2</v>
      </c>
      <c r="D119" s="1659">
        <f>IF(Options!AM61=1,F3_Dietary_K_Calf_reported,F3_Dietary_K_Calf_projected)</f>
        <v>1.4719240837696332E-2</v>
      </c>
      <c r="E119" s="1624">
        <f>IF(Options!AN61=1,F4_Dietary_K_Calf_reported,F4_Dietary_K_Calf_projected)</f>
        <v>9.6204188481675383E-3</v>
      </c>
      <c r="F119" s="2222" t="s">
        <v>330</v>
      </c>
      <c r="G119" s="1629"/>
      <c r="H119" s="1630"/>
      <c r="I119" s="1630"/>
      <c r="J119" s="1683"/>
      <c r="K119" s="40"/>
      <c r="L119" s="40"/>
      <c r="M119" s="40"/>
      <c r="N119" s="40"/>
      <c r="O119" s="40"/>
      <c r="P119" s="40"/>
      <c r="Q119" s="40"/>
      <c r="R119" s="40"/>
      <c r="S119" s="40"/>
      <c r="T119" s="40"/>
      <c r="U119" s="40"/>
      <c r="V119" s="40"/>
      <c r="W119" s="40"/>
      <c r="X119" s="40"/>
      <c r="Y119" s="40"/>
      <c r="Z119" s="40"/>
      <c r="AA119" s="40"/>
    </row>
    <row r="120" spans="1:27" ht="13.5" thickBot="1">
      <c r="A120" s="2228"/>
      <c r="B120" s="1684"/>
      <c r="C120" s="1685"/>
      <c r="D120" s="1686"/>
      <c r="E120" s="1687"/>
      <c r="F120" s="2229"/>
      <c r="G120" s="1690"/>
      <c r="H120" s="1688"/>
      <c r="I120" s="1688"/>
      <c r="J120" s="1689"/>
    </row>
  </sheetData>
  <sheetProtection password="E0BE" sheet="1" objects="1" scenarios="1" selectLockedCells="1"/>
  <mergeCells count="5">
    <mergeCell ref="A2:J2"/>
    <mergeCell ref="A3:A4"/>
    <mergeCell ref="B3:E3"/>
    <mergeCell ref="G3:J3"/>
    <mergeCell ref="A1:J1"/>
  </mergeCells>
  <printOptions horizontalCentered="1" gridLines="1"/>
  <pageMargins left="0.7" right="0.7" top="0.75" bottom="0.75" header="0.3" footer="0.3"/>
  <pageSetup scale="66" fitToHeight="3" orientation="landscape" horizontalDpi="1200" verticalDpi="1200" r:id="rId1"/>
  <headerFooter>
    <oddFooter>&amp;L&amp;A&amp;C&amp;F&amp;R&amp;D</oddFooter>
  </headerFooter>
  <rowBreaks count="2" manualBreakCount="2">
    <brk id="47" max="16383" man="1"/>
    <brk id="102" max="16383" man="1"/>
  </rowBreaks>
</worksheet>
</file>

<file path=xl/worksheets/sheet5.xml><?xml version="1.0" encoding="utf-8"?>
<worksheet xmlns="http://schemas.openxmlformats.org/spreadsheetml/2006/main" xmlns:r="http://schemas.openxmlformats.org/officeDocument/2006/relationships">
  <sheetPr>
    <pageSetUpPr fitToPage="1"/>
  </sheetPr>
  <dimension ref="A1:AA30"/>
  <sheetViews>
    <sheetView zoomScale="85" zoomScaleNormal="85" workbookViewId="0">
      <selection activeCell="G7" sqref="G7"/>
    </sheetView>
  </sheetViews>
  <sheetFormatPr defaultRowHeight="12.75"/>
  <cols>
    <col min="1" max="1" width="31.85546875" customWidth="1"/>
    <col min="2" max="5" width="11.7109375" customWidth="1"/>
    <col min="6" max="6" width="31.7109375" customWidth="1"/>
    <col min="7" max="10" width="11.7109375" customWidth="1"/>
  </cols>
  <sheetData>
    <row r="1" spans="1:27" s="1627" customFormat="1" ht="45.75" customHeight="1">
      <c r="A1" s="3918" t="str">
        <f>CONCATENATE("Parameter Values Chosen for ",'Application Setup'!B3," Application of the “Shades of Green” Dairy Farm Management System Calculator, Version 1.1")</f>
        <v>Parameter Values Chosen for Conventional and Organic Farm Environmental Footprints (COFEF) Application of the “Shades of Green” Dairy Farm Management System Calculator, Version 1.1</v>
      </c>
      <c r="B1" s="3919"/>
      <c r="C1" s="3919"/>
      <c r="D1" s="3919"/>
      <c r="E1" s="3919"/>
      <c r="F1" s="3919"/>
      <c r="G1" s="3919"/>
      <c r="H1" s="3919"/>
      <c r="I1" s="3919"/>
      <c r="J1" s="3920"/>
      <c r="K1" s="40"/>
      <c r="L1" s="40"/>
      <c r="M1" s="40"/>
      <c r="N1" s="40"/>
      <c r="O1" s="40"/>
      <c r="P1" s="40"/>
      <c r="Q1" s="40"/>
      <c r="R1" s="40"/>
      <c r="S1" s="40"/>
      <c r="T1" s="40"/>
      <c r="U1" s="40"/>
      <c r="V1" s="40"/>
      <c r="W1" s="40"/>
      <c r="X1" s="40"/>
      <c r="Y1" s="40"/>
      <c r="Z1" s="40"/>
      <c r="AA1" s="40"/>
    </row>
    <row r="2" spans="1:27" s="1627" customFormat="1" ht="33" customHeight="1" thickBot="1">
      <c r="A2" s="3911" t="s">
        <v>467</v>
      </c>
      <c r="B2" s="3912"/>
      <c r="C2" s="3912"/>
      <c r="D2" s="3912"/>
      <c r="E2" s="3912"/>
      <c r="F2" s="3912"/>
      <c r="G2" s="3912"/>
      <c r="H2" s="3912"/>
      <c r="I2" s="3912"/>
      <c r="J2" s="3913"/>
      <c r="K2" s="40"/>
      <c r="L2" s="40"/>
      <c r="M2" s="40"/>
      <c r="N2" s="40"/>
      <c r="O2" s="40"/>
      <c r="P2" s="40"/>
      <c r="Q2" s="40"/>
      <c r="R2" s="40"/>
      <c r="S2" s="40"/>
      <c r="T2" s="40"/>
      <c r="U2" s="40"/>
      <c r="V2" s="40"/>
      <c r="W2" s="40"/>
      <c r="X2" s="40"/>
      <c r="Y2" s="40"/>
      <c r="Z2" s="40"/>
      <c r="AA2" s="40"/>
    </row>
    <row r="3" spans="1:27" s="3" customFormat="1" ht="27.75" customHeight="1" thickTop="1">
      <c r="A3" s="3921"/>
      <c r="B3" s="3914" t="s">
        <v>1156</v>
      </c>
      <c r="C3" s="3915"/>
      <c r="D3" s="3915"/>
      <c r="E3" s="3916"/>
      <c r="F3" s="2226"/>
      <c r="G3" s="3914" t="s">
        <v>389</v>
      </c>
      <c r="H3" s="3915"/>
      <c r="I3" s="3915"/>
      <c r="J3" s="3917"/>
      <c r="K3" s="1708"/>
      <c r="L3" s="1708"/>
      <c r="M3" s="1708"/>
      <c r="N3" s="1708"/>
      <c r="O3" s="1708"/>
      <c r="P3" s="1708"/>
      <c r="Q3" s="1708"/>
      <c r="R3" s="1708"/>
      <c r="S3" s="1708"/>
      <c r="T3" s="1708"/>
      <c r="U3" s="1708"/>
      <c r="V3" s="1708"/>
      <c r="W3" s="1708"/>
      <c r="X3" s="1708"/>
      <c r="Y3" s="1708"/>
      <c r="Z3" s="1708"/>
      <c r="AA3" s="1708"/>
    </row>
    <row r="4" spans="1:27" s="3" customFormat="1" ht="29.25" customHeight="1" thickBot="1">
      <c r="A4" s="3922"/>
      <c r="B4" s="2216" t="s">
        <v>273</v>
      </c>
      <c r="C4" s="2217" t="s">
        <v>274</v>
      </c>
      <c r="D4" s="2217" t="s">
        <v>275</v>
      </c>
      <c r="E4" s="2218" t="s">
        <v>276</v>
      </c>
      <c r="F4" s="2219" t="s">
        <v>282</v>
      </c>
      <c r="G4" s="2220" t="s">
        <v>390</v>
      </c>
      <c r="H4" s="2220" t="s">
        <v>391</v>
      </c>
      <c r="I4" s="2220" t="s">
        <v>392</v>
      </c>
      <c r="J4" s="2221" t="s">
        <v>393</v>
      </c>
      <c r="K4" s="1708"/>
      <c r="L4" s="1708"/>
      <c r="M4" s="1708"/>
      <c r="N4" s="1708"/>
      <c r="O4" s="1708"/>
      <c r="P4" s="1708"/>
      <c r="Q4" s="1708"/>
      <c r="R4" s="1708"/>
      <c r="S4" s="1708"/>
      <c r="T4" s="1708"/>
      <c r="U4" s="1708"/>
      <c r="V4" s="1708"/>
      <c r="W4" s="1708"/>
      <c r="X4" s="1708"/>
      <c r="Y4" s="1708"/>
      <c r="Z4" s="1708"/>
      <c r="AA4" s="1708"/>
    </row>
    <row r="5" spans="1:27" ht="15">
      <c r="A5" s="3621" t="s">
        <v>596</v>
      </c>
      <c r="B5" s="1610"/>
      <c r="C5" s="1656"/>
      <c r="D5" s="1660"/>
      <c r="E5" s="1623"/>
      <c r="F5" s="2223"/>
      <c r="G5" s="1629"/>
      <c r="H5" s="1630"/>
      <c r="I5" s="1630"/>
      <c r="J5" s="1683"/>
      <c r="K5" s="40"/>
      <c r="L5" s="40"/>
      <c r="M5" s="40"/>
      <c r="N5" s="40"/>
      <c r="O5" s="40"/>
      <c r="P5" s="40"/>
      <c r="Q5" s="40"/>
      <c r="R5" s="40"/>
      <c r="S5" s="40"/>
      <c r="T5" s="40"/>
      <c r="U5" s="40"/>
      <c r="V5" s="40"/>
      <c r="W5" s="40"/>
      <c r="X5" s="40"/>
      <c r="Y5" s="40"/>
      <c r="Z5" s="40"/>
      <c r="AA5" s="40"/>
    </row>
    <row r="6" spans="1:27" ht="25.5">
      <c r="A6" s="3615" t="s">
        <v>1171</v>
      </c>
      <c r="B6" s="1610"/>
      <c r="C6" s="1656"/>
      <c r="D6" s="1660"/>
      <c r="E6" s="1623"/>
      <c r="F6" s="2223"/>
      <c r="G6" s="1629"/>
      <c r="H6" s="1630"/>
      <c r="I6" s="1630"/>
      <c r="J6" s="1683"/>
      <c r="K6" s="40"/>
      <c r="L6" s="40"/>
      <c r="M6" s="40"/>
      <c r="N6" s="40"/>
      <c r="O6" s="40"/>
      <c r="P6" s="40"/>
      <c r="Q6" s="40"/>
      <c r="R6" s="40"/>
      <c r="S6" s="40"/>
      <c r="T6" s="40"/>
      <c r="U6" s="40"/>
      <c r="V6" s="40"/>
      <c r="W6" s="40"/>
      <c r="X6" s="40"/>
      <c r="Y6" s="40"/>
      <c r="Z6" s="40"/>
      <c r="AA6" s="40"/>
    </row>
    <row r="7" spans="1:27">
      <c r="A7" s="236" t="s">
        <v>1642</v>
      </c>
      <c r="B7" s="1609">
        <f>IF(Options!AQ5=1,F1_TME_Lact_Cow_reported_kg,IF(Options!AQ5=2,F1_TME_Lact_Cow_projected_kg,F1_TME_Lact_Cow_Freshweight_kg))</f>
        <v>69.369482310580992</v>
      </c>
      <c r="C7" s="3762">
        <f>IF(Options!AR5=1,F2_TME_Lact_Cow_reported_kg,IF(Options!AR5=2,F2_TME_Lact_Cow_projected_kg,F2_TME_Lact_Cow_Freshweight_kg))</f>
        <v>67.138670058327435</v>
      </c>
      <c r="D7" s="1618">
        <f>IF(Options!AS5=1,F3_TME_Lact_Cow_reported_kg,IF(Options!AS5=2,F3_TME_Lact_Cow_projected_kg,F3_TME_Lact_Cow_Freshweight_kg))</f>
        <v>65.826427557001793</v>
      </c>
      <c r="E7" s="1622">
        <f>IF(Options!AT5=1,F4_TME_Lact_Cow_reported_kg,IF(Options!AT5=2,F4_TME_Lact_Cow_projected_kg,F4_TME_Lact_Cow_Freshweight_kg))</f>
        <v>55.984608797059622</v>
      </c>
      <c r="F7" s="2222" t="s">
        <v>335</v>
      </c>
      <c r="G7" s="1629"/>
      <c r="H7" s="1630"/>
      <c r="I7" s="1630"/>
      <c r="J7" s="1683"/>
      <c r="K7" s="40"/>
      <c r="L7" s="40"/>
      <c r="M7" s="40"/>
      <c r="N7" s="40"/>
      <c r="O7" s="40"/>
      <c r="P7" s="40"/>
      <c r="Q7" s="40"/>
      <c r="R7" s="40"/>
      <c r="S7" s="40"/>
      <c r="T7" s="40"/>
      <c r="U7" s="40"/>
      <c r="V7" s="40"/>
      <c r="W7" s="40"/>
      <c r="X7" s="40"/>
      <c r="Y7" s="40"/>
      <c r="Z7" s="40"/>
      <c r="AA7" s="40"/>
    </row>
    <row r="8" spans="1:27">
      <c r="A8" s="236" t="s">
        <v>332</v>
      </c>
      <c r="B8" s="1609">
        <f>IF(Options!$AQ$10=1,F1_DME_Lact_Cow_reported_kg,F1_DME_Lact_Cow_projected_kg)</f>
        <v>8.917542092230736</v>
      </c>
      <c r="C8" s="3766">
        <f>IF(Options!$AR$10=1,F2_DME_Lact_Cow_reported_kg,F2_DME_Lact_Cow_projected_kg)</f>
        <v>8.6155766314694162</v>
      </c>
      <c r="D8" s="3768">
        <f>IF(Options!$AS$10=1,F3_DME_Lact_Cow_reported_kg,F3_DME_Lact_Cow_projected_kg)</f>
        <v>8.4379498898451093</v>
      </c>
      <c r="E8" s="1625">
        <f>IF(Options!$AT$10=1,F4_DME_Lact_Cow_reported_kg,F4_DME_Lact_Cow_projected_kg)</f>
        <v>7.1057493276628234</v>
      </c>
      <c r="F8" s="2222" t="s">
        <v>336</v>
      </c>
      <c r="G8" s="1629"/>
      <c r="H8" s="1630"/>
      <c r="I8" s="1630"/>
      <c r="J8" s="1683"/>
      <c r="K8" s="40"/>
      <c r="L8" s="40"/>
      <c r="M8" s="40"/>
      <c r="N8" s="40"/>
      <c r="O8" s="40"/>
      <c r="P8" s="40"/>
      <c r="Q8" s="40"/>
      <c r="R8" s="40"/>
      <c r="S8" s="40"/>
      <c r="T8" s="40"/>
      <c r="U8" s="40"/>
      <c r="V8" s="40"/>
      <c r="W8" s="40"/>
      <c r="X8" s="40"/>
      <c r="Y8" s="40"/>
      <c r="Z8" s="40"/>
      <c r="AA8" s="40"/>
    </row>
    <row r="9" spans="1:27">
      <c r="A9" s="236" t="s">
        <v>331</v>
      </c>
      <c r="B9" s="1612">
        <f>IF(Options!$AQ$15=1,F1_NE_Lact_Cow_reported_kg,IF(Options!$AQ$15=2,F1_NE_Lact_Cow_projected_Milk_kg,F1_NE_Lact_Cow_projected_DCP_kg))</f>
        <v>0.47025348469987632</v>
      </c>
      <c r="C9" s="3766">
        <f>IF(Options!$AR$15=1,F2_NE_Lact_Cow_reported_kg,IF(Options!$AR$15=2,F2_NE_Lact_Cow_projected_Milk_kg,F2_NE_Lact_Cow_projected_DCP_kg))</f>
        <v>0.44450614413708978</v>
      </c>
      <c r="D9" s="3768">
        <f>IF(Options!$AS$15=1,F3_NE_Lact_Cow_reported_kg,IF(Options!$AS$15=2,F3_NE_Lact_Cow_projected_Milk_kg,F3_NE_Lact_Cow_projected_DCP_kg))</f>
        <v>0.42981653413668036</v>
      </c>
      <c r="E9" s="1625">
        <f>IF(Options!$AT$15=1,F4_NE_Lact_Cow_reported_kg,IF(Options!$AT$15=2,F4_NE_Lact_Cow_projected_Milk_kg,F4_NE_Lact_Cow_projected_DCP_kg))</f>
        <v>0.29280196773451916</v>
      </c>
      <c r="F9" s="2222" t="s">
        <v>337</v>
      </c>
      <c r="G9" s="1629"/>
      <c r="H9" s="1630"/>
      <c r="I9" s="1630"/>
      <c r="J9" s="1683"/>
      <c r="K9" s="40"/>
      <c r="L9" s="40"/>
      <c r="M9" s="40"/>
      <c r="N9" s="40"/>
      <c r="O9" s="40"/>
      <c r="P9" s="40"/>
      <c r="Q9" s="40"/>
      <c r="R9" s="40"/>
      <c r="S9" s="40"/>
      <c r="T9" s="40"/>
      <c r="U9" s="40"/>
      <c r="V9" s="40"/>
      <c r="W9" s="40"/>
      <c r="X9" s="40"/>
      <c r="Y9" s="40"/>
      <c r="Z9" s="40"/>
      <c r="AA9" s="40"/>
    </row>
    <row r="10" spans="1:27">
      <c r="A10" s="236" t="s">
        <v>333</v>
      </c>
      <c r="B10" s="1612">
        <f>IF(Options!AQ$21=1,F1_PE_Lact_Cow_reported_kg,IF(Options!AQ$21=2,F1_PE_Lact_Cow_projected_Milk_kg,F1_PE_Lact_Cow_projected_DP_kg))</f>
        <v>8.021158456229284E-2</v>
      </c>
      <c r="C10" s="3766">
        <f>IF(Options!AR$21=1,F2_PE_Lact_Cow_reported_kg,IF(Options!AR$21=2,F2_PE_Lact_Cow_projected_Milk_kg,F2_PE_Lact_Cow_projected_DP_kg))</f>
        <v>7.5895583274326869E-2</v>
      </c>
      <c r="D10" s="3768">
        <f>IF(Options!AS$21=1,F3_PE_Lact_Cow_reported_kg,IF(Options!AS$21=2,F3_PE_Lact_Cow_projected_Milk_kg,F3_PE_Lact_Cow_projected_DP_kg))</f>
        <v>7.3433178447433023E-2</v>
      </c>
      <c r="E10" s="1625">
        <f>IF(Options!AT$21=1,F4_PE_Lact_Cow_reported_kg,IF(Options!AT$21=2,F4_PE_Lact_Cow_projected_Milk_kg,F4_PE_Lact_Cow_projected_DP_kg))</f>
        <v>5.6769490610263651E-2</v>
      </c>
      <c r="F10" s="2222" t="s">
        <v>338</v>
      </c>
      <c r="G10" s="1629"/>
      <c r="H10" s="1630"/>
      <c r="I10" s="1630"/>
      <c r="J10" s="1683"/>
      <c r="K10" s="40"/>
      <c r="L10" s="40"/>
      <c r="M10" s="40"/>
      <c r="N10" s="40"/>
      <c r="O10" s="40"/>
      <c r="P10" s="40"/>
      <c r="Q10" s="40"/>
      <c r="R10" s="40"/>
      <c r="S10" s="40"/>
      <c r="T10" s="40"/>
      <c r="U10" s="40"/>
      <c r="V10" s="40"/>
      <c r="W10" s="40"/>
      <c r="X10" s="40"/>
      <c r="Y10" s="40"/>
      <c r="Z10" s="40"/>
      <c r="AA10" s="40"/>
    </row>
    <row r="11" spans="1:27">
      <c r="A11" s="236" t="s">
        <v>334</v>
      </c>
      <c r="B11" s="1612">
        <f>IF(Options!$AQ$26=1,F1_KE_Lact_Cow_reported_kg,F1_KE_Lact_Cow_projected_kg)</f>
        <v>0.21602644055210748</v>
      </c>
      <c r="C11" s="3766">
        <f>IF(Options!$AR$26=1,F2_KE_Lact_Cow_reported_kg,F2_KE_Lact_Cow_projected_kg)</f>
        <v>0.2018711900282873</v>
      </c>
      <c r="D11" s="3768">
        <f>IF(Options!$AS$26=1,F3_KE_Lact_Cow_reported_kg,F3_KE_Lact_Cow_projected_kg)</f>
        <v>0.19354457207309883</v>
      </c>
      <c r="E11" s="1625">
        <f>IF(Options!$AT$26=1,F4_KE_Lact_Cow_reported_kg,F4_KE_Lact_Cow_projected_kg)</f>
        <v>0.13109493740918629</v>
      </c>
      <c r="F11" s="2222" t="s">
        <v>339</v>
      </c>
      <c r="G11" s="1629"/>
      <c r="H11" s="1630"/>
      <c r="I11" s="1630"/>
      <c r="J11" s="1683"/>
      <c r="K11" s="40"/>
      <c r="L11" s="40"/>
      <c r="M11" s="40"/>
      <c r="N11" s="40"/>
      <c r="O11" s="40"/>
      <c r="P11" s="40"/>
      <c r="Q11" s="40"/>
      <c r="R11" s="40"/>
      <c r="S11" s="40"/>
      <c r="T11" s="40"/>
      <c r="U11" s="40"/>
      <c r="V11" s="40"/>
      <c r="W11" s="40"/>
      <c r="X11" s="40"/>
      <c r="Y11" s="40"/>
      <c r="Z11" s="40"/>
      <c r="AA11" s="40"/>
    </row>
    <row r="12" spans="1:27" ht="25.5">
      <c r="A12" s="3615" t="s">
        <v>1173</v>
      </c>
      <c r="B12" s="1609"/>
      <c r="C12" s="3762"/>
      <c r="D12" s="1618"/>
      <c r="E12" s="1622"/>
      <c r="F12" s="2223"/>
      <c r="G12" s="1629"/>
      <c r="H12" s="1630"/>
      <c r="I12" s="1630"/>
      <c r="J12" s="1683"/>
      <c r="K12" s="40"/>
      <c r="L12" s="40"/>
      <c r="M12" s="40"/>
      <c r="N12" s="40"/>
      <c r="O12" s="40"/>
      <c r="P12" s="40"/>
      <c r="Q12" s="40"/>
      <c r="R12" s="40"/>
      <c r="S12" s="40"/>
      <c r="T12" s="40"/>
      <c r="U12" s="40"/>
      <c r="V12" s="40"/>
      <c r="W12" s="40"/>
      <c r="X12" s="40"/>
      <c r="Y12" s="40"/>
      <c r="Z12" s="40"/>
      <c r="AA12" s="40"/>
    </row>
    <row r="13" spans="1:27">
      <c r="A13" s="236" t="s">
        <v>1642</v>
      </c>
      <c r="B13" s="1612">
        <f>IF(Options!AQ32=1,F1_TME_Dry_Cow_reported_kg,F1_TME_Dry_Cow_projected_kg)</f>
        <v>36.752000000000002</v>
      </c>
      <c r="C13" s="1657">
        <f>IF(Options!AR32=1,F2_TME_Dry_Cow_reported_kg,F2_TME_Dry_Cow_projected_kg)</f>
        <v>36.752000000000002</v>
      </c>
      <c r="D13" s="2332">
        <f>IF(Options!AS32=1,F3_TME_Dry_Cow_reported_kg,F3_TME_Dry_Cow_projected_kg)</f>
        <v>36.752000000000002</v>
      </c>
      <c r="E13" s="1625">
        <f>IF(Options!AT32=1,F4_TME_Dry_Cow_reported_kg,F4_TME_Dry_Cow_projected_kg)</f>
        <v>27.513907284768209</v>
      </c>
      <c r="F13" s="2222" t="s">
        <v>340</v>
      </c>
      <c r="G13" s="1629"/>
      <c r="H13" s="1630"/>
      <c r="I13" s="1630"/>
      <c r="J13" s="1683"/>
      <c r="K13" s="40"/>
      <c r="L13" s="40"/>
      <c r="M13" s="40"/>
      <c r="N13" s="40"/>
      <c r="O13" s="40"/>
      <c r="P13" s="40"/>
      <c r="Q13" s="40"/>
      <c r="R13" s="40"/>
      <c r="S13" s="40"/>
      <c r="T13" s="40"/>
      <c r="U13" s="40"/>
      <c r="V13" s="40"/>
      <c r="W13" s="40"/>
      <c r="X13" s="40"/>
      <c r="Y13" s="40"/>
      <c r="Z13" s="40"/>
      <c r="AA13" s="40"/>
    </row>
    <row r="14" spans="1:27">
      <c r="A14" s="236" t="s">
        <v>332</v>
      </c>
      <c r="B14" s="1609">
        <f>IF(Options!AQ37=1,F1_DME_Dry_Cow_reported_kg,F1_DME_Dry_Cow_projected_kg)</f>
        <v>4.5023999999999997</v>
      </c>
      <c r="C14" s="1615">
        <f>IF(Options!AR37=1,F2_DME_Dry_Cow_reported_kg,F2_DME_Dry_Cow_projected_kg)</f>
        <v>4.5023999999999997</v>
      </c>
      <c r="D14" s="1618">
        <f>IF(Options!AS37=1,F3_DME_Dry_Cow_reported_kg,F3_DME_Dry_Cow_projected_kg)</f>
        <v>4.5023999999999997</v>
      </c>
      <c r="E14" s="1622">
        <f>IF(Options!AT37=1,F4_DME_Dry_Cow_reported_kg,F4_DME_Dry_Cow_projected_kg)</f>
        <v>3.2519205298013247</v>
      </c>
      <c r="F14" s="2222" t="s">
        <v>341</v>
      </c>
      <c r="G14" s="1629"/>
      <c r="H14" s="1630"/>
      <c r="I14" s="1630"/>
      <c r="J14" s="1683"/>
      <c r="K14" s="40"/>
      <c r="L14" s="40"/>
      <c r="M14" s="40"/>
      <c r="N14" s="40"/>
      <c r="O14" s="40"/>
      <c r="P14" s="40"/>
      <c r="Q14" s="40"/>
      <c r="R14" s="40"/>
      <c r="S14" s="40"/>
      <c r="T14" s="40"/>
      <c r="U14" s="40"/>
      <c r="V14" s="40"/>
      <c r="W14" s="40"/>
      <c r="X14" s="40"/>
      <c r="Y14" s="40"/>
      <c r="Z14" s="40"/>
      <c r="AA14" s="40"/>
    </row>
    <row r="15" spans="1:27">
      <c r="A15" s="236" t="s">
        <v>331</v>
      </c>
      <c r="B15" s="1609">
        <f>IF(Options!AQ42=1,F1_NE_Dry_Cow_reported_kg,F1_NE_Dry_Cow_projected_kg)</f>
        <v>0.26430712000000006</v>
      </c>
      <c r="C15" s="1615">
        <f>IF(Options!AR42=1,F2_NE_Dry_Cow_reported_kg,F2_NE_Dry_Cow_projected_kg)</f>
        <v>0.26430712000000006</v>
      </c>
      <c r="D15" s="1618">
        <f>IF(Options!AS42=1,F3_NE_Dry_Cow_reported_kg,F3_NE_Dry_Cow_projected_kg)</f>
        <v>0.26430712000000006</v>
      </c>
      <c r="E15" s="1622">
        <f>IF(Options!AT42=1,F4_NE_Dry_Cow_reported_kg,F4_NE_Dry_Cow_projected_kg)</f>
        <v>0.14901842901627116</v>
      </c>
      <c r="F15" s="2222" t="s">
        <v>342</v>
      </c>
      <c r="G15" s="1629"/>
      <c r="H15" s="1630"/>
      <c r="I15" s="1630"/>
      <c r="J15" s="1683"/>
      <c r="K15" s="40"/>
      <c r="L15" s="40"/>
      <c r="M15" s="40"/>
      <c r="N15" s="40"/>
      <c r="O15" s="40"/>
      <c r="P15" s="40"/>
      <c r="Q15" s="40"/>
      <c r="R15" s="40"/>
      <c r="S15" s="40"/>
      <c r="T15" s="40"/>
      <c r="U15" s="40"/>
      <c r="V15" s="40"/>
      <c r="W15" s="40"/>
      <c r="X15" s="40"/>
      <c r="Y15" s="40"/>
      <c r="Z15" s="40"/>
      <c r="AA15" s="40"/>
    </row>
    <row r="16" spans="1:27">
      <c r="A16" s="236" t="s">
        <v>333</v>
      </c>
      <c r="B16" s="1609">
        <f>IF(Options!AQ47=1,F1_PE_Dry_Cow_reported_kg,F1_PE_Dry_Cow_projected_kg)</f>
        <v>4.6757632E-2</v>
      </c>
      <c r="C16" s="1615">
        <f>IF(Options!AR47=1,F2_PE_Dry_Cow_reported_kg,F2_PE_Dry_Cow_projected_kg)</f>
        <v>4.6757632E-2</v>
      </c>
      <c r="D16" s="1618">
        <f>IF(Options!AS47=1,F3_PE_Dry_Cow_reported_kg,F3_PE_Dry_Cow_projected_kg)</f>
        <v>4.6757632E-2</v>
      </c>
      <c r="E16" s="1622">
        <f>IF(Options!AT47=1,F4_PE_Dry_Cow_reported_kg,F4_PE_Dry_Cow_projected_kg)</f>
        <v>3.2352853822200787E-2</v>
      </c>
      <c r="F16" s="2222" t="s">
        <v>343</v>
      </c>
      <c r="G16" s="1629"/>
      <c r="H16" s="1630"/>
      <c r="I16" s="1630"/>
      <c r="J16" s="1683"/>
      <c r="K16" s="40"/>
      <c r="L16" s="40"/>
      <c r="M16" s="40"/>
      <c r="N16" s="40"/>
      <c r="O16" s="40"/>
      <c r="P16" s="40"/>
      <c r="Q16" s="40"/>
      <c r="R16" s="40"/>
      <c r="S16" s="40"/>
      <c r="T16" s="40"/>
      <c r="U16" s="40"/>
      <c r="V16" s="40"/>
      <c r="W16" s="40"/>
      <c r="X16" s="40"/>
      <c r="Y16" s="40"/>
      <c r="Z16" s="40"/>
      <c r="AA16" s="40"/>
    </row>
    <row r="17" spans="1:27">
      <c r="A17" s="236" t="s">
        <v>334</v>
      </c>
      <c r="B17" s="1609">
        <f>IF(Options!AQ52=1,F1_KE_Dry_Cow_reported_kg,F1_KE_Dry_Cow_projected_kg)</f>
        <v>0.11616160000000002</v>
      </c>
      <c r="C17" s="1615">
        <f>IF(Options!AR52=1,F2_KE_Dry_Cow_reported_kg,F2_KE_Dry_Cow_projected_kg)</f>
        <v>0.11616160000000002</v>
      </c>
      <c r="D17" s="1618">
        <f>IF(Options!AS52=1,F3_KE_Dry_Cow_reported_kg,F3_KE_Dry_Cow_projected_kg)</f>
        <v>0.11616160000000002</v>
      </c>
      <c r="E17" s="1622">
        <f>IF(Options!AT52=1,F4_KE_Dry_Cow_reported_kg,F4_KE_Dry_Cow_projected_kg)</f>
        <v>2.1368609271523183E-2</v>
      </c>
      <c r="F17" s="2222" t="s">
        <v>344</v>
      </c>
      <c r="G17" s="1629"/>
      <c r="H17" s="1630"/>
      <c r="I17" s="1630"/>
      <c r="J17" s="1683"/>
      <c r="K17" s="40"/>
      <c r="L17" s="40"/>
      <c r="M17" s="40"/>
      <c r="N17" s="40"/>
      <c r="O17" s="40"/>
      <c r="P17" s="40"/>
      <c r="Q17" s="40"/>
      <c r="R17" s="40"/>
      <c r="S17" s="40"/>
      <c r="T17" s="40"/>
      <c r="U17" s="40"/>
      <c r="V17" s="40"/>
      <c r="W17" s="40"/>
      <c r="X17" s="40"/>
      <c r="Y17" s="40"/>
      <c r="Z17" s="40"/>
      <c r="AA17" s="40"/>
    </row>
    <row r="18" spans="1:27" ht="25.5">
      <c r="A18" s="3615" t="s">
        <v>1172</v>
      </c>
      <c r="B18" s="1609"/>
      <c r="C18" s="1615"/>
      <c r="D18" s="1618"/>
      <c r="E18" s="1622"/>
      <c r="F18" s="2223"/>
      <c r="G18" s="1629"/>
      <c r="H18" s="1630"/>
      <c r="I18" s="1630"/>
      <c r="J18" s="1683"/>
      <c r="K18" s="40"/>
      <c r="L18" s="40"/>
      <c r="M18" s="40"/>
      <c r="N18" s="40"/>
      <c r="O18" s="40"/>
      <c r="P18" s="40"/>
      <c r="Q18" s="40"/>
      <c r="R18" s="40"/>
      <c r="S18" s="40"/>
      <c r="T18" s="40"/>
      <c r="U18" s="40"/>
      <c r="V18" s="40"/>
      <c r="W18" s="40"/>
      <c r="X18" s="40"/>
      <c r="Y18" s="40"/>
      <c r="Z18" s="40"/>
      <c r="AA18" s="40"/>
    </row>
    <row r="19" spans="1:27">
      <c r="A19" s="236" t="s">
        <v>1642</v>
      </c>
      <c r="B19" s="1609">
        <f>IF(Options!AQ58=1,F1_TME_Heifer_reported_kg,F1_TME_Heifer_Projected_kg)</f>
        <v>23.91084</v>
      </c>
      <c r="C19" s="1615">
        <f>IF(Options!AR58=1,F2_TME_Heifer_reported_kg,F2_TME_Heifer_Projected_kg)</f>
        <v>23.91084</v>
      </c>
      <c r="D19" s="1618">
        <f>IF(Options!AS58=1,F3_TME_Heifer_reported_kg,F3_TME_Heifer_Projected_kg)</f>
        <v>23.91084</v>
      </c>
      <c r="E19" s="1622">
        <f>IF(Options!AT58=1,F4_TME_Heifer_reported_kg,F4_TME_Heifer_Projected_kg)</f>
        <v>15.04686727688787</v>
      </c>
      <c r="F19" s="2222" t="s">
        <v>345</v>
      </c>
      <c r="G19" s="1629"/>
      <c r="H19" s="1630"/>
      <c r="I19" s="1630"/>
      <c r="J19" s="1683"/>
      <c r="K19" s="40"/>
      <c r="L19" s="40"/>
      <c r="M19" s="40"/>
      <c r="N19" s="40"/>
      <c r="O19" s="40"/>
      <c r="P19" s="40"/>
      <c r="Q19" s="40"/>
      <c r="R19" s="40"/>
      <c r="S19" s="40"/>
      <c r="T19" s="40"/>
      <c r="U19" s="40"/>
      <c r="V19" s="40"/>
      <c r="W19" s="40"/>
      <c r="X19" s="40"/>
      <c r="Y19" s="40"/>
      <c r="Z19" s="40"/>
      <c r="AA19" s="40"/>
    </row>
    <row r="20" spans="1:27">
      <c r="A20" s="236" t="s">
        <v>332</v>
      </c>
      <c r="B20" s="1609">
        <f>IF(Options!AQ63=1,F1_DME_Heifer_reported_kg,F1_DME_Heifer_Projected_kg)</f>
        <v>3.7690399999999995</v>
      </c>
      <c r="C20" s="1615">
        <f>IF(Options!AR63=1,F2_DME_Heifer_reported_kg,F2_DME_Heifer_Projected_kg)</f>
        <v>3.7690399999999995</v>
      </c>
      <c r="D20" s="1618">
        <f>IF(Options!AS63=1,F3_DME_Heifer_reported_kg,F3_DME_Heifer_Projected_kg)</f>
        <v>3.7690399999999995</v>
      </c>
      <c r="E20" s="1622">
        <f>IF(Options!AT63=1,F4_DME_Heifer_reported_kg,F4_DME_Heifer_Projected_kg)</f>
        <v>2.6683890160183066</v>
      </c>
      <c r="F20" s="2222" t="s">
        <v>346</v>
      </c>
      <c r="G20" s="1629"/>
      <c r="H20" s="1630"/>
      <c r="I20" s="1630"/>
      <c r="J20" s="1683"/>
      <c r="K20" s="40"/>
      <c r="L20" s="40"/>
      <c r="M20" s="40"/>
      <c r="N20" s="40"/>
      <c r="O20" s="40"/>
      <c r="P20" s="40"/>
      <c r="Q20" s="40"/>
      <c r="R20" s="40"/>
      <c r="S20" s="40"/>
      <c r="T20" s="40"/>
      <c r="U20" s="40"/>
      <c r="V20" s="40"/>
      <c r="W20" s="40"/>
      <c r="X20" s="40"/>
      <c r="Y20" s="40"/>
      <c r="Z20" s="40"/>
      <c r="AA20" s="40"/>
    </row>
    <row r="21" spans="1:27">
      <c r="A21" s="236" t="s">
        <v>331</v>
      </c>
      <c r="B21" s="1609">
        <f>IF(Options!AQ68=1,F1_NE_Heifer_reported_kg,F1_NE_Heifer_Projected_kg)</f>
        <v>0.1246225312</v>
      </c>
      <c r="C21" s="1615">
        <f>IF(Options!AR68=1,F2_NE_Heifer_reported_kg,F2_NE_Heifer_Projected_kg)</f>
        <v>0.1246225312</v>
      </c>
      <c r="D21" s="1618">
        <f>IF(Options!AS68=1,F3_NE_Heifer_reported_kg,F3_NE_Heifer_projected_kg)</f>
        <v>0.1246225312</v>
      </c>
      <c r="E21" s="1622">
        <f>IF(Options!AT68=1,F4_NE_Heifer_reported_kg,F4_NE_Heifer_projected_kg)</f>
        <v>8.0396611607119486E-2</v>
      </c>
      <c r="F21" s="2222" t="s">
        <v>347</v>
      </c>
      <c r="G21" s="1629"/>
      <c r="H21" s="1630"/>
      <c r="I21" s="1630"/>
      <c r="J21" s="1683"/>
      <c r="K21" s="40"/>
      <c r="L21" s="40"/>
      <c r="M21" s="40"/>
      <c r="N21" s="40"/>
      <c r="O21" s="40"/>
      <c r="P21" s="40"/>
      <c r="Q21" s="40"/>
      <c r="R21" s="40"/>
      <c r="S21" s="40"/>
      <c r="T21" s="40"/>
      <c r="U21" s="40"/>
      <c r="V21" s="40"/>
      <c r="W21" s="40"/>
      <c r="X21" s="40"/>
      <c r="Y21" s="40"/>
      <c r="Z21" s="40"/>
      <c r="AA21" s="40"/>
    </row>
    <row r="22" spans="1:27">
      <c r="A22" s="236" t="s">
        <v>333</v>
      </c>
      <c r="B22" s="1609">
        <f>IF(Options!AQ73=1,F1_PE_Heifer_reported_kg,F1_PE_Heifer_projected_kg)</f>
        <v>3.4661090200000001E-2</v>
      </c>
      <c r="C22" s="1615">
        <f>IF(Options!AR73=1,F2_PE_Heifer_reported_kg,F2_PE_Heifer_projected_kg)</f>
        <v>3.4661090200000001E-2</v>
      </c>
      <c r="D22" s="1618">
        <f>IF(Options!AS73=1,F3_PE_Heifer_reported_kg,F3_PE_Heifer_projected_kg)</f>
        <v>3.4661090200000001E-2</v>
      </c>
      <c r="E22" s="1622">
        <f>IF(Options!AT73=1,F4_PE_Heifer_reported_kg,F4_PE_Heifer_projected_kg)</f>
        <v>2.6470282330509142E-2</v>
      </c>
      <c r="F22" s="2222" t="s">
        <v>348</v>
      </c>
      <c r="G22" s="1629"/>
      <c r="H22" s="1630"/>
      <c r="I22" s="1630"/>
      <c r="J22" s="1683"/>
      <c r="K22" s="40"/>
      <c r="L22" s="40"/>
      <c r="M22" s="40"/>
      <c r="N22" s="40"/>
      <c r="O22" s="40"/>
      <c r="P22" s="40"/>
      <c r="Q22" s="40"/>
      <c r="R22" s="40"/>
      <c r="S22" s="40"/>
      <c r="T22" s="40"/>
      <c r="U22" s="40"/>
      <c r="V22" s="40"/>
      <c r="W22" s="40"/>
      <c r="X22" s="40"/>
      <c r="Y22" s="40"/>
      <c r="Z22" s="40"/>
      <c r="AA22" s="40"/>
    </row>
    <row r="23" spans="1:27">
      <c r="A23" s="236" t="s">
        <v>334</v>
      </c>
      <c r="B23" s="1609">
        <f>IF(Options!AQ77=1,F1_KE_Heifer_reported_kg,F1_KE_Heifer_projected_kg)</f>
        <v>0.13000819999999999</v>
      </c>
      <c r="C23" s="1615">
        <f>IF(Options!AR77=1,F2_KE_Heifer_reported_kg,F2_KE_Heifer_projected_kg)</f>
        <v>0.13000819999999999</v>
      </c>
      <c r="D23" s="1618">
        <f>IF(Options!AS77=1,F3_KE_Heifer_reported_kg,F3_KE_Heifer_projected_kg)</f>
        <v>0.13000819999999999</v>
      </c>
      <c r="E23" s="1622">
        <f>IF(Options!AT77=1,F4_KE_Heifer_reported_kg,F4_KE_Heifer_projected_kg)</f>
        <v>2.083124713958813E-2</v>
      </c>
      <c r="F23" s="2222" t="s">
        <v>349</v>
      </c>
      <c r="G23" s="1629"/>
      <c r="H23" s="1630"/>
      <c r="I23" s="1630"/>
      <c r="J23" s="1683"/>
      <c r="K23" s="40"/>
      <c r="L23" s="40"/>
      <c r="M23" s="40"/>
      <c r="N23" s="40"/>
      <c r="O23" s="40"/>
      <c r="P23" s="40"/>
      <c r="Q23" s="40"/>
      <c r="R23" s="40"/>
      <c r="S23" s="40"/>
      <c r="T23" s="40"/>
      <c r="U23" s="40"/>
      <c r="V23" s="40"/>
      <c r="W23" s="40"/>
      <c r="X23" s="40"/>
      <c r="Y23" s="40"/>
      <c r="Z23" s="40"/>
      <c r="AA23" s="40"/>
    </row>
    <row r="24" spans="1:27" ht="25.5">
      <c r="A24" s="3615" t="s">
        <v>1181</v>
      </c>
      <c r="B24" s="1609"/>
      <c r="C24" s="1615"/>
      <c r="D24" s="1618"/>
      <c r="E24" s="1622"/>
      <c r="F24" s="2223"/>
      <c r="G24" s="1629"/>
      <c r="H24" s="1630"/>
      <c r="I24" s="1630"/>
      <c r="J24" s="1683"/>
      <c r="K24" s="40"/>
      <c r="L24" s="40"/>
      <c r="M24" s="40"/>
      <c r="N24" s="40"/>
      <c r="O24" s="40"/>
      <c r="P24" s="40"/>
      <c r="Q24" s="40"/>
      <c r="R24" s="40"/>
      <c r="S24" s="40"/>
      <c r="T24" s="40"/>
      <c r="U24" s="40"/>
      <c r="V24" s="40"/>
      <c r="W24" s="40"/>
      <c r="X24" s="40"/>
      <c r="Y24" s="40"/>
      <c r="Z24" s="40"/>
      <c r="AA24" s="40"/>
    </row>
    <row r="25" spans="1:27">
      <c r="A25" s="236" t="s">
        <v>1642</v>
      </c>
      <c r="B25" s="1609">
        <f>IF(Options!AQ83=1,F1_TME_Calf_reported_kg,F1_TME_Calf_projected_kg)</f>
        <v>11.641717931937173</v>
      </c>
      <c r="C25" s="1615">
        <f>IF(Options!AR83=1,F2_TME_Calf_reported_kg,F2_TME_Calf_projected_kg)</f>
        <v>11.641717931937173</v>
      </c>
      <c r="D25" s="1618">
        <f>IF(Options!AS83=1,F3_TME_Calf_reported_kg,F3_TME_Calf_projected_kg)</f>
        <v>11.641717931937173</v>
      </c>
      <c r="E25" s="1622">
        <f>IF(Options!AT83=1,F4_TME_Calf_reported_kg,F4_TME_Calf_projected_kg)</f>
        <v>7.6089659685863875</v>
      </c>
      <c r="F25" s="2222" t="s">
        <v>350</v>
      </c>
      <c r="G25" s="1629"/>
      <c r="H25" s="1630"/>
      <c r="I25" s="1630"/>
      <c r="J25" s="1683"/>
      <c r="K25" s="40"/>
      <c r="L25" s="40"/>
      <c r="M25" s="40"/>
      <c r="N25" s="40"/>
      <c r="O25" s="40"/>
      <c r="P25" s="40"/>
      <c r="Q25" s="40"/>
      <c r="R25" s="40"/>
      <c r="S25" s="40"/>
      <c r="T25" s="40"/>
      <c r="U25" s="40"/>
      <c r="V25" s="40"/>
      <c r="W25" s="40"/>
      <c r="X25" s="40"/>
      <c r="Y25" s="40"/>
      <c r="Z25" s="40"/>
      <c r="AA25" s="40"/>
    </row>
    <row r="26" spans="1:27">
      <c r="A26" s="236" t="s">
        <v>332</v>
      </c>
      <c r="B26" s="1609">
        <f>IF(Options!AQ88=1,F1_DME_Calf_reported_kg,F1_DME_Calf_projected_kg)</f>
        <v>1.3261435209424084</v>
      </c>
      <c r="C26" s="1615">
        <f>IF(Options!AR88=1,F2_DME_Calf_reported_kg,F2_DME_Calf_projected_kg)</f>
        <v>1.3261435209424084</v>
      </c>
      <c r="D26" s="1618">
        <f>IF(Options!AS88=1,F3_DME_Calf_reported_kg,F3_DME_Calf_projected_kg)</f>
        <v>1.3261435209424084</v>
      </c>
      <c r="E26" s="1622">
        <f>IF(Options!AT88=1,F4_DME_Calf_reported_kg,F4_DME_Calf_projected_kg)</f>
        <v>0.86676047120418842</v>
      </c>
      <c r="F26" s="2222" t="s">
        <v>351</v>
      </c>
      <c r="G26" s="1629"/>
      <c r="H26" s="1630"/>
      <c r="I26" s="1630"/>
      <c r="J26" s="1683"/>
      <c r="K26" s="40"/>
      <c r="L26" s="40"/>
      <c r="M26" s="40"/>
      <c r="N26" s="40"/>
      <c r="O26" s="40"/>
      <c r="P26" s="40"/>
      <c r="Q26" s="40"/>
      <c r="R26" s="40"/>
      <c r="S26" s="40"/>
      <c r="T26" s="40"/>
      <c r="U26" s="40"/>
      <c r="V26" s="40"/>
      <c r="W26" s="40"/>
      <c r="X26" s="40"/>
      <c r="Y26" s="40"/>
      <c r="Z26" s="40"/>
      <c r="AA26" s="40"/>
    </row>
    <row r="27" spans="1:27">
      <c r="A27" s="236" t="s">
        <v>331</v>
      </c>
      <c r="B27" s="1609">
        <f>IF(Options!AQ93=1,F1_NE_Calf_reported_kg,F1_NE_Calf_projected_kg)</f>
        <v>6.3127652745992774E-2</v>
      </c>
      <c r="C27" s="1615">
        <f>IF(Options!AR93=1,F2_NE_Calf_reported_kg,F2_NE_Calf_projected_kg)</f>
        <v>6.3127652745992774E-2</v>
      </c>
      <c r="D27" s="1618">
        <f>IF(Options!AS93=1,F3_NE_Calf_reported_kg,F3_NE_Calf_projected_kg)</f>
        <v>6.312765274599276E-2</v>
      </c>
      <c r="E27" s="1622">
        <f>IF(Options!AT93=1,F4_NE_Calf_reported_kg,F4_NE_Calf_projected_kg)</f>
        <v>2.6967257356569171E-2</v>
      </c>
      <c r="F27" s="2222" t="s">
        <v>352</v>
      </c>
      <c r="G27" s="1629"/>
      <c r="H27" s="1630"/>
      <c r="I27" s="1630"/>
      <c r="J27" s="1683"/>
      <c r="K27" s="40"/>
      <c r="L27" s="40"/>
      <c r="M27" s="40"/>
      <c r="N27" s="40"/>
      <c r="O27" s="40"/>
      <c r="P27" s="40"/>
      <c r="Q27" s="40"/>
      <c r="R27" s="40"/>
      <c r="S27" s="40"/>
      <c r="T27" s="40"/>
      <c r="U27" s="40"/>
      <c r="V27" s="40"/>
      <c r="W27" s="40"/>
      <c r="X27" s="40"/>
      <c r="Y27" s="40"/>
      <c r="Z27" s="40"/>
      <c r="AA27" s="40"/>
    </row>
    <row r="28" spans="1:27">
      <c r="A28" s="236" t="s">
        <v>333</v>
      </c>
      <c r="B28" s="1609">
        <f>IF(Options!AQ98=1,F1_PE_Calf_reported_kg,F1_PE_Calf_projected_kg)</f>
        <v>7.7764092638389661E-3</v>
      </c>
      <c r="C28" s="1615">
        <f>IF(Options!AR98=1,F2_PE_Calf_reported_kg,F2_PE_Calf_projected_kg)</f>
        <v>7.7764092638389661E-3</v>
      </c>
      <c r="D28" s="1618">
        <f>IF(Options!AS98=1,F3_PE_Calf_reported_kg,F3_PE_Calf_projected_kg)</f>
        <v>7.7764092638389661E-3</v>
      </c>
      <c r="E28" s="1622">
        <f>IF(Options!AT98=1,F4_PE_Calf_reported_kg,F4_PE_Calf_projected_kg)</f>
        <v>3.3219741397919459E-3</v>
      </c>
      <c r="F28" s="2222" t="s">
        <v>353</v>
      </c>
      <c r="G28" s="1629"/>
      <c r="H28" s="1630"/>
      <c r="I28" s="1630"/>
      <c r="J28" s="1683"/>
      <c r="K28" s="40"/>
      <c r="L28" s="40"/>
      <c r="M28" s="40"/>
      <c r="N28" s="40"/>
      <c r="O28" s="40"/>
      <c r="P28" s="40"/>
      <c r="Q28" s="40"/>
      <c r="R28" s="40"/>
      <c r="S28" s="40"/>
      <c r="T28" s="40"/>
      <c r="U28" s="40"/>
      <c r="V28" s="40"/>
      <c r="W28" s="40"/>
      <c r="X28" s="40"/>
      <c r="Y28" s="40"/>
      <c r="Z28" s="40"/>
      <c r="AA28" s="40"/>
    </row>
    <row r="29" spans="1:27">
      <c r="A29" s="236" t="s">
        <v>334</v>
      </c>
      <c r="B29" s="1609">
        <f>IF(Options!AQ103=1,F1_KE_Calf_reported_kg,F1_KE_Calf_projected_kg)</f>
        <v>9.4513079188481647E-2</v>
      </c>
      <c r="C29" s="1615">
        <f>IF(Options!AR103=1,F2_KE_Calf_reported_kg,F2_KE_Calf_projected_kg)</f>
        <v>9.4513079188481647E-2</v>
      </c>
      <c r="D29" s="1618">
        <f>IF(Options!AS103=1,F3_KE_Calf_reported_kg,F3_KE_Calf_projected_kg)</f>
        <v>9.4513079188481647E-2</v>
      </c>
      <c r="E29" s="1622">
        <f>IF(Options!AT103=1,F4_KE_Calf_reported_kg,F4_KE_Calf_projected_kg)</f>
        <v>4.7895942408376869E-3</v>
      </c>
      <c r="F29" s="2222" t="s">
        <v>354</v>
      </c>
      <c r="G29" s="1629"/>
      <c r="H29" s="1630"/>
      <c r="I29" s="1630"/>
      <c r="J29" s="1683"/>
      <c r="K29" s="40"/>
      <c r="L29" s="40"/>
      <c r="M29" s="40"/>
      <c r="N29" s="40"/>
      <c r="O29" s="40"/>
      <c r="P29" s="40"/>
      <c r="Q29" s="40"/>
      <c r="R29" s="40"/>
      <c r="S29" s="40"/>
      <c r="T29" s="40"/>
      <c r="U29" s="40"/>
      <c r="V29" s="40"/>
      <c r="W29" s="40"/>
      <c r="X29" s="40"/>
      <c r="Y29" s="40"/>
      <c r="Z29" s="40"/>
      <c r="AA29" s="40"/>
    </row>
    <row r="30" spans="1:27" ht="13.5" thickBot="1">
      <c r="A30" s="2228"/>
      <c r="B30" s="1684"/>
      <c r="C30" s="1685"/>
      <c r="D30" s="1686"/>
      <c r="E30" s="1687"/>
      <c r="F30" s="2229"/>
      <c r="G30" s="1690"/>
      <c r="H30" s="1688"/>
      <c r="I30" s="1688"/>
      <c r="J30" s="1689"/>
      <c r="K30" s="40"/>
      <c r="L30" s="40"/>
      <c r="M30" s="40"/>
      <c r="N30" s="40"/>
      <c r="O30" s="40"/>
      <c r="P30" s="40"/>
      <c r="Q30" s="40"/>
      <c r="R30" s="40"/>
      <c r="S30" s="40"/>
      <c r="T30" s="40"/>
      <c r="U30" s="40"/>
      <c r="V30" s="40"/>
      <c r="W30" s="40"/>
      <c r="X30" s="40"/>
      <c r="Y30" s="40"/>
      <c r="Z30" s="40"/>
      <c r="AA30" s="40"/>
    </row>
  </sheetData>
  <sheetProtection password="E0BE" sheet="1" objects="1" scenarios="1" selectLockedCells="1"/>
  <mergeCells count="5">
    <mergeCell ref="A2:J2"/>
    <mergeCell ref="A3:A4"/>
    <mergeCell ref="B3:E3"/>
    <mergeCell ref="G3:J3"/>
    <mergeCell ref="A1:J1"/>
  </mergeCells>
  <printOptions gridLines="1"/>
  <pageMargins left="0.7" right="0.7" top="0.75" bottom="0.75" header="0.3" footer="0.3"/>
  <pageSetup scale="79" orientation="landscape" horizontalDpi="1200" verticalDpi="1200" r:id="rId1"/>
  <headerFooter>
    <oddFooter>&amp;L&amp;A&amp;C&amp;F&amp;R&amp;D</oddFooter>
  </headerFooter>
</worksheet>
</file>

<file path=xl/worksheets/sheet6.xml><?xml version="1.0" encoding="utf-8"?>
<worksheet xmlns="http://schemas.openxmlformats.org/spreadsheetml/2006/main" xmlns:r="http://schemas.openxmlformats.org/officeDocument/2006/relationships">
  <sheetPr>
    <pageSetUpPr fitToPage="1"/>
  </sheetPr>
  <dimension ref="A1:AA38"/>
  <sheetViews>
    <sheetView zoomScale="85" zoomScaleNormal="85" workbookViewId="0">
      <selection activeCell="A23" sqref="A23"/>
    </sheetView>
  </sheetViews>
  <sheetFormatPr defaultRowHeight="12.75"/>
  <cols>
    <col min="1" max="1" width="33.85546875" customWidth="1"/>
    <col min="2" max="5" width="11.7109375" customWidth="1"/>
    <col min="6" max="6" width="34" customWidth="1"/>
    <col min="7" max="10" width="11.7109375" customWidth="1"/>
  </cols>
  <sheetData>
    <row r="1" spans="1:27" s="1627" customFormat="1" ht="45.75" customHeight="1">
      <c r="A1" s="3918" t="str">
        <f>CONCATENATE("Parameter Values Chosen for ",'Application Setup'!B3," Application of the “Shades of Green” Dairy Farm Management System Calculator, Version 1.1")</f>
        <v>Parameter Values Chosen for Conventional and Organic Farm Environmental Footprints (COFEF) Application of the “Shades of Green” Dairy Farm Management System Calculator, Version 1.1</v>
      </c>
      <c r="B1" s="3919"/>
      <c r="C1" s="3919"/>
      <c r="D1" s="3919"/>
      <c r="E1" s="3919"/>
      <c r="F1" s="3919"/>
      <c r="G1" s="3919"/>
      <c r="H1" s="3919"/>
      <c r="I1" s="3919"/>
      <c r="J1" s="3920"/>
      <c r="K1" s="40"/>
      <c r="L1" s="40"/>
      <c r="M1" s="40"/>
      <c r="N1" s="40"/>
      <c r="O1" s="40"/>
      <c r="P1" s="40"/>
      <c r="Q1" s="40"/>
      <c r="R1" s="40"/>
      <c r="S1" s="40"/>
      <c r="T1" s="40"/>
      <c r="U1" s="40"/>
      <c r="V1" s="40"/>
      <c r="W1" s="40"/>
      <c r="X1" s="40"/>
      <c r="Y1" s="40"/>
      <c r="Z1" s="40"/>
      <c r="AA1" s="40"/>
    </row>
    <row r="2" spans="1:27" s="1627" customFormat="1" ht="33" customHeight="1" thickBot="1">
      <c r="A2" s="3911" t="s">
        <v>468</v>
      </c>
      <c r="B2" s="3912"/>
      <c r="C2" s="3912"/>
      <c r="D2" s="3912"/>
      <c r="E2" s="3912"/>
      <c r="F2" s="3912"/>
      <c r="G2" s="3912"/>
      <c r="H2" s="3912"/>
      <c r="I2" s="3912"/>
      <c r="J2" s="3913"/>
      <c r="K2" s="40"/>
      <c r="L2" s="40"/>
      <c r="M2" s="40"/>
      <c r="N2" s="40"/>
      <c r="O2" s="40"/>
      <c r="P2" s="40"/>
      <c r="Q2" s="40"/>
      <c r="R2" s="40"/>
      <c r="S2" s="40"/>
      <c r="T2" s="40"/>
      <c r="U2" s="40"/>
      <c r="V2" s="40"/>
      <c r="W2" s="40"/>
      <c r="X2" s="40"/>
      <c r="Y2" s="40"/>
      <c r="Z2" s="40"/>
      <c r="AA2" s="40"/>
    </row>
    <row r="3" spans="1:27" s="3" customFormat="1" ht="27.75" customHeight="1" thickTop="1">
      <c r="A3" s="3921"/>
      <c r="B3" s="3914" t="s">
        <v>1156</v>
      </c>
      <c r="C3" s="3915"/>
      <c r="D3" s="3915"/>
      <c r="E3" s="3916"/>
      <c r="F3" s="2226"/>
      <c r="G3" s="3914" t="s">
        <v>389</v>
      </c>
      <c r="H3" s="3915"/>
      <c r="I3" s="3915"/>
      <c r="J3" s="3917"/>
      <c r="K3" s="1708"/>
      <c r="L3" s="1708"/>
      <c r="M3" s="1708"/>
      <c r="N3" s="1708"/>
      <c r="O3" s="1708"/>
      <c r="P3" s="1708"/>
      <c r="Q3" s="1708"/>
      <c r="R3" s="1708"/>
      <c r="S3" s="1708"/>
      <c r="T3" s="1708"/>
      <c r="U3" s="1708"/>
      <c r="V3" s="1708"/>
      <c r="W3" s="1708"/>
      <c r="X3" s="1708"/>
      <c r="Y3" s="1708"/>
      <c r="Z3" s="1708"/>
      <c r="AA3" s="1708"/>
    </row>
    <row r="4" spans="1:27" s="3" customFormat="1" ht="29.25" customHeight="1" thickBot="1">
      <c r="A4" s="3922"/>
      <c r="B4" s="2216" t="s">
        <v>273</v>
      </c>
      <c r="C4" s="2217" t="s">
        <v>274</v>
      </c>
      <c r="D4" s="2217" t="s">
        <v>275</v>
      </c>
      <c r="E4" s="2218" t="s">
        <v>276</v>
      </c>
      <c r="F4" s="2230" t="s">
        <v>282</v>
      </c>
      <c r="G4" s="2220" t="s">
        <v>390</v>
      </c>
      <c r="H4" s="2220" t="s">
        <v>391</v>
      </c>
      <c r="I4" s="2220" t="s">
        <v>392</v>
      </c>
      <c r="J4" s="2221" t="s">
        <v>393</v>
      </c>
      <c r="K4" s="1708"/>
      <c r="L4" s="1708"/>
      <c r="M4" s="1708"/>
      <c r="N4" s="1708"/>
      <c r="O4" s="1708"/>
      <c r="P4" s="1708"/>
      <c r="Q4" s="1708"/>
      <c r="R4" s="1708"/>
      <c r="S4" s="1708"/>
      <c r="T4" s="1708"/>
      <c r="U4" s="1708"/>
      <c r="V4" s="1708"/>
      <c r="W4" s="1708"/>
      <c r="X4" s="1708"/>
      <c r="Y4" s="1708"/>
      <c r="Z4" s="1708"/>
      <c r="AA4" s="1708"/>
    </row>
    <row r="5" spans="1:27" ht="15">
      <c r="A5" s="182" t="s">
        <v>1100</v>
      </c>
      <c r="B5" s="1610"/>
      <c r="C5" s="1656"/>
      <c r="D5" s="1660"/>
      <c r="E5" s="1623"/>
      <c r="F5" s="2223"/>
      <c r="G5" s="1629"/>
      <c r="H5" s="1631"/>
      <c r="I5" s="1630"/>
      <c r="J5" s="1683"/>
      <c r="K5" s="40"/>
      <c r="L5" s="40"/>
      <c r="M5" s="40"/>
      <c r="N5" s="40"/>
      <c r="O5" s="40"/>
      <c r="P5" s="40"/>
      <c r="Q5" s="40"/>
      <c r="R5" s="40"/>
      <c r="S5" s="40"/>
      <c r="T5" s="40"/>
      <c r="U5" s="40"/>
      <c r="V5" s="40"/>
      <c r="W5" s="40"/>
      <c r="X5" s="40"/>
      <c r="Y5" s="40"/>
      <c r="Z5" s="40"/>
      <c r="AA5" s="40"/>
    </row>
    <row r="6" spans="1:27">
      <c r="A6" s="236" t="s">
        <v>907</v>
      </c>
      <c r="B6" s="1610" t="str">
        <f>VLOOKUP(Options!AW10,Defaults!H20:J69,2,FALSE)</f>
        <v>WA</v>
      </c>
      <c r="C6" s="3561" t="str">
        <f>VLOOKUP(Options!AX10,Defaults!H20:J69,2,FALSE)</f>
        <v>WA</v>
      </c>
      <c r="D6" s="3563" t="str">
        <f>VLOOKUP(Options!AY10,Defaults!H20:J69,2,FALSE)</f>
        <v>WA</v>
      </c>
      <c r="E6" s="1623" t="str">
        <f>VLOOKUP(Options!AZ10,Defaults!H20:J69,2,FALSE)</f>
        <v>WA</v>
      </c>
      <c r="F6" s="2223" t="s">
        <v>907</v>
      </c>
      <c r="G6" s="1629"/>
      <c r="H6" s="1631"/>
      <c r="I6" s="1630"/>
      <c r="J6" s="1683"/>
      <c r="K6" s="40"/>
      <c r="L6" s="40"/>
      <c r="M6" s="40"/>
      <c r="N6" s="40"/>
      <c r="O6" s="40"/>
      <c r="P6" s="40"/>
      <c r="Q6" s="40"/>
      <c r="R6" s="40"/>
      <c r="S6" s="40"/>
      <c r="T6" s="40"/>
      <c r="U6" s="40"/>
      <c r="V6" s="40"/>
      <c r="W6" s="40"/>
      <c r="X6" s="40"/>
      <c r="Y6" s="40"/>
      <c r="Z6" s="40"/>
      <c r="AA6" s="40"/>
    </row>
    <row r="7" spans="1:27">
      <c r="A7" s="236" t="s">
        <v>267</v>
      </c>
      <c r="B7" s="1610" t="str">
        <f>IF(Options!AW4=1,Options!AW5,IF(Options!AW4=2,Options!AW6,Options!AW7))</f>
        <v>Temperate</v>
      </c>
      <c r="C7" s="1656" t="str">
        <f>IF(Options!AX4=1,Options!AX5,IF(Options!AX4=2,Options!AX6,Options!AX7))</f>
        <v>Temperate</v>
      </c>
      <c r="D7" s="1660" t="str">
        <f>IF(Options!AY4=1,Options!AY5,IF(Options!AY4=2,Options!AY6,Options!AY7))</f>
        <v>Temperate</v>
      </c>
      <c r="E7" s="1643" t="str">
        <f>IF(Options!AZ4=1,Options!AZ5,IF(Options!AZ4=2,Options!AZ6,Options!AZ7))</f>
        <v>Temperate</v>
      </c>
      <c r="F7" s="2223" t="s">
        <v>267</v>
      </c>
      <c r="G7" s="1629"/>
      <c r="H7" s="1631"/>
      <c r="I7" s="1630"/>
      <c r="J7" s="1683"/>
      <c r="K7" s="40"/>
      <c r="L7" s="40"/>
      <c r="M7" s="40"/>
      <c r="N7" s="40"/>
      <c r="O7" s="40"/>
      <c r="P7" s="40"/>
      <c r="Q7" s="40"/>
      <c r="R7" s="40"/>
      <c r="S7" s="40"/>
      <c r="T7" s="40"/>
      <c r="U7" s="40"/>
      <c r="V7" s="40"/>
      <c r="W7" s="40"/>
      <c r="X7" s="40"/>
      <c r="Y7" s="40"/>
      <c r="Z7" s="40"/>
      <c r="AA7" s="40"/>
    </row>
    <row r="8" spans="1:27" ht="25.5">
      <c r="A8" s="3615" t="s">
        <v>1636</v>
      </c>
      <c r="B8" s="1610"/>
      <c r="C8" s="1656"/>
      <c r="D8" s="1660"/>
      <c r="E8" s="1623"/>
      <c r="F8" s="2223"/>
      <c r="G8" s="1629"/>
      <c r="H8" s="1631"/>
      <c r="I8" s="1630"/>
      <c r="J8" s="1683"/>
      <c r="K8" s="40"/>
      <c r="L8" s="40"/>
      <c r="M8" s="40"/>
      <c r="N8" s="40"/>
      <c r="O8" s="40"/>
      <c r="P8" s="40"/>
      <c r="Q8" s="40"/>
      <c r="R8" s="40"/>
      <c r="S8" s="40"/>
      <c r="T8" s="40"/>
      <c r="U8" s="40"/>
      <c r="V8" s="40"/>
      <c r="W8" s="40"/>
      <c r="X8" s="40"/>
      <c r="Y8" s="40"/>
      <c r="Z8" s="40"/>
      <c r="AA8" s="40"/>
    </row>
    <row r="9" spans="1:27">
      <c r="A9" s="236" t="s">
        <v>226</v>
      </c>
      <c r="B9" s="1633">
        <f>'Step 14a-Greenhouse Gas Factors'!C11</f>
        <v>0.69</v>
      </c>
      <c r="C9" s="1635">
        <f>'Step 14a-Greenhouse Gas Factors'!N11</f>
        <v>0.6</v>
      </c>
      <c r="D9" s="1636">
        <f>'Step 14b-Greenhouse Gas Factors'!C10</f>
        <v>0.2</v>
      </c>
      <c r="E9" s="1637">
        <f>'Step 14b-Greenhouse Gas Factors'!N10</f>
        <v>0.1</v>
      </c>
      <c r="F9" s="2223"/>
      <c r="G9" s="1629"/>
      <c r="H9" s="1631"/>
      <c r="I9" s="1630"/>
      <c r="J9" s="1683"/>
      <c r="K9" s="40"/>
      <c r="L9" s="40"/>
      <c r="M9" s="40"/>
      <c r="N9" s="40"/>
      <c r="O9" s="40"/>
      <c r="P9" s="40"/>
      <c r="Q9" s="40"/>
      <c r="R9" s="40"/>
      <c r="S9" s="40"/>
      <c r="T9" s="40"/>
      <c r="U9" s="40"/>
      <c r="V9" s="40"/>
      <c r="W9" s="40"/>
      <c r="X9" s="40"/>
      <c r="Y9" s="40"/>
      <c r="Z9" s="40"/>
      <c r="AA9" s="40"/>
    </row>
    <row r="10" spans="1:27">
      <c r="A10" s="236" t="s">
        <v>225</v>
      </c>
      <c r="B10" s="1633">
        <f>'Step 14a-Greenhouse Gas Factors'!C13</f>
        <v>0</v>
      </c>
      <c r="C10" s="1635">
        <f>'Step 14a-Greenhouse Gas Factors'!N13</f>
        <v>0</v>
      </c>
      <c r="D10" s="1636">
        <f>'Step 14b-Greenhouse Gas Factors'!C12</f>
        <v>0</v>
      </c>
      <c r="E10" s="1637">
        <f>'Step 14b-Greenhouse Gas Factors'!N10</f>
        <v>0.1</v>
      </c>
      <c r="F10" s="2223"/>
      <c r="G10" s="1629"/>
      <c r="H10" s="1631"/>
      <c r="I10" s="1630"/>
      <c r="J10" s="1683"/>
      <c r="K10" s="40"/>
      <c r="L10" s="40"/>
      <c r="M10" s="40"/>
      <c r="N10" s="40"/>
      <c r="O10" s="40"/>
      <c r="P10" s="40"/>
      <c r="Q10" s="40"/>
      <c r="R10" s="40"/>
      <c r="S10" s="40"/>
      <c r="T10" s="40"/>
      <c r="U10" s="40"/>
      <c r="V10" s="40"/>
      <c r="W10" s="40"/>
      <c r="X10" s="40"/>
      <c r="Y10" s="40"/>
      <c r="Z10" s="40"/>
      <c r="AA10" s="40"/>
    </row>
    <row r="11" spans="1:27">
      <c r="A11" s="2231" t="s">
        <v>19</v>
      </c>
      <c r="B11" s="1633">
        <f>'Step 14a-Greenhouse Gas Factors'!C16</f>
        <v>0.01</v>
      </c>
      <c r="C11" s="1635">
        <f>'Step 14a-Greenhouse Gas Factors'!N16</f>
        <v>0.05</v>
      </c>
      <c r="D11" s="1636">
        <f>'Step 14b-Greenhouse Gas Factors'!C15</f>
        <v>0.17</v>
      </c>
      <c r="E11" s="1637">
        <f>'Step 14b-Greenhouse Gas Factors'!N15</f>
        <v>0.45</v>
      </c>
      <c r="F11" s="2223"/>
      <c r="G11" s="1629"/>
      <c r="H11" s="1631"/>
      <c r="I11" s="1630"/>
      <c r="J11" s="1683"/>
      <c r="K11" s="40"/>
      <c r="L11" s="40"/>
      <c r="M11" s="40"/>
      <c r="N11" s="40"/>
      <c r="O11" s="40"/>
      <c r="P11" s="40"/>
      <c r="Q11" s="40"/>
      <c r="R11" s="40"/>
      <c r="S11" s="40"/>
      <c r="T11" s="40"/>
      <c r="U11" s="40"/>
      <c r="V11" s="40"/>
      <c r="W11" s="40"/>
      <c r="X11" s="40"/>
      <c r="Y11" s="40"/>
      <c r="Z11" s="40"/>
      <c r="AA11" s="40"/>
    </row>
    <row r="12" spans="1:27">
      <c r="A12" s="236" t="s">
        <v>229</v>
      </c>
      <c r="B12" s="1633">
        <f>'Step 14a-Greenhouse Gas Factors'!C18</f>
        <v>0</v>
      </c>
      <c r="C12" s="1635">
        <f>'Step 14a-Greenhouse Gas Factors'!N18</f>
        <v>0</v>
      </c>
      <c r="D12" s="1636">
        <f>'Step 14b-Greenhouse Gas Factors'!C17</f>
        <v>0</v>
      </c>
      <c r="E12" s="1637">
        <f>'Step 14b-Greenhouse Gas Factors'!N17</f>
        <v>0</v>
      </c>
      <c r="F12" s="2223"/>
      <c r="G12" s="1629"/>
      <c r="H12" s="1631"/>
      <c r="I12" s="1630"/>
      <c r="J12" s="1683"/>
      <c r="K12" s="40"/>
      <c r="L12" s="40"/>
      <c r="M12" s="40"/>
      <c r="N12" s="40"/>
      <c r="O12" s="40"/>
      <c r="P12" s="40"/>
      <c r="Q12" s="40"/>
      <c r="R12" s="40"/>
      <c r="S12" s="40"/>
      <c r="T12" s="40"/>
      <c r="U12" s="40"/>
      <c r="V12" s="40"/>
      <c r="W12" s="40"/>
      <c r="X12" s="40"/>
      <c r="Y12" s="40"/>
      <c r="Z12" s="40"/>
      <c r="AA12" s="40"/>
    </row>
    <row r="13" spans="1:27">
      <c r="A13" s="236" t="s">
        <v>224</v>
      </c>
      <c r="B13" s="1633">
        <f>'Step 14a-Greenhouse Gas Factors'!C20</f>
        <v>0</v>
      </c>
      <c r="C13" s="1635">
        <f>'Step 14a-Greenhouse Gas Factors'!N20</f>
        <v>0</v>
      </c>
      <c r="D13" s="1636">
        <f>'Step 14b-Greenhouse Gas Factors'!C19</f>
        <v>0</v>
      </c>
      <c r="E13" s="1637">
        <f>'Step 14b-Greenhouse Gas Factors'!N19</f>
        <v>0.1</v>
      </c>
      <c r="F13" s="2223"/>
      <c r="G13" s="1629"/>
      <c r="H13" s="1631"/>
      <c r="I13" s="1630"/>
      <c r="J13" s="1683"/>
      <c r="K13" s="40"/>
      <c r="L13" s="40"/>
      <c r="M13" s="40"/>
      <c r="N13" s="40"/>
      <c r="O13" s="40"/>
      <c r="P13" s="40"/>
      <c r="Q13" s="40"/>
      <c r="R13" s="40"/>
      <c r="S13" s="40"/>
      <c r="T13" s="40"/>
      <c r="U13" s="40"/>
      <c r="V13" s="40"/>
      <c r="W13" s="40"/>
      <c r="X13" s="40"/>
      <c r="Y13" s="40"/>
      <c r="Z13" s="40"/>
      <c r="AA13" s="40"/>
    </row>
    <row r="14" spans="1:27">
      <c r="A14" s="236" t="s">
        <v>227</v>
      </c>
      <c r="B14" s="1633">
        <f>'Step 14a-Greenhouse Gas Factors'!C22</f>
        <v>0</v>
      </c>
      <c r="C14" s="1635">
        <f>'Step 14a-Greenhouse Gas Factors'!N22</f>
        <v>0</v>
      </c>
      <c r="D14" s="1636">
        <f>'Step 14b-Greenhouse Gas Factors'!C21</f>
        <v>0</v>
      </c>
      <c r="E14" s="1637">
        <f>'Step 14b-Greenhouse Gas Factors'!N21</f>
        <v>0</v>
      </c>
      <c r="F14" s="2223"/>
      <c r="G14" s="1629"/>
      <c r="H14" s="1631"/>
      <c r="I14" s="1630"/>
      <c r="J14" s="1683"/>
      <c r="K14" s="40"/>
      <c r="L14" s="40"/>
      <c r="M14" s="40"/>
      <c r="N14" s="40"/>
      <c r="O14" s="40"/>
      <c r="P14" s="40"/>
      <c r="Q14" s="40"/>
      <c r="R14" s="40"/>
      <c r="S14" s="40"/>
      <c r="T14" s="40"/>
      <c r="U14" s="40"/>
      <c r="V14" s="40"/>
      <c r="W14" s="40"/>
      <c r="X14" s="40"/>
      <c r="Y14" s="40"/>
      <c r="Z14" s="40"/>
      <c r="AA14" s="40"/>
    </row>
    <row r="15" spans="1:27">
      <c r="A15" s="236" t="s">
        <v>268</v>
      </c>
      <c r="B15" s="1633">
        <f>'Step 14a-Greenhouse Gas Factors'!C24</f>
        <v>0.2</v>
      </c>
      <c r="C15" s="1635">
        <f>'Step 14a-Greenhouse Gas Factors'!N24</f>
        <v>0.15</v>
      </c>
      <c r="D15" s="1636">
        <f>'Step 14b-Greenhouse Gas Factors'!C23</f>
        <v>0.4</v>
      </c>
      <c r="E15" s="1637">
        <f>'Step 14b-Greenhouse Gas Factors'!N23</f>
        <v>0.15</v>
      </c>
      <c r="F15" s="2223"/>
      <c r="G15" s="1629"/>
      <c r="H15" s="1631"/>
      <c r="I15" s="1630"/>
      <c r="J15" s="1683"/>
      <c r="K15" s="40"/>
      <c r="L15" s="40"/>
      <c r="M15" s="40"/>
      <c r="N15" s="40"/>
      <c r="O15" s="40"/>
      <c r="P15" s="40"/>
      <c r="Q15" s="40"/>
      <c r="R15" s="40"/>
      <c r="S15" s="40"/>
      <c r="T15" s="40"/>
      <c r="U15" s="40"/>
      <c r="V15" s="40"/>
      <c r="W15" s="40"/>
      <c r="X15" s="40"/>
      <c r="Y15" s="40"/>
      <c r="Z15" s="40"/>
      <c r="AA15" s="40"/>
    </row>
    <row r="16" spans="1:27">
      <c r="A16" s="2232" t="s">
        <v>230</v>
      </c>
      <c r="B16" s="1638">
        <f>'Step 14a-Greenhouse Gas Factors'!C26</f>
        <v>0.1</v>
      </c>
      <c r="C16" s="1635">
        <f>'Step 14a-Greenhouse Gas Factors'!N26</f>
        <v>0.2</v>
      </c>
      <c r="D16" s="1636">
        <f>'Step 14b-Greenhouse Gas Factors'!C25</f>
        <v>0.23</v>
      </c>
      <c r="E16" s="1637">
        <f>'Step 14b-Greenhouse Gas Factors'!N25</f>
        <v>0.2</v>
      </c>
      <c r="F16" s="2223"/>
      <c r="G16" s="1629"/>
      <c r="H16" s="1631"/>
      <c r="I16" s="1630"/>
      <c r="J16" s="1683"/>
      <c r="K16" s="40"/>
      <c r="L16" s="40"/>
      <c r="M16" s="40"/>
      <c r="N16" s="40"/>
      <c r="O16" s="40"/>
      <c r="P16" s="40"/>
      <c r="Q16" s="40"/>
      <c r="R16" s="40"/>
      <c r="S16" s="40"/>
      <c r="T16" s="40"/>
      <c r="U16" s="40"/>
      <c r="V16" s="40"/>
      <c r="W16" s="40"/>
      <c r="X16" s="40"/>
      <c r="Y16" s="40"/>
      <c r="Z16" s="40"/>
      <c r="AA16" s="40"/>
    </row>
    <row r="17" spans="1:27" ht="6.75" customHeight="1">
      <c r="A17" s="620"/>
      <c r="B17" s="1610"/>
      <c r="C17" s="2013"/>
      <c r="D17" s="2022"/>
      <c r="E17" s="1623"/>
      <c r="F17" s="2223"/>
      <c r="G17" s="1629"/>
      <c r="H17" s="1631"/>
      <c r="I17" s="1630"/>
      <c r="J17" s="1683"/>
      <c r="K17" s="40"/>
      <c r="L17" s="40"/>
      <c r="M17" s="40"/>
      <c r="N17" s="40"/>
      <c r="O17" s="40"/>
      <c r="P17" s="40"/>
      <c r="Q17" s="40"/>
      <c r="R17" s="40"/>
      <c r="S17" s="40"/>
      <c r="T17" s="40"/>
      <c r="U17" s="40"/>
      <c r="V17" s="40"/>
      <c r="W17" s="40"/>
      <c r="X17" s="40"/>
      <c r="Y17" s="40"/>
      <c r="Z17" s="40"/>
      <c r="AA17" s="40"/>
    </row>
    <row r="18" spans="1:27">
      <c r="A18" s="236" t="s">
        <v>1637</v>
      </c>
      <c r="B18" s="1610">
        <f>IF(Options!AW14=1,F1_MCF_reported,F1_MCF_projected)</f>
        <v>0.43834999999999996</v>
      </c>
      <c r="C18" s="2013">
        <f>IF(Options!AX14=1,F2_MCF_reported,F2_MCF_projected)</f>
        <v>0.38324999999999998</v>
      </c>
      <c r="D18" s="2022">
        <f>IF(Options!AY14=1,F3_MCF_reported,F3_MCF_projected)</f>
        <v>0.13600000000000001</v>
      </c>
      <c r="E18" s="1623">
        <f>IF(Options!AZ14=1,F4_MCF_reported,F4_MCF_projected)</f>
        <v>7.8250000000000014E-2</v>
      </c>
      <c r="F18" s="2222" t="s">
        <v>409</v>
      </c>
      <c r="G18" s="1629"/>
      <c r="H18" s="1631"/>
      <c r="I18" s="1630"/>
      <c r="J18" s="1683"/>
      <c r="K18" s="40"/>
      <c r="L18" s="40"/>
      <c r="M18" s="40"/>
      <c r="N18" s="40"/>
      <c r="O18" s="40"/>
      <c r="P18" s="40"/>
      <c r="Q18" s="40"/>
      <c r="R18" s="40"/>
      <c r="S18" s="40"/>
      <c r="T18" s="40"/>
      <c r="U18" s="40"/>
      <c r="V18" s="40"/>
      <c r="W18" s="40"/>
      <c r="X18" s="40"/>
      <c r="Y18" s="40"/>
      <c r="Z18" s="40"/>
      <c r="AA18" s="40"/>
    </row>
    <row r="19" spans="1:27">
      <c r="A19" s="236" t="s">
        <v>1175</v>
      </c>
      <c r="B19" s="1633">
        <f>IF(Options!AW19=1,F1_Diet_Digestibility_reported,F1_Diet_Digestibility_projected)</f>
        <v>0.65</v>
      </c>
      <c r="C19" s="1635">
        <f>IF(Options!AX19=1,F2_Diet_Digestibility_reported,F2_Diet_Digestibility_projected)</f>
        <v>0.65</v>
      </c>
      <c r="D19" s="1636">
        <f>IF(Options!AY19=1,F3_Diet_Digestibility_reported,F3_Diet_Digestibility_projected)</f>
        <v>0.65</v>
      </c>
      <c r="E19" s="1637">
        <f>IF(Options!AZ19=1,F4_Diet_Digestibility_reported,F4_Diet_Digestibility_projected)</f>
        <v>0.65</v>
      </c>
      <c r="F19" s="2222" t="s">
        <v>600</v>
      </c>
      <c r="G19" s="1629"/>
      <c r="H19" s="1631"/>
      <c r="I19" s="1630"/>
      <c r="J19" s="1683"/>
      <c r="K19" s="40"/>
      <c r="L19" s="40"/>
      <c r="M19" s="40"/>
      <c r="N19" s="40"/>
      <c r="O19" s="40"/>
      <c r="P19" s="40"/>
      <c r="Q19" s="40"/>
      <c r="R19" s="40"/>
      <c r="S19" s="40"/>
      <c r="T19" s="40"/>
      <c r="U19" s="40"/>
      <c r="V19" s="40"/>
      <c r="W19" s="40"/>
      <c r="X19" s="40"/>
      <c r="Y19" s="40"/>
      <c r="Z19" s="40"/>
      <c r="AA19" s="40"/>
    </row>
    <row r="20" spans="1:27">
      <c r="A20" s="3614" t="s">
        <v>1174</v>
      </c>
      <c r="B20" s="1633"/>
      <c r="C20" s="1635"/>
      <c r="D20" s="1636"/>
      <c r="E20" s="1637"/>
      <c r="F20" s="2222"/>
      <c r="G20" s="1629"/>
      <c r="H20" s="1631"/>
      <c r="I20" s="1630"/>
      <c r="J20" s="1683"/>
      <c r="K20" s="40"/>
      <c r="L20" s="40"/>
      <c r="M20" s="40"/>
      <c r="N20" s="40"/>
      <c r="O20" s="40"/>
      <c r="P20" s="40"/>
      <c r="Q20" s="40"/>
      <c r="R20" s="40"/>
      <c r="S20" s="40"/>
      <c r="T20" s="40"/>
      <c r="U20" s="40"/>
      <c r="V20" s="40"/>
      <c r="W20" s="40"/>
      <c r="X20" s="40"/>
      <c r="Y20" s="40"/>
      <c r="Z20" s="40"/>
      <c r="AA20" s="40"/>
    </row>
    <row r="21" spans="1:27">
      <c r="A21" s="236" t="s">
        <v>308</v>
      </c>
      <c r="B21" s="1609">
        <f>IF(Options!AW24=1, F1_Digestible_Energy_reported,F1_Digestible_Energy_projected)</f>
        <v>290.21010581046056</v>
      </c>
      <c r="C21" s="1615">
        <f>IF(Options!AX24=1, F2_Digestible_Energy_reported,F2_Digestible_Energy_projected)</f>
        <v>267.85818993926358</v>
      </c>
      <c r="D21" s="1618">
        <f>IF(Options!AY24=1, F3_Digestible_Energy_reported,F3_Digestible_Energy_projected)</f>
        <v>274.04681755658714</v>
      </c>
      <c r="E21" s="1622">
        <f>IF(Options!AZ24=1, F4_Digestible_Energy_reported,F4_Digestible_Energy_projected)</f>
        <v>238.04407133410947</v>
      </c>
      <c r="F21" s="2222" t="s">
        <v>411</v>
      </c>
      <c r="G21" s="1629"/>
      <c r="H21" s="1630"/>
      <c r="I21" s="1630"/>
      <c r="J21" s="1683"/>
      <c r="K21" s="40"/>
      <c r="L21" s="40"/>
      <c r="M21" s="40"/>
      <c r="N21" s="40"/>
      <c r="O21" s="40"/>
      <c r="P21" s="40"/>
      <c r="Q21" s="40"/>
      <c r="R21" s="40"/>
      <c r="S21" s="40"/>
      <c r="T21" s="40"/>
      <c r="U21" s="40"/>
      <c r="V21" s="40"/>
      <c r="W21" s="40"/>
      <c r="X21" s="40"/>
      <c r="Y21" s="40"/>
      <c r="Z21" s="40"/>
      <c r="AA21" s="40"/>
    </row>
    <row r="22" spans="1:27">
      <c r="A22" s="236" t="s">
        <v>1641</v>
      </c>
      <c r="B22" s="1613">
        <f>IF(Options!AW29=1,F1_Gross_Energy_reported,F1_Gross_Energy_projected)</f>
        <v>446.47708586224701</v>
      </c>
      <c r="C22" s="1583">
        <f>IF(Options!AX29=1,F2_Gross_Energy_reported,F2_Gross_Energy_projected)</f>
        <v>412.08952298348242</v>
      </c>
      <c r="D22" s="1585">
        <f>IF(Options!AY29=1,F3_Gross_Energy_reported,F3_Gross_Energy_projected)</f>
        <v>421.61048854859558</v>
      </c>
      <c r="E22" s="1626">
        <f>IF(Options!AZ29=1,F4_Gross_Energy_reported,F4_Gross_Energy_projected)</f>
        <v>366.22164820632224</v>
      </c>
      <c r="F22" s="2222" t="s">
        <v>585</v>
      </c>
      <c r="G22" s="1629"/>
      <c r="H22" s="1630"/>
      <c r="I22" s="1630"/>
      <c r="J22" s="1683"/>
      <c r="K22" s="40"/>
      <c r="L22" s="40"/>
      <c r="M22" s="40"/>
      <c r="N22" s="40"/>
      <c r="O22" s="40"/>
      <c r="P22" s="40"/>
      <c r="Q22" s="40"/>
      <c r="R22" s="40"/>
      <c r="S22" s="40"/>
      <c r="T22" s="40"/>
      <c r="U22" s="40"/>
      <c r="V22" s="40"/>
      <c r="W22" s="40"/>
      <c r="X22" s="40"/>
      <c r="Y22" s="40"/>
      <c r="Z22" s="40"/>
      <c r="AA22" s="40"/>
    </row>
    <row r="23" spans="1:27">
      <c r="A23" s="236" t="s">
        <v>593</v>
      </c>
      <c r="B23" s="1609">
        <f>IF(Options!AW34=1,F1_VSP_reported,F1_VSP_projected)</f>
        <v>8.2187324263199688</v>
      </c>
      <c r="C23" s="1615">
        <f>IF(Options!AX34=1,F2_VSP_reported,F2_VSP_projected)</f>
        <v>7.58572753750689</v>
      </c>
      <c r="D23" s="1618">
        <f>IF(Options!AY34=1,F3_VSP_reported,F3_VSP_projected)</f>
        <v>7.7609890926855893</v>
      </c>
      <c r="E23" s="1622">
        <f>IF(Options!AZ34=1,F4_VSP_reported,F4_VSP_projected)</f>
        <v>6.7413935241959813</v>
      </c>
      <c r="F23" s="2222" t="s">
        <v>539</v>
      </c>
      <c r="G23" s="1629"/>
      <c r="H23" s="1630"/>
      <c r="I23" s="1630"/>
      <c r="J23" s="1683"/>
      <c r="K23" s="40"/>
      <c r="L23" s="40"/>
      <c r="M23" s="40"/>
      <c r="N23" s="40"/>
      <c r="O23" s="40"/>
      <c r="P23" s="40"/>
      <c r="Q23" s="40"/>
      <c r="R23" s="40"/>
      <c r="S23" s="40"/>
      <c r="T23" s="40"/>
      <c r="U23" s="40"/>
      <c r="V23" s="40"/>
      <c r="W23" s="40"/>
      <c r="X23" s="40"/>
      <c r="Y23" s="40"/>
      <c r="Z23" s="40"/>
      <c r="AA23" s="40"/>
    </row>
    <row r="24" spans="1:27">
      <c r="A24" s="281"/>
      <c r="B24" s="1610"/>
      <c r="C24" s="2013"/>
      <c r="D24" s="2022"/>
      <c r="E24" s="1623"/>
      <c r="F24" s="2223"/>
      <c r="G24" s="1629"/>
      <c r="H24" s="1630"/>
      <c r="I24" s="1630"/>
      <c r="J24" s="1683"/>
      <c r="K24" s="40"/>
      <c r="L24" s="40"/>
      <c r="M24" s="40"/>
      <c r="N24" s="40"/>
      <c r="O24" s="40"/>
      <c r="P24" s="40"/>
      <c r="Q24" s="40"/>
      <c r="R24" s="40"/>
      <c r="S24" s="40"/>
      <c r="T24" s="40"/>
      <c r="U24" s="40"/>
      <c r="V24" s="40"/>
      <c r="W24" s="40"/>
      <c r="X24" s="40"/>
      <c r="Y24" s="40"/>
      <c r="Z24" s="40"/>
      <c r="AA24" s="40"/>
    </row>
    <row r="25" spans="1:27" ht="15">
      <c r="A25" s="182" t="s">
        <v>595</v>
      </c>
      <c r="B25" s="1610"/>
      <c r="C25" s="2013"/>
      <c r="D25" s="2022"/>
      <c r="E25" s="1623"/>
      <c r="F25" s="2223"/>
      <c r="G25" s="1629"/>
      <c r="H25" s="1630"/>
      <c r="I25" s="1630"/>
      <c r="J25" s="1683"/>
      <c r="K25" s="40"/>
      <c r="L25" s="40"/>
      <c r="M25" s="40"/>
      <c r="N25" s="40"/>
      <c r="O25" s="40"/>
      <c r="P25" s="40"/>
      <c r="Q25" s="40"/>
      <c r="R25" s="40"/>
      <c r="S25" s="40"/>
      <c r="T25" s="40"/>
      <c r="U25" s="40"/>
      <c r="V25" s="40"/>
      <c r="W25" s="40"/>
      <c r="X25" s="40"/>
      <c r="Y25" s="40"/>
      <c r="Z25" s="40"/>
      <c r="AA25" s="40"/>
    </row>
    <row r="26" spans="1:27" ht="25.5">
      <c r="A26" s="3615" t="s">
        <v>1176</v>
      </c>
      <c r="B26" s="1610"/>
      <c r="C26" s="2013"/>
      <c r="D26" s="2022"/>
      <c r="E26" s="1623"/>
      <c r="F26" s="2223"/>
      <c r="G26" s="1629"/>
      <c r="H26" s="1630"/>
      <c r="I26" s="1630"/>
      <c r="J26" s="1683"/>
      <c r="K26" s="40"/>
      <c r="L26" s="40"/>
      <c r="M26" s="40"/>
      <c r="N26" s="40"/>
      <c r="O26" s="40"/>
      <c r="P26" s="40"/>
      <c r="Q26" s="40"/>
      <c r="R26" s="40"/>
      <c r="S26" s="40"/>
      <c r="T26" s="40"/>
      <c r="U26" s="40"/>
      <c r="V26" s="40"/>
      <c r="W26" s="40"/>
      <c r="X26" s="40"/>
      <c r="Y26" s="40"/>
      <c r="Z26" s="40"/>
      <c r="AA26" s="40"/>
    </row>
    <row r="27" spans="1:27">
      <c r="A27" s="236" t="s">
        <v>413</v>
      </c>
      <c r="B27" s="2430">
        <f>IF(Options!BC5=1,'Step 15a--CH4 Emissions'!F9,IF(Options!BC5=2,'Step 15a--CH4 Emissions'!F13,IF(Options!BC5=3,'Step 15a--CH4 Emissions'!F15,'Step 15a--CH4 Emissions'!F17)))</f>
        <v>0.4653310149148307</v>
      </c>
      <c r="C27" s="1650">
        <f>IF(Options!BD5=1,'Step 15a--CH4 Emissions'!O9,IF(Options!BD5=2,'Step 15a--CH4 Emissions'!O13,IF(Options!BD5=3,'Step 15a--CH4 Emissions'!O15,'Step 15a--CH4 Emissions'!O17)))</f>
        <v>0.42949132673929891</v>
      </c>
      <c r="D27" s="1652">
        <f>IF(Options!BE5=1,'Step 15b--CH4 Emissions'!F9,IF(Options!BE5=2,'Step 15b--CH4 Emissions'!F13,IF(Options!BE5=3,'Step 15b--CH4 Emissions'!F15,'Step 15b--CH4 Emissions'!F17)))</f>
        <v>0.43941434565711673</v>
      </c>
      <c r="E27" s="1653">
        <f>IF(Options!BF5=1,'Step 15b--CH4 Emissions'!O9,IF(Options!BF5=2,'Step 15b--CH4 Emissions'!O13,IF(Options!BF5=3,'Step 15b--CH4 Emissions'!O15,'Step 15b--CH4 Emissions'!O17)))</f>
        <v>0.38168653362024607</v>
      </c>
      <c r="F27" s="2222" t="s">
        <v>415</v>
      </c>
      <c r="G27" s="1629"/>
      <c r="H27" s="1630"/>
      <c r="I27" s="1630"/>
      <c r="J27" s="1683"/>
      <c r="K27" s="40"/>
      <c r="L27" s="40"/>
      <c r="M27" s="40"/>
      <c r="N27" s="40"/>
      <c r="O27" s="40"/>
      <c r="P27" s="40"/>
      <c r="Q27" s="40"/>
      <c r="R27" s="40"/>
      <c r="S27" s="40"/>
      <c r="T27" s="40"/>
      <c r="U27" s="40"/>
      <c r="V27" s="40"/>
      <c r="W27" s="40"/>
      <c r="X27" s="40"/>
      <c r="Y27" s="40"/>
      <c r="Z27" s="40"/>
      <c r="AA27" s="40"/>
    </row>
    <row r="28" spans="1:27">
      <c r="A28" s="236" t="s">
        <v>414</v>
      </c>
      <c r="B28" s="1651">
        <f>IF(Options!BC12=1,'Step 15a--CH4 Emissions'!F21,'Step 15a--CH4 Emissions'!F23)</f>
        <v>0.57239401433021064</v>
      </c>
      <c r="C28" s="1650">
        <f>IF(Options!BD12=1,'Step 15a--CH4 Emissions'!O21,'Step 15a--CH4 Emissions'!O23)</f>
        <v>0.46190071491172302</v>
      </c>
      <c r="D28" s="1652">
        <f>IF(Options!BE12=1,'Step 15b--CH4 Emissions'!F21,'Step 15b--CH4 Emissions'!F23)</f>
        <v>0.16769696879824056</v>
      </c>
      <c r="E28" s="1653">
        <f>IF(Options!BF12=1,'Step 15b--CH4 Emissions'!O21,'Step 15b--CH4 Emissions'!O23)</f>
        <v>8.3811431194473179E-2</v>
      </c>
      <c r="F28" s="2222" t="s">
        <v>416</v>
      </c>
      <c r="G28" s="1629"/>
      <c r="H28" s="1630"/>
      <c r="I28" s="1630"/>
      <c r="J28" s="1683"/>
      <c r="K28" s="40"/>
      <c r="L28" s="40"/>
      <c r="M28" s="40"/>
      <c r="N28" s="40"/>
      <c r="O28" s="40"/>
      <c r="P28" s="40"/>
      <c r="Q28" s="40"/>
      <c r="R28" s="40"/>
      <c r="S28" s="40"/>
      <c r="T28" s="40"/>
      <c r="U28" s="40"/>
      <c r="V28" s="40"/>
      <c r="W28" s="40"/>
      <c r="X28" s="40"/>
      <c r="Y28" s="40"/>
      <c r="Z28" s="40"/>
      <c r="AA28" s="40"/>
    </row>
    <row r="29" spans="1:27" ht="25.5">
      <c r="A29" s="3615" t="s">
        <v>1177</v>
      </c>
      <c r="B29" s="1610"/>
      <c r="C29" s="2013"/>
      <c r="D29" s="1660"/>
      <c r="E29" s="1623"/>
      <c r="F29" s="2223"/>
      <c r="G29" s="1629"/>
      <c r="H29" s="1630"/>
      <c r="I29" s="1630"/>
      <c r="J29" s="1683"/>
      <c r="K29" s="40"/>
      <c r="L29" s="40"/>
      <c r="M29" s="40"/>
      <c r="N29" s="40"/>
      <c r="O29" s="40"/>
      <c r="P29" s="40"/>
      <c r="Q29" s="40"/>
      <c r="R29" s="40"/>
      <c r="S29" s="40"/>
      <c r="T29" s="40"/>
      <c r="U29" s="40"/>
      <c r="V29" s="40"/>
      <c r="W29" s="40"/>
      <c r="X29" s="40"/>
      <c r="Y29" s="40"/>
      <c r="Z29" s="40"/>
      <c r="AA29" s="40"/>
    </row>
    <row r="30" spans="1:27">
      <c r="A30" s="236" t="s">
        <v>413</v>
      </c>
      <c r="B30" s="1651">
        <f>IF(Options!BC18=1,'Step 15a--CH4 Emissions'!F31,IF(Options!BC18=2,'Step 15a--CH4 Emissions'!F33,IF(Options!BC18=3,'Step 15a--CH4 Emissions'!F35,'Step 15a--CH4 Emissions'!F37)))</f>
        <v>0.4653310149148307</v>
      </c>
      <c r="C30" s="1650">
        <f>IF(Options!BD18=1,'Step 15a--CH4 Emissions'!F31,IF(Options!BD18=2,'Step 15a--CH4 Emissions'!F33,IF(Options!BD18=3,'Step 15a--CH4 Emissions'!F35,'Step 15a--CH4 Emissions'!F37)))</f>
        <v>0.4653310149148307</v>
      </c>
      <c r="D30" s="1652">
        <f>IF(Options!BE18=1,'Step 15b--CH4 Emissions'!F31,IF(Options!BE18=2,'Step 15b--CH4 Emissions'!F33,IF(Options!BE18=3,'Step 15b--CH4 Emissions'!F35,'Step 15b--CH4 Emissions'!F37)))</f>
        <v>0.43941434565711673</v>
      </c>
      <c r="E30" s="1653">
        <f>IF(Options!BF18=1,'Step 15b--CH4 Emissions'!O31,IF(Options!BF18=2,'Step 15b--CH4 Emissions'!O33,IF(Options!BF18=3,'Step 15b--CH4 Emissions'!O35,'Step 15b--CH4 Emissions'!O37)))</f>
        <v>0.38168653362024607</v>
      </c>
      <c r="F30" s="2222" t="s">
        <v>417</v>
      </c>
      <c r="G30" s="1629"/>
      <c r="H30" s="1630"/>
      <c r="I30" s="1630"/>
      <c r="J30" s="1683"/>
      <c r="K30" s="40"/>
      <c r="L30" s="40"/>
      <c r="M30" s="40"/>
      <c r="N30" s="40"/>
      <c r="O30" s="40"/>
      <c r="P30" s="40"/>
      <c r="Q30" s="40"/>
      <c r="R30" s="40"/>
      <c r="S30" s="40"/>
      <c r="T30" s="40"/>
      <c r="U30" s="40"/>
      <c r="V30" s="40"/>
      <c r="W30" s="40"/>
      <c r="X30" s="40"/>
      <c r="Y30" s="40"/>
      <c r="Z30" s="40"/>
      <c r="AA30" s="40"/>
    </row>
    <row r="31" spans="1:27">
      <c r="A31" s="236" t="s">
        <v>414</v>
      </c>
      <c r="B31" s="1651">
        <f>IF(Options!BC24=1,'Step 15a--CH4 Emissions'!F41,'Step 15a--CH4 Emissions'!F43)</f>
        <v>0.57239401433021064</v>
      </c>
      <c r="C31" s="1650">
        <f>IF(Options!BD24=1,'Step 15a--CH4 Emissions'!O41,'Step 15a--CH4 Emissions'!O43)</f>
        <v>0.46190071491172302</v>
      </c>
      <c r="D31" s="1652">
        <f>IF(Options!BE24=1,'Step 15b--CH4 Emissions'!F41,'Step 15b--CH4 Emissions'!F43)</f>
        <v>0.16769696879824056</v>
      </c>
      <c r="E31" s="1653">
        <f>IF(Options!BF24=1,'Step 15b--CH4 Emissions'!O41,'Step 15b--CH4 Emissions'!O43)</f>
        <v>8.3811431194473179E-2</v>
      </c>
      <c r="F31" s="2222" t="s">
        <v>421</v>
      </c>
      <c r="G31" s="1629"/>
      <c r="H31" s="1630"/>
      <c r="I31" s="1630"/>
      <c r="J31" s="1683"/>
      <c r="K31" s="40"/>
      <c r="L31" s="40"/>
      <c r="M31" s="40"/>
      <c r="N31" s="40"/>
      <c r="O31" s="40"/>
      <c r="P31" s="40"/>
      <c r="Q31" s="40"/>
      <c r="R31" s="40"/>
      <c r="S31" s="40"/>
      <c r="T31" s="40"/>
      <c r="U31" s="40"/>
      <c r="V31" s="40"/>
      <c r="W31" s="40"/>
      <c r="X31" s="40"/>
      <c r="Y31" s="40"/>
      <c r="Z31" s="40"/>
      <c r="AA31" s="40"/>
    </row>
    <row r="32" spans="1:27" ht="25.5">
      <c r="A32" s="3615" t="s">
        <v>1178</v>
      </c>
      <c r="B32" s="1651"/>
      <c r="C32" s="1650"/>
      <c r="D32" s="1652"/>
      <c r="E32" s="1653"/>
      <c r="F32" s="2223"/>
      <c r="G32" s="1629"/>
      <c r="H32" s="1630"/>
      <c r="I32" s="1630"/>
      <c r="J32" s="1683"/>
      <c r="K32" s="40"/>
      <c r="L32" s="40"/>
      <c r="M32" s="40"/>
      <c r="N32" s="40"/>
      <c r="O32" s="40"/>
      <c r="P32" s="40"/>
      <c r="Q32" s="40"/>
      <c r="R32" s="40"/>
      <c r="S32" s="40"/>
      <c r="T32" s="40"/>
      <c r="U32" s="40"/>
      <c r="V32" s="40"/>
      <c r="W32" s="40"/>
      <c r="X32" s="40"/>
      <c r="Y32" s="40"/>
      <c r="Z32" s="40"/>
      <c r="AA32" s="40"/>
    </row>
    <row r="33" spans="1:27">
      <c r="A33" s="236" t="s">
        <v>413</v>
      </c>
      <c r="B33" s="1651">
        <f>IF(Options!BC30=1,'Step 15a--CH4 Emissions'!F51,IF(Options!BC30=2,'Step 15a--CH4 Emissions'!F53,IF(Options!BC30=3,'Step 15a--CH4 Emissions'!F55,'Step 15a--CH4 Emissions'!F57)))</f>
        <v>0.33885814299873845</v>
      </c>
      <c r="C33" s="1650">
        <f>IF(Options!BD30=1,'Step 15a--CH4 Emissions'!O51,IF(Options!BD30=2,'Step 15a--CH4 Emissions'!O53,IF(Options!BD30=3,'Step 15a--CH4 Emissions'!O55,'Step 15a--CH4 Emissions'!O57)))</f>
        <v>0.31275936644708874</v>
      </c>
      <c r="D33" s="1652">
        <f>IF(Options!BE30=1,'Step 15b--CH4 Emissions'!F51,IF(Options!BE30=2,'Step 15b--CH4 Emissions'!F53,IF(Options!BE30=3,'Step 15b--CH4 Emissions'!F55,'Step 15b--CH4 Emissions'!F57)))</f>
        <v>0.31998539621011357</v>
      </c>
      <c r="E33" s="1653">
        <f>IF(Options!BF30=1,'Step 15b--CH4 Emissions'!O51,IF(Options!BF30=2,'Step 15b--CH4 Emissions'!O53,IF(Options!BF30=3,'Step 15b--CH4 Emissions'!O55,'Step 15b--CH4 Emissions'!O57)))</f>
        <v>0.25711733385844848</v>
      </c>
      <c r="F33" s="2222" t="s">
        <v>418</v>
      </c>
      <c r="G33" s="1629"/>
      <c r="H33" s="1630"/>
      <c r="I33" s="1630"/>
      <c r="J33" s="1683"/>
      <c r="K33" s="40"/>
      <c r="L33" s="40"/>
      <c r="M33" s="40"/>
      <c r="N33" s="40"/>
      <c r="O33" s="40"/>
      <c r="P33" s="40"/>
      <c r="Q33" s="40"/>
      <c r="R33" s="40"/>
      <c r="S33" s="40"/>
      <c r="T33" s="40"/>
      <c r="U33" s="40"/>
      <c r="V33" s="40"/>
      <c r="W33" s="40"/>
      <c r="X33" s="40"/>
      <c r="Y33" s="40"/>
      <c r="Z33" s="40"/>
      <c r="AA33" s="40"/>
    </row>
    <row r="34" spans="1:27">
      <c r="A34" s="236" t="s">
        <v>414</v>
      </c>
      <c r="B34" s="1651">
        <f>IF(Options!BC36=1,'Step 15a--CH4 Emissions'!F61,'Step 15a--CH4 Emissions'!F63)</f>
        <v>0.41682236202336298</v>
      </c>
      <c r="C34" s="1650">
        <f>IF(Options!BD36=1,'Step 15a--CH4 Emissions'!O61,'Step 15a--CH4 Emissions'!O63)</f>
        <v>0.33636016832753718</v>
      </c>
      <c r="D34" s="1652">
        <f>IF(Options!BE36=1,'Step 15b--CH4 Emissions'!F61,'Step 15b--CH4 Emissions'!F63)</f>
        <v>0.12211840950229789</v>
      </c>
      <c r="E34" s="1653">
        <f>IF(Options!BF36=1,'Step 15b--CH4 Emissions'!O61,'Step 15b--CH4 Emissions'!O63)</f>
        <v>5.6458297156021769E-2</v>
      </c>
      <c r="F34" s="2222" t="s">
        <v>422</v>
      </c>
      <c r="G34" s="1629"/>
      <c r="H34" s="1630"/>
      <c r="I34" s="1630"/>
      <c r="J34" s="1683"/>
      <c r="K34" s="40"/>
      <c r="L34" s="40"/>
      <c r="M34" s="40"/>
      <c r="N34" s="40"/>
      <c r="O34" s="40"/>
      <c r="P34" s="40"/>
      <c r="Q34" s="40"/>
      <c r="R34" s="40"/>
      <c r="S34" s="40"/>
      <c r="T34" s="40"/>
      <c r="U34" s="40"/>
      <c r="V34" s="40"/>
      <c r="W34" s="40"/>
      <c r="X34" s="40"/>
      <c r="Y34" s="40"/>
      <c r="Z34" s="40"/>
      <c r="AA34" s="40"/>
    </row>
    <row r="35" spans="1:27" ht="25.5">
      <c r="A35" s="3615" t="s">
        <v>1180</v>
      </c>
      <c r="B35" s="1651"/>
      <c r="C35" s="1650"/>
      <c r="D35" s="1652"/>
      <c r="E35" s="1653"/>
      <c r="F35" s="2223"/>
      <c r="G35" s="1629"/>
      <c r="H35" s="1630"/>
      <c r="I35" s="1630"/>
      <c r="J35" s="1683"/>
      <c r="K35" s="40"/>
      <c r="L35" s="40"/>
      <c r="M35" s="40"/>
      <c r="N35" s="40"/>
      <c r="O35" s="40"/>
      <c r="P35" s="40"/>
      <c r="Q35" s="40"/>
      <c r="R35" s="40"/>
      <c r="S35" s="40"/>
      <c r="T35" s="40"/>
      <c r="U35" s="40"/>
      <c r="V35" s="40"/>
      <c r="W35" s="40"/>
      <c r="X35" s="40"/>
      <c r="Y35" s="40"/>
      <c r="Z35" s="40"/>
      <c r="AA35" s="40"/>
    </row>
    <row r="36" spans="1:27">
      <c r="A36" s="236" t="s">
        <v>413</v>
      </c>
      <c r="B36" s="1651">
        <f>IF(Options!BC42=1,'Step 15a--CH4 Emissions'!F71,IF(Options!BC42=2,'Step 15a--CH4 Emissions'!F73,IF(Options!BC42=3,'Step 15a--CH4 Emissions'!F75,'Step 15a--CH4 Emissions'!F77)))</f>
        <v>0.11863912100413497</v>
      </c>
      <c r="C36" s="1650">
        <f>IF(Options!BD42=1,'Step 15a--CH4 Emissions'!O71,IF(Options!BD42=2,'Step 15a--CH4 Emissions'!O73,IF(Options!BD42=3,'Step 15a--CH4 Emissions'!O75,'Step 15a--CH4 Emissions'!O77)))</f>
        <v>0.10950156308101734</v>
      </c>
      <c r="D36" s="1652">
        <f>IF(Options!BE42=1,'Step 15b--CH4 Emissions'!F71,IF(Options!BE42=2,'Step 15b--CH4 Emissions'!F73,IF(Options!BE42=3,'Step 15b--CH4 Emissions'!F75,'Step 15b--CH4 Emissions'!F77)))</f>
        <v>0.11203150027493679</v>
      </c>
      <c r="E36" s="1653">
        <f>IF(Options!BF42=1,'Step 15b--CH4 Emissions'!O71,IF(Options!BF42=2,'Step 15b--CH4 Emissions'!O73,IF(Options!BF42=3,'Step 15b--CH4 Emissions'!O75,'Step 15b--CH4 Emissions'!O77)))</f>
        <v>9.3497212312163083E-2</v>
      </c>
      <c r="F36" s="2222" t="s">
        <v>419</v>
      </c>
      <c r="G36" s="1629"/>
      <c r="H36" s="1630"/>
      <c r="I36" s="1630"/>
      <c r="J36" s="1683"/>
      <c r="K36" s="40"/>
      <c r="L36" s="40"/>
      <c r="M36" s="40"/>
      <c r="N36" s="40"/>
      <c r="O36" s="40"/>
      <c r="P36" s="40"/>
      <c r="Q36" s="40"/>
      <c r="R36" s="40"/>
      <c r="S36" s="40"/>
      <c r="T36" s="40"/>
      <c r="U36" s="40"/>
      <c r="V36" s="40"/>
      <c r="W36" s="40"/>
      <c r="X36" s="40"/>
      <c r="Y36" s="40"/>
      <c r="Z36" s="40"/>
      <c r="AA36" s="40"/>
    </row>
    <row r="37" spans="1:27">
      <c r="A37" s="236" t="s">
        <v>414</v>
      </c>
      <c r="B37" s="1651">
        <f>IF(Options!BC48=1,'Step 15a--CH4 Emissions'!F81,'Step 15a--CH4 Emissions'!F83)</f>
        <v>0.14593551805394631</v>
      </c>
      <c r="C37" s="1650">
        <f>IF(Options!BD48=1,'Step 15a--CH4 Emissions'!O81,'Step 15a--CH4 Emissions'!O83)</f>
        <v>0.11776454405975557</v>
      </c>
      <c r="D37" s="1652">
        <f>IF(Options!BE48=1,'Step 15b--CH4 Emissions'!F81,'Step 15b--CH4 Emissions'!F83)</f>
        <v>4.2755415683870888E-2</v>
      </c>
      <c r="E37" s="1653">
        <f>IF(Options!BF48=1,'Step 15b--CH4 Emissions'!O81,'Step 15b--CH4 Emissions'!O83)</f>
        <v>2.0530289874917007E-2</v>
      </c>
      <c r="F37" s="2222" t="s">
        <v>420</v>
      </c>
      <c r="G37" s="1629"/>
      <c r="H37" s="1630"/>
      <c r="I37" s="1630"/>
      <c r="J37" s="1683"/>
      <c r="K37" s="40"/>
      <c r="L37" s="40"/>
      <c r="M37" s="40"/>
      <c r="N37" s="40"/>
      <c r="O37" s="40"/>
      <c r="P37" s="40"/>
      <c r="Q37" s="40"/>
      <c r="R37" s="40"/>
      <c r="S37" s="40"/>
      <c r="T37" s="40"/>
      <c r="U37" s="40"/>
      <c r="V37" s="40"/>
      <c r="W37" s="40"/>
      <c r="X37" s="40"/>
      <c r="Y37" s="40"/>
      <c r="Z37" s="40"/>
      <c r="AA37" s="40"/>
    </row>
    <row r="38" spans="1:27" ht="13.5" thickBot="1">
      <c r="A38" s="2233"/>
      <c r="B38" s="1684"/>
      <c r="C38" s="1685"/>
      <c r="D38" s="1686"/>
      <c r="E38" s="1687"/>
      <c r="F38" s="2229"/>
      <c r="G38" s="1691"/>
      <c r="H38" s="8"/>
      <c r="I38" s="8"/>
      <c r="J38" s="143"/>
      <c r="K38" s="40"/>
      <c r="L38" s="40"/>
      <c r="M38" s="40"/>
      <c r="N38" s="40"/>
      <c r="O38" s="40"/>
      <c r="P38" s="40"/>
      <c r="Q38" s="40"/>
      <c r="R38" s="40"/>
      <c r="S38" s="40"/>
      <c r="T38" s="40"/>
      <c r="U38" s="40"/>
      <c r="V38" s="40"/>
      <c r="W38" s="40"/>
      <c r="X38" s="40"/>
      <c r="Y38" s="40"/>
      <c r="Z38" s="40"/>
      <c r="AA38" s="40"/>
    </row>
  </sheetData>
  <sheetProtection selectLockedCells="1"/>
  <mergeCells count="5">
    <mergeCell ref="A3:A4"/>
    <mergeCell ref="B3:E3"/>
    <mergeCell ref="G3:J3"/>
    <mergeCell ref="A2:J2"/>
    <mergeCell ref="A1:J1"/>
  </mergeCells>
  <printOptions gridLines="1"/>
  <pageMargins left="0.7" right="0.7" top="0.75" bottom="0.75" header="0.3" footer="0.3"/>
  <pageSetup scale="77" orientation="landscape" horizontalDpi="1200" verticalDpi="1200" r:id="rId1"/>
  <headerFooter>
    <oddFooter>&amp;L&amp;A&amp;C&amp;F&amp;R&amp;D</oddFooter>
  </headerFooter>
</worksheet>
</file>

<file path=xl/worksheets/sheet7.xml><?xml version="1.0" encoding="utf-8"?>
<worksheet xmlns="http://schemas.openxmlformats.org/spreadsheetml/2006/main" xmlns:r="http://schemas.openxmlformats.org/officeDocument/2006/relationships">
  <sheetPr codeName="Sheet44">
    <pageSetUpPr fitToPage="1"/>
  </sheetPr>
  <dimension ref="A1:AC91"/>
  <sheetViews>
    <sheetView topLeftCell="A28" zoomScale="85" zoomScaleNormal="85" workbookViewId="0">
      <selection activeCell="Q17" sqref="Q17"/>
    </sheetView>
  </sheetViews>
  <sheetFormatPr defaultRowHeight="12.75"/>
  <cols>
    <col min="1" max="1" width="29.42578125" customWidth="1"/>
    <col min="2" max="2" width="1.28515625" customWidth="1"/>
    <col min="3" max="3" width="11.7109375" customWidth="1"/>
    <col min="4" max="4" width="5.7109375" customWidth="1"/>
    <col min="5" max="5" width="4.7109375" customWidth="1"/>
    <col min="6" max="6" width="10.7109375" customWidth="1"/>
    <col min="7" max="7" width="7.7109375" customWidth="1"/>
    <col min="8" max="9" width="1.28515625" customWidth="1"/>
    <col min="10" max="10" width="11.7109375" customWidth="1"/>
    <col min="11" max="11" width="5.7109375" customWidth="1"/>
    <col min="12" max="12" width="4.7109375" customWidth="1"/>
    <col min="13" max="13" width="10.7109375" customWidth="1"/>
    <col min="14" max="14" width="7.7109375" customWidth="1"/>
    <col min="15" max="16" width="1.28515625" customWidth="1"/>
    <col min="17" max="17" width="11.7109375" customWidth="1"/>
    <col min="18" max="18" width="5.85546875" customWidth="1"/>
    <col min="19" max="19" width="4.7109375" customWidth="1"/>
    <col min="20" max="20" width="10.7109375" customWidth="1"/>
    <col min="21" max="21" width="7.7109375" customWidth="1"/>
    <col min="22" max="23" width="1.28515625" customWidth="1"/>
    <col min="24" max="24" width="11.7109375" customWidth="1"/>
    <col min="25" max="25" width="6" customWidth="1"/>
    <col min="26" max="26" width="4.7109375" customWidth="1"/>
    <col min="27" max="27" width="10.7109375" customWidth="1"/>
    <col min="28" max="28" width="7.7109375" customWidth="1"/>
    <col min="29" max="29" width="1.28515625" customWidth="1"/>
  </cols>
  <sheetData>
    <row r="1" spans="1:29" s="1701" customFormat="1" ht="30" customHeight="1">
      <c r="A1" s="3923" t="str">
        <f>CONCATENATE("Application: ",Application_Name)</f>
        <v>Application: Conventional and Organic Farm Environmental Footprints (COFEF)</v>
      </c>
      <c r="B1" s="3924"/>
      <c r="C1" s="3924"/>
      <c r="D1" s="3924"/>
      <c r="E1" s="3924"/>
      <c r="F1" s="3924"/>
      <c r="G1" s="3924"/>
      <c r="H1" s="3924"/>
      <c r="I1" s="3924"/>
      <c r="J1" s="3924"/>
      <c r="K1" s="3924"/>
      <c r="L1" s="3924"/>
      <c r="M1" s="3924"/>
      <c r="N1" s="3924"/>
      <c r="O1" s="3924"/>
      <c r="P1" s="3924"/>
      <c r="Q1" s="3924"/>
      <c r="R1" s="3924"/>
      <c r="S1" s="3924"/>
      <c r="T1" s="3924"/>
      <c r="U1" s="3924"/>
      <c r="V1" s="3924"/>
      <c r="W1" s="3924"/>
      <c r="X1" s="3924"/>
      <c r="Y1" s="3924"/>
      <c r="Z1" s="3924"/>
      <c r="AA1" s="3924"/>
      <c r="AB1" s="3924"/>
      <c r="AC1" s="3925"/>
    </row>
    <row r="2" spans="1:29" s="3" customFormat="1" ht="30" customHeight="1">
      <c r="A2" s="3935" t="s">
        <v>1485</v>
      </c>
      <c r="B2" s="3936"/>
      <c r="C2" s="3936"/>
      <c r="D2" s="3936"/>
      <c r="E2" s="3936"/>
      <c r="F2" s="3936"/>
      <c r="G2" s="3936"/>
      <c r="H2" s="3936"/>
      <c r="I2" s="3936"/>
      <c r="J2" s="3936"/>
      <c r="K2" s="3936"/>
      <c r="L2" s="3936"/>
      <c r="M2" s="3936"/>
      <c r="N2" s="3936"/>
      <c r="O2" s="3936"/>
      <c r="P2" s="3936"/>
      <c r="Q2" s="3936"/>
      <c r="R2" s="3936"/>
      <c r="S2" s="3936"/>
      <c r="T2" s="3936"/>
      <c r="U2" s="3936"/>
      <c r="V2" s="3936"/>
      <c r="W2" s="3936"/>
      <c r="X2" s="3936"/>
      <c r="Y2" s="3936"/>
      <c r="Z2" s="3936"/>
      <c r="AA2" s="3936"/>
      <c r="AB2" s="3936"/>
      <c r="AC2" s="3937"/>
    </row>
    <row r="3" spans="1:29" ht="21.75" customHeight="1">
      <c r="A3" s="2065"/>
      <c r="B3" s="3938" t="str">
        <f>'Chosen Parameters-Part I'!$B$4</f>
        <v>Scenario 1</v>
      </c>
      <c r="C3" s="3939"/>
      <c r="D3" s="3939"/>
      <c r="E3" s="3939"/>
      <c r="F3" s="3939"/>
      <c r="G3" s="3939"/>
      <c r="H3" s="3940"/>
      <c r="I3" s="3941" t="str">
        <f>'Chosen Parameters-Part I'!$C$4</f>
        <v>Scenario 2</v>
      </c>
      <c r="J3" s="3942"/>
      <c r="K3" s="3942"/>
      <c r="L3" s="3942"/>
      <c r="M3" s="3942"/>
      <c r="N3" s="3942"/>
      <c r="O3" s="3943"/>
      <c r="P3" s="3950" t="str">
        <f>'Chosen Parameters-Part I'!$D$4</f>
        <v>Scenario 3</v>
      </c>
      <c r="Q3" s="3951"/>
      <c r="R3" s="3951"/>
      <c r="S3" s="3951"/>
      <c r="T3" s="3951"/>
      <c r="U3" s="3951"/>
      <c r="V3" s="2066"/>
      <c r="W3" s="3926" t="str">
        <f>'Chosen Parameters-Part I'!$E$4</f>
        <v>Scenario 4</v>
      </c>
      <c r="X3" s="3927"/>
      <c r="Y3" s="3927"/>
      <c r="Z3" s="3927"/>
      <c r="AA3" s="3927"/>
      <c r="AB3" s="3927"/>
      <c r="AC3" s="3928"/>
    </row>
    <row r="4" spans="1:29" ht="36" customHeight="1">
      <c r="A4" s="2067"/>
      <c r="B4" s="3944" t="str">
        <f>'Application Setup'!$B$4</f>
        <v>Intensive Conventional Management with Holsteins and rbST</v>
      </c>
      <c r="C4" s="3945"/>
      <c r="D4" s="3945"/>
      <c r="E4" s="3945"/>
      <c r="F4" s="3945"/>
      <c r="G4" s="3945"/>
      <c r="H4" s="3946"/>
      <c r="I4" s="3947" t="str">
        <f>'Application Setup'!$B$5</f>
        <v>Conventional Management, Holsteins</v>
      </c>
      <c r="J4" s="3948"/>
      <c r="K4" s="3948"/>
      <c r="L4" s="3948"/>
      <c r="M4" s="3948"/>
      <c r="N4" s="3948"/>
      <c r="O4" s="3949"/>
      <c r="P4" s="3929" t="str">
        <f>'Application Setup'!$B$6</f>
        <v>Intensive Organic Management, Holsteins</v>
      </c>
      <c r="Q4" s="3930"/>
      <c r="R4" s="3930"/>
      <c r="S4" s="3930"/>
      <c r="T4" s="3930"/>
      <c r="U4" s="3930"/>
      <c r="V4" s="3931"/>
      <c r="W4" s="3932" t="str">
        <f>'Application Setup'!$B$7</f>
        <v>Pasture-Based Organic, Jersey Cows</v>
      </c>
      <c r="X4" s="3933"/>
      <c r="Y4" s="3933"/>
      <c r="Z4" s="3933"/>
      <c r="AA4" s="3933"/>
      <c r="AB4" s="3933"/>
      <c r="AC4" s="3934"/>
    </row>
    <row r="5" spans="1:29" ht="5.25" customHeight="1">
      <c r="A5" s="2068"/>
      <c r="B5" s="2069"/>
      <c r="C5" s="1132"/>
      <c r="D5" s="1132"/>
      <c r="E5" s="1132"/>
      <c r="F5" s="1132"/>
      <c r="G5" s="1132"/>
      <c r="H5" s="1132"/>
      <c r="I5" s="2070"/>
      <c r="J5" s="1159"/>
      <c r="K5" s="1159"/>
      <c r="L5" s="1159"/>
      <c r="M5" s="1159"/>
      <c r="N5" s="1159"/>
      <c r="O5" s="1159"/>
      <c r="P5" s="2071"/>
      <c r="Q5" s="1070"/>
      <c r="R5" s="1070"/>
      <c r="S5" s="1070"/>
      <c r="T5" s="1070"/>
      <c r="U5" s="1070"/>
      <c r="V5" s="1306"/>
      <c r="W5" s="1072"/>
      <c r="X5" s="1072"/>
      <c r="Y5" s="1072"/>
      <c r="Z5" s="1072"/>
      <c r="AA5" s="1072"/>
      <c r="AB5" s="1072"/>
      <c r="AC5" s="1331"/>
    </row>
    <row r="6" spans="1:29" ht="12" customHeight="1">
      <c r="A6" s="2072" t="s">
        <v>1380</v>
      </c>
      <c r="B6" s="2069"/>
      <c r="C6" s="1132"/>
      <c r="D6" s="1132"/>
      <c r="E6" s="1132"/>
      <c r="F6" s="1132"/>
      <c r="G6" s="1132"/>
      <c r="H6" s="1132"/>
      <c r="I6" s="2070"/>
      <c r="J6" s="1159"/>
      <c r="K6" s="1159"/>
      <c r="L6" s="1159"/>
      <c r="M6" s="1159"/>
      <c r="N6" s="1159"/>
      <c r="O6" s="1159"/>
      <c r="P6" s="2071"/>
      <c r="Q6" s="1070"/>
      <c r="R6" s="1070"/>
      <c r="S6" s="1070"/>
      <c r="T6" s="1070"/>
      <c r="U6" s="1070"/>
      <c r="V6" s="1306"/>
      <c r="W6" s="1072"/>
      <c r="X6" s="1072"/>
      <c r="Y6" s="1072"/>
      <c r="Z6" s="1072"/>
      <c r="AA6" s="1072"/>
      <c r="AB6" s="1072"/>
      <c r="AC6" s="1331"/>
    </row>
    <row r="7" spans="1:29">
      <c r="A7" s="2072" t="s">
        <v>1381</v>
      </c>
      <c r="B7" s="2069"/>
      <c r="C7" s="1132"/>
      <c r="D7" s="1132"/>
      <c r="E7" s="1132"/>
      <c r="F7" s="1132"/>
      <c r="G7" s="1132"/>
      <c r="H7" s="1132"/>
      <c r="I7" s="2070"/>
      <c r="J7" s="1159"/>
      <c r="K7" s="1159"/>
      <c r="L7" s="1159"/>
      <c r="M7" s="1159"/>
      <c r="N7" s="1159"/>
      <c r="O7" s="1159"/>
      <c r="P7" s="2071"/>
      <c r="Q7" s="1070"/>
      <c r="R7" s="1070"/>
      <c r="S7" s="1070"/>
      <c r="T7" s="1070"/>
      <c r="U7" s="1070"/>
      <c r="V7" s="1306"/>
      <c r="W7" s="1072"/>
      <c r="X7" s="1072"/>
      <c r="Y7" s="1072"/>
      <c r="Z7" s="1072"/>
      <c r="AA7" s="1072"/>
      <c r="AB7" s="1072"/>
      <c r="AC7" s="1331"/>
    </row>
    <row r="8" spans="1:29">
      <c r="A8" s="2073" t="s">
        <v>405</v>
      </c>
      <c r="B8" s="2069"/>
      <c r="C8" s="3710">
        <f>F1_Replacement_Heifers</f>
        <v>0.46590659169590365</v>
      </c>
      <c r="D8" s="876" t="s">
        <v>1379</v>
      </c>
      <c r="E8" s="1132"/>
      <c r="F8" s="1132"/>
      <c r="G8" s="1132"/>
      <c r="H8" s="1132"/>
      <c r="I8" s="2070"/>
      <c r="J8" s="3713">
        <f>F2_Replacement_Heifers</f>
        <v>0.39428787513074259</v>
      </c>
      <c r="K8" s="880" t="s">
        <v>1379</v>
      </c>
      <c r="L8" s="1159"/>
      <c r="M8" s="1159"/>
      <c r="N8" s="1159"/>
      <c r="O8" s="1159"/>
      <c r="P8" s="2071"/>
      <c r="Q8" s="3712">
        <f>F3_Replacement_Heifers</f>
        <v>0.3031292568437669</v>
      </c>
      <c r="R8" s="922" t="s">
        <v>1379</v>
      </c>
      <c r="S8" s="1070"/>
      <c r="T8" s="1070"/>
      <c r="U8" s="1070"/>
      <c r="V8" s="1306"/>
      <c r="W8" s="1072"/>
      <c r="X8" s="3711">
        <f>F4_Replacement_Heifers</f>
        <v>0.25300946208684383</v>
      </c>
      <c r="Y8" s="909" t="s">
        <v>1379</v>
      </c>
      <c r="Z8" s="1072"/>
      <c r="AA8" s="1072"/>
      <c r="AB8" s="1072"/>
      <c r="AC8" s="1331"/>
    </row>
    <row r="9" spans="1:29">
      <c r="A9" s="2073" t="s">
        <v>1382</v>
      </c>
      <c r="B9" s="2069"/>
      <c r="C9" s="3710">
        <f>F1_Heifers_to_be_Born</f>
        <v>0.62758377081392303</v>
      </c>
      <c r="D9" s="876" t="s">
        <v>1379</v>
      </c>
      <c r="E9" s="1132"/>
      <c r="F9" s="1132"/>
      <c r="G9" s="1132"/>
      <c r="H9" s="1132"/>
      <c r="I9" s="2070"/>
      <c r="J9" s="3713">
        <f>F2_Heifers_to_be_Born</f>
        <v>0.51952340669388397</v>
      </c>
      <c r="K9" s="880" t="s">
        <v>1379</v>
      </c>
      <c r="L9" s="1159"/>
      <c r="M9" s="1159"/>
      <c r="N9" s="1159"/>
      <c r="O9" s="1159"/>
      <c r="P9" s="2071"/>
      <c r="Q9" s="3712">
        <f>F3_Heifers_to_be_Born</f>
        <v>0.38718833907354339</v>
      </c>
      <c r="R9" s="922" t="s">
        <v>1379</v>
      </c>
      <c r="S9" s="1070"/>
      <c r="T9" s="1070"/>
      <c r="U9" s="1070"/>
      <c r="V9" s="1306"/>
      <c r="W9" s="1072"/>
      <c r="X9" s="3711">
        <f>F4_Heifers_to_be_Born</f>
        <v>0.30978456877887639</v>
      </c>
      <c r="Y9" s="909" t="s">
        <v>1379</v>
      </c>
      <c r="Z9" s="1072"/>
      <c r="AA9" s="1072"/>
      <c r="AB9" s="1072"/>
      <c r="AC9" s="1331"/>
    </row>
    <row r="10" spans="1:29" ht="5.25" customHeight="1">
      <c r="A10" s="2081"/>
      <c r="B10" s="2082"/>
      <c r="C10" s="899"/>
      <c r="D10" s="899"/>
      <c r="E10" s="899"/>
      <c r="F10" s="899"/>
      <c r="G10" s="899"/>
      <c r="H10" s="899"/>
      <c r="I10" s="903"/>
      <c r="J10" s="906"/>
      <c r="K10" s="906"/>
      <c r="L10" s="906"/>
      <c r="M10" s="906"/>
      <c r="N10" s="906"/>
      <c r="O10" s="906"/>
      <c r="P10" s="2083"/>
      <c r="Q10" s="932"/>
      <c r="R10" s="932"/>
      <c r="S10" s="932"/>
      <c r="T10" s="932"/>
      <c r="U10" s="932"/>
      <c r="V10" s="939"/>
      <c r="W10" s="918"/>
      <c r="X10" s="918"/>
      <c r="Y10" s="918"/>
      <c r="Z10" s="918"/>
      <c r="AA10" s="918"/>
      <c r="AB10" s="918"/>
      <c r="AC10" s="946"/>
    </row>
    <row r="11" spans="1:29" ht="5.25" customHeight="1">
      <c r="A11" s="2068"/>
      <c r="B11" s="2069"/>
      <c r="C11" s="1132"/>
      <c r="D11" s="1132"/>
      <c r="E11" s="1132"/>
      <c r="F11" s="1132"/>
      <c r="G11" s="1132"/>
      <c r="H11" s="1132"/>
      <c r="I11" s="2070"/>
      <c r="J11" s="1159"/>
      <c r="K11" s="1159"/>
      <c r="L11" s="1159"/>
      <c r="M11" s="1159"/>
      <c r="N11" s="1159"/>
      <c r="O11" s="1159"/>
      <c r="P11" s="2071"/>
      <c r="Q11" s="1070"/>
      <c r="R11" s="1070"/>
      <c r="S11" s="1070"/>
      <c r="T11" s="1070"/>
      <c r="U11" s="1070"/>
      <c r="V11" s="1306"/>
      <c r="W11" s="1072"/>
      <c r="X11" s="1072"/>
      <c r="Y11" s="1072"/>
      <c r="Z11" s="1072"/>
      <c r="AA11" s="1072"/>
      <c r="AB11" s="1072"/>
      <c r="AC11" s="1331"/>
    </row>
    <row r="12" spans="1:29">
      <c r="A12" s="2072" t="s">
        <v>160</v>
      </c>
      <c r="B12" s="2069"/>
      <c r="C12" s="1132"/>
      <c r="D12" s="1132"/>
      <c r="E12" s="1132"/>
      <c r="F12" s="1132"/>
      <c r="G12" s="1132"/>
      <c r="H12" s="1132"/>
      <c r="I12" s="2070"/>
      <c r="J12" s="1159"/>
      <c r="K12" s="1159"/>
      <c r="L12" s="1159"/>
      <c r="M12" s="1159"/>
      <c r="N12" s="1159"/>
      <c r="O12" s="1159"/>
      <c r="P12" s="2071"/>
      <c r="Q12" s="1070"/>
      <c r="R12" s="1070"/>
      <c r="S12" s="1070"/>
      <c r="T12" s="1070"/>
      <c r="U12" s="1070"/>
      <c r="V12" s="1306"/>
      <c r="W12" s="1072"/>
      <c r="X12" s="1072"/>
      <c r="Y12" s="1072"/>
      <c r="Z12" s="1072"/>
      <c r="AA12" s="1072"/>
      <c r="AB12" s="1072"/>
      <c r="AC12" s="1331"/>
    </row>
    <row r="13" spans="1:29">
      <c r="A13" s="2073" t="s">
        <v>694</v>
      </c>
      <c r="B13" s="2069"/>
      <c r="C13" s="2074">
        <f>F1_Age_at_EOL</f>
        <v>4.476514020925551</v>
      </c>
      <c r="D13" s="876" t="s">
        <v>156</v>
      </c>
      <c r="E13" s="1132"/>
      <c r="F13" s="1132"/>
      <c r="G13" s="1132"/>
      <c r="H13" s="1132"/>
      <c r="I13" s="2070"/>
      <c r="J13" s="2075">
        <f>F2_Age_at_EOL</f>
        <v>4.7162216103186916</v>
      </c>
      <c r="K13" s="880" t="s">
        <v>156</v>
      </c>
      <c r="L13" s="1159"/>
      <c r="M13" s="1159"/>
      <c r="N13" s="1159"/>
      <c r="O13" s="1159"/>
      <c r="P13" s="2071"/>
      <c r="Q13" s="2076">
        <f>F3_Age_at_EOL</f>
        <v>6.2461742275483134</v>
      </c>
      <c r="R13" s="922" t="s">
        <v>156</v>
      </c>
      <c r="S13" s="1070"/>
      <c r="T13" s="1070"/>
      <c r="U13" s="1070"/>
      <c r="V13" s="1306"/>
      <c r="W13" s="1072"/>
      <c r="X13" s="2077">
        <f>F4_Age_at_EOL</f>
        <v>6.4478201978719438</v>
      </c>
      <c r="Y13" s="909" t="s">
        <v>156</v>
      </c>
      <c r="Z13" s="1072"/>
      <c r="AA13" s="1072"/>
      <c r="AB13" s="1072"/>
      <c r="AC13" s="1331"/>
    </row>
    <row r="14" spans="1:29">
      <c r="A14" s="2073" t="s">
        <v>149</v>
      </c>
      <c r="B14" s="2069"/>
      <c r="C14" s="2078">
        <f>F1_Number_of_Lactations</f>
        <v>1.8</v>
      </c>
      <c r="D14" s="876" t="s">
        <v>163</v>
      </c>
      <c r="E14" s="1132"/>
      <c r="F14" s="1132"/>
      <c r="G14" s="1132"/>
      <c r="H14" s="1132"/>
      <c r="I14" s="2070"/>
      <c r="J14" s="3708">
        <f>F2_Number_of_Lactations</f>
        <v>2.11</v>
      </c>
      <c r="K14" s="880" t="s">
        <v>163</v>
      </c>
      <c r="L14" s="1159"/>
      <c r="M14" s="1159"/>
      <c r="N14" s="1159"/>
      <c r="O14" s="1159"/>
      <c r="P14" s="2071"/>
      <c r="Q14" s="2079">
        <f>F3_Number_of_Lactations</f>
        <v>3.96</v>
      </c>
      <c r="R14" s="922" t="s">
        <v>163</v>
      </c>
      <c r="S14" s="1070"/>
      <c r="T14" s="1070"/>
      <c r="U14" s="1070"/>
      <c r="V14" s="1306"/>
      <c r="W14" s="1072"/>
      <c r="X14" s="3709">
        <f>F4_Number_of_Lactations</f>
        <v>4.4800000000000004</v>
      </c>
      <c r="Y14" s="909" t="s">
        <v>163</v>
      </c>
      <c r="Z14" s="1072"/>
      <c r="AA14" s="1072"/>
      <c r="AB14" s="1072"/>
      <c r="AC14" s="1331"/>
    </row>
    <row r="15" spans="1:29">
      <c r="A15" s="2073" t="s">
        <v>150</v>
      </c>
      <c r="B15" s="2069"/>
      <c r="C15" s="2078">
        <f>F1_Length_of_Lactation</f>
        <v>410.01521739130436</v>
      </c>
      <c r="D15" s="876" t="s">
        <v>162</v>
      </c>
      <c r="E15" s="1132"/>
      <c r="F15" s="1132"/>
      <c r="G15" s="1132"/>
      <c r="H15" s="1132"/>
      <c r="I15" s="2070"/>
      <c r="J15" s="3708">
        <f>F2_Length_of_Lactation</f>
        <v>391.44096385542167</v>
      </c>
      <c r="K15" s="880" t="s">
        <v>162</v>
      </c>
      <c r="L15" s="1159"/>
      <c r="M15" s="1159"/>
      <c r="N15" s="1159"/>
      <c r="O15" s="1159"/>
      <c r="P15" s="2071"/>
      <c r="Q15" s="2079">
        <f>F3_Length_of_Lactation</f>
        <v>336.83934426229507</v>
      </c>
      <c r="R15" s="922" t="s">
        <v>162</v>
      </c>
      <c r="S15" s="1070"/>
      <c r="T15" s="1070"/>
      <c r="U15" s="1070"/>
      <c r="V15" s="1306"/>
      <c r="W15" s="1072"/>
      <c r="X15" s="3709">
        <f>F4_Length_of_Lactation</f>
        <v>312.52</v>
      </c>
      <c r="Y15" s="909" t="s">
        <v>162</v>
      </c>
      <c r="Z15" s="1072"/>
      <c r="AA15" s="1072"/>
      <c r="AB15" s="1072"/>
      <c r="AC15" s="1331"/>
    </row>
    <row r="16" spans="1:29" ht="5.25" customHeight="1">
      <c r="A16" s="2081"/>
      <c r="B16" s="2082"/>
      <c r="C16" s="899"/>
      <c r="D16" s="899"/>
      <c r="E16" s="899"/>
      <c r="F16" s="899"/>
      <c r="G16" s="899"/>
      <c r="H16" s="899"/>
      <c r="I16" s="903"/>
      <c r="J16" s="906"/>
      <c r="K16" s="906"/>
      <c r="L16" s="906"/>
      <c r="M16" s="906"/>
      <c r="N16" s="906"/>
      <c r="O16" s="906"/>
      <c r="P16" s="2083"/>
      <c r="Q16" s="932"/>
      <c r="R16" s="932"/>
      <c r="S16" s="932"/>
      <c r="T16" s="932"/>
      <c r="U16" s="932"/>
      <c r="V16" s="939"/>
      <c r="W16" s="918"/>
      <c r="X16" s="918"/>
      <c r="Y16" s="918"/>
      <c r="Z16" s="918"/>
      <c r="AA16" s="918"/>
      <c r="AB16" s="918"/>
      <c r="AC16" s="946"/>
    </row>
    <row r="17" spans="1:29" ht="5.25" customHeight="1">
      <c r="A17" s="2068"/>
      <c r="B17" s="2069"/>
      <c r="C17" s="1132"/>
      <c r="D17" s="1132"/>
      <c r="E17" s="1132"/>
      <c r="F17" s="1132"/>
      <c r="G17" s="1132"/>
      <c r="H17" s="1132"/>
      <c r="I17" s="2070"/>
      <c r="J17" s="1159"/>
      <c r="K17" s="1159"/>
      <c r="L17" s="1159"/>
      <c r="M17" s="1159"/>
      <c r="N17" s="1159"/>
      <c r="O17" s="1159"/>
      <c r="P17" s="2071"/>
      <c r="Q17" s="1070"/>
      <c r="R17" s="1070"/>
      <c r="S17" s="1070"/>
      <c r="T17" s="1070"/>
      <c r="U17" s="1070"/>
      <c r="V17" s="1306"/>
      <c r="W17" s="1072"/>
      <c r="X17" s="1072"/>
      <c r="Y17" s="1072"/>
      <c r="Z17" s="1072"/>
      <c r="AA17" s="1072"/>
      <c r="AB17" s="1072"/>
      <c r="AC17" s="1331"/>
    </row>
    <row r="18" spans="1:29">
      <c r="A18" s="2072" t="s">
        <v>90</v>
      </c>
      <c r="B18" s="2069"/>
      <c r="C18" s="1132"/>
      <c r="D18" s="1132"/>
      <c r="E18" s="1132"/>
      <c r="F18" s="877" t="s">
        <v>94</v>
      </c>
      <c r="G18" s="1132"/>
      <c r="H18" s="1132"/>
      <c r="I18" s="2070"/>
      <c r="J18" s="1159"/>
      <c r="K18" s="1159"/>
      <c r="L18" s="1159"/>
      <c r="M18" s="2084" t="s">
        <v>94</v>
      </c>
      <c r="N18" s="1159"/>
      <c r="O18" s="1159"/>
      <c r="P18" s="2071"/>
      <c r="Q18" s="1070"/>
      <c r="R18" s="1070"/>
      <c r="S18" s="1070"/>
      <c r="T18" s="923" t="s">
        <v>94</v>
      </c>
      <c r="U18" s="1070"/>
      <c r="V18" s="1306"/>
      <c r="W18" s="1072"/>
      <c r="X18" s="1072"/>
      <c r="Y18" s="1072"/>
      <c r="Z18" s="1072"/>
      <c r="AA18" s="2085" t="s">
        <v>94</v>
      </c>
      <c r="AB18" s="1072"/>
      <c r="AC18" s="1331"/>
    </row>
    <row r="19" spans="1:29">
      <c r="A19" s="2073" t="s">
        <v>1368</v>
      </c>
      <c r="B19" s="2069"/>
      <c r="C19" s="3702">
        <f>F1_Unadjusted_Milk_Production_lb_day</f>
        <v>75</v>
      </c>
      <c r="D19" s="876" t="s">
        <v>257</v>
      </c>
      <c r="E19" s="1132"/>
      <c r="F19" s="2087">
        <f>F1_Unadjusted_Milk_Production_kg_day</f>
        <v>34.019421914767285</v>
      </c>
      <c r="G19" s="876" t="s">
        <v>36</v>
      </c>
      <c r="H19" s="1132"/>
      <c r="I19" s="2070"/>
      <c r="J19" s="3704">
        <f>F2_Unadjusted_Milk_Production_lb_day</f>
        <v>65</v>
      </c>
      <c r="K19" s="880" t="s">
        <v>257</v>
      </c>
      <c r="L19" s="1159"/>
      <c r="M19" s="2090">
        <f>F2_Unadjusted_Milk_Production_kg_day</f>
        <v>29.483498992798314</v>
      </c>
      <c r="N19" s="880" t="s">
        <v>36</v>
      </c>
      <c r="O19" s="2089"/>
      <c r="P19" s="2091"/>
      <c r="Q19" s="3705">
        <f>F3_Unadjusted_Milk_Production_lb_day</f>
        <v>60</v>
      </c>
      <c r="R19" s="922" t="s">
        <v>257</v>
      </c>
      <c r="S19" s="1070"/>
      <c r="T19" s="2093">
        <f>F3_Unadjusted_Milk_Production_kg_day</f>
        <v>27.215537531813826</v>
      </c>
      <c r="U19" s="922" t="s">
        <v>36</v>
      </c>
      <c r="V19" s="2094"/>
      <c r="W19" s="2095"/>
      <c r="X19" s="3706">
        <f>F4_Unadjusted_Milk_Production_lb_day</f>
        <v>50</v>
      </c>
      <c r="Y19" s="909" t="s">
        <v>257</v>
      </c>
      <c r="Z19" s="1072"/>
      <c r="AA19" s="2097">
        <f>F4_Unadjusted_Milk_Production_kg_day</f>
        <v>22.679614609844855</v>
      </c>
      <c r="AB19" s="909" t="s">
        <v>36</v>
      </c>
      <c r="AC19" s="1331"/>
    </row>
    <row r="20" spans="1:29">
      <c r="A20" s="2073" t="s">
        <v>1369</v>
      </c>
      <c r="B20" s="2069"/>
      <c r="C20" s="2086">
        <f>F1_ECM_Production_lb_day</f>
        <v>73.92</v>
      </c>
      <c r="D20" s="876" t="s">
        <v>257</v>
      </c>
      <c r="E20" s="1132"/>
      <c r="F20" s="2087">
        <f>F1_ECM_Production_kg_day</f>
        <v>33.529542239194633</v>
      </c>
      <c r="G20" s="876" t="s">
        <v>36</v>
      </c>
      <c r="H20" s="1132"/>
      <c r="I20" s="2070"/>
      <c r="J20" s="2088">
        <f>F2_ECM_Production_lb_day</f>
        <v>66.074190000000002</v>
      </c>
      <c r="K20" s="880" t="s">
        <v>257</v>
      </c>
      <c r="L20" s="1159"/>
      <c r="M20" s="2090">
        <f>F2_ECM_Production_kg_day</f>
        <v>29.970743297153298</v>
      </c>
      <c r="N20" s="880" t="s">
        <v>36</v>
      </c>
      <c r="O20" s="2089"/>
      <c r="P20" s="2091"/>
      <c r="Q20" s="2092">
        <f>F3_ECM_Production_lb_day</f>
        <v>62.726999999999997</v>
      </c>
      <c r="R20" s="922" t="s">
        <v>257</v>
      </c>
      <c r="S20" s="1070"/>
      <c r="T20" s="2093">
        <f>F3_ECM_Production_kg_day</f>
        <v>28.452483712634763</v>
      </c>
      <c r="U20" s="922" t="s">
        <v>36</v>
      </c>
      <c r="V20" s="2094"/>
      <c r="W20" s="2095"/>
      <c r="X20" s="2096">
        <f>F4_ECM_Production_lb_day</f>
        <v>60.393000000000001</v>
      </c>
      <c r="Y20" s="909" t="s">
        <v>257</v>
      </c>
      <c r="Z20" s="1072"/>
      <c r="AA20" s="2097">
        <f>F4_ECM_Production_kg_day</f>
        <v>27.393799302647206</v>
      </c>
      <c r="AB20" s="909" t="s">
        <v>36</v>
      </c>
      <c r="AC20" s="1331"/>
    </row>
    <row r="21" spans="1:29">
      <c r="A21" s="2073" t="s">
        <v>1370</v>
      </c>
      <c r="B21" s="2069"/>
      <c r="C21" s="2098">
        <f>F1_ECM_Production_lb_day*F1_Length_of_Lactation</f>
        <v>30308.324869565218</v>
      </c>
      <c r="D21" s="876" t="s">
        <v>257</v>
      </c>
      <c r="E21" s="2099"/>
      <c r="F21" s="2098">
        <f>F1_ECM_Production_kg_day*(F1_Length_of_Lactation-F1_Days_in_Diverted_Milk)</f>
        <v>13261.444187765986</v>
      </c>
      <c r="G21" s="876" t="s">
        <v>36</v>
      </c>
      <c r="H21" s="1132"/>
      <c r="I21" s="2070"/>
      <c r="J21" s="2100">
        <f>F2_ECM_Production_lb_day*F2_Length_of_Lactation</f>
        <v>25864.144619566265</v>
      </c>
      <c r="K21" s="880" t="s">
        <v>257</v>
      </c>
      <c r="L21" s="2101"/>
      <c r="M21" s="2100">
        <f>F2_ECM_Production_kg_day*(F2_Length_of_Lactation-F2_Days_in_Diverted_Milk)</f>
        <v>11417.083839080995</v>
      </c>
      <c r="N21" s="880" t="s">
        <v>36</v>
      </c>
      <c r="O21" s="1159"/>
      <c r="P21" s="2071"/>
      <c r="Q21" s="2102">
        <f>F3_ECM_Production_lb_day*F3_Length_of_Lactation</f>
        <v>21128.92154754098</v>
      </c>
      <c r="R21" s="922" t="s">
        <v>257</v>
      </c>
      <c r="S21" s="2103"/>
      <c r="T21" s="2102">
        <f>F3_ECM_Production_kg_day*(F3_Length_of_Lactation-F3_Days_in_Diverted_Milk)</f>
        <v>9327.8436029838122</v>
      </c>
      <c r="U21" s="922" t="s">
        <v>36</v>
      </c>
      <c r="V21" s="1306"/>
      <c r="W21" s="1072"/>
      <c r="X21" s="2104">
        <f>F4_ECM_Production_lb_day*F4_Length_of_Lactation</f>
        <v>18874.020359999999</v>
      </c>
      <c r="Y21" s="909" t="s">
        <v>257</v>
      </c>
      <c r="Z21" s="2105"/>
      <c r="AA21" s="2104">
        <f>F4_ECM_Production_kg_day*(F4_Length_of_Lactation-F4_Days_in_Diverted_Milk)</f>
        <v>8358.3960432237163</v>
      </c>
      <c r="AB21" s="909" t="s">
        <v>36</v>
      </c>
      <c r="AC21" s="1331"/>
    </row>
    <row r="22" spans="1:29">
      <c r="A22" s="2073" t="s">
        <v>1371</v>
      </c>
      <c r="B22" s="2069"/>
      <c r="C22" s="3703">
        <f>F1_ECM_Production_Life_lb</f>
        <v>54554.984765217392</v>
      </c>
      <c r="D22" s="876" t="s">
        <v>257</v>
      </c>
      <c r="E22" s="1132"/>
      <c r="F22" s="2106">
        <f>C22*Defaults!$D$9</f>
        <v>24745.720590421759</v>
      </c>
      <c r="G22" s="876" t="s">
        <v>36</v>
      </c>
      <c r="H22" s="1132"/>
      <c r="I22" s="2070"/>
      <c r="J22" s="2100">
        <f>F2_ECM_Production_Life_lb</f>
        <v>54573.345147284817</v>
      </c>
      <c r="K22" s="880" t="s">
        <v>257</v>
      </c>
      <c r="L22" s="1159"/>
      <c r="M22" s="2107">
        <f>J22*Defaults!$D$9</f>
        <v>24754.048718209331</v>
      </c>
      <c r="N22" s="880" t="s">
        <v>36</v>
      </c>
      <c r="O22" s="1159"/>
      <c r="P22" s="2071"/>
      <c r="Q22" s="2102">
        <f>F3_ECM_Production_Life_lb</f>
        <v>83670.529328262273</v>
      </c>
      <c r="R22" s="922" t="s">
        <v>257</v>
      </c>
      <c r="S22" s="1070"/>
      <c r="T22" s="2108">
        <f>Q22*Defaults!$D$9</f>
        <v>37952.307187334191</v>
      </c>
      <c r="U22" s="922" t="s">
        <v>36</v>
      </c>
      <c r="V22" s="1306"/>
      <c r="W22" s="1072"/>
      <c r="X22" s="2104">
        <f>F4_ECM_Production_Life_lb</f>
        <v>84555.611212799995</v>
      </c>
      <c r="Y22" s="909" t="s">
        <v>257</v>
      </c>
      <c r="Z22" s="1072"/>
      <c r="AA22" s="2109">
        <f>X22*Defaults!$D$9</f>
        <v>38353.773508123602</v>
      </c>
      <c r="AB22" s="909" t="s">
        <v>36</v>
      </c>
      <c r="AC22" s="1331"/>
    </row>
    <row r="23" spans="1:29">
      <c r="A23" s="2073" t="s">
        <v>1372</v>
      </c>
      <c r="B23" s="2069"/>
      <c r="C23" s="2098">
        <f>C22/F1_Age_at_EOL</f>
        <v>12186.934858284609</v>
      </c>
      <c r="D23" s="876" t="s">
        <v>257</v>
      </c>
      <c r="E23" s="1132"/>
      <c r="F23" s="2106">
        <f>C23*Defaults!$D$9</f>
        <v>5527.8997172235831</v>
      </c>
      <c r="G23" s="876" t="s">
        <v>36</v>
      </c>
      <c r="H23" s="1132"/>
      <c r="I23" s="2070"/>
      <c r="J23" s="2100">
        <f>J22/F2_Age_at_EOL</f>
        <v>11571.412383990391</v>
      </c>
      <c r="K23" s="880" t="s">
        <v>257</v>
      </c>
      <c r="L23" s="1159"/>
      <c r="M23" s="2107">
        <f>J23*Defaults!$D$9</f>
        <v>5248.7034672097634</v>
      </c>
      <c r="N23" s="880" t="s">
        <v>36</v>
      </c>
      <c r="O23" s="1159"/>
      <c r="P23" s="2071"/>
      <c r="Q23" s="2102">
        <f>Q22/F3_Age_at_EOL</f>
        <v>13395.484384543624</v>
      </c>
      <c r="R23" s="922" t="s">
        <v>257</v>
      </c>
      <c r="S23" s="1070"/>
      <c r="T23" s="2108">
        <f>Q23*Defaults!$D$9</f>
        <v>6076.0884670728847</v>
      </c>
      <c r="U23" s="922" t="s">
        <v>36</v>
      </c>
      <c r="V23" s="1306"/>
      <c r="W23" s="1072"/>
      <c r="X23" s="2104">
        <f>X22/F4_Age_at_EOL</f>
        <v>13113.82895582401</v>
      </c>
      <c r="Y23" s="909" t="s">
        <v>257</v>
      </c>
      <c r="Z23" s="1072"/>
      <c r="AA23" s="2109">
        <f>X23*Defaults!$D$9</f>
        <v>5948.331735550255</v>
      </c>
      <c r="AB23" s="909" t="s">
        <v>36</v>
      </c>
      <c r="AC23" s="1331"/>
    </row>
    <row r="24" spans="1:29" ht="6" customHeight="1">
      <c r="A24" s="2081"/>
      <c r="B24" s="2082"/>
      <c r="C24" s="899"/>
      <c r="D24" s="899"/>
      <c r="E24" s="899"/>
      <c r="F24" s="899"/>
      <c r="G24" s="899"/>
      <c r="H24" s="899"/>
      <c r="I24" s="903"/>
      <c r="J24" s="906"/>
      <c r="K24" s="906"/>
      <c r="L24" s="906"/>
      <c r="M24" s="906"/>
      <c r="N24" s="906"/>
      <c r="O24" s="906"/>
      <c r="P24" s="2083"/>
      <c r="Q24" s="932"/>
      <c r="R24" s="932"/>
      <c r="S24" s="932"/>
      <c r="T24" s="932"/>
      <c r="U24" s="932"/>
      <c r="V24" s="939"/>
      <c r="W24" s="918"/>
      <c r="X24" s="918"/>
      <c r="Y24" s="918"/>
      <c r="Z24" s="918"/>
      <c r="AA24" s="918"/>
      <c r="AB24" s="918"/>
      <c r="AC24" s="946"/>
    </row>
    <row r="25" spans="1:29" ht="5.25" customHeight="1">
      <c r="A25" s="2068"/>
      <c r="B25" s="2069"/>
      <c r="C25" s="1132"/>
      <c r="D25" s="1132"/>
      <c r="E25" s="1132"/>
      <c r="F25" s="1132"/>
      <c r="G25" s="1132"/>
      <c r="H25" s="1132"/>
      <c r="I25" s="2070"/>
      <c r="J25" s="1159"/>
      <c r="K25" s="1159"/>
      <c r="L25" s="1159"/>
      <c r="M25" s="1159"/>
      <c r="N25" s="1159"/>
      <c r="O25" s="1159"/>
      <c r="P25" s="2071"/>
      <c r="Q25" s="1070"/>
      <c r="R25" s="1070"/>
      <c r="S25" s="1070"/>
      <c r="T25" s="1070"/>
      <c r="U25" s="1070"/>
      <c r="V25" s="1306"/>
      <c r="W25" s="1072"/>
      <c r="X25" s="1072"/>
      <c r="Y25" s="1072"/>
      <c r="Z25" s="1072"/>
      <c r="AA25" s="1072"/>
      <c r="AB25" s="1072"/>
      <c r="AC25" s="1331"/>
    </row>
    <row r="26" spans="1:29">
      <c r="A26" s="2110" t="s">
        <v>222</v>
      </c>
      <c r="B26" s="2069"/>
      <c r="C26" s="1132"/>
      <c r="D26" s="1132"/>
      <c r="E26" s="1132"/>
      <c r="F26" s="1132"/>
      <c r="G26" s="1132"/>
      <c r="H26" s="1132"/>
      <c r="I26" s="2070"/>
      <c r="J26" s="1159"/>
      <c r="K26" s="1159"/>
      <c r="L26" s="1159"/>
      <c r="M26" s="1159"/>
      <c r="N26" s="1159"/>
      <c r="O26" s="1159"/>
      <c r="P26" s="2071"/>
      <c r="Q26" s="1070"/>
      <c r="R26" s="1070"/>
      <c r="S26" s="1070"/>
      <c r="T26" s="1070"/>
      <c r="U26" s="1070"/>
      <c r="V26" s="1306"/>
      <c r="W26" s="1072"/>
      <c r="X26" s="1072"/>
      <c r="Y26" s="1072"/>
      <c r="Z26" s="1072"/>
      <c r="AA26" s="1072"/>
      <c r="AB26" s="1072"/>
      <c r="AC26" s="1331"/>
    </row>
    <row r="27" spans="1:29">
      <c r="A27" s="2073" t="s">
        <v>161</v>
      </c>
      <c r="B27" s="2069"/>
      <c r="C27" s="2074">
        <f>F1_Total_Calves_in_Life</f>
        <v>1.548</v>
      </c>
      <c r="D27" s="876" t="s">
        <v>164</v>
      </c>
      <c r="E27" s="1132"/>
      <c r="F27" s="1132"/>
      <c r="G27" s="1132"/>
      <c r="H27" s="1132"/>
      <c r="I27" s="2070"/>
      <c r="J27" s="2075">
        <f>F2_Total_Calves_in_Life</f>
        <v>1.8145999999999998</v>
      </c>
      <c r="K27" s="880" t="s">
        <v>164</v>
      </c>
      <c r="L27" s="1159"/>
      <c r="M27" s="1159"/>
      <c r="N27" s="1159"/>
      <c r="O27" s="1159"/>
      <c r="P27" s="2071"/>
      <c r="Q27" s="2076">
        <f>F3_Total_Calves_in_Life</f>
        <v>3.4847999999999999</v>
      </c>
      <c r="R27" s="922" t="s">
        <v>164</v>
      </c>
      <c r="S27" s="1070"/>
      <c r="T27" s="1070"/>
      <c r="U27" s="1070"/>
      <c r="V27" s="1306"/>
      <c r="W27" s="1072"/>
      <c r="X27" s="2077">
        <f>F4_Total_Calves_in_Life</f>
        <v>3.9424000000000001</v>
      </c>
      <c r="Y27" s="909" t="s">
        <v>164</v>
      </c>
      <c r="Z27" s="1072"/>
      <c r="AA27" s="1072"/>
      <c r="AB27" s="1072"/>
      <c r="AC27" s="1331"/>
    </row>
    <row r="28" spans="1:29">
      <c r="A28" s="2073" t="s">
        <v>236</v>
      </c>
      <c r="B28" s="2069"/>
      <c r="C28" s="2074">
        <f>F1_Annual_Total_Calves</f>
        <v>0.34580479202429482</v>
      </c>
      <c r="D28" s="876" t="s">
        <v>164</v>
      </c>
      <c r="E28" s="1132"/>
      <c r="F28" s="1132"/>
      <c r="G28" s="1132"/>
      <c r="H28" s="1132"/>
      <c r="I28" s="2070"/>
      <c r="J28" s="2075">
        <f>F2_Annual_Total_Calves</f>
        <v>0.38475715306291147</v>
      </c>
      <c r="K28" s="880" t="s">
        <v>164</v>
      </c>
      <c r="L28" s="1159"/>
      <c r="M28" s="1159"/>
      <c r="N28" s="1159"/>
      <c r="O28" s="1159"/>
      <c r="P28" s="2071"/>
      <c r="Q28" s="2076">
        <f>F3_Annual_Total_Calves</f>
        <v>0.55790950957316143</v>
      </c>
      <c r="R28" s="922" t="s">
        <v>164</v>
      </c>
      <c r="S28" s="1070"/>
      <c r="T28" s="1070"/>
      <c r="U28" s="1070"/>
      <c r="V28" s="1306"/>
      <c r="W28" s="1072"/>
      <c r="X28" s="2077">
        <f>F4_Annual_Total_Calves</f>
        <v>0.61143144179193465</v>
      </c>
      <c r="Y28" s="909" t="s">
        <v>164</v>
      </c>
      <c r="Z28" s="1072"/>
      <c r="AA28" s="1072"/>
      <c r="AB28" s="1072"/>
      <c r="AC28" s="1331"/>
    </row>
    <row r="29" spans="1:29" ht="5.25" customHeight="1">
      <c r="A29" s="2081"/>
      <c r="B29" s="2082"/>
      <c r="C29" s="899"/>
      <c r="D29" s="899"/>
      <c r="E29" s="899"/>
      <c r="F29" s="899"/>
      <c r="G29" s="899"/>
      <c r="H29" s="899"/>
      <c r="I29" s="903"/>
      <c r="J29" s="906"/>
      <c r="K29" s="906"/>
      <c r="L29" s="906"/>
      <c r="M29" s="906"/>
      <c r="N29" s="906"/>
      <c r="O29" s="906"/>
      <c r="P29" s="2083"/>
      <c r="Q29" s="932"/>
      <c r="R29" s="932"/>
      <c r="S29" s="932"/>
      <c r="T29" s="932"/>
      <c r="U29" s="932"/>
      <c r="V29" s="939"/>
      <c r="W29" s="918"/>
      <c r="X29" s="918"/>
      <c r="Y29" s="918"/>
      <c r="Z29" s="918"/>
      <c r="AA29" s="918"/>
      <c r="AB29" s="918"/>
      <c r="AC29" s="946"/>
    </row>
    <row r="30" spans="1:29" ht="5.25" customHeight="1">
      <c r="A30" s="2068"/>
      <c r="B30" s="2069"/>
      <c r="C30" s="1132"/>
      <c r="D30" s="1132"/>
      <c r="E30" s="1132"/>
      <c r="F30" s="1132"/>
      <c r="G30" s="1132"/>
      <c r="H30" s="1132"/>
      <c r="I30" s="2070"/>
      <c r="J30" s="1159"/>
      <c r="K30" s="1159"/>
      <c r="L30" s="1159"/>
      <c r="M30" s="1159"/>
      <c r="N30" s="1159"/>
      <c r="O30" s="1159"/>
      <c r="P30" s="2071"/>
      <c r="Q30" s="1070"/>
      <c r="R30" s="1070"/>
      <c r="S30" s="1070"/>
      <c r="T30" s="1070"/>
      <c r="U30" s="1070"/>
      <c r="V30" s="1306"/>
      <c r="W30" s="1072"/>
      <c r="X30" s="1072"/>
      <c r="Y30" s="1072"/>
      <c r="Z30" s="1072"/>
      <c r="AA30" s="1072"/>
      <c r="AB30" s="1072"/>
      <c r="AC30" s="1331"/>
    </row>
    <row r="31" spans="1:29">
      <c r="A31" s="2110" t="s">
        <v>151</v>
      </c>
      <c r="B31" s="2069"/>
      <c r="C31" s="1132"/>
      <c r="D31" s="1132"/>
      <c r="E31" s="1132"/>
      <c r="F31" s="1132"/>
      <c r="G31" s="1132"/>
      <c r="H31" s="1132"/>
      <c r="I31" s="2070"/>
      <c r="J31" s="1159"/>
      <c r="K31" s="1159"/>
      <c r="L31" s="1159"/>
      <c r="M31" s="1159"/>
      <c r="N31" s="1159"/>
      <c r="O31" s="1159"/>
      <c r="P31" s="2071"/>
      <c r="Q31" s="1070"/>
      <c r="R31" s="1070"/>
      <c r="S31" s="1070"/>
      <c r="T31" s="1070"/>
      <c r="U31" s="1070"/>
      <c r="V31" s="1306"/>
      <c r="W31" s="1072"/>
      <c r="X31" s="1072"/>
      <c r="Y31" s="1072"/>
      <c r="Z31" s="1072"/>
      <c r="AA31" s="1072"/>
      <c r="AB31" s="1072"/>
      <c r="AC31" s="1331"/>
    </row>
    <row r="32" spans="1:29" ht="3" customHeight="1">
      <c r="A32" s="2072"/>
      <c r="B32" s="2069"/>
      <c r="C32" s="1132"/>
      <c r="D32" s="1132"/>
      <c r="E32" s="1132"/>
      <c r="F32" s="1132"/>
      <c r="G32" s="1132"/>
      <c r="H32" s="1132"/>
      <c r="I32" s="2070"/>
      <c r="J32" s="1159"/>
      <c r="K32" s="1159"/>
      <c r="L32" s="1159"/>
      <c r="M32" s="1159"/>
      <c r="N32" s="1159"/>
      <c r="O32" s="1159"/>
      <c r="P32" s="2071"/>
      <c r="Q32" s="1070"/>
      <c r="R32" s="1070"/>
      <c r="S32" s="1070"/>
      <c r="T32" s="1070"/>
      <c r="U32" s="1070"/>
      <c r="V32" s="1306"/>
      <c r="W32" s="1072"/>
      <c r="X32" s="1072"/>
      <c r="Y32" s="1072"/>
      <c r="Z32" s="1072"/>
      <c r="AA32" s="1072"/>
      <c r="AB32" s="1072"/>
      <c r="AC32" s="1331"/>
    </row>
    <row r="33" spans="1:29">
      <c r="A33" s="2111" t="s">
        <v>221</v>
      </c>
      <c r="B33" s="2069"/>
      <c r="C33" s="2112">
        <f>F1_Meat_Production_from_Cow</f>
        <v>576.48931200000004</v>
      </c>
      <c r="D33" s="876" t="s">
        <v>257</v>
      </c>
      <c r="E33" s="1132"/>
      <c r="F33" s="2106">
        <f>C33*Defaults!$D$9</f>
        <v>261.4911084570922</v>
      </c>
      <c r="G33" s="876" t="s">
        <v>36</v>
      </c>
      <c r="H33" s="1132"/>
      <c r="I33" s="2070"/>
      <c r="J33" s="2113">
        <f>F2_Meat_Production_from_Cow</f>
        <v>611.09370000000001</v>
      </c>
      <c r="K33" s="880" t="s">
        <v>257</v>
      </c>
      <c r="L33" s="1159"/>
      <c r="M33" s="2107">
        <f>J33*Defaults!$D$9</f>
        <v>277.18739213008297</v>
      </c>
      <c r="N33" s="880" t="s">
        <v>36</v>
      </c>
      <c r="O33" s="1159"/>
      <c r="P33" s="2071"/>
      <c r="Q33" s="2114">
        <f>F3_Meat_Production_from_Cow</f>
        <v>603.16099199999996</v>
      </c>
      <c r="R33" s="922" t="s">
        <v>257</v>
      </c>
      <c r="S33" s="1070"/>
      <c r="T33" s="2108">
        <f>Q33*Defaults!$D$9</f>
        <v>273.58917692503434</v>
      </c>
      <c r="U33" s="922" t="s">
        <v>36</v>
      </c>
      <c r="V33" s="1306"/>
      <c r="W33" s="1072"/>
      <c r="X33" s="2115">
        <f>F4_Meat_Production_from_Cow</f>
        <v>431.90999999999997</v>
      </c>
      <c r="Y33" s="909" t="s">
        <v>257</v>
      </c>
      <c r="Z33" s="1072"/>
      <c r="AA33" s="2116">
        <f>X33*Defaults!$D$9</f>
        <v>195.91104692276181</v>
      </c>
      <c r="AB33" s="909" t="s">
        <v>36</v>
      </c>
      <c r="AC33" s="1331"/>
    </row>
    <row r="34" spans="1:29" ht="6" customHeight="1">
      <c r="A34" s="2072"/>
      <c r="B34" s="2069"/>
      <c r="C34" s="1132"/>
      <c r="D34" s="1132"/>
      <c r="E34" s="1132"/>
      <c r="F34" s="1132"/>
      <c r="G34" s="1132"/>
      <c r="H34" s="1132"/>
      <c r="I34" s="2070"/>
      <c r="J34" s="1159"/>
      <c r="K34" s="1159"/>
      <c r="L34" s="1159"/>
      <c r="M34" s="1159"/>
      <c r="N34" s="1159"/>
      <c r="O34" s="1159"/>
      <c r="P34" s="2071"/>
      <c r="Q34" s="1070"/>
      <c r="R34" s="1070"/>
      <c r="S34" s="1070"/>
      <c r="T34" s="1070"/>
      <c r="U34" s="1070"/>
      <c r="V34" s="1306"/>
      <c r="W34" s="1072"/>
      <c r="X34" s="1072"/>
      <c r="Y34" s="1072"/>
      <c r="Z34" s="1072"/>
      <c r="AA34" s="1072"/>
      <c r="AB34" s="1072"/>
      <c r="AC34" s="1331"/>
    </row>
    <row r="35" spans="1:29">
      <c r="A35" s="2111" t="s">
        <v>220</v>
      </c>
      <c r="B35" s="2069"/>
      <c r="C35" s="2117"/>
      <c r="D35" s="1132"/>
      <c r="E35" s="1132"/>
      <c r="F35" s="1132"/>
      <c r="G35" s="1132"/>
      <c r="H35" s="1132"/>
      <c r="I35" s="2070"/>
      <c r="J35" s="2118"/>
      <c r="K35" s="1159"/>
      <c r="L35" s="1159"/>
      <c r="M35" s="1159"/>
      <c r="N35" s="1159"/>
      <c r="O35" s="1159"/>
      <c r="P35" s="2071"/>
      <c r="Q35" s="2119"/>
      <c r="R35" s="1070"/>
      <c r="S35" s="1070"/>
      <c r="T35" s="1070"/>
      <c r="U35" s="1070"/>
      <c r="V35" s="1306"/>
      <c r="W35" s="1072"/>
      <c r="X35" s="2120"/>
      <c r="Y35" s="1072"/>
      <c r="Z35" s="1072"/>
      <c r="AA35" s="1072"/>
      <c r="AB35" s="1072"/>
      <c r="AC35" s="1331"/>
    </row>
    <row r="36" spans="1:29">
      <c r="A36" s="2073" t="s">
        <v>161</v>
      </c>
      <c r="B36" s="2069"/>
      <c r="C36" s="2117">
        <f>F1_Meat_Production_from_Calves*F1_Total_Calves_in_Life</f>
        <v>1385.5791000239999</v>
      </c>
      <c r="D36" s="876" t="s">
        <v>257</v>
      </c>
      <c r="E36" s="1132"/>
      <c r="F36" s="2106">
        <f>C36*Defaults!$D$9</f>
        <v>628.48799999999994</v>
      </c>
      <c r="G36" s="876" t="s">
        <v>36</v>
      </c>
      <c r="H36" s="1132"/>
      <c r="I36" s="2070"/>
      <c r="J36" s="2118">
        <f>F2_Meat_Production_from_Calves*F2_Total_Calves_in_Life</f>
        <v>1624.2066116947997</v>
      </c>
      <c r="K36" s="880" t="s">
        <v>257</v>
      </c>
      <c r="L36" s="1159"/>
      <c r="M36" s="2107">
        <f>J36*Defaults!$D$9</f>
        <v>736.72759999999982</v>
      </c>
      <c r="N36" s="880" t="s">
        <v>36</v>
      </c>
      <c r="O36" s="1159"/>
      <c r="P36" s="2071"/>
      <c r="Q36" s="2119">
        <f>F3_Meat_Production_from_Calves*F3_Total_Calves_in_Life</f>
        <v>3119.1641135423997</v>
      </c>
      <c r="R36" s="922" t="s">
        <v>257</v>
      </c>
      <c r="S36" s="1070"/>
      <c r="T36" s="2108">
        <f>Q36*Defaults!$D$9</f>
        <v>1414.8287999999998</v>
      </c>
      <c r="U36" s="922" t="s">
        <v>36</v>
      </c>
      <c r="V36" s="1306"/>
      <c r="W36" s="1072"/>
      <c r="X36" s="2120">
        <f>F4_Meat_Production_from_Calves*F4_Total_Calves_in_Life</f>
        <v>2268.4829916672002</v>
      </c>
      <c r="Y36" s="909" t="s">
        <v>257</v>
      </c>
      <c r="Z36" s="1072"/>
      <c r="AA36" s="2116">
        <f>X36*Defaults!$D$9</f>
        <v>1028.9664</v>
      </c>
      <c r="AB36" s="909" t="s">
        <v>36</v>
      </c>
      <c r="AC36" s="1331"/>
    </row>
    <row r="37" spans="1:29">
      <c r="A37" s="2073" t="s">
        <v>236</v>
      </c>
      <c r="B37" s="2069"/>
      <c r="C37" s="2117">
        <f>F1_Meat_Production_from_Calves*F1_Total_Calves_in_Life/F1_Age_at_EOL</f>
        <v>309.52189439083264</v>
      </c>
      <c r="D37" s="876" t="s">
        <v>257</v>
      </c>
      <c r="E37" s="1132"/>
      <c r="F37" s="2106">
        <f>C37*Defaults!$D$9</f>
        <v>140.3967455618637</v>
      </c>
      <c r="G37" s="876" t="s">
        <v>36</v>
      </c>
      <c r="H37" s="1132"/>
      <c r="I37" s="2070"/>
      <c r="J37" s="2118">
        <f>F2_Meat_Production_from_Calves*F2_Total_Calves_in_Life/F2_Age_at_EOL</f>
        <v>344.3872544371481</v>
      </c>
      <c r="K37" s="880" t="s">
        <v>257</v>
      </c>
      <c r="L37" s="1159"/>
      <c r="M37" s="2107">
        <f>J37*Defaults!$D$9</f>
        <v>156.21140414354204</v>
      </c>
      <c r="N37" s="880" t="s">
        <v>36</v>
      </c>
      <c r="O37" s="1159"/>
      <c r="P37" s="2071"/>
      <c r="Q37" s="2119">
        <f>F3_Meat_Production_from_Calves*F3_Total_Calves_in_Life/F3_Age_at_EOL</f>
        <v>499.37193550982698</v>
      </c>
      <c r="R37" s="922" t="s">
        <v>257</v>
      </c>
      <c r="S37" s="1070"/>
      <c r="T37" s="2108">
        <f>Q37*Defaults!$D$9</f>
        <v>226.5112608867035</v>
      </c>
      <c r="U37" s="922" t="s">
        <v>36</v>
      </c>
      <c r="V37" s="1306"/>
      <c r="W37" s="1072"/>
      <c r="X37" s="2120">
        <f>F4_Meat_Production_from_Calves*F4_Total_Calves_in_Life/F4_Age_at_EOL</f>
        <v>351.82168888888935</v>
      </c>
      <c r="Y37" s="909" t="s">
        <v>257</v>
      </c>
      <c r="Z37" s="1072"/>
      <c r="AA37" s="2116">
        <f>X37*Defaults!$D$9</f>
        <v>159.58360630769494</v>
      </c>
      <c r="AB37" s="909" t="s">
        <v>36</v>
      </c>
      <c r="AC37" s="1331"/>
    </row>
    <row r="38" spans="1:29" ht="6" customHeight="1">
      <c r="A38" s="2072"/>
      <c r="B38" s="2069"/>
      <c r="C38" s="1132"/>
      <c r="D38" s="1132"/>
      <c r="E38" s="1132"/>
      <c r="F38" s="1132"/>
      <c r="G38" s="1132"/>
      <c r="H38" s="1132"/>
      <c r="I38" s="2070"/>
      <c r="J38" s="1159"/>
      <c r="K38" s="1159"/>
      <c r="L38" s="1159"/>
      <c r="M38" s="1159"/>
      <c r="N38" s="1159"/>
      <c r="O38" s="1159"/>
      <c r="P38" s="2071"/>
      <c r="Q38" s="1070"/>
      <c r="R38" s="1070"/>
      <c r="S38" s="1070"/>
      <c r="T38" s="1070"/>
      <c r="U38" s="1070"/>
      <c r="V38" s="1306"/>
      <c r="W38" s="1072"/>
      <c r="X38" s="1072"/>
      <c r="Y38" s="1072"/>
      <c r="Z38" s="1072"/>
      <c r="AA38" s="1072"/>
      <c r="AB38" s="1072"/>
      <c r="AC38" s="1331"/>
    </row>
    <row r="39" spans="1:29">
      <c r="A39" s="2111" t="s">
        <v>223</v>
      </c>
      <c r="B39" s="2069"/>
      <c r="C39" s="1132"/>
      <c r="D39" s="876"/>
      <c r="E39" s="1132"/>
      <c r="F39" s="1132"/>
      <c r="G39" s="876"/>
      <c r="H39" s="1132"/>
      <c r="I39" s="2070"/>
      <c r="J39" s="1159"/>
      <c r="K39" s="1159"/>
      <c r="L39" s="1159"/>
      <c r="M39" s="1159"/>
      <c r="N39" s="880"/>
      <c r="O39" s="1159"/>
      <c r="P39" s="2071"/>
      <c r="Q39" s="1070"/>
      <c r="R39" s="1070"/>
      <c r="S39" s="1070"/>
      <c r="T39" s="1070"/>
      <c r="U39" s="922"/>
      <c r="V39" s="1306"/>
      <c r="W39" s="1072"/>
      <c r="X39" s="1072"/>
      <c r="Y39" s="1072"/>
      <c r="Z39" s="1072"/>
      <c r="AA39" s="1072"/>
      <c r="AB39" s="909"/>
      <c r="AC39" s="1331"/>
    </row>
    <row r="40" spans="1:29">
      <c r="A40" s="2073" t="s">
        <v>161</v>
      </c>
      <c r="B40" s="2069"/>
      <c r="C40" s="2112">
        <f>C33+C36</f>
        <v>1962.0684120239998</v>
      </c>
      <c r="D40" s="876" t="s">
        <v>257</v>
      </c>
      <c r="E40" s="1132"/>
      <c r="F40" s="2106">
        <f>C40*Defaults!$D$9</f>
        <v>889.97910845709202</v>
      </c>
      <c r="G40" s="876" t="s">
        <v>36</v>
      </c>
      <c r="H40" s="1132"/>
      <c r="I40" s="2070"/>
      <c r="J40" s="2113">
        <f>J33+J36</f>
        <v>2235.3003116947998</v>
      </c>
      <c r="K40" s="880" t="s">
        <v>257</v>
      </c>
      <c r="L40" s="1159"/>
      <c r="M40" s="2107">
        <f>J40*Defaults!$D$9</f>
        <v>1013.9149921300829</v>
      </c>
      <c r="N40" s="880" t="s">
        <v>36</v>
      </c>
      <c r="O40" s="1159"/>
      <c r="P40" s="2071"/>
      <c r="Q40" s="2114">
        <f>Q33+Q36</f>
        <v>3722.3251055423998</v>
      </c>
      <c r="R40" s="922" t="s">
        <v>257</v>
      </c>
      <c r="S40" s="1070"/>
      <c r="T40" s="2108">
        <f>Q40*Defaults!$D$9</f>
        <v>1688.4179769250341</v>
      </c>
      <c r="U40" s="922" t="s">
        <v>36</v>
      </c>
      <c r="V40" s="1306"/>
      <c r="W40" s="1072"/>
      <c r="X40" s="2115">
        <f>X33+X36</f>
        <v>2700.3929916672</v>
      </c>
      <c r="Y40" s="909" t="s">
        <v>257</v>
      </c>
      <c r="Z40" s="1072"/>
      <c r="AA40" s="2116">
        <f>X40*Defaults!$D$9</f>
        <v>1224.8774469227617</v>
      </c>
      <c r="AB40" s="909" t="s">
        <v>36</v>
      </c>
      <c r="AC40" s="1331"/>
    </row>
    <row r="41" spans="1:29">
      <c r="A41" s="2073" t="s">
        <v>236</v>
      </c>
      <c r="B41" s="2069"/>
      <c r="C41" s="2117">
        <f>C40/F1_Age_at_EOL</f>
        <v>438.30275139366779</v>
      </c>
      <c r="D41" s="876" t="s">
        <v>257</v>
      </c>
      <c r="E41" s="1132"/>
      <c r="F41" s="2106">
        <f>C41*Defaults!$D$9</f>
        <v>198.81074968086051</v>
      </c>
      <c r="G41" s="876" t="s">
        <v>36</v>
      </c>
      <c r="H41" s="1132"/>
      <c r="I41" s="2070"/>
      <c r="J41" s="2118">
        <f>J40/F2_Age_at_EOL</f>
        <v>473.95998245802377</v>
      </c>
      <c r="K41" s="880" t="s">
        <v>257</v>
      </c>
      <c r="L41" s="1159"/>
      <c r="M41" s="2107">
        <f>J41*Defaults!$D$9</f>
        <v>214.98459485273617</v>
      </c>
      <c r="N41" s="880" t="s">
        <v>36</v>
      </c>
      <c r="O41" s="1159"/>
      <c r="P41" s="2071"/>
      <c r="Q41" s="2119">
        <f>Q40/F3_Age_at_EOL</f>
        <v>595.936803863931</v>
      </c>
      <c r="R41" s="922" t="s">
        <v>257</v>
      </c>
      <c r="S41" s="1070"/>
      <c r="T41" s="2108">
        <f>Q41*Defaults!$D$9</f>
        <v>270.31234086913315</v>
      </c>
      <c r="U41" s="922" t="s">
        <v>36</v>
      </c>
      <c r="V41" s="1306"/>
      <c r="W41" s="1072"/>
      <c r="X41" s="2120">
        <f>X40/F4_Age_at_EOL</f>
        <v>418.80711756795654</v>
      </c>
      <c r="Y41" s="909" t="s">
        <v>257</v>
      </c>
      <c r="Z41" s="1072"/>
      <c r="AA41" s="2116">
        <f>X41*Defaults!$D$9</f>
        <v>189.96768044602479</v>
      </c>
      <c r="AB41" s="909" t="s">
        <v>36</v>
      </c>
      <c r="AC41" s="1331"/>
    </row>
    <row r="42" spans="1:29" ht="5.25" customHeight="1">
      <c r="A42" s="2081"/>
      <c r="B42" s="2082"/>
      <c r="C42" s="899"/>
      <c r="D42" s="899"/>
      <c r="E42" s="899"/>
      <c r="F42" s="899"/>
      <c r="G42" s="899"/>
      <c r="H42" s="899"/>
      <c r="I42" s="903"/>
      <c r="J42" s="906"/>
      <c r="K42" s="906"/>
      <c r="L42" s="906"/>
      <c r="M42" s="906"/>
      <c r="N42" s="906"/>
      <c r="O42" s="906"/>
      <c r="P42" s="2083"/>
      <c r="Q42" s="932"/>
      <c r="R42" s="932"/>
      <c r="S42" s="932"/>
      <c r="T42" s="932"/>
      <c r="U42" s="932"/>
      <c r="V42" s="939"/>
      <c r="W42" s="918"/>
      <c r="X42" s="918"/>
      <c r="Y42" s="918"/>
      <c r="Z42" s="918"/>
      <c r="AA42" s="918"/>
      <c r="AB42" s="918"/>
      <c r="AC42" s="946"/>
    </row>
    <row r="43" spans="1:29" ht="5.25" customHeight="1">
      <c r="A43" s="2068"/>
      <c r="B43" s="2069"/>
      <c r="C43" s="1132"/>
      <c r="D43" s="1132"/>
      <c r="E43" s="1132"/>
      <c r="F43" s="1132"/>
      <c r="G43" s="1132"/>
      <c r="H43" s="1132"/>
      <c r="I43" s="2070"/>
      <c r="J43" s="1159"/>
      <c r="K43" s="1159"/>
      <c r="L43" s="1159"/>
      <c r="M43" s="1159"/>
      <c r="N43" s="1159"/>
      <c r="O43" s="1159"/>
      <c r="P43" s="2071"/>
      <c r="Q43" s="1070"/>
      <c r="R43" s="1070"/>
      <c r="S43" s="1070"/>
      <c r="T43" s="1070"/>
      <c r="U43" s="1070"/>
      <c r="V43" s="1306"/>
      <c r="W43" s="1072"/>
      <c r="X43" s="1072"/>
      <c r="Y43" s="1072"/>
      <c r="Z43" s="1072"/>
      <c r="AA43" s="1072"/>
      <c r="AB43" s="1072"/>
      <c r="AC43" s="1331"/>
    </row>
    <row r="44" spans="1:29">
      <c r="A44" s="2110" t="s">
        <v>1186</v>
      </c>
      <c r="B44" s="2069"/>
      <c r="C44" s="1132"/>
      <c r="D44" s="1132"/>
      <c r="E44" s="1132"/>
      <c r="F44" s="1132"/>
      <c r="G44" s="1132"/>
      <c r="H44" s="1132"/>
      <c r="I44" s="2070"/>
      <c r="J44" s="1159"/>
      <c r="K44" s="1159"/>
      <c r="L44" s="1159"/>
      <c r="M44" s="1159"/>
      <c r="N44" s="1159"/>
      <c r="O44" s="1159"/>
      <c r="P44" s="2071"/>
      <c r="Q44" s="1070"/>
      <c r="R44" s="1070"/>
      <c r="S44" s="1070"/>
      <c r="T44" s="1070"/>
      <c r="U44" s="1070"/>
      <c r="V44" s="1306"/>
      <c r="W44" s="1072"/>
      <c r="X44" s="1072"/>
      <c r="Y44" s="1072"/>
      <c r="Z44" s="1072"/>
      <c r="AA44" s="1072"/>
      <c r="AB44" s="1072"/>
      <c r="AC44" s="1331"/>
    </row>
    <row r="45" spans="1:29" ht="2.25" customHeight="1">
      <c r="A45" s="2072"/>
      <c r="B45" s="2069"/>
      <c r="C45" s="1132"/>
      <c r="D45" s="1132"/>
      <c r="E45" s="1132"/>
      <c r="F45" s="1132"/>
      <c r="G45" s="1132"/>
      <c r="H45" s="1132"/>
      <c r="I45" s="2070"/>
      <c r="J45" s="1159"/>
      <c r="K45" s="1159"/>
      <c r="L45" s="1159"/>
      <c r="M45" s="1159"/>
      <c r="N45" s="1159"/>
      <c r="O45" s="1159"/>
      <c r="P45" s="2071"/>
      <c r="Q45" s="1070"/>
      <c r="R45" s="1070"/>
      <c r="S45" s="1070"/>
      <c r="T45" s="1070"/>
      <c r="U45" s="1070"/>
      <c r="V45" s="1306"/>
      <c r="W45" s="1072"/>
      <c r="X45" s="1072"/>
      <c r="Y45" s="1072"/>
      <c r="Z45" s="1072"/>
      <c r="AA45" s="1072"/>
      <c r="AB45" s="1072"/>
      <c r="AC45" s="1331"/>
    </row>
    <row r="46" spans="1:29">
      <c r="A46" s="3885" t="s">
        <v>122</v>
      </c>
      <c r="B46" s="2069"/>
      <c r="C46" s="2086">
        <f>F1_Days_in_Diverted_Milk</f>
        <v>14.5</v>
      </c>
      <c r="D46" s="876" t="s">
        <v>162</v>
      </c>
      <c r="E46" s="1132"/>
      <c r="F46" s="2087"/>
      <c r="G46" s="876"/>
      <c r="H46" s="1132"/>
      <c r="I46" s="2070"/>
      <c r="J46" s="2088">
        <f>F2_Days_in_Diverted_Milk</f>
        <v>10.5</v>
      </c>
      <c r="K46" s="880" t="s">
        <v>162</v>
      </c>
      <c r="L46" s="1159"/>
      <c r="M46" s="2090"/>
      <c r="N46" s="880"/>
      <c r="O46" s="2089"/>
      <c r="P46" s="2091"/>
      <c r="Q46" s="2092">
        <f>F3_Days_in_Diverted_Milk</f>
        <v>9</v>
      </c>
      <c r="R46" s="922" t="s">
        <v>162</v>
      </c>
      <c r="S46" s="1070"/>
      <c r="T46" s="2093"/>
      <c r="U46" s="922"/>
      <c r="V46" s="2094"/>
      <c r="W46" s="2095"/>
      <c r="X46" s="2096">
        <f>F4_Days_in_Diverted_Milk</f>
        <v>7.4</v>
      </c>
      <c r="Y46" s="909" t="s">
        <v>162</v>
      </c>
      <c r="Z46" s="1072"/>
      <c r="AA46" s="2097"/>
      <c r="AB46" s="909"/>
      <c r="AC46" s="1331"/>
    </row>
    <row r="47" spans="1:29" ht="6.75" customHeight="1">
      <c r="A47" s="2073"/>
      <c r="B47" s="2069"/>
      <c r="C47" s="2086"/>
      <c r="D47" s="876"/>
      <c r="E47" s="1132"/>
      <c r="F47" s="2087"/>
      <c r="G47" s="876"/>
      <c r="H47" s="1132"/>
      <c r="I47" s="2070"/>
      <c r="J47" s="2088"/>
      <c r="K47" s="880"/>
      <c r="L47" s="1159"/>
      <c r="M47" s="2090"/>
      <c r="N47" s="880"/>
      <c r="O47" s="2089"/>
      <c r="P47" s="2091"/>
      <c r="Q47" s="2092"/>
      <c r="R47" s="922"/>
      <c r="S47" s="1070"/>
      <c r="T47" s="2093"/>
      <c r="U47" s="922"/>
      <c r="V47" s="2094"/>
      <c r="W47" s="2095"/>
      <c r="X47" s="2096"/>
      <c r="Y47" s="909"/>
      <c r="Z47" s="1072"/>
      <c r="AA47" s="2097"/>
      <c r="AB47" s="909"/>
      <c r="AC47" s="1331"/>
    </row>
    <row r="48" spans="1:29" ht="12" customHeight="1">
      <c r="A48" s="2111" t="s">
        <v>1375</v>
      </c>
      <c r="B48" s="2069"/>
      <c r="C48" s="1132"/>
      <c r="D48" s="1132"/>
      <c r="E48" s="1132"/>
      <c r="F48" s="1132"/>
      <c r="G48" s="1132"/>
      <c r="H48" s="1132"/>
      <c r="I48" s="2070"/>
      <c r="J48" s="1159"/>
      <c r="K48" s="1159"/>
      <c r="L48" s="1159"/>
      <c r="M48" s="1159"/>
      <c r="N48" s="1159"/>
      <c r="O48" s="1159"/>
      <c r="P48" s="2071"/>
      <c r="Q48" s="1070"/>
      <c r="R48" s="1070"/>
      <c r="S48" s="1070"/>
      <c r="T48" s="1070"/>
      <c r="U48" s="1070"/>
      <c r="V48" s="1306"/>
      <c r="W48" s="1072"/>
      <c r="X48" s="1072"/>
      <c r="Y48" s="1072"/>
      <c r="Z48" s="1072"/>
      <c r="AA48" s="1072"/>
      <c r="AB48" s="1072"/>
      <c r="AC48" s="1331"/>
    </row>
    <row r="49" spans="1:29" ht="12" customHeight="1">
      <c r="A49" s="3701" t="s">
        <v>1633</v>
      </c>
      <c r="B49" s="2069"/>
      <c r="C49" s="2117"/>
      <c r="D49" s="1132"/>
      <c r="E49" s="1132"/>
      <c r="F49" s="1132"/>
      <c r="G49" s="1132"/>
      <c r="H49" s="1132"/>
      <c r="I49" s="2070"/>
      <c r="J49" s="2118"/>
      <c r="K49" s="1159"/>
      <c r="L49" s="1159"/>
      <c r="M49" s="1159"/>
      <c r="N49" s="1159"/>
      <c r="O49" s="1159"/>
      <c r="P49" s="2071"/>
      <c r="Q49" s="2119"/>
      <c r="R49" s="1070"/>
      <c r="S49" s="1070"/>
      <c r="T49" s="1070"/>
      <c r="U49" s="1070"/>
      <c r="V49" s="1306"/>
      <c r="W49" s="1072"/>
      <c r="X49" s="2120"/>
      <c r="Y49" s="1072"/>
      <c r="Z49" s="1072"/>
      <c r="AA49" s="1072"/>
      <c r="AB49" s="1072"/>
      <c r="AC49" s="1331"/>
    </row>
    <row r="50" spans="1:29">
      <c r="A50" s="2073" t="s">
        <v>161</v>
      </c>
      <c r="B50" s="2069"/>
      <c r="C50" s="3627">
        <f>F1_Revenue_from_Unadjusted_Milk_year_of_life_lb*F1_Age_at_EOL</f>
        <v>8505.7525076086968</v>
      </c>
      <c r="D50" s="876"/>
      <c r="E50" s="382"/>
      <c r="F50" s="3626"/>
      <c r="G50" s="876"/>
      <c r="H50" s="1132"/>
      <c r="I50" s="2070"/>
      <c r="J50" s="3628">
        <f>F2_Milk_Unadjusted_Revenue_year_of_life_lb*F2_Age_at_EOL</f>
        <v>8322.7962736084319</v>
      </c>
      <c r="K50" s="880"/>
      <c r="L50" s="96"/>
      <c r="M50" s="3629"/>
      <c r="N50" s="880"/>
      <c r="O50" s="1159"/>
      <c r="P50" s="2071"/>
      <c r="Q50" s="3634">
        <f>F3_Revenue_from_Unadjusted_Milk_year_of_life_lb*F3_Age_at_EOL</f>
        <v>20891.339282360652</v>
      </c>
      <c r="R50" s="922"/>
      <c r="S50" s="494"/>
      <c r="T50" s="3635"/>
      <c r="U50" s="922"/>
      <c r="V50" s="1306"/>
      <c r="W50" s="1072"/>
      <c r="X50" s="3631">
        <f>F4_Revenue_from_Unadjusted_Milk_year_of_life_lb*F4_Age_at_EOL</f>
        <v>18330.633216000002</v>
      </c>
      <c r="Y50" s="909"/>
      <c r="Z50" s="496"/>
      <c r="AA50" s="3632"/>
      <c r="AB50" s="909"/>
      <c r="AC50" s="1331"/>
    </row>
    <row r="51" spans="1:29">
      <c r="A51" s="2073" t="s">
        <v>236</v>
      </c>
      <c r="B51" s="2069"/>
      <c r="C51" s="3625">
        <f>F1_Revenue_from_Unadjusted_Milk_year_of_life_lb</f>
        <v>1900.083964408107</v>
      </c>
      <c r="D51" s="876"/>
      <c r="E51" s="1132"/>
      <c r="F51" s="3626"/>
      <c r="G51" s="876"/>
      <c r="H51" s="1132"/>
      <c r="I51" s="2070"/>
      <c r="J51" s="3630">
        <f>F2_Milk_Unadjusted_Revenue_year_of_life_lb</f>
        <v>1764.7169622815989</v>
      </c>
      <c r="K51" s="880"/>
      <c r="L51" s="1159"/>
      <c r="M51" s="3629"/>
      <c r="N51" s="880"/>
      <c r="O51" s="1159"/>
      <c r="P51" s="2071"/>
      <c r="Q51" s="3636">
        <f>F3_Revenue_from_Unadjusted_Milk_year_of_life_lb</f>
        <v>3344.661631470487</v>
      </c>
      <c r="R51" s="922"/>
      <c r="S51" s="1070"/>
      <c r="T51" s="3635"/>
      <c r="U51" s="922"/>
      <c r="V51" s="1306"/>
      <c r="W51" s="1072"/>
      <c r="X51" s="3633">
        <f>F4_Revenue_from_Unadjusted_Milk_year_of_life_lb</f>
        <v>2842.9194136104934</v>
      </c>
      <c r="Y51" s="909"/>
      <c r="Z51" s="1072"/>
      <c r="AA51" s="3632"/>
      <c r="AB51" s="909"/>
      <c r="AC51" s="1331"/>
    </row>
    <row r="52" spans="1:29" ht="6" customHeight="1">
      <c r="A52" s="2072"/>
      <c r="B52" s="2069"/>
      <c r="C52" s="1132"/>
      <c r="D52" s="1132"/>
      <c r="E52" s="1132"/>
      <c r="F52" s="1132"/>
      <c r="G52" s="1132"/>
      <c r="H52" s="1132"/>
      <c r="I52" s="2070"/>
      <c r="J52" s="1159"/>
      <c r="K52" s="1159"/>
      <c r="L52" s="1159"/>
      <c r="M52" s="1159"/>
      <c r="N52" s="1159"/>
      <c r="O52" s="1159"/>
      <c r="P52" s="2071"/>
      <c r="Q52" s="1070"/>
      <c r="R52" s="1070"/>
      <c r="S52" s="1070"/>
      <c r="T52" s="1070"/>
      <c r="U52" s="1070"/>
      <c r="V52" s="1306"/>
      <c r="W52" s="1072"/>
      <c r="X52" s="1072"/>
      <c r="Y52" s="1072"/>
      <c r="Z52" s="1072"/>
      <c r="AA52" s="1072"/>
      <c r="AB52" s="1072"/>
      <c r="AC52" s="1331"/>
    </row>
    <row r="53" spans="1:29">
      <c r="A53" s="2111" t="s">
        <v>1189</v>
      </c>
      <c r="B53" s="2069"/>
      <c r="C53" s="2117"/>
      <c r="D53" s="1132"/>
      <c r="E53" s="1132"/>
      <c r="F53" s="1132"/>
      <c r="G53" s="1132"/>
      <c r="H53" s="1132"/>
      <c r="I53" s="2070"/>
      <c r="J53" s="2118"/>
      <c r="K53" s="1159"/>
      <c r="L53" s="1159"/>
      <c r="M53" s="1159"/>
      <c r="N53" s="1159"/>
      <c r="O53" s="1159"/>
      <c r="P53" s="2071"/>
      <c r="Q53" s="2119"/>
      <c r="R53" s="1070"/>
      <c r="S53" s="1070"/>
      <c r="T53" s="1070"/>
      <c r="U53" s="1070"/>
      <c r="V53" s="1306"/>
      <c r="W53" s="1072"/>
      <c r="X53" s="2120"/>
      <c r="Y53" s="1072"/>
      <c r="Z53" s="1072"/>
      <c r="AA53" s="1072"/>
      <c r="AB53" s="1072"/>
      <c r="AC53" s="1331"/>
    </row>
    <row r="54" spans="1:29">
      <c r="A54" s="2073" t="s">
        <v>161</v>
      </c>
      <c r="B54" s="2069"/>
      <c r="C54" s="3627">
        <f>C55*F1_Age_at_EOL</f>
        <v>554.36902373671569</v>
      </c>
      <c r="D54" s="876"/>
      <c r="E54" s="382"/>
      <c r="F54" s="3626"/>
      <c r="G54" s="876"/>
      <c r="H54" s="1132"/>
      <c r="I54" s="2070"/>
      <c r="J54" s="3628">
        <f>J55*F2_Age_at_EOL</f>
        <v>555.30654635411202</v>
      </c>
      <c r="K54" s="880"/>
      <c r="L54" s="96"/>
      <c r="M54" s="3629"/>
      <c r="N54" s="880"/>
      <c r="O54" s="1159"/>
      <c r="P54" s="2071"/>
      <c r="Q54" s="3634">
        <f>Q55*F3_Age_at_EOL</f>
        <v>666.88701652187979</v>
      </c>
      <c r="R54" s="922"/>
      <c r="S54" s="494"/>
      <c r="T54" s="3635"/>
      <c r="U54" s="922"/>
      <c r="V54" s="1306"/>
      <c r="W54" s="1072"/>
      <c r="X54" s="3631">
        <f>X55*F4_Age_at_EOL</f>
        <v>448.85490088712442</v>
      </c>
      <c r="Y54" s="909"/>
      <c r="Z54" s="496"/>
      <c r="AA54" s="3632"/>
      <c r="AB54" s="909"/>
      <c r="AC54" s="1331"/>
    </row>
    <row r="55" spans="1:29">
      <c r="A55" s="2073" t="s">
        <v>236</v>
      </c>
      <c r="B55" s="2069"/>
      <c r="C55" s="3625">
        <f>F1_Revenue_from_Meat_year_of_life</f>
        <v>123.83944764727799</v>
      </c>
      <c r="D55" s="876"/>
      <c r="E55" s="1132"/>
      <c r="F55" s="3626"/>
      <c r="G55" s="876"/>
      <c r="H55" s="1132"/>
      <c r="I55" s="2070"/>
      <c r="J55" s="3630">
        <f>F2_Revenue_from_Meat_year_of_life</f>
        <v>117.74394679400743</v>
      </c>
      <c r="K55" s="880"/>
      <c r="L55" s="1159"/>
      <c r="M55" s="3629"/>
      <c r="N55" s="880"/>
      <c r="O55" s="1159"/>
      <c r="P55" s="2071"/>
      <c r="Q55" s="3636">
        <f>F3_Revenue_from_Meat_year_of_life</f>
        <v>106.76727741288761</v>
      </c>
      <c r="R55" s="922"/>
      <c r="S55" s="1070"/>
      <c r="T55" s="3635"/>
      <c r="U55" s="922"/>
      <c r="V55" s="1306"/>
      <c r="W55" s="1072"/>
      <c r="X55" s="3633">
        <f>F4_Revenue_from_Meat_year_of_Life</f>
        <v>69.61343323985146</v>
      </c>
      <c r="Y55" s="909"/>
      <c r="Z55" s="1072"/>
      <c r="AA55" s="3632"/>
      <c r="AB55" s="909"/>
      <c r="AC55" s="1331"/>
    </row>
    <row r="56" spans="1:29" ht="6" customHeight="1">
      <c r="A56" s="2072"/>
      <c r="B56" s="2069"/>
      <c r="C56" s="1132"/>
      <c r="D56" s="1132"/>
      <c r="E56" s="1132"/>
      <c r="F56" s="1132"/>
      <c r="G56" s="1132"/>
      <c r="H56" s="1132"/>
      <c r="I56" s="2070"/>
      <c r="J56" s="1159"/>
      <c r="K56" s="1159"/>
      <c r="L56" s="1159"/>
      <c r="M56" s="1159"/>
      <c r="N56" s="1159"/>
      <c r="O56" s="1159"/>
      <c r="P56" s="2071"/>
      <c r="Q56" s="1070"/>
      <c r="R56" s="1070"/>
      <c r="S56" s="1070"/>
      <c r="T56" s="1070"/>
      <c r="U56" s="1070"/>
      <c r="V56" s="1306"/>
      <c r="W56" s="1072"/>
      <c r="X56" s="1072"/>
      <c r="Y56" s="1072"/>
      <c r="Z56" s="1072"/>
      <c r="AA56" s="1072"/>
      <c r="AB56" s="1072"/>
      <c r="AC56" s="1331"/>
    </row>
    <row r="57" spans="1:29">
      <c r="A57" s="2111" t="s">
        <v>782</v>
      </c>
      <c r="B57" s="2069"/>
      <c r="C57" s="2117"/>
      <c r="D57" s="1132"/>
      <c r="E57" s="1132"/>
      <c r="F57" s="1132"/>
      <c r="G57" s="1132"/>
      <c r="H57" s="1132"/>
      <c r="I57" s="2070"/>
      <c r="J57" s="2118"/>
      <c r="K57" s="1159"/>
      <c r="L57" s="1159"/>
      <c r="M57" s="1159"/>
      <c r="N57" s="1159"/>
      <c r="O57" s="1159"/>
      <c r="P57" s="2071"/>
      <c r="Q57" s="2119"/>
      <c r="R57" s="1070"/>
      <c r="S57" s="1070"/>
      <c r="T57" s="1070"/>
      <c r="U57" s="1070"/>
      <c r="V57" s="1306"/>
      <c r="W57" s="1072"/>
      <c r="X57" s="2120"/>
      <c r="Y57" s="1072"/>
      <c r="Z57" s="1072"/>
      <c r="AA57" s="1072"/>
      <c r="AB57" s="1072"/>
      <c r="AC57" s="1331"/>
    </row>
    <row r="58" spans="1:29">
      <c r="A58" s="2073" t="s">
        <v>161</v>
      </c>
      <c r="B58" s="2069"/>
      <c r="C58" s="3627">
        <f>C59*F1_Age_at_EOL</f>
        <v>227.06063999999998</v>
      </c>
      <c r="D58" s="876"/>
      <c r="E58" s="382"/>
      <c r="F58" s="3626"/>
      <c r="G58" s="876"/>
      <c r="H58" s="1132"/>
      <c r="I58" s="2070"/>
      <c r="J58" s="3628">
        <f>J59*F2_Age_at_EOL</f>
        <v>266.16552799999999</v>
      </c>
      <c r="K58" s="880"/>
      <c r="L58" s="96"/>
      <c r="M58" s="3629"/>
      <c r="N58" s="880"/>
      <c r="O58" s="1159"/>
      <c r="P58" s="2071"/>
      <c r="Q58" s="3634">
        <f>Q59*F3_Age_at_EOL</f>
        <v>511.15046400000006</v>
      </c>
      <c r="R58" s="922"/>
      <c r="S58" s="494"/>
      <c r="T58" s="3635"/>
      <c r="U58" s="922"/>
      <c r="V58" s="1306"/>
      <c r="W58" s="1072"/>
      <c r="X58" s="3631">
        <f>X59*F4_Age_at_EOL</f>
        <v>578.27123200000005</v>
      </c>
      <c r="Y58" s="909"/>
      <c r="Z58" s="496"/>
      <c r="AA58" s="3632"/>
      <c r="AB58" s="909"/>
      <c r="AC58" s="1331"/>
    </row>
    <row r="59" spans="1:29">
      <c r="A59" s="2073" t="s">
        <v>236</v>
      </c>
      <c r="B59" s="2069"/>
      <c r="C59" s="3625">
        <f>F1_Revenue_from_Calf_Sales_year_of_life</f>
        <v>50.722646894123564</v>
      </c>
      <c r="D59" s="876"/>
      <c r="E59" s="1132"/>
      <c r="F59" s="3626"/>
      <c r="G59" s="876"/>
      <c r="H59" s="1132"/>
      <c r="I59" s="2070"/>
      <c r="J59" s="3630">
        <f>F2_Revenue_from_Calf_Sales_year_of_life</f>
        <v>56.436179211267863</v>
      </c>
      <c r="K59" s="880"/>
      <c r="L59" s="1159"/>
      <c r="M59" s="3629"/>
      <c r="N59" s="880"/>
      <c r="O59" s="1159"/>
      <c r="P59" s="2071"/>
      <c r="Q59" s="3636">
        <f>F3_Revenue_from_Calf_Sales_year_of_life</f>
        <v>81.834166864191332</v>
      </c>
      <c r="R59" s="922"/>
      <c r="S59" s="1070"/>
      <c r="T59" s="3635"/>
      <c r="U59" s="922"/>
      <c r="V59" s="1306"/>
      <c r="W59" s="1072"/>
      <c r="X59" s="3633">
        <f>F4_Revenue_from_Calf_Sales_year_of_Life</f>
        <v>89.684763882040983</v>
      </c>
      <c r="Y59" s="909"/>
      <c r="Z59" s="1072"/>
      <c r="AA59" s="3632"/>
      <c r="AB59" s="909"/>
      <c r="AC59" s="1331"/>
    </row>
    <row r="60" spans="1:29" ht="6" customHeight="1">
      <c r="A60" s="2072"/>
      <c r="B60" s="2069"/>
      <c r="C60" s="1132"/>
      <c r="D60" s="1132"/>
      <c r="E60" s="1132"/>
      <c r="F60" s="1132"/>
      <c r="G60" s="1132"/>
      <c r="H60" s="1132"/>
      <c r="I60" s="2070"/>
      <c r="J60" s="1159"/>
      <c r="K60" s="1159"/>
      <c r="L60" s="1159"/>
      <c r="M60" s="1159"/>
      <c r="N60" s="1159"/>
      <c r="O60" s="1159"/>
      <c r="P60" s="2071"/>
      <c r="Q60" s="1070"/>
      <c r="R60" s="1070"/>
      <c r="S60" s="1070"/>
      <c r="T60" s="1070"/>
      <c r="U60" s="1070"/>
      <c r="V60" s="1306"/>
      <c r="W60" s="1072"/>
      <c r="X60" s="1072"/>
      <c r="Y60" s="1072"/>
      <c r="Z60" s="1072"/>
      <c r="AA60" s="1072"/>
      <c r="AB60" s="1072"/>
      <c r="AC60" s="1331"/>
    </row>
    <row r="61" spans="1:29">
      <c r="A61" s="3648" t="s">
        <v>1188</v>
      </c>
      <c r="B61" s="2069"/>
      <c r="C61" s="2117"/>
      <c r="D61" s="1132"/>
      <c r="E61" s="1132"/>
      <c r="F61" s="1132"/>
      <c r="G61" s="1132"/>
      <c r="H61" s="1132"/>
      <c r="I61" s="2070"/>
      <c r="J61" s="2118"/>
      <c r="K61" s="1159"/>
      <c r="L61" s="1159"/>
      <c r="M61" s="1159"/>
      <c r="N61" s="1159"/>
      <c r="O61" s="1159"/>
      <c r="P61" s="2071"/>
      <c r="Q61" s="2119"/>
      <c r="R61" s="1070"/>
      <c r="S61" s="1070"/>
      <c r="T61" s="1070"/>
      <c r="U61" s="1070"/>
      <c r="V61" s="1306"/>
      <c r="W61" s="1072"/>
      <c r="X61" s="2120"/>
      <c r="Y61" s="1072"/>
      <c r="Z61" s="1072"/>
      <c r="AA61" s="1072"/>
      <c r="AB61" s="1072"/>
      <c r="AC61" s="1331"/>
    </row>
    <row r="62" spans="1:29">
      <c r="A62" s="2073" t="s">
        <v>161</v>
      </c>
      <c r="B62" s="2069"/>
      <c r="C62" s="3627">
        <f>C50+C54+C58</f>
        <v>9287.1821713454119</v>
      </c>
      <c r="D62" s="876"/>
      <c r="E62" s="382"/>
      <c r="F62" s="3626"/>
      <c r="G62" s="876"/>
      <c r="H62" s="1132"/>
      <c r="I62" s="2070"/>
      <c r="J62" s="3628">
        <f>J50+J54+J58</f>
        <v>9144.268347962543</v>
      </c>
      <c r="K62" s="880"/>
      <c r="L62" s="96"/>
      <c r="M62" s="3629"/>
      <c r="N62" s="880"/>
      <c r="O62" s="1159"/>
      <c r="P62" s="2071"/>
      <c r="Q62" s="3634">
        <f>Q50+Q54+Q58</f>
        <v>22069.37676288253</v>
      </c>
      <c r="R62" s="922"/>
      <c r="S62" s="494"/>
      <c r="T62" s="3635"/>
      <c r="U62" s="922"/>
      <c r="V62" s="1306"/>
      <c r="W62" s="1072"/>
      <c r="X62" s="3631">
        <f>X50+X54+X58</f>
        <v>19357.759348887124</v>
      </c>
      <c r="Y62" s="909"/>
      <c r="Z62" s="496"/>
      <c r="AA62" s="3632"/>
      <c r="AB62" s="909"/>
      <c r="AC62" s="1331"/>
    </row>
    <row r="63" spans="1:29">
      <c r="A63" s="2073" t="s">
        <v>236</v>
      </c>
      <c r="B63" s="2069"/>
      <c r="C63" s="3627">
        <f>C51+C55+C59</f>
        <v>2074.6460589495086</v>
      </c>
      <c r="D63" s="876"/>
      <c r="E63" s="1132"/>
      <c r="F63" s="3626"/>
      <c r="G63" s="876"/>
      <c r="H63" s="1132"/>
      <c r="I63" s="2070"/>
      <c r="J63" s="3628">
        <f>J51+J55+J59</f>
        <v>1938.8970882868741</v>
      </c>
      <c r="K63" s="880"/>
      <c r="L63" s="1159"/>
      <c r="M63" s="3629"/>
      <c r="N63" s="880"/>
      <c r="O63" s="1159"/>
      <c r="P63" s="2071"/>
      <c r="Q63" s="3634">
        <f>Q51+Q55+Q59</f>
        <v>3533.2630757475663</v>
      </c>
      <c r="R63" s="922"/>
      <c r="S63" s="1070"/>
      <c r="T63" s="3635"/>
      <c r="U63" s="922"/>
      <c r="V63" s="1306"/>
      <c r="W63" s="1072"/>
      <c r="X63" s="3631">
        <f>X51+X55+X59</f>
        <v>3002.2176107323858</v>
      </c>
      <c r="Y63" s="909"/>
      <c r="Z63" s="1072"/>
      <c r="AA63" s="3632"/>
      <c r="AB63" s="909"/>
      <c r="AC63" s="1331"/>
    </row>
    <row r="64" spans="1:29" ht="6" customHeight="1" thickBot="1">
      <c r="A64" s="3638"/>
      <c r="B64" s="3639"/>
      <c r="C64" s="3640"/>
      <c r="D64" s="3640"/>
      <c r="E64" s="3640"/>
      <c r="F64" s="3640"/>
      <c r="G64" s="3640"/>
      <c r="H64" s="3640"/>
      <c r="I64" s="3641"/>
      <c r="J64" s="3642"/>
      <c r="K64" s="3642"/>
      <c r="L64" s="3642"/>
      <c r="M64" s="3642"/>
      <c r="N64" s="3642"/>
      <c r="O64" s="3642"/>
      <c r="P64" s="3643"/>
      <c r="Q64" s="3644"/>
      <c r="R64" s="3644"/>
      <c r="S64" s="3644"/>
      <c r="T64" s="3644"/>
      <c r="U64" s="3644"/>
      <c r="V64" s="3645"/>
      <c r="W64" s="3646"/>
      <c r="X64" s="3646"/>
      <c r="Y64" s="3646"/>
      <c r="Z64" s="3646"/>
      <c r="AA64" s="3646"/>
      <c r="AB64" s="3646"/>
      <c r="AC64" s="3647"/>
    </row>
    <row r="84" spans="3:27">
      <c r="C84" s="1112"/>
      <c r="D84" s="1112"/>
      <c r="E84" s="1112"/>
      <c r="F84" s="1112"/>
    </row>
    <row r="85" spans="3:27">
      <c r="C85" s="1112"/>
      <c r="D85" s="1112"/>
      <c r="E85" s="1112"/>
      <c r="F85" s="1112"/>
    </row>
    <row r="86" spans="3:27">
      <c r="C86" s="1113"/>
      <c r="D86" s="1113"/>
      <c r="E86" s="1113"/>
      <c r="F86" s="1113"/>
      <c r="G86" s="1113"/>
      <c r="H86" s="1113"/>
      <c r="I86" s="1113"/>
      <c r="J86" s="1113"/>
      <c r="K86" s="1113"/>
      <c r="L86" s="1113"/>
      <c r="M86" s="1113"/>
      <c r="N86" s="1113"/>
      <c r="O86" s="1113"/>
      <c r="P86" s="1113"/>
      <c r="Q86" s="1113"/>
      <c r="R86" s="1113"/>
      <c r="S86" s="1113"/>
      <c r="T86" s="1113"/>
      <c r="U86" s="1113"/>
      <c r="V86" s="1113"/>
      <c r="W86" s="1113"/>
      <c r="X86" s="1113"/>
      <c r="Y86" s="1113"/>
      <c r="Z86" s="1113"/>
      <c r="AA86" s="1113"/>
    </row>
    <row r="87" spans="3:27">
      <c r="C87" s="1113"/>
      <c r="D87" s="1113"/>
      <c r="E87" s="1113"/>
      <c r="F87" s="1114"/>
      <c r="G87" s="1114"/>
      <c r="H87" s="1114"/>
      <c r="I87" s="1114"/>
      <c r="J87" s="1114"/>
      <c r="K87" s="1114"/>
      <c r="L87" s="1114"/>
      <c r="M87" s="1114"/>
      <c r="N87" s="1114"/>
      <c r="O87" s="1114"/>
      <c r="P87" s="1114"/>
      <c r="Q87" s="1114"/>
      <c r="R87" s="1114"/>
      <c r="S87" s="1114"/>
      <c r="T87" s="1114"/>
      <c r="U87" s="1114"/>
      <c r="V87" s="1114"/>
      <c r="W87" s="1114"/>
      <c r="X87" s="1114"/>
      <c r="Y87" s="1114"/>
      <c r="Z87" s="1114"/>
      <c r="AA87" s="1114"/>
    </row>
    <row r="88" spans="3:27">
      <c r="C88" s="1113"/>
      <c r="D88" s="1113"/>
      <c r="E88" s="1113"/>
      <c r="F88" s="1115"/>
      <c r="G88" s="1115"/>
      <c r="H88" s="1115"/>
      <c r="I88" s="1115"/>
      <c r="J88" s="1115"/>
      <c r="K88" s="1115"/>
      <c r="L88" s="1115"/>
      <c r="M88" s="1115"/>
      <c r="N88" s="1115"/>
      <c r="O88" s="1115"/>
      <c r="P88" s="1115"/>
      <c r="Q88" s="1115"/>
      <c r="R88" s="1115"/>
      <c r="S88" s="1115"/>
      <c r="T88" s="1115"/>
      <c r="U88" s="1115"/>
      <c r="V88" s="1115"/>
      <c r="W88" s="1115"/>
      <c r="X88" s="1115"/>
      <c r="Y88" s="1115"/>
      <c r="Z88" s="1115"/>
      <c r="AA88" s="1115"/>
    </row>
    <row r="89" spans="3:27">
      <c r="C89" s="1113"/>
      <c r="D89" s="1113"/>
      <c r="E89" s="1113"/>
      <c r="F89" s="1113"/>
      <c r="G89" s="1113"/>
      <c r="H89" s="1113"/>
      <c r="I89" s="1113"/>
      <c r="J89" s="1113"/>
      <c r="K89" s="1113"/>
      <c r="L89" s="1113"/>
      <c r="M89" s="1113"/>
      <c r="N89" s="1113"/>
      <c r="O89" s="1113"/>
      <c r="P89" s="1113"/>
      <c r="Q89" s="1113"/>
      <c r="R89" s="1113"/>
      <c r="S89" s="1113"/>
      <c r="T89" s="1113"/>
      <c r="U89" s="1113"/>
      <c r="V89" s="1113"/>
      <c r="W89" s="1113"/>
      <c r="X89" s="1113"/>
      <c r="Y89" s="1113"/>
      <c r="Z89" s="1113"/>
      <c r="AA89" s="1113"/>
    </row>
    <row r="90" spans="3:27">
      <c r="C90" s="1113"/>
      <c r="D90" s="1113"/>
      <c r="E90" s="1113"/>
      <c r="F90" s="1113"/>
      <c r="G90" s="1113"/>
      <c r="H90" s="1113"/>
      <c r="I90" s="1113"/>
      <c r="J90" s="1113"/>
      <c r="K90" s="1113"/>
      <c r="L90" s="1113"/>
      <c r="M90" s="1113"/>
      <c r="N90" s="1113"/>
      <c r="O90" s="1113"/>
      <c r="P90" s="1113"/>
      <c r="Q90" s="1113"/>
      <c r="R90" s="1113"/>
      <c r="S90" s="1113"/>
      <c r="T90" s="1113"/>
      <c r="U90" s="1113"/>
      <c r="V90" s="1113"/>
      <c r="W90" s="1113"/>
      <c r="X90" s="1113"/>
      <c r="Y90" s="1113"/>
      <c r="Z90" s="1113"/>
      <c r="AA90" s="1113"/>
    </row>
    <row r="91" spans="3:27">
      <c r="C91" s="1112"/>
      <c r="D91" s="1112"/>
      <c r="E91" s="1112"/>
      <c r="F91" s="1112"/>
    </row>
  </sheetData>
  <sheetProtection password="E0BE" sheet="1" objects="1" scenarios="1"/>
  <mergeCells count="10">
    <mergeCell ref="A1:AC1"/>
    <mergeCell ref="W3:AC3"/>
    <mergeCell ref="P4:V4"/>
    <mergeCell ref="W4:AC4"/>
    <mergeCell ref="A2:AC2"/>
    <mergeCell ref="B3:H3"/>
    <mergeCell ref="I3:O3"/>
    <mergeCell ref="B4:H4"/>
    <mergeCell ref="I4:O4"/>
    <mergeCell ref="P3:U3"/>
  </mergeCells>
  <printOptions gridLines="1"/>
  <pageMargins left="0.7" right="0.7" top="0.75" bottom="0.75" header="0.3" footer="0.3"/>
  <pageSetup scale="61" orientation="landscape" r:id="rId1"/>
  <headerFooter>
    <oddFooter>&amp;L&amp;A&amp;C&amp;F&amp;R&amp;D</oddFooter>
  </headerFooter>
</worksheet>
</file>

<file path=xl/worksheets/sheet8.xml><?xml version="1.0" encoding="utf-8"?>
<worksheet xmlns="http://schemas.openxmlformats.org/spreadsheetml/2006/main" xmlns:r="http://schemas.openxmlformats.org/officeDocument/2006/relationships">
  <sheetPr>
    <pageSetUpPr fitToPage="1"/>
  </sheetPr>
  <dimension ref="A1:AC41"/>
  <sheetViews>
    <sheetView topLeftCell="A4" zoomScale="85" zoomScaleNormal="85" workbookViewId="0">
      <selection sqref="A1:AC1"/>
    </sheetView>
  </sheetViews>
  <sheetFormatPr defaultRowHeight="12.75"/>
  <cols>
    <col min="1" max="1" width="27.7109375" customWidth="1"/>
    <col min="2" max="2" width="1.28515625" customWidth="1"/>
    <col min="3" max="3" width="9.7109375" customWidth="1"/>
    <col min="4" max="5" width="5.7109375" customWidth="1"/>
    <col min="6" max="6" width="9.7109375" customWidth="1"/>
    <col min="7" max="7" width="11.7109375" customWidth="1"/>
    <col min="8" max="9" width="1.285156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42578125" customWidth="1"/>
    <col min="24" max="24" width="9.85546875" customWidth="1"/>
    <col min="25" max="26" width="5.7109375" customWidth="1"/>
    <col min="27" max="27" width="9.85546875" customWidth="1"/>
    <col min="28" max="28" width="11.7109375" customWidth="1"/>
    <col min="29" max="29" width="1.42578125" customWidth="1"/>
  </cols>
  <sheetData>
    <row r="1" spans="1:29" s="1702"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8"/>
    </row>
    <row r="2" spans="1:29" ht="30" customHeight="1">
      <c r="A2" s="3967" t="s">
        <v>1486</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9"/>
    </row>
    <row r="3" spans="1:29" ht="21.75" customHeight="1">
      <c r="A3" s="265"/>
      <c r="B3" s="3999" t="str">
        <f>'Chosen Parameters-Part I'!$B$4</f>
        <v>Scenario 1</v>
      </c>
      <c r="C3" s="4000"/>
      <c r="D3" s="4000"/>
      <c r="E3" s="4000"/>
      <c r="F3" s="4000"/>
      <c r="G3" s="4000"/>
      <c r="H3" s="4001"/>
      <c r="I3" s="4002" t="str">
        <f>'Chosen Parameters-Part I'!$C$4</f>
        <v>Scenario 2</v>
      </c>
      <c r="J3" s="4003"/>
      <c r="K3" s="4003"/>
      <c r="L3" s="4003"/>
      <c r="M3" s="4003"/>
      <c r="N3" s="4003"/>
      <c r="O3" s="4004"/>
      <c r="P3" s="4005" t="str">
        <f>'Chosen Parameters-Part I'!$D$4</f>
        <v>Scenario 3</v>
      </c>
      <c r="Q3" s="4006"/>
      <c r="R3" s="4006"/>
      <c r="S3" s="4006"/>
      <c r="T3" s="4006"/>
      <c r="U3" s="4006"/>
      <c r="V3" s="2029"/>
      <c r="W3" s="4007" t="str">
        <f>'Chosen Parameters-Part I'!$E$4</f>
        <v>Scenario 4</v>
      </c>
      <c r="X3" s="4008"/>
      <c r="Y3" s="4008"/>
      <c r="Z3" s="4008"/>
      <c r="AA3" s="4008"/>
      <c r="AB3" s="4008"/>
      <c r="AC3" s="4009"/>
    </row>
    <row r="4" spans="1:29" ht="36" customHeight="1">
      <c r="A4" s="266"/>
      <c r="B4" s="3983" t="str">
        <f>'Application Setup'!$B$4</f>
        <v>Intensive Conventional Management with Holsteins and rbST</v>
      </c>
      <c r="C4" s="3984"/>
      <c r="D4" s="3984"/>
      <c r="E4" s="3984"/>
      <c r="F4" s="3984"/>
      <c r="G4" s="3984"/>
      <c r="H4" s="3985"/>
      <c r="I4" s="3986" t="str">
        <f>'Application Setup'!$B$5</f>
        <v>Conventional Management, Holsteins</v>
      </c>
      <c r="J4" s="3987"/>
      <c r="K4" s="3987"/>
      <c r="L4" s="3987"/>
      <c r="M4" s="3987"/>
      <c r="N4" s="3987"/>
      <c r="O4" s="3988"/>
      <c r="P4" s="3989" t="str">
        <f>'Application Setup'!$B$6</f>
        <v>Intensive Organic Management, Holsteins</v>
      </c>
      <c r="Q4" s="3990"/>
      <c r="R4" s="3990"/>
      <c r="S4" s="3990"/>
      <c r="T4" s="3990"/>
      <c r="U4" s="3990"/>
      <c r="V4" s="3991"/>
      <c r="W4" s="3992" t="str">
        <f>'Application Setup'!$B$7</f>
        <v>Pasture-Based Organic, Jersey Cows</v>
      </c>
      <c r="X4" s="3993"/>
      <c r="Y4" s="3993"/>
      <c r="Z4" s="3993"/>
      <c r="AA4" s="3993"/>
      <c r="AB4" s="3993"/>
      <c r="AC4" s="3994"/>
    </row>
    <row r="5" spans="1:29" ht="32.25" customHeight="1">
      <c r="A5" s="3958" t="s">
        <v>373</v>
      </c>
      <c r="B5" s="3959"/>
      <c r="C5" s="3959"/>
      <c r="D5" s="3959"/>
      <c r="E5" s="3959"/>
      <c r="F5" s="3959"/>
      <c r="G5" s="3959"/>
      <c r="H5" s="3959"/>
      <c r="I5" s="3959"/>
      <c r="J5" s="3959"/>
      <c r="K5" s="3959"/>
      <c r="L5" s="3959"/>
      <c r="M5" s="3959"/>
      <c r="N5" s="3959"/>
      <c r="O5" s="3959"/>
      <c r="P5" s="3959"/>
      <c r="Q5" s="3959"/>
      <c r="R5" s="3959"/>
      <c r="S5" s="3959"/>
      <c r="T5" s="3959"/>
      <c r="U5" s="3959"/>
      <c r="V5" s="3959"/>
      <c r="W5" s="3959"/>
      <c r="X5" s="3959"/>
      <c r="Y5" s="3959"/>
      <c r="Z5" s="3959"/>
      <c r="AA5" s="3959"/>
      <c r="AB5" s="3959"/>
      <c r="AC5" s="3960"/>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620" t="s">
        <v>1192</v>
      </c>
      <c r="B7" s="358"/>
      <c r="C7" s="2010" t="s">
        <v>374</v>
      </c>
      <c r="D7" s="3995" t="s">
        <v>365</v>
      </c>
      <c r="E7" s="3995"/>
      <c r="F7" s="2010" t="s">
        <v>21</v>
      </c>
      <c r="G7" s="322"/>
      <c r="H7" s="382"/>
      <c r="I7" s="360"/>
      <c r="J7" s="2019" t="s">
        <v>374</v>
      </c>
      <c r="K7" s="3970" t="s">
        <v>365</v>
      </c>
      <c r="L7" s="3970"/>
      <c r="M7" s="2019" t="s">
        <v>21</v>
      </c>
      <c r="N7" s="1595"/>
      <c r="O7" s="96"/>
      <c r="P7" s="493"/>
      <c r="Q7" s="2020" t="s">
        <v>374</v>
      </c>
      <c r="R7" s="3972" t="s">
        <v>365</v>
      </c>
      <c r="S7" s="3972"/>
      <c r="T7" s="2020" t="s">
        <v>21</v>
      </c>
      <c r="U7" s="591"/>
      <c r="V7" s="495"/>
      <c r="W7" s="496"/>
      <c r="X7" s="2023" t="s">
        <v>374</v>
      </c>
      <c r="Y7" s="3975" t="s">
        <v>365</v>
      </c>
      <c r="Z7" s="3975"/>
      <c r="AA7" s="2023" t="s">
        <v>21</v>
      </c>
      <c r="AB7" s="593"/>
      <c r="AC7" s="497"/>
    </row>
    <row r="8" spans="1:29">
      <c r="A8" s="209" t="s">
        <v>378</v>
      </c>
      <c r="B8" s="358"/>
      <c r="C8" s="2017">
        <f>'Step 10a--Required Acres'!J25</f>
        <v>7.8268407984254957E-3</v>
      </c>
      <c r="D8" s="3965">
        <f>'Step 10a--Required Acres'!L25</f>
        <v>3.8160709780953217E-3</v>
      </c>
      <c r="E8" s="3965"/>
      <c r="F8" s="2017">
        <f>C8-D8</f>
        <v>4.0107698203301744E-3</v>
      </c>
      <c r="G8" s="163" t="s">
        <v>376</v>
      </c>
      <c r="H8" s="820"/>
      <c r="I8" s="96"/>
      <c r="J8" s="2012">
        <f>'Step 10a--Required Acres'!Y25</f>
        <v>7.9372811796989684E-3</v>
      </c>
      <c r="K8" s="3971">
        <f>'Step 10a--Required Acres'!AA25</f>
        <v>3.6794964844610268E-3</v>
      </c>
      <c r="L8" s="3971"/>
      <c r="M8" s="2012">
        <f>J8-K8</f>
        <v>4.2577846952379416E-3</v>
      </c>
      <c r="N8" s="145" t="s">
        <v>376</v>
      </c>
      <c r="O8" s="96"/>
      <c r="P8" s="493"/>
      <c r="Q8" s="2021">
        <f>'Step 10b--Required Acres'!J25</f>
        <v>1.0261404816878069E-2</v>
      </c>
      <c r="R8" s="3973">
        <f>'Step 10b--Required Acres'!L25</f>
        <v>3.1606994443257831E-3</v>
      </c>
      <c r="S8" s="3973"/>
      <c r="T8" s="2021">
        <f>Q8-R8</f>
        <v>7.1007053725522856E-3</v>
      </c>
      <c r="U8" s="388" t="s">
        <v>376</v>
      </c>
      <c r="V8" s="495"/>
      <c r="W8" s="496"/>
      <c r="X8" s="2011">
        <f>'Step 10b--Required Acres'!Y25</f>
        <v>8.4806730090800069E-3</v>
      </c>
      <c r="Y8" s="3976">
        <f>'Step 10b--Required Acres'!AA25</f>
        <v>2.1326062417297118E-3</v>
      </c>
      <c r="Z8" s="3976"/>
      <c r="AA8" s="2011">
        <f>X8-Y8</f>
        <v>6.3480667673502956E-3</v>
      </c>
      <c r="AB8" s="397" t="s">
        <v>376</v>
      </c>
      <c r="AC8" s="497"/>
    </row>
    <row r="9" spans="1:29">
      <c r="A9" s="209" t="s">
        <v>379</v>
      </c>
      <c r="B9" s="358"/>
      <c r="C9" s="2017">
        <f>'Step 10a--Required Acres'!J42</f>
        <v>1.861215538847118E-3</v>
      </c>
      <c r="D9" s="3965">
        <f>'Step 10a--Required Acres'!L42</f>
        <v>1.861215538847118E-3</v>
      </c>
      <c r="E9" s="3965"/>
      <c r="F9" s="1582">
        <f>C9-D9</f>
        <v>0</v>
      </c>
      <c r="G9" s="163" t="s">
        <v>376</v>
      </c>
      <c r="H9" s="820"/>
      <c r="I9" s="96"/>
      <c r="J9" s="2012">
        <f>'Step 10a--Required Acres'!Y42</f>
        <v>1.5162907268170425E-3</v>
      </c>
      <c r="K9" s="3971">
        <f>'Step 10a--Required Acres'!AA42</f>
        <v>1.5162907268170425E-3</v>
      </c>
      <c r="L9" s="3971"/>
      <c r="M9" s="1583">
        <f>J9-K9</f>
        <v>0</v>
      </c>
      <c r="N9" s="145" t="s">
        <v>376</v>
      </c>
      <c r="O9" s="96"/>
      <c r="P9" s="493"/>
      <c r="Q9" s="2021">
        <f>'Step 10b--Required Acres'!J42</f>
        <v>1.6188040129161885E-3</v>
      </c>
      <c r="R9" s="3973">
        <f>'Step 10b--Required Acres'!L42</f>
        <v>1.3040373893970527E-3</v>
      </c>
      <c r="S9" s="3973"/>
      <c r="T9" s="1585">
        <f>Q9-R9</f>
        <v>3.1476662351913581E-4</v>
      </c>
      <c r="U9" s="388" t="s">
        <v>376</v>
      </c>
      <c r="V9" s="495"/>
      <c r="W9" s="496"/>
      <c r="X9" s="2011">
        <f>'Step 10b--Required Acres'!Y42</f>
        <v>1.476831129258266E-3</v>
      </c>
      <c r="Y9" s="3976">
        <f>'Step 10b--Required Acres'!AA42</f>
        <v>1.1702202353957147E-3</v>
      </c>
      <c r="Z9" s="3976"/>
      <c r="AA9" s="1584">
        <f>X9-Y9</f>
        <v>3.0661089386255138E-4</v>
      </c>
      <c r="AB9" s="397" t="s">
        <v>376</v>
      </c>
      <c r="AC9" s="497"/>
    </row>
    <row r="10" spans="1:29">
      <c r="A10" s="209" t="s">
        <v>380</v>
      </c>
      <c r="B10" s="358"/>
      <c r="C10" s="2017">
        <f>'Step 10a--Required Acres'!J55</f>
        <v>3.6202674897119346E-3</v>
      </c>
      <c r="D10" s="3965">
        <f>'Step 10a--Required Acres'!L55</f>
        <v>3.6202674897119346E-3</v>
      </c>
      <c r="E10" s="3965"/>
      <c r="F10" s="1582">
        <f>C10-D10</f>
        <v>0</v>
      </c>
      <c r="G10" s="163" t="s">
        <v>376</v>
      </c>
      <c r="H10" s="820"/>
      <c r="I10" s="96"/>
      <c r="J10" s="2012">
        <f>'Step 10a--Required Acres'!Y55</f>
        <v>2.9876543209876546E-3</v>
      </c>
      <c r="K10" s="3971">
        <f>'Step 10a--Required Acres'!AA55</f>
        <v>2.9876543209876546E-3</v>
      </c>
      <c r="L10" s="3971"/>
      <c r="M10" s="1583">
        <f>J10-K10</f>
        <v>0</v>
      </c>
      <c r="N10" s="145" t="s">
        <v>376</v>
      </c>
      <c r="O10" s="96"/>
      <c r="P10" s="493"/>
      <c r="Q10" s="2021">
        <f>'Step 10b--Required Acres'!J55</f>
        <v>1.2165637860082304E-3</v>
      </c>
      <c r="R10" s="3973">
        <f>'Step 10b--Required Acres'!L55</f>
        <v>1.2165637860082304E-3</v>
      </c>
      <c r="S10" s="3973"/>
      <c r="T10" s="1585">
        <f>Q10-R10</f>
        <v>0</v>
      </c>
      <c r="U10" s="388" t="s">
        <v>376</v>
      </c>
      <c r="V10" s="495"/>
      <c r="W10" s="496"/>
      <c r="X10" s="2011">
        <f>'Step 10b--Required Acres'!Y55</f>
        <v>4.0174897119341562E-4</v>
      </c>
      <c r="Y10" s="3976">
        <f>'Step 10b--Required Acres'!AA55</f>
        <v>4.0174897119341562E-4</v>
      </c>
      <c r="Z10" s="3976"/>
      <c r="AA10" s="1584">
        <f>X10-Y10</f>
        <v>0</v>
      </c>
      <c r="AB10" s="397" t="s">
        <v>376</v>
      </c>
      <c r="AC10" s="497"/>
    </row>
    <row r="11" spans="1:29">
      <c r="A11" s="206"/>
      <c r="B11" s="358"/>
      <c r="C11" s="382"/>
      <c r="D11" s="3965"/>
      <c r="E11" s="3966"/>
      <c r="F11" s="382"/>
      <c r="G11" s="1594"/>
      <c r="H11" s="820"/>
      <c r="I11" s="96"/>
      <c r="J11" s="96"/>
      <c r="K11" s="3971"/>
      <c r="L11" s="3977"/>
      <c r="M11" s="96"/>
      <c r="N11" s="1596"/>
      <c r="O11" s="96"/>
      <c r="P11" s="493"/>
      <c r="Q11" s="494"/>
      <c r="R11" s="3973"/>
      <c r="S11" s="3974"/>
      <c r="T11" s="494"/>
      <c r="U11" s="1597"/>
      <c r="V11" s="495"/>
      <c r="W11" s="496"/>
      <c r="X11" s="496"/>
      <c r="Y11" s="3976"/>
      <c r="Z11" s="3980"/>
      <c r="AA11" s="496"/>
      <c r="AB11" s="1598"/>
      <c r="AC11" s="497"/>
    </row>
    <row r="12" spans="1:29">
      <c r="A12" s="3649" t="s">
        <v>375</v>
      </c>
      <c r="B12" s="358"/>
      <c r="C12" s="1042"/>
      <c r="D12" s="186"/>
      <c r="E12" s="382"/>
      <c r="F12" s="1042"/>
      <c r="G12" s="163"/>
      <c r="H12" s="820"/>
      <c r="I12" s="96"/>
      <c r="J12" s="1043"/>
      <c r="K12" s="44"/>
      <c r="L12" s="96"/>
      <c r="M12" s="1043"/>
      <c r="N12" s="145"/>
      <c r="O12" s="96"/>
      <c r="P12" s="493"/>
      <c r="Q12" s="1044"/>
      <c r="R12" s="511"/>
      <c r="S12" s="494"/>
      <c r="T12" s="1044"/>
      <c r="U12" s="388"/>
      <c r="V12" s="495"/>
      <c r="W12" s="496"/>
      <c r="X12" s="1045"/>
      <c r="Y12" s="465"/>
      <c r="Z12" s="496"/>
      <c r="AA12" s="1045"/>
      <c r="AB12" s="397"/>
      <c r="AC12" s="497"/>
    </row>
    <row r="13" spans="1:29">
      <c r="A13" s="209" t="s">
        <v>250</v>
      </c>
      <c r="B13" s="358"/>
      <c r="C13" s="2024">
        <f>SUM(C8:C10)</f>
        <v>1.3308323826984547E-2</v>
      </c>
      <c r="D13" s="3954">
        <f>SUM(D8:E10)</f>
        <v>9.2975540066543745E-3</v>
      </c>
      <c r="E13" s="3954"/>
      <c r="F13" s="2024">
        <f>SUM(F8:F10)</f>
        <v>4.0107698203301744E-3</v>
      </c>
      <c r="G13" s="163" t="s">
        <v>376</v>
      </c>
      <c r="H13" s="1580"/>
      <c r="I13" s="1469"/>
      <c r="J13" s="2014">
        <f>SUM(J8:J10)</f>
        <v>1.2441226227503665E-2</v>
      </c>
      <c r="K13" s="3978">
        <f>SUM(K8:L10)</f>
        <v>8.1834415322657242E-3</v>
      </c>
      <c r="L13" s="3978"/>
      <c r="M13" s="2014">
        <f>SUM(M8:M10)</f>
        <v>4.2577846952379416E-3</v>
      </c>
      <c r="N13" s="145" t="s">
        <v>376</v>
      </c>
      <c r="O13" s="96"/>
      <c r="P13" s="493"/>
      <c r="Q13" s="2015">
        <f>SUM(Q8:Q10)</f>
        <v>1.3096772615802488E-2</v>
      </c>
      <c r="R13" s="3981">
        <f>SUM(R8:S10)</f>
        <v>5.6813006197310662E-3</v>
      </c>
      <c r="S13" s="3981"/>
      <c r="T13" s="2015">
        <f>SUM(T8:T10)</f>
        <v>7.4154719960714214E-3</v>
      </c>
      <c r="U13" s="388" t="s">
        <v>376</v>
      </c>
      <c r="V13" s="495"/>
      <c r="W13" s="496"/>
      <c r="X13" s="2026">
        <f>SUM(X8:X10)</f>
        <v>1.035925310953169E-2</v>
      </c>
      <c r="Y13" s="3956">
        <f>SUM(Y8:Z10)</f>
        <v>3.704575448318842E-3</v>
      </c>
      <c r="Z13" s="3956"/>
      <c r="AA13" s="2026">
        <f>SUM(AA8:AA10)</f>
        <v>6.654677661212847E-3</v>
      </c>
      <c r="AB13" s="397" t="s">
        <v>376</v>
      </c>
      <c r="AC13" s="497"/>
    </row>
    <row r="14" spans="1:29">
      <c r="A14" s="209" t="s">
        <v>237</v>
      </c>
      <c r="B14" s="358"/>
      <c r="C14" s="2025">
        <f>C13*F1_Length_of_Lactation</f>
        <v>5.4566152870349445</v>
      </c>
      <c r="D14" s="3955">
        <f>D13*F1_Length_of_Lactation</f>
        <v>3.8121386272457864</v>
      </c>
      <c r="E14" s="3955"/>
      <c r="F14" s="2025">
        <f>F13*F1_Length_of_Lactation</f>
        <v>1.6444766597891591</v>
      </c>
      <c r="G14" s="186" t="s">
        <v>377</v>
      </c>
      <c r="H14" s="820"/>
      <c r="I14" s="96"/>
      <c r="J14" s="2988">
        <f>J13*F2_Length_of_Lactation</f>
        <v>4.8700055860373865</v>
      </c>
      <c r="K14" s="3979">
        <f>K13*F2_Length_of_Lactation</f>
        <v>3.2033342410445838</v>
      </c>
      <c r="L14" s="3979"/>
      <c r="M14" s="2988">
        <f>M13*F2_Length_of_Lactation</f>
        <v>1.6666713449928026</v>
      </c>
      <c r="N14" s="145" t="s">
        <v>377</v>
      </c>
      <c r="O14" s="96"/>
      <c r="P14" s="493"/>
      <c r="Q14" s="2016">
        <f>Q13*F3_Length_of_Lactation</f>
        <v>4.4115082998592934</v>
      </c>
      <c r="R14" s="3982">
        <f>R13*F3_Length_of_Lactation</f>
        <v>1.9136855753071829</v>
      </c>
      <c r="S14" s="3982"/>
      <c r="T14" s="2016">
        <f>T13*F3_Length_of_Lactation</f>
        <v>2.4978227245521101</v>
      </c>
      <c r="U14" s="511" t="s">
        <v>377</v>
      </c>
      <c r="V14" s="495"/>
      <c r="W14" s="496"/>
      <c r="X14" s="2027">
        <f>X13*F4_Length_of_Lactation</f>
        <v>3.2374737817908437</v>
      </c>
      <c r="Y14" s="3957">
        <f>Y13*F4_Length_of_Lactation</f>
        <v>1.1577539191086044</v>
      </c>
      <c r="Z14" s="3957"/>
      <c r="AA14" s="2027">
        <f>AA13*F4_Length_of_Lactation</f>
        <v>2.0797198626822389</v>
      </c>
      <c r="AB14" s="397" t="s">
        <v>377</v>
      </c>
      <c r="AC14" s="497"/>
    </row>
    <row r="15" spans="1:29">
      <c r="A15" s="209" t="s">
        <v>858</v>
      </c>
      <c r="B15" s="358"/>
      <c r="C15" s="1581">
        <f>C13*365.25</f>
        <v>4.8608652778061057</v>
      </c>
      <c r="D15" s="3961">
        <f>D13*365.25</f>
        <v>3.3959316009305103</v>
      </c>
      <c r="E15" s="3961"/>
      <c r="F15" s="1581">
        <f>F13*365.25</f>
        <v>1.4649336768755963</v>
      </c>
      <c r="G15" s="186" t="s">
        <v>862</v>
      </c>
      <c r="H15" s="820"/>
      <c r="I15" s="104"/>
      <c r="J15" s="1615">
        <f>J13*365.25</f>
        <v>4.5441578795957138</v>
      </c>
      <c r="K15" s="3962">
        <f>K13*365.25</f>
        <v>2.989002019660056</v>
      </c>
      <c r="L15" s="3962"/>
      <c r="M15" s="1615">
        <f>M13*365.25</f>
        <v>1.5551558599356581</v>
      </c>
      <c r="N15" s="44" t="s">
        <v>862</v>
      </c>
      <c r="O15" s="104"/>
      <c r="P15" s="493"/>
      <c r="Q15" s="1618">
        <f>Q13*365.25</f>
        <v>4.7835961979218586</v>
      </c>
      <c r="R15" s="3963">
        <f>R13*365.25</f>
        <v>2.0750950513567719</v>
      </c>
      <c r="S15" s="3963"/>
      <c r="T15" s="1618">
        <f>T13*365.25</f>
        <v>2.7085011465650868</v>
      </c>
      <c r="U15" s="511" t="s">
        <v>862</v>
      </c>
      <c r="V15" s="495"/>
      <c r="W15" s="607"/>
      <c r="X15" s="3093">
        <f>X13*365.25</f>
        <v>3.7837171982564497</v>
      </c>
      <c r="Y15" s="3964">
        <f>Y13*365.25</f>
        <v>1.3530961824984571</v>
      </c>
      <c r="Z15" s="3964"/>
      <c r="AA15" s="3093">
        <f>AA13*365.25</f>
        <v>2.4306210157579922</v>
      </c>
      <c r="AB15" s="465" t="s">
        <v>862</v>
      </c>
      <c r="AC15" s="497"/>
    </row>
    <row r="16" spans="1:29" ht="5.25" customHeight="1">
      <c r="A16" s="286"/>
      <c r="B16" s="498"/>
      <c r="C16" s="499"/>
      <c r="D16" s="499"/>
      <c r="E16" s="499"/>
      <c r="F16" s="499"/>
      <c r="G16" s="499"/>
      <c r="H16" s="499"/>
      <c r="I16" s="500"/>
      <c r="J16" s="501"/>
      <c r="K16" s="501"/>
      <c r="L16" s="501"/>
      <c r="M16" s="501"/>
      <c r="N16" s="501"/>
      <c r="O16" s="501"/>
      <c r="P16" s="502"/>
      <c r="Q16" s="503"/>
      <c r="R16" s="503"/>
      <c r="S16" s="503"/>
      <c r="T16" s="503"/>
      <c r="U16" s="503"/>
      <c r="V16" s="504"/>
      <c r="W16" s="505"/>
      <c r="X16" s="505"/>
      <c r="Y16" s="505"/>
      <c r="Z16" s="505"/>
      <c r="AA16" s="505"/>
      <c r="AB16" s="505"/>
      <c r="AC16" s="506"/>
    </row>
    <row r="17" spans="1:29" ht="32.25" customHeight="1">
      <c r="A17" s="3958" t="s">
        <v>472</v>
      </c>
      <c r="B17" s="3959"/>
      <c r="C17" s="3959"/>
      <c r="D17" s="3959"/>
      <c r="E17" s="3959"/>
      <c r="F17" s="3959"/>
      <c r="G17" s="3959"/>
      <c r="H17" s="3959"/>
      <c r="I17" s="3959"/>
      <c r="J17" s="3959"/>
      <c r="K17" s="3959"/>
      <c r="L17" s="3959"/>
      <c r="M17" s="3959"/>
      <c r="N17" s="3959"/>
      <c r="O17" s="3959"/>
      <c r="P17" s="3959"/>
      <c r="Q17" s="3959"/>
      <c r="R17" s="3959"/>
      <c r="S17" s="3959"/>
      <c r="T17" s="3959"/>
      <c r="U17" s="3959"/>
      <c r="V17" s="3959"/>
      <c r="W17" s="3959"/>
      <c r="X17" s="3959"/>
      <c r="Y17" s="3959"/>
      <c r="Z17" s="3959"/>
      <c r="AA17" s="3959"/>
      <c r="AB17" s="3959"/>
      <c r="AC17" s="3960"/>
    </row>
    <row r="18" spans="1:29" ht="5.25" customHeight="1">
      <c r="A18" s="281"/>
      <c r="B18" s="358"/>
      <c r="C18" s="382"/>
      <c r="D18" s="382"/>
      <c r="E18" s="382"/>
      <c r="F18" s="382"/>
      <c r="G18" s="382"/>
      <c r="H18" s="382"/>
      <c r="I18" s="360"/>
      <c r="J18" s="96"/>
      <c r="K18" s="96"/>
      <c r="L18" s="96"/>
      <c r="M18" s="96"/>
      <c r="N18" s="96"/>
      <c r="O18" s="96"/>
      <c r="P18" s="493"/>
      <c r="Q18" s="494"/>
      <c r="R18" s="494"/>
      <c r="S18" s="494"/>
      <c r="T18" s="494"/>
      <c r="U18" s="494"/>
      <c r="V18" s="495"/>
      <c r="W18" s="496"/>
      <c r="X18" s="496"/>
      <c r="Y18" s="496"/>
      <c r="Z18" s="496"/>
      <c r="AA18" s="496"/>
      <c r="AB18" s="496"/>
      <c r="AC18" s="497"/>
    </row>
    <row r="19" spans="1:29">
      <c r="A19" s="621" t="s">
        <v>471</v>
      </c>
      <c r="B19" s="358"/>
      <c r="C19" s="382"/>
      <c r="D19" s="382"/>
      <c r="E19" s="382"/>
      <c r="F19" s="628" t="s">
        <v>94</v>
      </c>
      <c r="G19" s="382"/>
      <c r="H19" s="382"/>
      <c r="I19" s="360"/>
      <c r="J19" s="96"/>
      <c r="K19" s="96"/>
      <c r="L19" s="96"/>
      <c r="M19" s="629" t="s">
        <v>94</v>
      </c>
      <c r="N19" s="96"/>
      <c r="O19" s="96"/>
      <c r="P19" s="493"/>
      <c r="Q19" s="494"/>
      <c r="R19" s="494"/>
      <c r="S19" s="494"/>
      <c r="T19" s="630" t="s">
        <v>94</v>
      </c>
      <c r="U19" s="494"/>
      <c r="V19" s="495"/>
      <c r="W19" s="496"/>
      <c r="X19" s="496"/>
      <c r="Y19" s="496"/>
      <c r="Z19" s="496"/>
      <c r="AA19" s="631" t="s">
        <v>94</v>
      </c>
      <c r="AB19" s="1661"/>
      <c r="AC19" s="497"/>
    </row>
    <row r="20" spans="1:29">
      <c r="A20" s="209" t="s">
        <v>238</v>
      </c>
      <c r="B20" s="358"/>
      <c r="C20" s="1076"/>
      <c r="D20" s="225"/>
      <c r="E20" s="382"/>
      <c r="F20" s="1094">
        <f>F21/F1_Unadjusted_Milk_Production_kg_day</f>
        <v>8.5392455548429901E-3</v>
      </c>
      <c r="G20" s="163" t="s">
        <v>256</v>
      </c>
      <c r="H20" s="1482"/>
      <c r="I20" s="1483"/>
      <c r="J20" s="1092"/>
      <c r="K20" s="1484"/>
      <c r="L20" s="1485"/>
      <c r="M20" s="1092">
        <f>M21/F2_Unadjusted_Milk_Production_kg_day</f>
        <v>9.0187657891570173E-3</v>
      </c>
      <c r="N20" s="145" t="s">
        <v>256</v>
      </c>
      <c r="O20" s="96"/>
      <c r="P20" s="493"/>
      <c r="Q20" s="1084"/>
      <c r="R20" s="431"/>
      <c r="S20" s="494"/>
      <c r="T20" s="1084">
        <f>T21/F3_Unadjusted_Milk_Production_kg_day</f>
        <v>0</v>
      </c>
      <c r="U20" s="511" t="s">
        <v>256</v>
      </c>
      <c r="V20" s="495"/>
      <c r="W20" s="496"/>
      <c r="X20" s="1088"/>
      <c r="Y20" s="434"/>
      <c r="Z20" s="496"/>
      <c r="AA20" s="1088">
        <f>AA21/F4_Unadjusted_Milk_Production_kg_day</f>
        <v>0</v>
      </c>
      <c r="AB20" s="465" t="s">
        <v>256</v>
      </c>
      <c r="AC20" s="497"/>
    </row>
    <row r="21" spans="1:29">
      <c r="A21" s="209" t="s">
        <v>250</v>
      </c>
      <c r="B21" s="358"/>
      <c r="C21" s="1096">
        <f>F1_Nitrogen_per_Lactation_lb/F1_Length_of_Lactation</f>
        <v>0.64044341661322424</v>
      </c>
      <c r="D21" s="3096" t="s">
        <v>259</v>
      </c>
      <c r="E21" s="1466"/>
      <c r="F21" s="1090">
        <f>F1_Nitrogen_per_Lactation_kg/F1_Length_of_Lactation</f>
        <v>0.29050019736400473</v>
      </c>
      <c r="G21" s="163" t="s">
        <v>37</v>
      </c>
      <c r="H21" s="1466"/>
      <c r="I21" s="1468"/>
      <c r="J21" s="1097">
        <f>F2_Nitrogen_per_Lactation_lb/F2_Length_of_Lactation</f>
        <v>0.58621977629520616</v>
      </c>
      <c r="K21" s="3098" t="s">
        <v>259</v>
      </c>
      <c r="L21" s="1469"/>
      <c r="M21" s="1091">
        <f>F2_Nitrogen_per_Lactation_kg/F2_Length_of_Lactation</f>
        <v>0.2659047720608948</v>
      </c>
      <c r="N21" s="145" t="s">
        <v>37</v>
      </c>
      <c r="O21" s="96"/>
      <c r="P21" s="493"/>
      <c r="Q21" s="1098">
        <f>F3_Nitrogen_per_Lactation_lb/F3_Length_of_Lactation</f>
        <v>0</v>
      </c>
      <c r="R21" s="3278" t="s">
        <v>259</v>
      </c>
      <c r="S21" s="494"/>
      <c r="T21" s="1101">
        <f>F3_Nitrogen_per_Lactation_kg/F3_Length_of_Lactation</f>
        <v>0</v>
      </c>
      <c r="U21" s="511" t="s">
        <v>37</v>
      </c>
      <c r="V21" s="495"/>
      <c r="W21" s="496"/>
      <c r="X21" s="1099">
        <f>F4_Nitrogen_per_Lactation_lb/F4_Length_of_Lactation</f>
        <v>0</v>
      </c>
      <c r="Y21" s="3279" t="s">
        <v>259</v>
      </c>
      <c r="Z21" s="496"/>
      <c r="AA21" s="1100">
        <f>F4_Nitrogen_per_Lactation_kg/F4_Length_of_Lactation</f>
        <v>0</v>
      </c>
      <c r="AB21" s="465" t="s">
        <v>37</v>
      </c>
      <c r="AC21" s="497"/>
    </row>
    <row r="22" spans="1:29">
      <c r="A22" s="209" t="s">
        <v>237</v>
      </c>
      <c r="B22" s="358"/>
      <c r="C22" s="1042">
        <f>F1_Nitrogen_per_Lactation_lb</f>
        <v>262.59154668950083</v>
      </c>
      <c r="D22" s="3096" t="s">
        <v>260</v>
      </c>
      <c r="E22" s="1594"/>
      <c r="F22" s="1042">
        <f>F1_Nitrogen_per_Lactation_kg</f>
        <v>119.10950157441921</v>
      </c>
      <c r="G22" s="163" t="s">
        <v>240</v>
      </c>
      <c r="H22" s="382"/>
      <c r="I22" s="360"/>
      <c r="J22" s="1043">
        <f>F2_Nitrogen_per_Lactation_lb</f>
        <v>229.47043426410517</v>
      </c>
      <c r="K22" s="3098" t="s">
        <v>260</v>
      </c>
      <c r="L22" s="96"/>
      <c r="M22" s="1043">
        <f>F2_Nitrogen_per_Lactation_kg</f>
        <v>104.08602026927286</v>
      </c>
      <c r="N22" s="145" t="s">
        <v>240</v>
      </c>
      <c r="O22" s="96"/>
      <c r="P22" s="493"/>
      <c r="Q22" s="1044">
        <f>F3_Nitrogen_per_Lactation_lb</f>
        <v>0</v>
      </c>
      <c r="R22" s="3278" t="s">
        <v>260</v>
      </c>
      <c r="S22" s="494"/>
      <c r="T22" s="1044">
        <f>F3_Nitrogen_per_Lactation_kg</f>
        <v>0</v>
      </c>
      <c r="U22" s="511" t="s">
        <v>240</v>
      </c>
      <c r="V22" s="495"/>
      <c r="W22" s="496"/>
      <c r="X22" s="1045">
        <f>F4_Nitrogen_per_Lactation_lb</f>
        <v>0</v>
      </c>
      <c r="Y22" s="3279" t="s">
        <v>260</v>
      </c>
      <c r="Z22" s="496"/>
      <c r="AA22" s="1045">
        <f>F4_Nitrogen_per_Lactation_kg</f>
        <v>0</v>
      </c>
      <c r="AB22" s="465" t="s">
        <v>240</v>
      </c>
      <c r="AC22" s="497"/>
    </row>
    <row r="23" spans="1:29">
      <c r="A23" s="209" t="s">
        <v>161</v>
      </c>
      <c r="B23" s="358"/>
      <c r="C23" s="695">
        <f>C21*365.25*F1_Age_at_EOL</f>
        <v>1047.1549244221949</v>
      </c>
      <c r="D23" s="3096" t="s">
        <v>258</v>
      </c>
      <c r="E23" s="1594"/>
      <c r="F23" s="695">
        <f>F21*365.25*F1_Age_at_EOL</f>
        <v>474.98140245393193</v>
      </c>
      <c r="G23" s="163" t="s">
        <v>255</v>
      </c>
      <c r="H23" s="1466"/>
      <c r="I23" s="1468"/>
      <c r="J23" s="115">
        <f>J21*365.25*F2_Age_at_EOL</f>
        <v>1009.8221533306087</v>
      </c>
      <c r="K23" s="3098" t="s">
        <v>258</v>
      </c>
      <c r="L23" s="1469"/>
      <c r="M23" s="115">
        <f>M21*365.25*F2_Age_at_EOL</f>
        <v>458.04754524043722</v>
      </c>
      <c r="N23" s="145" t="s">
        <v>255</v>
      </c>
      <c r="O23" s="1469"/>
      <c r="P23" s="1663"/>
      <c r="Q23" s="730">
        <f>Q21*365.25*F3_Age_at_EOL</f>
        <v>0</v>
      </c>
      <c r="R23" s="3278" t="s">
        <v>258</v>
      </c>
      <c r="S23" s="1603"/>
      <c r="T23" s="730">
        <f>T21*365.25*F3_Age_at_EOL</f>
        <v>0</v>
      </c>
      <c r="U23" s="1665" t="s">
        <v>255</v>
      </c>
      <c r="V23" s="1666"/>
      <c r="W23" s="1605"/>
      <c r="X23" s="768">
        <f>X21*365.25*F4_Age_at_EOL</f>
        <v>0</v>
      </c>
      <c r="Y23" s="3279" t="s">
        <v>258</v>
      </c>
      <c r="Z23" s="1605"/>
      <c r="AA23" s="768">
        <f>AA21*365.25*F4_Age_at_EOL</f>
        <v>0</v>
      </c>
      <c r="AB23" s="465" t="s">
        <v>255</v>
      </c>
      <c r="AC23" s="497"/>
    </row>
    <row r="24" spans="1:29">
      <c r="A24" s="209" t="s">
        <v>236</v>
      </c>
      <c r="B24" s="358"/>
      <c r="C24" s="695">
        <f>C21*365.25</f>
        <v>233.92195791798017</v>
      </c>
      <c r="D24" s="3096" t="s">
        <v>261</v>
      </c>
      <c r="E24" s="1594"/>
      <c r="F24" s="695">
        <f>F21*365.25</f>
        <v>106.10519708720273</v>
      </c>
      <c r="G24" s="163" t="s">
        <v>38</v>
      </c>
      <c r="H24" s="1466"/>
      <c r="I24" s="1468"/>
      <c r="J24" s="115">
        <f>J21*365.25</f>
        <v>214.11677329182405</v>
      </c>
      <c r="K24" s="3098" t="s">
        <v>261</v>
      </c>
      <c r="L24" s="1469"/>
      <c r="M24" s="115">
        <f>M21*365.25</f>
        <v>97.121717995241823</v>
      </c>
      <c r="N24" s="145" t="s">
        <v>38</v>
      </c>
      <c r="O24" s="1469"/>
      <c r="P24" s="1663"/>
      <c r="Q24" s="730">
        <f>Q21*365.25</f>
        <v>0</v>
      </c>
      <c r="R24" s="3278" t="s">
        <v>261</v>
      </c>
      <c r="S24" s="1603"/>
      <c r="T24" s="730">
        <f>T21*365.25</f>
        <v>0</v>
      </c>
      <c r="U24" s="1665" t="s">
        <v>38</v>
      </c>
      <c r="V24" s="1666"/>
      <c r="W24" s="1605"/>
      <c r="X24" s="768">
        <f>X21*365.25</f>
        <v>0</v>
      </c>
      <c r="Y24" s="3279" t="s">
        <v>261</v>
      </c>
      <c r="Z24" s="1605"/>
      <c r="AA24" s="768">
        <f>AA21*365.25</f>
        <v>0</v>
      </c>
      <c r="AB24" s="465" t="s">
        <v>38</v>
      </c>
      <c r="AC24" s="497"/>
    </row>
    <row r="25" spans="1:29" ht="5.25" customHeight="1">
      <c r="A25" s="286"/>
      <c r="B25" s="498"/>
      <c r="C25" s="499"/>
      <c r="D25" s="3097"/>
      <c r="E25" s="3097"/>
      <c r="F25" s="499"/>
      <c r="G25" s="3097"/>
      <c r="H25" s="499"/>
      <c r="I25" s="500"/>
      <c r="J25" s="501"/>
      <c r="K25" s="3099"/>
      <c r="L25" s="501"/>
      <c r="M25" s="501"/>
      <c r="N25" s="3099"/>
      <c r="O25" s="501"/>
      <c r="P25" s="502"/>
      <c r="Q25" s="503"/>
      <c r="R25" s="503"/>
      <c r="S25" s="503"/>
      <c r="T25" s="503"/>
      <c r="U25" s="503"/>
      <c r="V25" s="504"/>
      <c r="W25" s="505"/>
      <c r="X25" s="505"/>
      <c r="Y25" s="505"/>
      <c r="Z25" s="505"/>
      <c r="AA25" s="505"/>
      <c r="AB25" s="505"/>
      <c r="AC25" s="506"/>
    </row>
    <row r="26" spans="1:29" ht="5.25" customHeight="1">
      <c r="A26" s="281"/>
      <c r="B26" s="358"/>
      <c r="C26" s="382"/>
      <c r="D26" s="1594"/>
      <c r="E26" s="1594"/>
      <c r="F26" s="382"/>
      <c r="G26" s="1594"/>
      <c r="H26" s="382"/>
      <c r="I26" s="360"/>
      <c r="J26" s="96"/>
      <c r="K26" s="1596"/>
      <c r="L26" s="96"/>
      <c r="M26" s="96"/>
      <c r="N26" s="1596"/>
      <c r="O26" s="96"/>
      <c r="P26" s="493"/>
      <c r="Q26" s="494"/>
      <c r="R26" s="494"/>
      <c r="S26" s="494"/>
      <c r="T26" s="494"/>
      <c r="U26" s="494"/>
      <c r="V26" s="495"/>
      <c r="W26" s="496"/>
      <c r="X26" s="496"/>
      <c r="Y26" s="496"/>
      <c r="Z26" s="496"/>
      <c r="AA26" s="496"/>
      <c r="AB26" s="496"/>
      <c r="AC26" s="497"/>
    </row>
    <row r="27" spans="1:29">
      <c r="A27" s="621" t="s">
        <v>300</v>
      </c>
      <c r="B27" s="358"/>
      <c r="C27" s="382"/>
      <c r="D27" s="1594"/>
      <c r="E27" s="1594"/>
      <c r="F27" s="382"/>
      <c r="G27" s="1594"/>
      <c r="H27" s="382"/>
      <c r="I27" s="360"/>
      <c r="J27" s="96"/>
      <c r="K27" s="1596"/>
      <c r="L27" s="96"/>
      <c r="M27" s="96"/>
      <c r="N27" s="1596"/>
      <c r="O27" s="96"/>
      <c r="P27" s="493"/>
      <c r="Q27" s="3277"/>
      <c r="R27" s="3277"/>
      <c r="S27" s="3277"/>
      <c r="T27" s="3277"/>
      <c r="U27" s="3277"/>
      <c r="V27" s="495"/>
      <c r="W27" s="496"/>
      <c r="X27" s="3276"/>
      <c r="Y27" s="3276"/>
      <c r="Z27" s="3276"/>
      <c r="AA27" s="3276"/>
      <c r="AB27" s="3276"/>
      <c r="AC27" s="497"/>
    </row>
    <row r="28" spans="1:29">
      <c r="A28" s="209" t="s">
        <v>238</v>
      </c>
      <c r="B28" s="358"/>
      <c r="C28" s="1460"/>
      <c r="D28" s="3096"/>
      <c r="E28" s="1594"/>
      <c r="F28" s="1480">
        <f>F29/F1_Unadjusted_Milk_Production_kg_day</f>
        <v>1.633447639444846E-4</v>
      </c>
      <c r="G28" s="163" t="s">
        <v>256</v>
      </c>
      <c r="H28" s="382"/>
      <c r="I28" s="360"/>
      <c r="J28" s="1080"/>
      <c r="K28" s="3098"/>
      <c r="L28" s="96"/>
      <c r="M28" s="1481">
        <f>M29/F2_Unadjusted_Milk_Production_kg_day</f>
        <v>1.6257454112649915E-4</v>
      </c>
      <c r="N28" s="145" t="s">
        <v>256</v>
      </c>
      <c r="O28" s="96"/>
      <c r="P28" s="493"/>
      <c r="Q28" s="1084"/>
      <c r="R28" s="431"/>
      <c r="S28" s="494"/>
      <c r="T28" s="3038">
        <f>T29/F3_Unadjusted_Milk_Production_kg_day</f>
        <v>0</v>
      </c>
      <c r="U28" s="511" t="s">
        <v>256</v>
      </c>
      <c r="V28" s="495"/>
      <c r="W28" s="496"/>
      <c r="X28" s="1088"/>
      <c r="Y28" s="434"/>
      <c r="Z28" s="496"/>
      <c r="AA28" s="3040">
        <f>AA29/F4_Unadjusted_Milk_Production_kg_day</f>
        <v>0</v>
      </c>
      <c r="AB28" s="465" t="s">
        <v>256</v>
      </c>
      <c r="AC28" s="497"/>
    </row>
    <row r="29" spans="1:29">
      <c r="A29" s="209" t="s">
        <v>250</v>
      </c>
      <c r="B29" s="358"/>
      <c r="C29" s="1463">
        <f>F1_Herbicide_per_Lactation_lb/F1_Length_of_Lactation</f>
        <v>1.2250857295836347E-2</v>
      </c>
      <c r="D29" s="3096" t="s">
        <v>259</v>
      </c>
      <c r="E29" s="1594"/>
      <c r="F29" s="1474">
        <f>F1_Herbicide_per_Lactation_kg/F1_Length_of_Lactation</f>
        <v>5.5568944421954883E-3</v>
      </c>
      <c r="G29" s="163" t="s">
        <v>37</v>
      </c>
      <c r="H29" s="1473"/>
      <c r="I29" s="1475"/>
      <c r="J29" s="1479">
        <f>F2_Herbicide_per_Lactation_lb/F2_Length_of_Lactation</f>
        <v>1.0567345173222444E-2</v>
      </c>
      <c r="K29" s="3098" t="s">
        <v>259</v>
      </c>
      <c r="L29" s="1477"/>
      <c r="M29" s="1478">
        <f>F2_Herbicide_per_Lactation_kg/F2_Length_of_Lactation</f>
        <v>4.7932663195577856E-3</v>
      </c>
      <c r="N29" s="145" t="s">
        <v>37</v>
      </c>
      <c r="O29" s="96"/>
      <c r="P29" s="493"/>
      <c r="Q29" s="3035">
        <f>Q30/F3_Length_of_Lactation</f>
        <v>0</v>
      </c>
      <c r="R29" s="431" t="s">
        <v>259</v>
      </c>
      <c r="S29" s="494"/>
      <c r="T29" s="3037">
        <f>T30/F3_Length_of_Lactation</f>
        <v>0</v>
      </c>
      <c r="U29" s="511" t="s">
        <v>37</v>
      </c>
      <c r="V29" s="495"/>
      <c r="W29" s="496"/>
      <c r="X29" s="3041">
        <f>X30/F4_Length_of_Lactation</f>
        <v>0</v>
      </c>
      <c r="Y29" s="434" t="s">
        <v>259</v>
      </c>
      <c r="Z29" s="496"/>
      <c r="AA29" s="3039">
        <f>AA30/F4_Length_of_Lactation</f>
        <v>0</v>
      </c>
      <c r="AB29" s="465" t="s">
        <v>37</v>
      </c>
      <c r="AC29" s="497"/>
    </row>
    <row r="30" spans="1:29">
      <c r="A30" s="209" t="s">
        <v>237</v>
      </c>
      <c r="B30" s="358"/>
      <c r="C30" s="1464">
        <f>F1_Herbicide_per_Lactation_lb</f>
        <v>5.0230379173821866</v>
      </c>
      <c r="D30" s="3096" t="s">
        <v>260</v>
      </c>
      <c r="E30" s="1594"/>
      <c r="F30" s="1464">
        <f>F1_Herbicide_per_Lactation_kg</f>
        <v>2.2784112827373142</v>
      </c>
      <c r="G30" s="163" t="s">
        <v>240</v>
      </c>
      <c r="H30" s="382"/>
      <c r="I30" s="360"/>
      <c r="J30" s="1470">
        <f>F2_Herbicide_per_Lactation_lb</f>
        <v>4.1364917799991314</v>
      </c>
      <c r="K30" s="3098" t="s">
        <v>260</v>
      </c>
      <c r="L30" s="96"/>
      <c r="M30" s="1470">
        <f>F2_Herbicide_per_Lactation_kg</f>
        <v>1.8762807881434291</v>
      </c>
      <c r="N30" s="145" t="s">
        <v>240</v>
      </c>
      <c r="O30" s="96"/>
      <c r="P30" s="493"/>
      <c r="Q30" s="1664">
        <f>F3_Herbicide_per_Lactation_lb</f>
        <v>0</v>
      </c>
      <c r="R30" s="431" t="s">
        <v>260</v>
      </c>
      <c r="S30" s="494"/>
      <c r="T30" s="1664">
        <f>F3_Herbicide_per_Lactation_kg</f>
        <v>0</v>
      </c>
      <c r="U30" s="511" t="s">
        <v>240</v>
      </c>
      <c r="V30" s="495"/>
      <c r="W30" s="496"/>
      <c r="X30" s="1667">
        <f>F4_Herbicide_per_Lactation_lb</f>
        <v>0</v>
      </c>
      <c r="Y30" s="434" t="s">
        <v>260</v>
      </c>
      <c r="Z30" s="496"/>
      <c r="AA30" s="1667">
        <f>F4_Herbicide_per_Lactation_kg</f>
        <v>0</v>
      </c>
      <c r="AB30" s="465" t="s">
        <v>240</v>
      </c>
      <c r="AC30" s="497"/>
    </row>
    <row r="31" spans="1:29">
      <c r="A31" s="209" t="s">
        <v>161</v>
      </c>
      <c r="B31" s="358"/>
      <c r="C31" s="1090">
        <f>C29*365.25*F1_Age_at_EOL</f>
        <v>20.030724359020155</v>
      </c>
      <c r="D31" s="3096" t="s">
        <v>258</v>
      </c>
      <c r="E31" s="1594"/>
      <c r="F31" s="1090">
        <f>F29*365.25*F1_Age_at_EOL</f>
        <v>9.0857821763721738</v>
      </c>
      <c r="G31" s="163" t="s">
        <v>255</v>
      </c>
      <c r="H31" s="1462"/>
      <c r="I31" s="1471"/>
      <c r="J31" s="1091">
        <f>J29*365.25*F2_Age_at_EOL</f>
        <v>18.203308194839153</v>
      </c>
      <c r="K31" s="3098" t="s">
        <v>258</v>
      </c>
      <c r="L31" s="1472"/>
      <c r="M31" s="1091">
        <f>M29*365.25*F2_Age_at_EOL</f>
        <v>8.2568802896636537</v>
      </c>
      <c r="N31" s="145" t="s">
        <v>255</v>
      </c>
      <c r="O31" s="96"/>
      <c r="P31" s="493"/>
      <c r="Q31" s="1101">
        <f>Q29*365.25*F3_Age_at_EOL</f>
        <v>0</v>
      </c>
      <c r="R31" s="431" t="s">
        <v>258</v>
      </c>
      <c r="S31" s="494"/>
      <c r="T31" s="1101">
        <f>T29*365.25*F3_Age_at_EOL</f>
        <v>0</v>
      </c>
      <c r="U31" s="511" t="s">
        <v>255</v>
      </c>
      <c r="V31" s="495"/>
      <c r="W31" s="496"/>
      <c r="X31" s="1100">
        <f>X29*365.25*F1_Age_at_EOL</f>
        <v>0</v>
      </c>
      <c r="Y31" s="434" t="s">
        <v>258</v>
      </c>
      <c r="Z31" s="496"/>
      <c r="AA31" s="1100">
        <f>AA29*365.25*F4_Age_at_EOL</f>
        <v>0</v>
      </c>
      <c r="AB31" s="465" t="s">
        <v>255</v>
      </c>
      <c r="AC31" s="497"/>
    </row>
    <row r="32" spans="1:29">
      <c r="A32" s="209" t="s">
        <v>236</v>
      </c>
      <c r="B32" s="358"/>
      <c r="C32" s="1090">
        <f>C29*365.25</f>
        <v>4.474625627304226</v>
      </c>
      <c r="D32" s="3096" t="s">
        <v>261</v>
      </c>
      <c r="E32" s="1594"/>
      <c r="F32" s="1090">
        <f>F29*365.25</f>
        <v>2.0296556950119022</v>
      </c>
      <c r="G32" s="163" t="s">
        <v>38</v>
      </c>
      <c r="H32" s="382"/>
      <c r="I32" s="360"/>
      <c r="J32" s="1091">
        <f>J29*365.25</f>
        <v>3.8597228245194977</v>
      </c>
      <c r="K32" s="3098" t="s">
        <v>261</v>
      </c>
      <c r="L32" s="96"/>
      <c r="M32" s="1091">
        <f>M29*365.25</f>
        <v>1.7507405232184812</v>
      </c>
      <c r="N32" s="145" t="s">
        <v>38</v>
      </c>
      <c r="O32" s="96"/>
      <c r="P32" s="493"/>
      <c r="Q32" s="1101">
        <f>Q29*365.25</f>
        <v>0</v>
      </c>
      <c r="R32" s="431" t="s">
        <v>261</v>
      </c>
      <c r="S32" s="494"/>
      <c r="T32" s="1101">
        <f>T29*365.25</f>
        <v>0</v>
      </c>
      <c r="U32" s="511" t="s">
        <v>38</v>
      </c>
      <c r="V32" s="495"/>
      <c r="W32" s="496"/>
      <c r="X32" s="1100">
        <f>X29*365.25</f>
        <v>0</v>
      </c>
      <c r="Y32" s="434" t="s">
        <v>261</v>
      </c>
      <c r="Z32" s="496"/>
      <c r="AA32" s="1100">
        <f>AA29*365.25</f>
        <v>0</v>
      </c>
      <c r="AB32" s="465" t="s">
        <v>38</v>
      </c>
      <c r="AC32" s="497"/>
    </row>
    <row r="33" spans="1:29" ht="5.25" customHeight="1">
      <c r="A33" s="286"/>
      <c r="B33" s="498"/>
      <c r="C33" s="1461"/>
      <c r="D33" s="3097"/>
      <c r="E33" s="3097"/>
      <c r="F33" s="499"/>
      <c r="G33" s="3097"/>
      <c r="H33" s="499"/>
      <c r="I33" s="500"/>
      <c r="J33" s="501"/>
      <c r="K33" s="3099"/>
      <c r="L33" s="501"/>
      <c r="M33" s="501"/>
      <c r="N33" s="3099"/>
      <c r="O33" s="501"/>
      <c r="P33" s="502"/>
      <c r="Q33" s="503"/>
      <c r="R33" s="503"/>
      <c r="S33" s="503"/>
      <c r="T33" s="503"/>
      <c r="U33" s="503"/>
      <c r="V33" s="504"/>
      <c r="W33" s="505"/>
      <c r="X33" s="505"/>
      <c r="Y33" s="505"/>
      <c r="Z33" s="505"/>
      <c r="AA33" s="505"/>
      <c r="AB33" s="505"/>
      <c r="AC33" s="506"/>
    </row>
    <row r="34" spans="1:29" ht="5.25" customHeight="1">
      <c r="A34" s="281"/>
      <c r="B34" s="358"/>
      <c r="C34" s="1462"/>
      <c r="D34" s="1594"/>
      <c r="E34" s="1594"/>
      <c r="F34" s="382"/>
      <c r="G34" s="1594"/>
      <c r="H34" s="382"/>
      <c r="I34" s="360"/>
      <c r="J34" s="96"/>
      <c r="K34" s="1596"/>
      <c r="L34" s="96"/>
      <c r="M34" s="96"/>
      <c r="N34" s="1596"/>
      <c r="O34" s="96"/>
      <c r="P34" s="493"/>
      <c r="Q34" s="494"/>
      <c r="R34" s="494"/>
      <c r="S34" s="494"/>
      <c r="T34" s="494"/>
      <c r="U34" s="494"/>
      <c r="V34" s="495"/>
      <c r="W34" s="496"/>
      <c r="X34" s="496"/>
      <c r="Y34" s="496"/>
      <c r="Z34" s="496"/>
      <c r="AA34" s="496"/>
      <c r="AB34" s="496"/>
      <c r="AC34" s="497"/>
    </row>
    <row r="35" spans="1:29">
      <c r="A35" s="621" t="s">
        <v>301</v>
      </c>
      <c r="B35" s="358"/>
      <c r="C35" s="1462"/>
      <c r="D35" s="1594"/>
      <c r="E35" s="1594"/>
      <c r="F35" s="382"/>
      <c r="G35" s="1594"/>
      <c r="H35" s="382"/>
      <c r="I35" s="360"/>
      <c r="J35" s="96"/>
      <c r="K35" s="1596"/>
      <c r="L35" s="96"/>
      <c r="M35" s="96"/>
      <c r="N35" s="1596"/>
      <c r="O35" s="96"/>
      <c r="P35" s="493"/>
      <c r="Q35" s="3952"/>
      <c r="R35" s="3952"/>
      <c r="S35" s="3952"/>
      <c r="T35" s="3952"/>
      <c r="U35" s="3952"/>
      <c r="V35" s="495"/>
      <c r="W35" s="496"/>
      <c r="X35" s="3953"/>
      <c r="Y35" s="3953"/>
      <c r="Z35" s="3953"/>
      <c r="AA35" s="3953"/>
      <c r="AB35" s="3953"/>
      <c r="AC35" s="497"/>
    </row>
    <row r="36" spans="1:29">
      <c r="A36" s="209" t="s">
        <v>238</v>
      </c>
      <c r="B36" s="358"/>
      <c r="C36" s="1460"/>
      <c r="D36" s="3096"/>
      <c r="E36" s="1594"/>
      <c r="F36" s="1486">
        <f>F37/F1_Unadjusted_Milk_Production_kg_day</f>
        <v>2.3223129853606713E-5</v>
      </c>
      <c r="G36" s="163" t="s">
        <v>256</v>
      </c>
      <c r="H36" s="1487"/>
      <c r="I36" s="1488"/>
      <c r="J36" s="1489"/>
      <c r="K36" s="3098"/>
      <c r="L36" s="1490"/>
      <c r="M36" s="1489">
        <f>M37/F2_Unadjusted_Milk_Production_kg_day</f>
        <v>2.5714512098307984E-5</v>
      </c>
      <c r="N36" s="145" t="s">
        <v>256</v>
      </c>
      <c r="O36" s="96"/>
      <c r="P36" s="493"/>
      <c r="Q36" s="1084"/>
      <c r="R36" s="431"/>
      <c r="S36" s="494"/>
      <c r="T36" s="3038">
        <f>T37/F3_Unadjusted_Milk_Production_kg_day</f>
        <v>0</v>
      </c>
      <c r="U36" s="511" t="s">
        <v>256</v>
      </c>
      <c r="V36" s="495"/>
      <c r="W36" s="496"/>
      <c r="X36" s="1088"/>
      <c r="Y36" s="434"/>
      <c r="Z36" s="496"/>
      <c r="AA36" s="3040">
        <f>AA37/F4_Unadjusted_Milk_Production_kg_day</f>
        <v>0</v>
      </c>
      <c r="AB36" s="465" t="s">
        <v>256</v>
      </c>
      <c r="AC36" s="497"/>
    </row>
    <row r="37" spans="1:29">
      <c r="A37" s="209" t="s">
        <v>250</v>
      </c>
      <c r="B37" s="358"/>
      <c r="C37" s="1465">
        <f>F1_Insecticide_per_Lactation_lb/F1_Length_of_Lactation</f>
        <v>1.7417347390205032E-3</v>
      </c>
      <c r="D37" s="3096" t="s">
        <v>259</v>
      </c>
      <c r="E37" s="1594"/>
      <c r="F37" s="1474">
        <f>F1_Insecticide_per_Lactation_kg/F1_Length_of_Lactation</f>
        <v>7.9003745267127454E-4</v>
      </c>
      <c r="G37" s="163" t="s">
        <v>37</v>
      </c>
      <c r="H37" s="382"/>
      <c r="I37" s="360"/>
      <c r="J37" s="1476">
        <f>F2_Insecticide_per_Lactation_lb/F2_Length_of_Lactation</f>
        <v>1.671443286390019E-3</v>
      </c>
      <c r="K37" s="3098" t="s">
        <v>259</v>
      </c>
      <c r="L37" s="96"/>
      <c r="M37" s="1478">
        <f>F2_Insecticide_per_Lactation_kg/F2_Length_of_Lactation</f>
        <v>7.5815379155076354E-4</v>
      </c>
      <c r="N37" s="145" t="s">
        <v>37</v>
      </c>
      <c r="O37" s="96"/>
      <c r="P37" s="493"/>
      <c r="Q37" s="3036">
        <f>Q38/F3_Length_of_Lactation</f>
        <v>0</v>
      </c>
      <c r="R37" s="431" t="s">
        <v>259</v>
      </c>
      <c r="S37" s="494"/>
      <c r="T37" s="3037">
        <f>T38/F3_Length_of_Lactation</f>
        <v>0</v>
      </c>
      <c r="U37" s="511" t="s">
        <v>37</v>
      </c>
      <c r="V37" s="495"/>
      <c r="W37" s="496"/>
      <c r="X37" s="3042">
        <f>X38/F4_Length_of_Lactation</f>
        <v>0</v>
      </c>
      <c r="Y37" s="434" t="s">
        <v>259</v>
      </c>
      <c r="Z37" s="496"/>
      <c r="AA37" s="3039">
        <f>AA38/F4_Length_of_Lactation</f>
        <v>0</v>
      </c>
      <c r="AB37" s="465" t="s">
        <v>37</v>
      </c>
      <c r="AC37" s="497"/>
    </row>
    <row r="38" spans="1:29">
      <c r="A38" s="209" t="s">
        <v>237</v>
      </c>
      <c r="B38" s="358"/>
      <c r="C38" s="1464">
        <f>F1_Insecticide_per_Lactation_lb</f>
        <v>0.71413774765747839</v>
      </c>
      <c r="D38" s="3096" t="s">
        <v>260</v>
      </c>
      <c r="E38" s="1594"/>
      <c r="F38" s="1464">
        <f>F1_Insecticide_per_Lactation_kg</f>
        <v>0.32392737790428494</v>
      </c>
      <c r="G38" s="163" t="s">
        <v>240</v>
      </c>
      <c r="H38" s="382"/>
      <c r="I38" s="360"/>
      <c r="J38" s="1470">
        <f>F2_Insecticide_per_Lactation_lb</f>
        <v>0.65427137105418265</v>
      </c>
      <c r="K38" s="3098" t="s">
        <v>260</v>
      </c>
      <c r="L38" s="96"/>
      <c r="M38" s="1470">
        <f>F2_Insecticide_per_Lactation_kg</f>
        <v>0.29677245091527332</v>
      </c>
      <c r="N38" s="145" t="s">
        <v>240</v>
      </c>
      <c r="O38" s="96"/>
      <c r="P38" s="493"/>
      <c r="Q38" s="1664">
        <f>F3_Insecticide_per_Lactation_lb</f>
        <v>0</v>
      </c>
      <c r="R38" s="431" t="s">
        <v>260</v>
      </c>
      <c r="S38" s="494"/>
      <c r="T38" s="1664">
        <f>F3_Insecticide_per_Lactation_kg</f>
        <v>0</v>
      </c>
      <c r="U38" s="511" t="s">
        <v>240</v>
      </c>
      <c r="V38" s="495"/>
      <c r="W38" s="496"/>
      <c r="X38" s="1667">
        <f>F4_Insecticide_per_Lactation_lb</f>
        <v>0</v>
      </c>
      <c r="Y38" s="434" t="s">
        <v>260</v>
      </c>
      <c r="Z38" s="496"/>
      <c r="AA38" s="1667">
        <f>F4_Insecticide_per_Lactation_kg</f>
        <v>0</v>
      </c>
      <c r="AB38" s="465" t="s">
        <v>240</v>
      </c>
      <c r="AC38" s="497"/>
    </row>
    <row r="39" spans="1:29">
      <c r="A39" s="209" t="s">
        <v>161</v>
      </c>
      <c r="B39" s="358"/>
      <c r="C39" s="1090">
        <f>C37*365.25*F1_Age_at_EOL</f>
        <v>2.8478177176798014</v>
      </c>
      <c r="D39" s="3096" t="s">
        <v>258</v>
      </c>
      <c r="E39" s="1594"/>
      <c r="F39" s="1090">
        <f>F37*365.25*F1_Age_at_EOL</f>
        <v>1.2917481663213171</v>
      </c>
      <c r="G39" s="163" t="s">
        <v>255</v>
      </c>
      <c r="H39" s="1466"/>
      <c r="I39" s="1468"/>
      <c r="J39" s="1091">
        <f>J37*365.25*F2_Age_at_EOL</f>
        <v>2.8792281101454895</v>
      </c>
      <c r="K39" s="3098" t="s">
        <v>258</v>
      </c>
      <c r="L39" s="1469"/>
      <c r="M39" s="1091">
        <f>M37*365.25*F2_Age_at_EOL</f>
        <v>1.3059956782386331</v>
      </c>
      <c r="N39" s="145" t="s">
        <v>255</v>
      </c>
      <c r="O39" s="96"/>
      <c r="P39" s="493"/>
      <c r="Q39" s="1101">
        <f>Q37*365.25*F3_Age_at_EOL</f>
        <v>0</v>
      </c>
      <c r="R39" s="431" t="s">
        <v>258</v>
      </c>
      <c r="S39" s="494"/>
      <c r="T39" s="1101">
        <f>T37*365.25*F3_Age_at_EOL</f>
        <v>0</v>
      </c>
      <c r="U39" s="511" t="s">
        <v>255</v>
      </c>
      <c r="V39" s="495"/>
      <c r="W39" s="496"/>
      <c r="X39" s="1100">
        <f>X37*365.25*F1_Age_at_EOL</f>
        <v>0</v>
      </c>
      <c r="Y39" s="434" t="s">
        <v>258</v>
      </c>
      <c r="Z39" s="496"/>
      <c r="AA39" s="1100">
        <f>AA37*365.25*F4_Age_at_EOL</f>
        <v>0</v>
      </c>
      <c r="AB39" s="465" t="s">
        <v>255</v>
      </c>
      <c r="AC39" s="497"/>
    </row>
    <row r="40" spans="1:29">
      <c r="A40" s="209" t="s">
        <v>236</v>
      </c>
      <c r="B40" s="358"/>
      <c r="C40" s="1090">
        <f>C37*365.25</f>
        <v>0.63616861342723885</v>
      </c>
      <c r="D40" s="3096" t="s">
        <v>261</v>
      </c>
      <c r="E40" s="1594"/>
      <c r="F40" s="1090">
        <f>F37*365.25</f>
        <v>0.288561179588183</v>
      </c>
      <c r="G40" s="163" t="s">
        <v>38</v>
      </c>
      <c r="H40" s="382"/>
      <c r="I40" s="360"/>
      <c r="J40" s="1091">
        <f>J37*365.25</f>
        <v>0.61049466035395439</v>
      </c>
      <c r="K40" s="3098" t="s">
        <v>261</v>
      </c>
      <c r="L40" s="96"/>
      <c r="M40" s="1091">
        <f>M37*365.25</f>
        <v>0.2769156723639164</v>
      </c>
      <c r="N40" s="145" t="s">
        <v>38</v>
      </c>
      <c r="O40" s="96"/>
      <c r="P40" s="493"/>
      <c r="Q40" s="1101">
        <f>Q37*365.25</f>
        <v>0</v>
      </c>
      <c r="R40" s="431" t="s">
        <v>261</v>
      </c>
      <c r="S40" s="494"/>
      <c r="T40" s="1101">
        <f>T37*365.25</f>
        <v>0</v>
      </c>
      <c r="U40" s="511" t="s">
        <v>38</v>
      </c>
      <c r="V40" s="495"/>
      <c r="W40" s="496"/>
      <c r="X40" s="1100">
        <f>X37*365.25</f>
        <v>0</v>
      </c>
      <c r="Y40" s="434" t="s">
        <v>261</v>
      </c>
      <c r="Z40" s="496"/>
      <c r="AA40" s="1100">
        <f>AA37*365.25</f>
        <v>0</v>
      </c>
      <c r="AB40" s="465" t="s">
        <v>38</v>
      </c>
      <c r="AC40" s="497"/>
    </row>
    <row r="41" spans="1:29" ht="5.25" customHeight="1">
      <c r="A41" s="286"/>
      <c r="B41" s="498"/>
      <c r="C41" s="499"/>
      <c r="D41" s="499"/>
      <c r="E41" s="499"/>
      <c r="F41" s="499"/>
      <c r="G41" s="499"/>
      <c r="H41" s="499"/>
      <c r="I41" s="500"/>
      <c r="J41" s="501"/>
      <c r="K41" s="501"/>
      <c r="L41" s="501"/>
      <c r="M41" s="501"/>
      <c r="N41" s="501"/>
      <c r="O41" s="501"/>
      <c r="P41" s="502"/>
      <c r="Q41" s="503"/>
      <c r="R41" s="503"/>
      <c r="S41" s="503"/>
      <c r="T41" s="503"/>
      <c r="U41" s="503"/>
      <c r="V41" s="504"/>
      <c r="W41" s="505"/>
      <c r="X41" s="505"/>
      <c r="Y41" s="505"/>
      <c r="Z41" s="505"/>
      <c r="AA41" s="505"/>
      <c r="AB41" s="505"/>
      <c r="AC41" s="506"/>
    </row>
  </sheetData>
  <mergeCells count="46">
    <mergeCell ref="A1:AC1"/>
    <mergeCell ref="B3:H3"/>
    <mergeCell ref="I3:O3"/>
    <mergeCell ref="P3:U3"/>
    <mergeCell ref="W3:AC3"/>
    <mergeCell ref="B4:H4"/>
    <mergeCell ref="I4:O4"/>
    <mergeCell ref="P4:V4"/>
    <mergeCell ref="W4:AC4"/>
    <mergeCell ref="D7:E7"/>
    <mergeCell ref="Y9:Z9"/>
    <mergeCell ref="K10:L10"/>
    <mergeCell ref="K11:L11"/>
    <mergeCell ref="K13:L13"/>
    <mergeCell ref="K14:L14"/>
    <mergeCell ref="Y10:Z10"/>
    <mergeCell ref="Y11:Z11"/>
    <mergeCell ref="R13:S13"/>
    <mergeCell ref="R14:S14"/>
    <mergeCell ref="D8:E8"/>
    <mergeCell ref="D9:E9"/>
    <mergeCell ref="D10:E10"/>
    <mergeCell ref="D11:E11"/>
    <mergeCell ref="A2:AC2"/>
    <mergeCell ref="K7:L7"/>
    <mergeCell ref="K8:L8"/>
    <mergeCell ref="K9:L9"/>
    <mergeCell ref="A5:AC5"/>
    <mergeCell ref="R7:S7"/>
    <mergeCell ref="R8:S8"/>
    <mergeCell ref="R9:S9"/>
    <mergeCell ref="R10:S10"/>
    <mergeCell ref="R11:S11"/>
    <mergeCell ref="Y7:Z7"/>
    <mergeCell ref="Y8:Z8"/>
    <mergeCell ref="Q35:U35"/>
    <mergeCell ref="X35:AB35"/>
    <mergeCell ref="D13:E13"/>
    <mergeCell ref="D14:E14"/>
    <mergeCell ref="Y13:Z13"/>
    <mergeCell ref="Y14:Z14"/>
    <mergeCell ref="A17:AC17"/>
    <mergeCell ref="D15:E15"/>
    <mergeCell ref="K15:L15"/>
    <mergeCell ref="R15:S15"/>
    <mergeCell ref="Y15:Z15"/>
  </mergeCells>
  <pageMargins left="0.7" right="0.7" top="0.75" bottom="0.75" header="0.3" footer="0.3"/>
  <pageSetup scale="59" orientation="landscape" horizontalDpi="1200" verticalDpi="1200" r:id="rId1"/>
  <headerFooter>
    <oddFooter>&amp;L&amp;A&amp;C&amp;F&amp;R&amp;D</oddFooter>
  </headerFooter>
</worksheet>
</file>

<file path=xl/worksheets/sheet9.xml><?xml version="1.0" encoding="utf-8"?>
<worksheet xmlns="http://schemas.openxmlformats.org/spreadsheetml/2006/main" xmlns:r="http://schemas.openxmlformats.org/officeDocument/2006/relationships">
  <dimension ref="A1:AC96"/>
  <sheetViews>
    <sheetView topLeftCell="A4" zoomScale="85" zoomScaleNormal="85" workbookViewId="0">
      <selection activeCell="M23" sqref="M23"/>
    </sheetView>
  </sheetViews>
  <sheetFormatPr defaultRowHeight="12.75"/>
  <cols>
    <col min="1" max="1" width="31.5703125" customWidth="1"/>
    <col min="2" max="2" width="1.42578125" customWidth="1"/>
    <col min="3" max="3" width="9.85546875" customWidth="1"/>
    <col min="4" max="5" width="5.7109375" customWidth="1"/>
    <col min="6" max="6" width="9.85546875" customWidth="1"/>
    <col min="7" max="7" width="11.7109375" customWidth="1"/>
    <col min="8" max="9" width="1.425781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28515625" customWidth="1"/>
    <col min="24" max="24" width="9.85546875" customWidth="1"/>
    <col min="25" max="26" width="5.7109375" customWidth="1"/>
    <col min="27" max="27" width="9.85546875" customWidth="1"/>
    <col min="28" max="28" width="11.7109375" customWidth="1"/>
    <col min="29" max="29" width="1.42578125" customWidth="1"/>
  </cols>
  <sheetData>
    <row r="1" spans="1:29" s="1701" customFormat="1" ht="30" customHeight="1">
      <c r="A1" s="3996" t="str">
        <f>CONCATENATE("Application: ",Application_Name)</f>
        <v>Application: Conventional and Organic Farm Environmental Footprints (COFEF)</v>
      </c>
      <c r="B1" s="3997"/>
      <c r="C1" s="3997"/>
      <c r="D1" s="3997"/>
      <c r="E1" s="3997"/>
      <c r="F1" s="3997"/>
      <c r="G1" s="3997"/>
      <c r="H1" s="3997"/>
      <c r="I1" s="3997"/>
      <c r="J1" s="3997"/>
      <c r="K1" s="3997"/>
      <c r="L1" s="3997"/>
      <c r="M1" s="3997"/>
      <c r="N1" s="3997"/>
      <c r="O1" s="3997"/>
      <c r="P1" s="3997"/>
      <c r="Q1" s="3997"/>
      <c r="R1" s="3997"/>
      <c r="S1" s="3997"/>
      <c r="T1" s="3997"/>
      <c r="U1" s="3997"/>
      <c r="V1" s="3997"/>
      <c r="W1" s="3997"/>
      <c r="X1" s="3997"/>
      <c r="Y1" s="3997"/>
      <c r="Z1" s="3997"/>
      <c r="AA1" s="3997"/>
      <c r="AB1" s="3997"/>
      <c r="AC1" s="3998"/>
    </row>
    <row r="2" spans="1:29" ht="30" customHeight="1">
      <c r="A2" s="3967" t="s">
        <v>1484</v>
      </c>
      <c r="B2" s="3968"/>
      <c r="C2" s="3968"/>
      <c r="D2" s="3968"/>
      <c r="E2" s="3968"/>
      <c r="F2" s="3968"/>
      <c r="G2" s="3968"/>
      <c r="H2" s="3968"/>
      <c r="I2" s="3968"/>
      <c r="J2" s="3968"/>
      <c r="K2" s="3968"/>
      <c r="L2" s="3968"/>
      <c r="M2" s="3968"/>
      <c r="N2" s="3968"/>
      <c r="O2" s="3968"/>
      <c r="P2" s="3968"/>
      <c r="Q2" s="3968"/>
      <c r="R2" s="3968"/>
      <c r="S2" s="3968"/>
      <c r="T2" s="3968"/>
      <c r="U2" s="3968"/>
      <c r="V2" s="3968"/>
      <c r="W2" s="3968"/>
      <c r="X2" s="3968"/>
      <c r="Y2" s="3968"/>
      <c r="Z2" s="3968"/>
      <c r="AA2" s="3968"/>
      <c r="AB2" s="3968"/>
      <c r="AC2" s="3969"/>
    </row>
    <row r="3" spans="1:29" ht="21.75" customHeight="1">
      <c r="A3" s="265"/>
      <c r="B3" s="3999" t="str">
        <f>'Chosen Parameters-Part I'!$B$4</f>
        <v>Scenario 1</v>
      </c>
      <c r="C3" s="4000"/>
      <c r="D3" s="4000"/>
      <c r="E3" s="4000"/>
      <c r="F3" s="4000"/>
      <c r="G3" s="4000"/>
      <c r="H3" s="4001"/>
      <c r="I3" s="4002" t="str">
        <f>'Chosen Parameters-Part I'!$C$4</f>
        <v>Scenario 2</v>
      </c>
      <c r="J3" s="4003"/>
      <c r="K3" s="4003"/>
      <c r="L3" s="4003"/>
      <c r="M3" s="4003"/>
      <c r="N3" s="4003"/>
      <c r="O3" s="4004"/>
      <c r="P3" s="4005" t="str">
        <f>'Chosen Parameters-Part I'!$D$4</f>
        <v>Scenario 3</v>
      </c>
      <c r="Q3" s="4006"/>
      <c r="R3" s="4006"/>
      <c r="S3" s="4006"/>
      <c r="T3" s="4006"/>
      <c r="U3" s="4006"/>
      <c r="V3" s="2029"/>
      <c r="W3" s="4007" t="str">
        <f>'Chosen Parameters-Part I'!$E$4</f>
        <v>Scenario 4</v>
      </c>
      <c r="X3" s="4008"/>
      <c r="Y3" s="4008"/>
      <c r="Z3" s="4008"/>
      <c r="AA3" s="4008"/>
      <c r="AB3" s="4008"/>
      <c r="AC3" s="4009"/>
    </row>
    <row r="4" spans="1:29" ht="36" customHeight="1">
      <c r="A4" s="266"/>
      <c r="B4" s="3983" t="str">
        <f>'Application Setup'!$B$4</f>
        <v>Intensive Conventional Management with Holsteins and rbST</v>
      </c>
      <c r="C4" s="3984"/>
      <c r="D4" s="3984"/>
      <c r="E4" s="3984"/>
      <c r="F4" s="3984"/>
      <c r="G4" s="3984"/>
      <c r="H4" s="3985"/>
      <c r="I4" s="3986" t="str">
        <f>'Application Setup'!$B$5</f>
        <v>Conventional Management, Holsteins</v>
      </c>
      <c r="J4" s="3987"/>
      <c r="K4" s="3987"/>
      <c r="L4" s="3987"/>
      <c r="M4" s="3987"/>
      <c r="N4" s="3987"/>
      <c r="O4" s="3988"/>
      <c r="P4" s="3989" t="str">
        <f>'Application Setup'!$B$6</f>
        <v>Intensive Organic Management, Holsteins</v>
      </c>
      <c r="Q4" s="3990"/>
      <c r="R4" s="3990"/>
      <c r="S4" s="3990"/>
      <c r="T4" s="3990"/>
      <c r="U4" s="3990"/>
      <c r="V4" s="3991"/>
      <c r="W4" s="3992" t="str">
        <f>'Application Setup'!$B$7</f>
        <v>Pasture-Based Organic, Jersey Cows</v>
      </c>
      <c r="X4" s="3993"/>
      <c r="Y4" s="3993"/>
      <c r="Z4" s="3993"/>
      <c r="AA4" s="3993"/>
      <c r="AB4" s="3993"/>
      <c r="AC4" s="3994"/>
    </row>
    <row r="5" spans="1:29" ht="32.25" customHeight="1">
      <c r="A5" s="3958" t="s">
        <v>473</v>
      </c>
      <c r="B5" s="3959"/>
      <c r="C5" s="3959"/>
      <c r="D5" s="3959"/>
      <c r="E5" s="3959"/>
      <c r="F5" s="3959"/>
      <c r="G5" s="3959"/>
      <c r="H5" s="3959"/>
      <c r="I5" s="3959"/>
      <c r="J5" s="3959"/>
      <c r="K5" s="3959"/>
      <c r="L5" s="3959"/>
      <c r="M5" s="3959"/>
      <c r="N5" s="3959"/>
      <c r="O5" s="3959"/>
      <c r="P5" s="3959"/>
      <c r="Q5" s="3959"/>
      <c r="R5" s="3959"/>
      <c r="S5" s="3959"/>
      <c r="T5" s="3959"/>
      <c r="U5" s="3959"/>
      <c r="V5" s="3959"/>
      <c r="W5" s="3959"/>
      <c r="X5" s="3959"/>
      <c r="Y5" s="3959"/>
      <c r="Z5" s="3959"/>
      <c r="AA5" s="3959"/>
      <c r="AB5" s="3959"/>
      <c r="AC5" s="3960"/>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621" t="s">
        <v>1422</v>
      </c>
      <c r="B7" s="358"/>
      <c r="C7" s="382"/>
      <c r="D7" s="382"/>
      <c r="E7" s="382"/>
      <c r="F7" s="628" t="s">
        <v>94</v>
      </c>
      <c r="G7" s="382"/>
      <c r="H7" s="382"/>
      <c r="I7" s="360"/>
      <c r="J7" s="96"/>
      <c r="K7" s="96"/>
      <c r="L7" s="96"/>
      <c r="M7" s="629" t="s">
        <v>94</v>
      </c>
      <c r="N7" s="96"/>
      <c r="O7" s="96"/>
      <c r="P7" s="493"/>
      <c r="Q7" s="494"/>
      <c r="R7" s="494"/>
      <c r="S7" s="494"/>
      <c r="T7" s="630" t="s">
        <v>94</v>
      </c>
      <c r="U7" s="494"/>
      <c r="V7" s="495"/>
      <c r="W7" s="496"/>
      <c r="X7" s="496"/>
      <c r="Y7" s="496"/>
      <c r="Z7" s="496"/>
      <c r="AA7" s="631" t="s">
        <v>94</v>
      </c>
      <c r="AB7" s="496"/>
      <c r="AC7" s="497"/>
    </row>
    <row r="8" spans="1:29">
      <c r="A8" s="209" t="s">
        <v>1634</v>
      </c>
      <c r="B8" s="358"/>
      <c r="C8" s="1076"/>
      <c r="D8" s="225"/>
      <c r="E8" s="382"/>
      <c r="F8" s="1076">
        <f>F1_TME_Lact_Cow_Day_kg/F1_Unadjusted_Milk_Production_kg_day</f>
        <v>2.0391140826666669</v>
      </c>
      <c r="G8" s="186" t="s">
        <v>256</v>
      </c>
      <c r="H8" s="382"/>
      <c r="I8" s="360"/>
      <c r="J8" s="1080"/>
      <c r="K8" s="226"/>
      <c r="L8" s="96"/>
      <c r="M8" s="1080">
        <f>F2_TME_Lact_Cow_Day_kg/F2_Unadjusted_Milk_Production_kg_day</f>
        <v>2.2771608646153849</v>
      </c>
      <c r="N8" s="44" t="s">
        <v>256</v>
      </c>
      <c r="O8" s="96"/>
      <c r="P8" s="493"/>
      <c r="Q8" s="1084"/>
      <c r="R8" s="431"/>
      <c r="S8" s="494"/>
      <c r="T8" s="1084">
        <f>F3_TME_Lact_Cow_Day_kg/F3_Unadjusted_Milk_Production_kg_day</f>
        <v>2.418707603333333</v>
      </c>
      <c r="U8" s="511" t="s">
        <v>256</v>
      </c>
      <c r="V8" s="495"/>
      <c r="W8" s="496"/>
      <c r="X8" s="1088"/>
      <c r="Y8" s="434"/>
      <c r="Z8" s="496"/>
      <c r="AA8" s="1088">
        <f>F4_TME_Lact_Cow_Day_kg/F4_Unadjusted_Milk_Production_kg_day</f>
        <v>2.468499124</v>
      </c>
      <c r="AB8" s="465" t="s">
        <v>256</v>
      </c>
      <c r="AC8" s="497"/>
    </row>
    <row r="9" spans="1:29">
      <c r="A9" s="209" t="s">
        <v>1635</v>
      </c>
      <c r="B9" s="358"/>
      <c r="C9" s="1076"/>
      <c r="D9" s="225"/>
      <c r="E9" s="382"/>
      <c r="F9" s="1076">
        <f>F1_TME_Lact_Cow_Day_kg/F1_ECM_Production_kg_day</f>
        <v>2.0689063338744593</v>
      </c>
      <c r="G9" s="186" t="s">
        <v>256</v>
      </c>
      <c r="H9" s="382"/>
      <c r="I9" s="360"/>
      <c r="J9" s="1080"/>
      <c r="K9" s="226"/>
      <c r="L9" s="96"/>
      <c r="M9" s="1080">
        <f>F2_TME_Lact_Cow_Day_kg/F2_ECM_Production_kg_day</f>
        <v>2.2401403059197551</v>
      </c>
      <c r="N9" s="44" t="s">
        <v>256</v>
      </c>
      <c r="O9" s="96"/>
      <c r="P9" s="493"/>
      <c r="Q9" s="1084"/>
      <c r="R9" s="431"/>
      <c r="S9" s="494"/>
      <c r="T9" s="1084">
        <f>F3_TME_Lact_Cow_Day_kg/F3_ECM_Production_kg_day</f>
        <v>2.3135564621295455</v>
      </c>
      <c r="U9" s="511" t="s">
        <v>256</v>
      </c>
      <c r="V9" s="495"/>
      <c r="W9" s="496"/>
      <c r="X9" s="1088"/>
      <c r="Y9" s="434"/>
      <c r="Z9" s="496"/>
      <c r="AA9" s="1088">
        <f>F4_TME_Lact_Cow_Day_kg/F4_ECM_Production_kg_day</f>
        <v>2.0436963919659563</v>
      </c>
      <c r="AB9" s="465" t="s">
        <v>256</v>
      </c>
      <c r="AC9" s="497"/>
    </row>
    <row r="10" spans="1:29">
      <c r="A10" s="209" t="s">
        <v>250</v>
      </c>
      <c r="B10" s="358"/>
      <c r="C10" s="1077">
        <f>F1_TME_Lact_Cow_Day_kg * Defaults!$D$8</f>
        <v>152.93355620000003</v>
      </c>
      <c r="D10" s="225" t="s">
        <v>259</v>
      </c>
      <c r="E10" s="382"/>
      <c r="F10" s="1075">
        <f>F1_TME_Lact_Cow_Day_kg</f>
        <v>69.369482310580992</v>
      </c>
      <c r="G10" s="186" t="s">
        <v>37</v>
      </c>
      <c r="H10" s="382"/>
      <c r="I10" s="360"/>
      <c r="J10" s="1078">
        <f>F2_TME_Lact_Cow_Day_kg * Defaults!$D$8</f>
        <v>148.01545620000002</v>
      </c>
      <c r="K10" s="226" t="s">
        <v>259</v>
      </c>
      <c r="L10" s="96"/>
      <c r="M10" s="1079">
        <f>F2_TME_Lact_Cow_Day_kg</f>
        <v>67.138670058327435</v>
      </c>
      <c r="N10" s="44" t="s">
        <v>37</v>
      </c>
      <c r="O10" s="96"/>
      <c r="P10" s="493"/>
      <c r="Q10" s="1082">
        <f>F3_TME_Lact_Cow_Day_kg * Defaults!$D$8</f>
        <v>145.12245619999999</v>
      </c>
      <c r="R10" s="431" t="s">
        <v>259</v>
      </c>
      <c r="S10" s="494"/>
      <c r="T10" s="1083">
        <f>F3_TME_Lact_Cow_Day_kg</f>
        <v>65.826427557001793</v>
      </c>
      <c r="U10" s="511" t="s">
        <v>37</v>
      </c>
      <c r="V10" s="495"/>
      <c r="W10" s="496"/>
      <c r="X10" s="1086">
        <f>F4_TME_Lact_Cow_Day_kg * Defaults!$D$8</f>
        <v>123.42495619999998</v>
      </c>
      <c r="Y10" s="434" t="s">
        <v>259</v>
      </c>
      <c r="Z10" s="496"/>
      <c r="AA10" s="1087">
        <f>F4_TME_Lact_Cow_Day_kg</f>
        <v>55.984608797059622</v>
      </c>
      <c r="AB10" s="465" t="s">
        <v>37</v>
      </c>
      <c r="AC10" s="497"/>
    </row>
    <row r="11" spans="1:29">
      <c r="A11" s="209" t="s">
        <v>237</v>
      </c>
      <c r="B11" s="358"/>
      <c r="C11" s="1042">
        <f>F1_TME_Lact_Cow_Day_lb*F1_Length_of_Lactation</f>
        <v>62705.085291768271</v>
      </c>
      <c r="D11" s="225" t="s">
        <v>260</v>
      </c>
      <c r="E11" s="382"/>
      <c r="F11" s="1042">
        <f>F1_TME_Lact_Cow_Day_kg*F1_Length_of_Lactation</f>
        <v>28442.543369895109</v>
      </c>
      <c r="G11" s="186" t="s">
        <v>240</v>
      </c>
      <c r="H11" s="382"/>
      <c r="I11" s="360"/>
      <c r="J11" s="1043">
        <f>F2_TME_Lact_Cow_Day_lb*F2_Length_of_Lactation</f>
        <v>57939.312840427956</v>
      </c>
      <c r="K11" s="226" t="s">
        <v>260</v>
      </c>
      <c r="L11" s="96"/>
      <c r="M11" s="1043">
        <f>F2_TME_Lact_Cow_Day_kg*F2_Length_of_Lactation</f>
        <v>26280.825719602832</v>
      </c>
      <c r="N11" s="44" t="s">
        <v>240</v>
      </c>
      <c r="O11" s="96"/>
      <c r="P11" s="493"/>
      <c r="Q11" s="1044">
        <f>F3_TME_Lact_Cow_Day_lb*F3_Length_of_Lactation</f>
        <v>48882.952984141637</v>
      </c>
      <c r="R11" s="431" t="s">
        <v>260</v>
      </c>
      <c r="S11" s="494"/>
      <c r="T11" s="1044">
        <f>F3_TME_Lact_Cow_Day_kg*F3_Length_of_Lactation</f>
        <v>22172.930693429953</v>
      </c>
      <c r="U11" s="511" t="s">
        <v>240</v>
      </c>
      <c r="V11" s="495"/>
      <c r="W11" s="496"/>
      <c r="X11" s="1045">
        <f>F4_TME_Lact_Cow_Day_lb*F4_Length_of_Lactation</f>
        <v>38572.767311623989</v>
      </c>
      <c r="Y11" s="434" t="s">
        <v>260</v>
      </c>
      <c r="Z11" s="496"/>
      <c r="AA11" s="1045">
        <f>F4_TME_Lact_Cow_Day_kg*F4_Length_of_Lactation</f>
        <v>17496.309941257074</v>
      </c>
      <c r="AB11" s="465" t="s">
        <v>240</v>
      </c>
      <c r="AC11" s="497"/>
    </row>
    <row r="12" spans="1:29">
      <c r="A12" s="209" t="s">
        <v>161</v>
      </c>
      <c r="B12" s="358"/>
      <c r="C12" s="1042">
        <f>F1_TME_Lact_Cow_Life_kg*Defaults!D8</f>
        <v>148597.04511592881</v>
      </c>
      <c r="D12" s="225" t="s">
        <v>258</v>
      </c>
      <c r="E12" s="382"/>
      <c r="F12" s="1042">
        <f>(F1_TME_Lact_Cow_Day_kg*F1_Length_of_Lactation*F1_Number_of_Lactations) + (F1_TME_Dry_Cow_Day_kg * F1_Dryoff_Period*(F1_Number_of_Lactations-1)) + (F1_TME_Heifer_Day_kg *( (F1_Age_at_1st_Birthing*30.4)-365)) + (F1_TME_Calf_Day_kg * 365)</f>
        <v>67402.474307819881</v>
      </c>
      <c r="G12" s="186" t="s">
        <v>255</v>
      </c>
      <c r="H12" s="382"/>
      <c r="I12" s="360"/>
      <c r="J12" s="1043">
        <f>F2_TME_Lact_Cow_Life_kg*Defaults!D8</f>
        <v>158468.12974095045</v>
      </c>
      <c r="K12" s="226" t="s">
        <v>258</v>
      </c>
      <c r="L12" s="96"/>
      <c r="M12" s="1043">
        <f>(F2_TME_Lact_Cow_Day_kg*F2_Length_of_Lactation*F2_Number_of_Lactations) + (F2_TME_Dry_Cow_Day_kg * F2_Dryoff_Period*(F2_Number_of_Lactations-1)) + (F2_TME_Heifer_Day_kg *( F2_Age_at_1st_Birthing*30.4-365)) + (F2_TME_Calf_Day_kg * 365)</f>
        <v>71879.922209352997</v>
      </c>
      <c r="N12" s="44" t="s">
        <v>255</v>
      </c>
      <c r="O12" s="96"/>
      <c r="P12" s="493"/>
      <c r="Q12" s="1044">
        <f>F3_TME_Lact_Cow_Life_kg*Defaults!D8</f>
        <v>235501.52990952964</v>
      </c>
      <c r="R12" s="431" t="s">
        <v>258</v>
      </c>
      <c r="S12" s="494"/>
      <c r="T12" s="1044">
        <f>(F3_TME_Lact_Cow_Day_kg*F3_Length_of_Lactation*F3_Number_of_Lactations) + (F3_TME_Dry_Cow_Day_kg * F3_Dryoff_Period*(F3_Number_of_Lactations-1)) + (F3_TME_Heifer_Day_kg *( F3_Age_at_1st_Birthing*30.4-365)) + (F3_TME_Calf_Day_kg * 365)</f>
        <v>106821.67876753968</v>
      </c>
      <c r="U12" s="511" t="s">
        <v>255</v>
      </c>
      <c r="V12" s="495"/>
      <c r="W12" s="496"/>
      <c r="X12" s="1045">
        <f>F4_TME_Lact_Cow_Life_kg*Defaults!D8</f>
        <v>202144.19962257068</v>
      </c>
      <c r="Y12" s="434" t="s">
        <v>258</v>
      </c>
      <c r="Z12" s="496"/>
      <c r="AA12" s="1045">
        <f>(F4_TME_Lact_Cow_Day_kg*F4_Length_of_Lactation*F4_Number_of_Lactations) + (F4_TME_Dry_Cow_Day_kg * F4_Dryoff_Period*(F4_Number_of_Lactations-1)) + (F4_TME_Heifer_Day_kg *( F4_Age_at_1st_Birthing*30.4-365)) + (F4_TME_Calf_Day_kg * 365)</f>
        <v>91691.050861108975</v>
      </c>
      <c r="AB12" s="465" t="s">
        <v>255</v>
      </c>
      <c r="AC12" s="497"/>
    </row>
    <row r="13" spans="1:29">
      <c r="A13" s="209" t="s">
        <v>236</v>
      </c>
      <c r="B13" s="358"/>
      <c r="C13" s="1074">
        <f>F1_TME_Lact_Cow_Life_lb/F1_Age_at_EOL</f>
        <v>33194.812843500338</v>
      </c>
      <c r="D13" s="225" t="s">
        <v>261</v>
      </c>
      <c r="E13" s="382"/>
      <c r="F13" s="1074">
        <f>F1_TME_Lact_Cow_Life_kg/F1_Age_at_EOL</f>
        <v>15056.911246730317</v>
      </c>
      <c r="G13" s="186" t="s">
        <v>38</v>
      </c>
      <c r="H13" s="382"/>
      <c r="I13" s="360"/>
      <c r="J13" s="1081">
        <f>F2_TME_Lact_Cow_Life_lb/F2_Age_at_EOL</f>
        <v>33600.653835739111</v>
      </c>
      <c r="K13" s="226" t="s">
        <v>261</v>
      </c>
      <c r="L13" s="96"/>
      <c r="M13" s="1081">
        <f>F2_TME_Lact_Cow_Life_kg/F2_Age_at_EOL</f>
        <v>15240.997592667369</v>
      </c>
      <c r="N13" s="44" t="s">
        <v>38</v>
      </c>
      <c r="O13" s="96"/>
      <c r="P13" s="493"/>
      <c r="Q13" s="1085">
        <f>F3_TME_Lact_Cow_Life_lb/F3_Age_at_EOL</f>
        <v>37703.32387957842</v>
      </c>
      <c r="R13" s="431" t="s">
        <v>261</v>
      </c>
      <c r="S13" s="494"/>
      <c r="T13" s="1085">
        <f>F3_TME_Lact_Cow_Life_kg/F3_Age_at_EOL</f>
        <v>17101.937101979984</v>
      </c>
      <c r="U13" s="511" t="s">
        <v>38</v>
      </c>
      <c r="V13" s="495"/>
      <c r="W13" s="496"/>
      <c r="X13" s="1089">
        <f>F4_TME_Lact_Cow_Life_lb/F4_Age_at_EOL</f>
        <v>31350.7811041764</v>
      </c>
      <c r="Y13" s="434" t="s">
        <v>261</v>
      </c>
      <c r="Z13" s="496"/>
      <c r="AA13" s="1089">
        <f>F4_TME_Lact_Cow_Life_kg/F4_Age_at_EOL</f>
        <v>14220.472663206543</v>
      </c>
      <c r="AB13" s="465" t="s">
        <v>38</v>
      </c>
      <c r="AC13" s="497"/>
    </row>
    <row r="14" spans="1:29" ht="5.25" customHeight="1">
      <c r="A14" s="286"/>
      <c r="B14" s="498"/>
      <c r="C14" s="499"/>
      <c r="D14" s="499"/>
      <c r="E14" s="499"/>
      <c r="F14" s="499"/>
      <c r="G14" s="499"/>
      <c r="H14" s="499"/>
      <c r="I14" s="500"/>
      <c r="J14" s="501"/>
      <c r="K14" s="501"/>
      <c r="L14" s="501"/>
      <c r="M14" s="501"/>
      <c r="N14" s="501"/>
      <c r="O14" s="501"/>
      <c r="P14" s="502"/>
      <c r="Q14" s="503"/>
      <c r="R14" s="503"/>
      <c r="S14" s="503"/>
      <c r="T14" s="503"/>
      <c r="U14" s="503"/>
      <c r="V14" s="504"/>
      <c r="W14" s="505"/>
      <c r="X14" s="505"/>
      <c r="Y14" s="505"/>
      <c r="Z14" s="505"/>
      <c r="AA14" s="505"/>
      <c r="AB14" s="505"/>
      <c r="AC14" s="506"/>
    </row>
    <row r="15" spans="1:29" ht="5.25" customHeight="1">
      <c r="A15" s="281"/>
      <c r="B15" s="358"/>
      <c r="C15" s="382"/>
      <c r="D15" s="382"/>
      <c r="E15" s="382"/>
      <c r="F15" s="382"/>
      <c r="G15" s="382"/>
      <c r="H15" s="382"/>
      <c r="I15" s="360"/>
      <c r="J15" s="96"/>
      <c r="K15" s="96"/>
      <c r="L15" s="96"/>
      <c r="M15" s="96"/>
      <c r="N15" s="96"/>
      <c r="O15" s="96"/>
      <c r="P15" s="493"/>
      <c r="Q15" s="494"/>
      <c r="R15" s="494"/>
      <c r="S15" s="494"/>
      <c r="T15" s="494"/>
      <c r="U15" s="494"/>
      <c r="V15" s="495"/>
      <c r="W15" s="496"/>
      <c r="X15" s="496"/>
      <c r="Y15" s="496"/>
      <c r="Z15" s="496"/>
      <c r="AA15" s="496"/>
      <c r="AB15" s="496"/>
      <c r="AC15" s="497"/>
    </row>
    <row r="16" spans="1:29">
      <c r="A16" s="621" t="s">
        <v>1423</v>
      </c>
      <c r="B16" s="358"/>
      <c r="C16" s="382"/>
      <c r="D16" s="382"/>
      <c r="E16" s="382"/>
      <c r="F16" s="382"/>
      <c r="G16" s="382"/>
      <c r="H16" s="382"/>
      <c r="I16" s="360"/>
      <c r="J16" s="96"/>
      <c r="K16" s="96"/>
      <c r="L16" s="96"/>
      <c r="M16" s="96"/>
      <c r="N16" s="96"/>
      <c r="O16" s="96"/>
      <c r="P16" s="493"/>
      <c r="Q16" s="494"/>
      <c r="R16" s="494"/>
      <c r="S16" s="494"/>
      <c r="T16" s="494"/>
      <c r="U16" s="494"/>
      <c r="V16" s="495"/>
      <c r="W16" s="496"/>
      <c r="X16" s="496"/>
      <c r="Y16" s="496"/>
      <c r="Z16" s="496"/>
      <c r="AA16" s="496"/>
      <c r="AB16" s="496"/>
      <c r="AC16" s="497"/>
    </row>
    <row r="17" spans="1:29">
      <c r="A17" s="209" t="s">
        <v>1634</v>
      </c>
      <c r="B17" s="358"/>
      <c r="C17" s="1076"/>
      <c r="D17" s="225"/>
      <c r="E17" s="382"/>
      <c r="F17" s="1076">
        <f>F1_DME_Lact_Cow_Day_kg/F1_Unadjusted_Milk_Production_kg_day</f>
        <v>0.26213091200000005</v>
      </c>
      <c r="G17" s="186" t="s">
        <v>256</v>
      </c>
      <c r="H17" s="382"/>
      <c r="I17" s="360"/>
      <c r="J17" s="1080"/>
      <c r="K17" s="226"/>
      <c r="L17" s="96"/>
      <c r="M17" s="1080">
        <f>F2_DME_Lact_Cow_Day_kg/F2_Unadjusted_Milk_Production_kg_day</f>
        <v>0.29221689846153848</v>
      </c>
      <c r="N17" s="44" t="s">
        <v>256</v>
      </c>
      <c r="O17" s="96"/>
      <c r="P17" s="493"/>
      <c r="Q17" s="1084"/>
      <c r="R17" s="431"/>
      <c r="S17" s="494"/>
      <c r="T17" s="1084">
        <f>F3_DME_Lact_Cow_Day_kg/F3_Unadjusted_Milk_Production_kg_day</f>
        <v>0.31004163999999995</v>
      </c>
      <c r="U17" s="511" t="s">
        <v>256</v>
      </c>
      <c r="V17" s="495"/>
      <c r="W17" s="496"/>
      <c r="X17" s="1088"/>
      <c r="Y17" s="434"/>
      <c r="Z17" s="496"/>
      <c r="AA17" s="1088">
        <f>F4_DME_Lact_Cow_Day_kg/F4_Unadjusted_Milk_Production_kg_day</f>
        <v>0.31330996799999999</v>
      </c>
      <c r="AB17" s="465" t="s">
        <v>256</v>
      </c>
      <c r="AC17" s="497"/>
    </row>
    <row r="18" spans="1:29">
      <c r="A18" s="209" t="s">
        <v>1635</v>
      </c>
      <c r="B18" s="358"/>
      <c r="C18" s="1076"/>
      <c r="D18" s="225"/>
      <c r="E18" s="382"/>
      <c r="F18" s="1076">
        <f>F1_DME_Lact_Cow_Day_kg/F1_ECM_Production_kg_day</f>
        <v>0.26596074675324682</v>
      </c>
      <c r="G18" s="186" t="s">
        <v>256</v>
      </c>
      <c r="H18" s="382"/>
      <c r="I18" s="360"/>
      <c r="J18" s="1080"/>
      <c r="K18" s="226"/>
      <c r="L18" s="96"/>
      <c r="M18" s="1080">
        <f>F2_DME_Lact_Cow_Day_kg/F2_ECM_Production_kg_day</f>
        <v>0.28746623151944806</v>
      </c>
      <c r="N18" s="44" t="s">
        <v>256</v>
      </c>
      <c r="O18" s="96"/>
      <c r="P18" s="493"/>
      <c r="Q18" s="1084"/>
      <c r="R18" s="431"/>
      <c r="S18" s="494"/>
      <c r="T18" s="1084">
        <f>F3_DME_Lact_Cow_Day_kg/F3_ECM_Production_kg_day</f>
        <v>0.29656285809938299</v>
      </c>
      <c r="U18" s="511" t="s">
        <v>256</v>
      </c>
      <c r="V18" s="495"/>
      <c r="W18" s="496"/>
      <c r="X18" s="1088"/>
      <c r="Y18" s="434"/>
      <c r="Z18" s="496"/>
      <c r="AA18" s="1088">
        <f>F4_DME_Lact_Cow_Day_kg/F4_ECM_Production_kg_day</f>
        <v>0.25939261834980876</v>
      </c>
      <c r="AB18" s="465" t="s">
        <v>256</v>
      </c>
      <c r="AC18" s="497"/>
    </row>
    <row r="19" spans="1:29">
      <c r="A19" s="209" t="s">
        <v>250</v>
      </c>
      <c r="B19" s="358"/>
      <c r="C19" s="1077">
        <f>F1_DME_Lact_Cow_Day_kg * Defaults!$D$8</f>
        <v>19.659818400000002</v>
      </c>
      <c r="D19" s="225" t="s">
        <v>259</v>
      </c>
      <c r="E19" s="382"/>
      <c r="F19" s="1075">
        <f>F1_DME_Lact_Cow_Day_kg</f>
        <v>8.917542092230736</v>
      </c>
      <c r="G19" s="186" t="s">
        <v>37</v>
      </c>
      <c r="H19" s="382"/>
      <c r="I19" s="360"/>
      <c r="J19" s="1078">
        <f>F2_DME_Lact_Cow_Day_kg * Defaults!$D$8</f>
        <v>18.994098400000002</v>
      </c>
      <c r="K19" s="226" t="s">
        <v>259</v>
      </c>
      <c r="L19" s="96"/>
      <c r="M19" s="1079">
        <f>F2_DME_Lact_Cow_Day_kg</f>
        <v>8.6155766314694162</v>
      </c>
      <c r="N19" s="44" t="s">
        <v>37</v>
      </c>
      <c r="O19" s="96"/>
      <c r="P19" s="493"/>
      <c r="Q19" s="1082">
        <f>F3_DME_Lact_Cow_Day_kg * Defaults!$D$8</f>
        <v>18.602498399999995</v>
      </c>
      <c r="R19" s="431" t="s">
        <v>259</v>
      </c>
      <c r="S19" s="494"/>
      <c r="T19" s="1083">
        <f>F3_DME_Lact_Cow_Day_kg</f>
        <v>8.4379498898451093</v>
      </c>
      <c r="U19" s="511" t="s">
        <v>37</v>
      </c>
      <c r="V19" s="495"/>
      <c r="W19" s="496"/>
      <c r="X19" s="1086">
        <f>F4_DME_Lact_Cow_Day_kg * Defaults!$D$8</f>
        <v>15.665498399999999</v>
      </c>
      <c r="Y19" s="434" t="s">
        <v>259</v>
      </c>
      <c r="Z19" s="496"/>
      <c r="AA19" s="1087">
        <f>F4_DME_Lact_Cow_Day_kg</f>
        <v>7.1057493276628234</v>
      </c>
      <c r="AB19" s="465" t="s">
        <v>37</v>
      </c>
      <c r="AC19" s="497"/>
    </row>
    <row r="20" spans="1:29">
      <c r="A20" s="209" t="s">
        <v>237</v>
      </c>
      <c r="B20" s="358"/>
      <c r="C20" s="1042">
        <f>F1_DME_Lact_Cow_Day_lb*F1_Length_of_Lactation</f>
        <v>8060.8247151495661</v>
      </c>
      <c r="D20" s="225" t="s">
        <v>260</v>
      </c>
      <c r="E20" s="382"/>
      <c r="F20" s="1042">
        <f>F1_DME_Lact_Cow_Day_kg*F1_Length_of_Lactation</f>
        <v>3656.3279595420922</v>
      </c>
      <c r="G20" s="186" t="s">
        <v>240</v>
      </c>
      <c r="H20" s="382"/>
      <c r="I20" s="360"/>
      <c r="J20" s="1043">
        <f>F2_DME_Lact_Cow_Day_lb*F2_Length_of_Lactation</f>
        <v>7435.0681852607231</v>
      </c>
      <c r="K20" s="226" t="s">
        <v>260</v>
      </c>
      <c r="L20" s="96"/>
      <c r="M20" s="1043">
        <f>F2_DME_Lact_Cow_Day_kg*F2_Length_of_Lactation</f>
        <v>3372.4896207926354</v>
      </c>
      <c r="N20" s="44" t="s">
        <v>240</v>
      </c>
      <c r="O20" s="96"/>
      <c r="P20" s="493"/>
      <c r="Q20" s="1044">
        <f>F3_DME_Lact_Cow_Day_lb*F3_Length_of_Lactation</f>
        <v>6266.0533626963916</v>
      </c>
      <c r="R20" s="431" t="s">
        <v>260</v>
      </c>
      <c r="S20" s="494"/>
      <c r="T20" s="1044">
        <f>F3_DME_Lact_Cow_Day_kg*F3_Length_of_Lactation</f>
        <v>2842.2335078135316</v>
      </c>
      <c r="U20" s="511" t="s">
        <v>240</v>
      </c>
      <c r="V20" s="495"/>
      <c r="W20" s="496"/>
      <c r="X20" s="1045">
        <f>F4_DME_Lact_Cow_Day_lb*F4_Length_of_Lactation</f>
        <v>4895.7815599679998</v>
      </c>
      <c r="Y20" s="434" t="s">
        <v>260</v>
      </c>
      <c r="Z20" s="496"/>
      <c r="AA20" s="1045">
        <f>F4_DME_Lact_Cow_Day_kg*F4_Length_of_Lactation</f>
        <v>2220.6887798811854</v>
      </c>
      <c r="AB20" s="465" t="s">
        <v>240</v>
      </c>
      <c r="AC20" s="497"/>
    </row>
    <row r="21" spans="1:29">
      <c r="A21" s="209" t="s">
        <v>161</v>
      </c>
      <c r="B21" s="358"/>
      <c r="C21" s="1042">
        <f>F1_DME_Lact_Cow_Life_kg*Defaults!$D$8</f>
        <v>19600.121494176157</v>
      </c>
      <c r="D21" s="225" t="s">
        <v>258</v>
      </c>
      <c r="E21" s="382"/>
      <c r="F21" s="1042">
        <f>(F1_DME_Lact_Cow_Day_kg*F1_Length_of_Lactation*F1_Number_of_Lactations) + (F1_DME_Dry_Cow_Day_kg * F1_Dryoff_Period*(F1_Number_of_Lactations-1)) + (F1_DME_Heifer_Day_kg *( F1_Age_at_1st_Birthing*30.4-365)) + (F1_DME_Calf_Day_kg * 365)</f>
        <v>8890.4640358810357</v>
      </c>
      <c r="G21" s="186" t="s">
        <v>255</v>
      </c>
      <c r="H21" s="382"/>
      <c r="I21" s="360"/>
      <c r="J21" s="1043">
        <f>F2_DME_Lact_Cow_Life_kg*Defaults!$D$8</f>
        <v>20804.610315637932</v>
      </c>
      <c r="K21" s="226" t="s">
        <v>258</v>
      </c>
      <c r="L21" s="96"/>
      <c r="M21" s="1043">
        <f>(F2_DME_Lact_Cow_Day_kg*F2_Length_of_Lactation*F2_Number_of_Lactations) + (F2_DME_Dry_Cow_Day_kg * F2_Dryoff_Period*(F2_Number_of_Lactations-1)) + (F2_DME_Heifer_Day_kg *( F2_Age_at_1st_Birthing*30.4-365)) + (F2_DME_Calf_Day_kg * 365)</f>
        <v>9436.8108813334202</v>
      </c>
      <c r="N21" s="44" t="s">
        <v>255</v>
      </c>
      <c r="O21" s="96"/>
      <c r="P21" s="493"/>
      <c r="Q21" s="1044">
        <f>F3_DME_Lact_Cow_Life_kg*Defaults!$D$8</f>
        <v>30525.780165465847</v>
      </c>
      <c r="R21" s="431" t="s">
        <v>258</v>
      </c>
      <c r="S21" s="494"/>
      <c r="T21" s="1044">
        <f>(F3_DME_Lact_Cow_Day_kg*F3_Length_of_Lactation*F3_Number_of_Lactations) + (F3_DME_Dry_Cow_Day_kg * F3_Dryoff_Period*(F3_Number_of_Lactations-1)) + (F3_DME_Heifer_Day_kg *( F3_Age_at_1st_Birthing*30.4-365)) + (F3_DME_Calf_Day_kg * 365)</f>
        <v>13846.258596352231</v>
      </c>
      <c r="U21" s="511" t="s">
        <v>255</v>
      </c>
      <c r="V21" s="495"/>
      <c r="W21" s="496"/>
      <c r="X21" s="1045">
        <f>F4_DME_Lact_Cow_Life_kg*Defaults!$D$8</f>
        <v>26025.905409768995</v>
      </c>
      <c r="Y21" s="434" t="s">
        <v>258</v>
      </c>
      <c r="Z21" s="496"/>
      <c r="AA21" s="1045">
        <f>(F4_DME_Lact_Cow_Day_kg*F4_Length_of_Lactation*F4_Number_of_Lactations) + (F4_DME_Dry_Cow_Day_kg * F4_Dryoff_Period*(F4_Number_of_Lactations-1)) + (F4_DME_Heifer_Day_kg *( F4_Age_at_1st_Birthing*30.4-365)) + (F4_DME_Calf_Day_kg * 365)</f>
        <v>11805.150091316744</v>
      </c>
      <c r="AB21" s="465" t="s">
        <v>255</v>
      </c>
      <c r="AC21" s="497"/>
    </row>
    <row r="22" spans="1:29">
      <c r="A22" s="209" t="s">
        <v>236</v>
      </c>
      <c r="B22" s="358"/>
      <c r="C22" s="1074">
        <f>F1_DME_Lact_Cow_Life_lb/F1_Age_at_EOL</f>
        <v>4378.4340677936025</v>
      </c>
      <c r="D22" s="225" t="s">
        <v>261</v>
      </c>
      <c r="E22" s="382"/>
      <c r="F22" s="1074">
        <f>F1_DME_Lact_Cow_Life_kg/F1_Age_at_EOL</f>
        <v>1986.0239450434849</v>
      </c>
      <c r="G22" s="186" t="s">
        <v>38</v>
      </c>
      <c r="H22" s="382"/>
      <c r="I22" s="360"/>
      <c r="J22" s="1081">
        <f>F2_DME_Lact_Cow_Life_lb/F2_Age_at_EOL</f>
        <v>4411.2876863375577</v>
      </c>
      <c r="K22" s="226" t="s">
        <v>261</v>
      </c>
      <c r="L22" s="96"/>
      <c r="M22" s="1081">
        <f>F2_DME_Lact_Cow_Life_kg/F2_Age_at_EOL</f>
        <v>2000.9260931857996</v>
      </c>
      <c r="N22" s="44" t="s">
        <v>38</v>
      </c>
      <c r="O22" s="96"/>
      <c r="P22" s="493"/>
      <c r="Q22" s="1085">
        <f>F3_DME_Lact_Cow_Life_lb/F3_Age_at_EOL</f>
        <v>4887.1163456878985</v>
      </c>
      <c r="R22" s="431" t="s">
        <v>261</v>
      </c>
      <c r="S22" s="494"/>
      <c r="T22" s="1085">
        <f>F3_DME_Lact_Cow_Life_kg/F3_Age_at_EOL</f>
        <v>2216.7583054734973</v>
      </c>
      <c r="U22" s="511" t="s">
        <v>38</v>
      </c>
      <c r="V22" s="495"/>
      <c r="W22" s="496"/>
      <c r="X22" s="1089">
        <f>F4_DME_Lact_Cow_Life_lb/F4_Age_at_EOL</f>
        <v>4036.3882073446553</v>
      </c>
      <c r="Y22" s="434" t="s">
        <v>261</v>
      </c>
      <c r="Z22" s="496"/>
      <c r="AA22" s="1089">
        <f>F4_DME_Lact_Cow_Life_kg/F4_Age_at_EOL</f>
        <v>1830.8745791659867</v>
      </c>
      <c r="AB22" s="465" t="s">
        <v>38</v>
      </c>
      <c r="AC22" s="497"/>
    </row>
    <row r="23" spans="1:29" ht="5.25" customHeight="1">
      <c r="A23" s="286"/>
      <c r="B23" s="498"/>
      <c r="C23" s="499"/>
      <c r="D23" s="499"/>
      <c r="E23" s="499"/>
      <c r="F23" s="499"/>
      <c r="G23" s="499"/>
      <c r="H23" s="499"/>
      <c r="I23" s="500"/>
      <c r="J23" s="501"/>
      <c r="K23" s="501"/>
      <c r="L23" s="501"/>
      <c r="M23" s="501"/>
      <c r="N23" s="501"/>
      <c r="O23" s="501"/>
      <c r="P23" s="502"/>
      <c r="Q23" s="503"/>
      <c r="R23" s="503"/>
      <c r="S23" s="503"/>
      <c r="T23" s="503"/>
      <c r="U23" s="503"/>
      <c r="V23" s="504"/>
      <c r="W23" s="505"/>
      <c r="X23" s="505"/>
      <c r="Y23" s="505"/>
      <c r="Z23" s="505"/>
      <c r="AA23" s="505"/>
      <c r="AB23" s="505"/>
      <c r="AC23" s="506"/>
    </row>
    <row r="24" spans="1:29" ht="5.25" customHeight="1">
      <c r="A24" s="281"/>
      <c r="B24" s="358"/>
      <c r="C24" s="382"/>
      <c r="D24" s="382"/>
      <c r="E24" s="382"/>
      <c r="F24" s="382"/>
      <c r="G24" s="382"/>
      <c r="H24" s="382"/>
      <c r="I24" s="360"/>
      <c r="J24" s="96"/>
      <c r="K24" s="96"/>
      <c r="L24" s="96"/>
      <c r="M24" s="96"/>
      <c r="N24" s="96"/>
      <c r="O24" s="96"/>
      <c r="P24" s="493"/>
      <c r="Q24" s="494"/>
      <c r="R24" s="494"/>
      <c r="S24" s="494"/>
      <c r="T24" s="494"/>
      <c r="U24" s="494"/>
      <c r="V24" s="495"/>
      <c r="W24" s="496"/>
      <c r="X24" s="496"/>
      <c r="Y24" s="496"/>
      <c r="Z24" s="496"/>
      <c r="AA24" s="496"/>
      <c r="AB24" s="496"/>
      <c r="AC24" s="497"/>
    </row>
    <row r="25" spans="1:29">
      <c r="A25" s="621" t="s">
        <v>1424</v>
      </c>
      <c r="B25" s="358"/>
      <c r="C25" s="382"/>
      <c r="D25" s="382"/>
      <c r="E25" s="382"/>
      <c r="F25" s="382"/>
      <c r="G25" s="382"/>
      <c r="H25" s="382"/>
      <c r="I25" s="360"/>
      <c r="J25" s="96"/>
      <c r="K25" s="96"/>
      <c r="L25" s="96"/>
      <c r="M25" s="96"/>
      <c r="N25" s="96"/>
      <c r="O25" s="96"/>
      <c r="P25" s="493"/>
      <c r="Q25" s="494"/>
      <c r="R25" s="494"/>
      <c r="S25" s="494"/>
      <c r="T25" s="494"/>
      <c r="U25" s="494"/>
      <c r="V25" s="495"/>
      <c r="W25" s="496"/>
      <c r="X25" s="496"/>
      <c r="Y25" s="496"/>
      <c r="Z25" s="496"/>
      <c r="AA25" s="496"/>
      <c r="AB25" s="496"/>
      <c r="AC25" s="497"/>
    </row>
    <row r="26" spans="1:29">
      <c r="A26" s="209" t="s">
        <v>1634</v>
      </c>
      <c r="B26" s="358"/>
      <c r="C26" s="1076"/>
      <c r="D26" s="225"/>
      <c r="E26" s="382"/>
      <c r="F26" s="1094">
        <f>F1_NE_Lact_Cow_Day_kg/F1_Unadjusted_Milk_Production_kg_day</f>
        <v>1.382308864265994E-2</v>
      </c>
      <c r="G26" s="186" t="s">
        <v>256</v>
      </c>
      <c r="H26" s="382"/>
      <c r="I26" s="360"/>
      <c r="J26" s="1080"/>
      <c r="K26" s="226"/>
      <c r="L26" s="96"/>
      <c r="M26" s="1092">
        <f>F2_NE_Lact_Cow_Day_kg/F2_Unadjusted_Milk_Production_kg_day</f>
        <v>1.5076437984706821E-2</v>
      </c>
      <c r="N26" s="44" t="s">
        <v>256</v>
      </c>
      <c r="O26" s="96"/>
      <c r="P26" s="493"/>
      <c r="Q26" s="1084"/>
      <c r="R26" s="431"/>
      <c r="S26" s="494"/>
      <c r="T26" s="1102">
        <f>F3_NE_Lact_Cow_Day_kg/F3_Unadjusted_Milk_Production_kg_day</f>
        <v>1.5793056948966846E-2</v>
      </c>
      <c r="U26" s="511" t="s">
        <v>256</v>
      </c>
      <c r="V26" s="495"/>
      <c r="W26" s="496"/>
      <c r="X26" s="1088"/>
      <c r="Y26" s="434"/>
      <c r="Z26" s="496"/>
      <c r="AA26" s="1103">
        <f>F4_NE_Lact_Cow_Day_kg/F4_Unadjusted_Milk_Production_kg_day</f>
        <v>1.2910359050255579E-2</v>
      </c>
      <c r="AB26" s="465" t="s">
        <v>256</v>
      </c>
      <c r="AC26" s="497"/>
    </row>
    <row r="27" spans="1:29">
      <c r="A27" s="209" t="s">
        <v>1635</v>
      </c>
      <c r="B27" s="358"/>
      <c r="C27" s="1076"/>
      <c r="D27" s="225"/>
      <c r="E27" s="382"/>
      <c r="F27" s="1094">
        <f>F1_NE_Lact_Cow_Day_kg/F1_ECM_Production_kg_day</f>
        <v>1.4025049353348154E-2</v>
      </c>
      <c r="G27" s="186" t="s">
        <v>256</v>
      </c>
      <c r="H27" s="382"/>
      <c r="I27" s="360"/>
      <c r="J27" s="1080"/>
      <c r="K27" s="226"/>
      <c r="L27" s="96"/>
      <c r="M27" s="1092">
        <f>F2_NE_Lact_Cow_Day_kg/F2_ECM_Production_kg_day</f>
        <v>1.4831335336928736E-2</v>
      </c>
      <c r="N27" s="44" t="s">
        <v>256</v>
      </c>
      <c r="O27" s="96"/>
      <c r="P27" s="493"/>
      <c r="Q27" s="1084"/>
      <c r="R27" s="431"/>
      <c r="S27" s="494"/>
      <c r="T27" s="1102">
        <f>F3_NE_Lact_Cow_Day_kg/F3_ECM_Production_kg_day</f>
        <v>1.510646797930733E-2</v>
      </c>
      <c r="U27" s="511" t="s">
        <v>256</v>
      </c>
      <c r="V27" s="495"/>
      <c r="W27" s="496"/>
      <c r="X27" s="1088"/>
      <c r="Y27" s="434"/>
      <c r="Z27" s="496"/>
      <c r="AA27" s="1103">
        <f>F4_NE_Lact_Cow_Day_kg/F4_ECM_Production_kg_day</f>
        <v>1.0688622067338581E-2</v>
      </c>
      <c r="AB27" s="465" t="s">
        <v>256</v>
      </c>
      <c r="AC27" s="497"/>
    </row>
    <row r="28" spans="1:29">
      <c r="A28" s="209" t="s">
        <v>250</v>
      </c>
      <c r="B28" s="358"/>
      <c r="C28" s="1096">
        <f>F1_NE_Lact_Cow_Day_kg * Defaults!$D$8</f>
        <v>1.0367316481994955</v>
      </c>
      <c r="D28" s="225" t="s">
        <v>259</v>
      </c>
      <c r="E28" s="382"/>
      <c r="F28" s="1090">
        <f>F1_NE_Lact_Cow_Day_kg</f>
        <v>0.47025348469987632</v>
      </c>
      <c r="G28" s="186" t="s">
        <v>37</v>
      </c>
      <c r="H28" s="382"/>
      <c r="I28" s="360"/>
      <c r="J28" s="1097">
        <f>F2_NE_Lact_Cow_Day_kg * Defaults!$D$8</f>
        <v>0.97996846900594337</v>
      </c>
      <c r="K28" s="226" t="s">
        <v>259</v>
      </c>
      <c r="L28" s="96"/>
      <c r="M28" s="1091">
        <f>F2_NE_Lact_Cow_Day_kg</f>
        <v>0.44450614413708978</v>
      </c>
      <c r="N28" s="44" t="s">
        <v>37</v>
      </c>
      <c r="O28" s="96"/>
      <c r="P28" s="493"/>
      <c r="Q28" s="1098">
        <f>F3_NE_Lact_Cow_Day_kg * Defaults!$D$8</f>
        <v>0.94758341693801074</v>
      </c>
      <c r="R28" s="431" t="s">
        <v>259</v>
      </c>
      <c r="S28" s="494"/>
      <c r="T28" s="1101">
        <f>F3_NE_Lact_Cow_Day_kg</f>
        <v>0.42981653413668036</v>
      </c>
      <c r="U28" s="511" t="s">
        <v>37</v>
      </c>
      <c r="V28" s="495"/>
      <c r="W28" s="496"/>
      <c r="X28" s="1099">
        <f>F4_NE_Lact_Cow_Day_kg * Defaults!$D$8</f>
        <v>0.64551795251277888</v>
      </c>
      <c r="Y28" s="434" t="s">
        <v>259</v>
      </c>
      <c r="Z28" s="496"/>
      <c r="AA28" s="1100">
        <f>F4_NE_Lact_Cow_Day_kg</f>
        <v>0.29280196773451916</v>
      </c>
      <c r="AB28" s="465" t="s">
        <v>37</v>
      </c>
      <c r="AC28" s="497"/>
    </row>
    <row r="29" spans="1:29">
      <c r="A29" s="209" t="s">
        <v>237</v>
      </c>
      <c r="B29" s="358"/>
      <c r="C29" s="1042">
        <f>F1_NE_Lact_Cow_Day_lb*F1_Length_of_Lactation</f>
        <v>425.07575211296142</v>
      </c>
      <c r="D29" s="225" t="s">
        <v>260</v>
      </c>
      <c r="E29" s="382"/>
      <c r="F29" s="1042">
        <f>F1_NE_Lact_Cow_Day_kg*F1_Length_of_Lactation</f>
        <v>192.81108475823822</v>
      </c>
      <c r="G29" s="186" t="s">
        <v>240</v>
      </c>
      <c r="H29" s="382"/>
      <c r="I29" s="360"/>
      <c r="J29" s="1043">
        <f>F2_NE_Lact_Cow_Day_lb*F2_Length_of_Lactation</f>
        <v>383.59980205560839</v>
      </c>
      <c r="K29" s="226" t="s">
        <v>260</v>
      </c>
      <c r="L29" s="96"/>
      <c r="M29" s="1043">
        <f>F2_NE_Lact_Cow_Day_kg*F2_Length_of_Lactation</f>
        <v>173.9979135006794</v>
      </c>
      <c r="N29" s="44" t="s">
        <v>240</v>
      </c>
      <c r="O29" s="96"/>
      <c r="P29" s="493"/>
      <c r="Q29" s="1044">
        <f>F3_NE_Lact_Cow_Day_lb*F3_Length_of_Lactation</f>
        <v>319.18337679522449</v>
      </c>
      <c r="R29" s="431" t="s">
        <v>260</v>
      </c>
      <c r="S29" s="494"/>
      <c r="T29" s="1044">
        <f>F3_NE_Lact_Cow_Day_kg*F3_Length_of_Lactation</f>
        <v>144.77911951169179</v>
      </c>
      <c r="U29" s="511" t="s">
        <v>240</v>
      </c>
      <c r="V29" s="495"/>
      <c r="W29" s="496"/>
      <c r="X29" s="1045">
        <f>F4_NE_Lact_Cow_Day_lb*F4_Length_of_Lactation</f>
        <v>201.73727051929365</v>
      </c>
      <c r="Y29" s="434" t="s">
        <v>260</v>
      </c>
      <c r="Z29" s="496"/>
      <c r="AA29" s="1045">
        <f>F4_NE_Lact_Cow_Day_kg*F4_Length_of_Lactation</f>
        <v>91.506470956391922</v>
      </c>
      <c r="AB29" s="465" t="s">
        <v>240</v>
      </c>
      <c r="AC29" s="497"/>
    </row>
    <row r="30" spans="1:29">
      <c r="A30" s="209" t="s">
        <v>161</v>
      </c>
      <c r="B30" s="358"/>
      <c r="C30" s="1042">
        <f>F1_NE_Lact_Cow_Life_kg*Defaults!$D$8</f>
        <v>960.73854775577286</v>
      </c>
      <c r="D30" s="225" t="s">
        <v>258</v>
      </c>
      <c r="E30" s="382"/>
      <c r="F30" s="1042">
        <f>(F1_NE_Lact_Cow_Day_kg*F1_Length_of_Lactation*F1_Number_of_Lactations) + (F1_NE_Dry_Cow_Day_kg * F1_Dryoff_Period*(F1_Number_of_Lactations-1)) + (F1_NE_Heifer_Day_kg *( F1_Age_at_1st_Birthing*30.4-365)) + (F1_NE_Calf_Day_kg * 365)</f>
        <v>435.78360007845913</v>
      </c>
      <c r="G30" s="186" t="s">
        <v>255</v>
      </c>
      <c r="H30" s="382"/>
      <c r="I30" s="360"/>
      <c r="J30" s="1043">
        <f>F2_NE_Lact_Cow_Life_kg*Defaults!$D$8</f>
        <v>1010.4167916902209</v>
      </c>
      <c r="K30" s="226" t="s">
        <v>258</v>
      </c>
      <c r="L30" s="96"/>
      <c r="M30" s="1043">
        <f>(F2_NE_Lact_Cow_Day_kg*F2_Length_of_Lactation*F2_Number_of_Lactations) + (F2_NE_Dry_Cow_Day_kg * F2_Dryoff_Period*(F2_Number_of_Lactations-1)) + (F2_NE_Heifer_Day_kg *( F2_Age_at_1st_Birthing*30.4-365)) + (F2_NE_Calf_Day_kg * 365)</f>
        <v>458.31726861700196</v>
      </c>
      <c r="N30" s="44" t="s">
        <v>255</v>
      </c>
      <c r="O30" s="96"/>
      <c r="P30" s="493"/>
      <c r="Q30" s="1044">
        <f>F3_NE_Lact_Cow_Life_kg*Defaults!$D$8</f>
        <v>1511.8934883502488</v>
      </c>
      <c r="R30" s="431" t="s">
        <v>258</v>
      </c>
      <c r="S30" s="494"/>
      <c r="T30" s="1044">
        <f>(F3_NE_Lact_Cow_Day_kg*F3_Length_of_Lactation*F3_Number_of_Lactations) + (F3_NE_Dry_Cow_Day_kg * F3_Dryoff_Period*(F3_Number_of_Lactations-1)) + (F3_NE_Heifer_Day_kg *( F3_Age_at_1st_Birthing*30.4-365)) + (F3_NE_Calf_Day_kg * 365)</f>
        <v>685.78323293835217</v>
      </c>
      <c r="U30" s="511" t="s">
        <v>255</v>
      </c>
      <c r="V30" s="495"/>
      <c r="W30" s="496"/>
      <c r="X30" s="1045">
        <f>F4_NE_Lact_Cow_Life_kg*Defaults!$D$8</f>
        <v>1050.4157943548271</v>
      </c>
      <c r="Y30" s="434" t="s">
        <v>258</v>
      </c>
      <c r="Z30" s="496"/>
      <c r="AA30" s="1045">
        <f>(F4_NE_Lact_Cow_Day_kg*F4_Length_of_Lactation*F4_Number_of_Lactations) + (F4_NE_Dry_Cow_Day_kg * F4_Dryoff_Period*(F4_Number_of_Lactations-1)) + (F4_NE_Heifer_Day_kg *( F4_Age_at_1st_Birthing*30.4-365)) + (F4_NE_Calf_Day_kg * 365)</f>
        <v>476.46050792123054</v>
      </c>
      <c r="AB30" s="465" t="s">
        <v>255</v>
      </c>
      <c r="AC30" s="497"/>
    </row>
    <row r="31" spans="1:29">
      <c r="A31" s="209" t="s">
        <v>236</v>
      </c>
      <c r="B31" s="358"/>
      <c r="C31" s="1074">
        <f>F1_NE_Lact_Cow_Life_lb/F1_Age_at_EOL</f>
        <v>214.61756698734374</v>
      </c>
      <c r="D31" s="225" t="s">
        <v>261</v>
      </c>
      <c r="E31" s="382"/>
      <c r="F31" s="1074">
        <f>F1_NE_Lact_Cow_Life_kg/F1_Age_at_EOL</f>
        <v>97.348874155510359</v>
      </c>
      <c r="G31" s="186" t="s">
        <v>38</v>
      </c>
      <c r="H31" s="382"/>
      <c r="I31" s="360"/>
      <c r="J31" s="1081">
        <f>F2_NE_Lact_Cow_Life_lb/F2_Age_at_EOL</f>
        <v>214.24285692587364</v>
      </c>
      <c r="K31" s="226" t="s">
        <v>261</v>
      </c>
      <c r="L31" s="96"/>
      <c r="M31" s="1081">
        <f>F2_NE_Lact_Cow_Life_kg/F2_Age_at_EOL</f>
        <v>97.178908559818893</v>
      </c>
      <c r="N31" s="44" t="s">
        <v>38</v>
      </c>
      <c r="O31" s="96"/>
      <c r="P31" s="493"/>
      <c r="Q31" s="1085">
        <f>F3_NE_Lact_Cow_Life_lb/F3_Age_at_EOL</f>
        <v>242.05112333917114</v>
      </c>
      <c r="R31" s="431" t="s">
        <v>261</v>
      </c>
      <c r="S31" s="494"/>
      <c r="T31" s="1085">
        <f>F3_NE_Lact_Cow_Life_kg/F3_Age_at_EOL</f>
        <v>109.79252386424851</v>
      </c>
      <c r="U31" s="511" t="s">
        <v>38</v>
      </c>
      <c r="V31" s="495"/>
      <c r="W31" s="496"/>
      <c r="X31" s="1089">
        <f>F4_NE_Lact_Cow_Life_lb/F4_Age_at_EOL</f>
        <v>162.91021804570624</v>
      </c>
      <c r="Y31" s="434" t="s">
        <v>261</v>
      </c>
      <c r="Z31" s="496"/>
      <c r="AA31" s="1089">
        <f>F4_NE_Lact_Cow_Life_kg/F4_Age_at_EOL</f>
        <v>73.894819225648206</v>
      </c>
      <c r="AB31" s="465" t="s">
        <v>38</v>
      </c>
      <c r="AC31" s="497"/>
    </row>
    <row r="32" spans="1:29" ht="5.25" customHeight="1">
      <c r="A32" s="286"/>
      <c r="B32" s="498"/>
      <c r="C32" s="499"/>
      <c r="D32" s="499"/>
      <c r="E32" s="499"/>
      <c r="F32" s="499"/>
      <c r="G32" s="499"/>
      <c r="H32" s="499"/>
      <c r="I32" s="500"/>
      <c r="J32" s="501"/>
      <c r="K32" s="501"/>
      <c r="L32" s="501"/>
      <c r="M32" s="501"/>
      <c r="N32" s="501"/>
      <c r="O32" s="501"/>
      <c r="P32" s="502"/>
      <c r="Q32" s="503"/>
      <c r="R32" s="503"/>
      <c r="S32" s="503"/>
      <c r="T32" s="503"/>
      <c r="U32" s="503"/>
      <c r="V32" s="504"/>
      <c r="W32" s="505"/>
      <c r="X32" s="505"/>
      <c r="Y32" s="505"/>
      <c r="Z32" s="505"/>
      <c r="AA32" s="505"/>
      <c r="AB32" s="505"/>
      <c r="AC32" s="506"/>
    </row>
    <row r="33" spans="1:29" ht="5.25" customHeight="1">
      <c r="A33" s="281"/>
      <c r="B33" s="358"/>
      <c r="C33" s="382"/>
      <c r="D33" s="382"/>
      <c r="E33" s="382"/>
      <c r="F33" s="382"/>
      <c r="G33" s="382"/>
      <c r="H33" s="382"/>
      <c r="I33" s="360"/>
      <c r="J33" s="96"/>
      <c r="K33" s="96"/>
      <c r="L33" s="96"/>
      <c r="M33" s="96"/>
      <c r="N33" s="96"/>
      <c r="O33" s="96"/>
      <c r="P33" s="493"/>
      <c r="Q33" s="494"/>
      <c r="R33" s="494"/>
      <c r="S33" s="494"/>
      <c r="T33" s="494"/>
      <c r="U33" s="494"/>
      <c r="V33" s="495"/>
      <c r="W33" s="496"/>
      <c r="X33" s="496"/>
      <c r="Y33" s="496"/>
      <c r="Z33" s="496"/>
      <c r="AA33" s="496"/>
      <c r="AB33" s="496"/>
      <c r="AC33" s="497"/>
    </row>
    <row r="34" spans="1:29">
      <c r="A34" s="621" t="s">
        <v>1425</v>
      </c>
      <c r="B34" s="358"/>
      <c r="C34" s="382"/>
      <c r="D34" s="382"/>
      <c r="E34" s="382"/>
      <c r="F34" s="382"/>
      <c r="G34" s="382"/>
      <c r="H34" s="382"/>
      <c r="I34" s="360"/>
      <c r="J34" s="96"/>
      <c r="K34" s="96"/>
      <c r="L34" s="96"/>
      <c r="M34" s="96"/>
      <c r="N34" s="96"/>
      <c r="O34" s="96"/>
      <c r="P34" s="493"/>
      <c r="Q34" s="494"/>
      <c r="R34" s="494"/>
      <c r="S34" s="494"/>
      <c r="T34" s="494"/>
      <c r="U34" s="494"/>
      <c r="V34" s="495"/>
      <c r="W34" s="496"/>
      <c r="X34" s="496"/>
      <c r="Y34" s="496"/>
      <c r="Z34" s="496"/>
      <c r="AA34" s="496"/>
      <c r="AB34" s="496"/>
      <c r="AC34" s="497"/>
    </row>
    <row r="35" spans="1:29">
      <c r="A35" s="209" t="s">
        <v>1634</v>
      </c>
      <c r="B35" s="358"/>
      <c r="C35" s="1076"/>
      <c r="D35" s="225"/>
      <c r="E35" s="382"/>
      <c r="F35" s="1095">
        <f>F1_PE_Lact_Cow_Day_kg/F1_Unadjusted_Milk_Production_kg_day</f>
        <v>2.3578173892330099E-3</v>
      </c>
      <c r="G35" s="186" t="s">
        <v>256</v>
      </c>
      <c r="H35" s="382"/>
      <c r="I35" s="360"/>
      <c r="J35" s="1080"/>
      <c r="K35" s="226"/>
      <c r="L35" s="96"/>
      <c r="M35" s="1093">
        <f>F2_PE_Lact_Cow_Day_kg/F2_Unadjusted_Milk_Production_kg_day</f>
        <v>2.5741715151537899E-3</v>
      </c>
      <c r="N35" s="44" t="s">
        <v>256</v>
      </c>
      <c r="O35" s="96"/>
      <c r="P35" s="493"/>
      <c r="Q35" s="1084"/>
      <c r="R35" s="431"/>
      <c r="S35" s="494"/>
      <c r="T35" s="1105">
        <f>F3_PE_Lact_Cow_Day_kg/F3_Unadjusted_Milk_Production_kg_day</f>
        <v>2.6982079028052526E-3</v>
      </c>
      <c r="U35" s="511" t="s">
        <v>256</v>
      </c>
      <c r="V35" s="495"/>
      <c r="W35" s="496"/>
      <c r="X35" s="1088"/>
      <c r="Y35" s="434"/>
      <c r="Z35" s="496"/>
      <c r="AA35" s="1104">
        <f>F4_PE_Lact_Cow_Day_kg/F4_Unadjusted_Milk_Production_kg_day</f>
        <v>2.5031064939534261E-3</v>
      </c>
      <c r="AB35" s="465" t="s">
        <v>256</v>
      </c>
      <c r="AC35" s="497"/>
    </row>
    <row r="36" spans="1:29">
      <c r="A36" s="209" t="s">
        <v>1635</v>
      </c>
      <c r="B36" s="358"/>
      <c r="C36" s="1076"/>
      <c r="D36" s="225"/>
      <c r="E36" s="382"/>
      <c r="F36" s="1095">
        <f>F1_PE_Lact_Cow_Day_kg/F1_ECM_Production_kg_day</f>
        <v>2.3922660199198558E-3</v>
      </c>
      <c r="G36" s="186" t="s">
        <v>256</v>
      </c>
      <c r="H36" s="382"/>
      <c r="I36" s="360"/>
      <c r="J36" s="1080"/>
      <c r="K36" s="226"/>
      <c r="L36" s="96"/>
      <c r="M36" s="1093">
        <f>F2_PE_Lact_Cow_Day_kg/F2_ECM_Production_kg_day</f>
        <v>2.5323223559001835E-3</v>
      </c>
      <c r="N36" s="44" t="s">
        <v>256</v>
      </c>
      <c r="O36" s="96"/>
      <c r="P36" s="493"/>
      <c r="Q36" s="1084"/>
      <c r="R36" s="431"/>
      <c r="S36" s="494"/>
      <c r="T36" s="1105">
        <f>F3_PE_Lact_Cow_Day_kg/F3_ECM_Production_kg_day</f>
        <v>2.5809057370560552E-3</v>
      </c>
      <c r="U36" s="511" t="s">
        <v>256</v>
      </c>
      <c r="V36" s="495"/>
      <c r="W36" s="496"/>
      <c r="X36" s="1088"/>
      <c r="Y36" s="434"/>
      <c r="Z36" s="496"/>
      <c r="AA36" s="1104">
        <f>F4_PE_Lact_Cow_Day_kg/F4_ECM_Production_kg_day</f>
        <v>2.0723481976002399E-3</v>
      </c>
      <c r="AB36" s="465" t="s">
        <v>256</v>
      </c>
      <c r="AC36" s="497"/>
    </row>
    <row r="37" spans="1:29">
      <c r="A37" s="209" t="s">
        <v>250</v>
      </c>
      <c r="B37" s="358"/>
      <c r="C37" s="1096">
        <f>F1_PE_Lact_Cow_Day_kg * Defaults!$D$8</f>
        <v>0.17683630419247576</v>
      </c>
      <c r="D37" s="225" t="s">
        <v>259</v>
      </c>
      <c r="E37" s="382"/>
      <c r="F37" s="1090">
        <f>F1_PE_Lact_Cow_Day_kg</f>
        <v>8.021158456229284E-2</v>
      </c>
      <c r="G37" s="186" t="s">
        <v>37</v>
      </c>
      <c r="H37" s="382"/>
      <c r="I37" s="360"/>
      <c r="J37" s="1097">
        <f>F2_PE_Lact_Cow_Day_kg * Defaults!$D$8</f>
        <v>0.16732114848499635</v>
      </c>
      <c r="K37" s="226" t="s">
        <v>259</v>
      </c>
      <c r="L37" s="96"/>
      <c r="M37" s="1091">
        <f>F2_PE_Lact_Cow_Day_kg</f>
        <v>7.5895583274326869E-2</v>
      </c>
      <c r="N37" s="44" t="s">
        <v>37</v>
      </c>
      <c r="O37" s="96"/>
      <c r="P37" s="493"/>
      <c r="Q37" s="1098">
        <f>F3_PE_Lact_Cow_Day_kg * Defaults!$D$8</f>
        <v>0.16189247416831515</v>
      </c>
      <c r="R37" s="431" t="s">
        <v>259</v>
      </c>
      <c r="S37" s="494"/>
      <c r="T37" s="1101">
        <f>F3_PE_Lact_Cow_Day_kg</f>
        <v>7.3433178447433023E-2</v>
      </c>
      <c r="U37" s="511" t="s">
        <v>37</v>
      </c>
      <c r="V37" s="495"/>
      <c r="W37" s="496"/>
      <c r="X37" s="1099">
        <f>F4_PE_Lact_Cow_Day_kg * Defaults!$D$8</f>
        <v>0.12515532469767129</v>
      </c>
      <c r="Y37" s="434" t="s">
        <v>259</v>
      </c>
      <c r="Z37" s="496"/>
      <c r="AA37" s="1100">
        <f>F4_PE_Lact_Cow_Day_kg</f>
        <v>5.6769490610263651E-2</v>
      </c>
      <c r="AB37" s="465" t="s">
        <v>37</v>
      </c>
      <c r="AC37" s="497"/>
    </row>
    <row r="38" spans="1:29">
      <c r="A38" s="209" t="s">
        <v>237</v>
      </c>
      <c r="B38" s="358"/>
      <c r="C38" s="1042">
        <f>F1_PE_Lact_Cow_Day_lb*F1_Length_of_Lactation</f>
        <v>72.505575706152769</v>
      </c>
      <c r="D38" s="225" t="s">
        <v>260</v>
      </c>
      <c r="E38" s="382"/>
      <c r="F38" s="1042">
        <f>F1_PE_Lact_Cow_Day_kg*F1_Length_of_Lactation</f>
        <v>32.887970281609491</v>
      </c>
      <c r="G38" s="186" t="s">
        <v>240</v>
      </c>
      <c r="H38" s="382"/>
      <c r="I38" s="360"/>
      <c r="J38" s="1043">
        <f>F2_PE_Lact_Cow_Day_lb*F2_Length_of_Lactation</f>
        <v>65.496351636363102</v>
      </c>
      <c r="K38" s="226" t="s">
        <v>260</v>
      </c>
      <c r="L38" s="96"/>
      <c r="M38" s="1043">
        <f>F2_PE_Lact_Cow_Day_kg*F2_Length_of_Lactation</f>
        <v>29.708640269271928</v>
      </c>
      <c r="N38" s="44" t="s">
        <v>240</v>
      </c>
      <c r="O38" s="96"/>
      <c r="P38" s="493"/>
      <c r="Q38" s="1044">
        <f>F3_PE_Lact_Cow_Day_lb*F3_Length_of_Lactation</f>
        <v>54.531754839855822</v>
      </c>
      <c r="R38" s="431" t="s">
        <v>260</v>
      </c>
      <c r="S38" s="494"/>
      <c r="T38" s="1044">
        <f>F3_PE_Lact_Cow_Day_kg*F3_Length_of_Lactation</f>
        <v>24.735183675329438</v>
      </c>
      <c r="U38" s="511" t="s">
        <v>240</v>
      </c>
      <c r="V38" s="495"/>
      <c r="W38" s="496"/>
      <c r="X38" s="1045">
        <f>F4_PE_Lact_Cow_Day_lb*F4_Length_of_Lactation</f>
        <v>39.113542074516232</v>
      </c>
      <c r="Y38" s="434" t="s">
        <v>260</v>
      </c>
      <c r="Z38" s="496"/>
      <c r="AA38" s="1045">
        <f>F4_PE_Lact_Cow_Day_kg*F4_Length_of_Lactation</f>
        <v>17.741601205519594</v>
      </c>
      <c r="AB38" s="465" t="s">
        <v>240</v>
      </c>
      <c r="AC38" s="497"/>
    </row>
    <row r="39" spans="1:29">
      <c r="A39" s="209" t="s">
        <v>161</v>
      </c>
      <c r="B39" s="358"/>
      <c r="C39" s="1042">
        <f>F1_PE_Lact_Cow_Life_kg*Defaults!$D$8</f>
        <v>174.31447196981605</v>
      </c>
      <c r="D39" s="225" t="s">
        <v>258</v>
      </c>
      <c r="E39" s="382"/>
      <c r="F39" s="1042">
        <f>(F1_PE_Lact_Cow_Day_kg*F1_Length_of_Lactation*F1_Number_of_Lactations) + (F1_PE_Dry_Cow_Day_kg * F1_Dryoff_Period*(F1_Number_of_Lactations-1)) + (F1_PE_Heifer_Day_kg *( F1_Age_at_1st_Birthing*30.4-365)) + (F1_PE_Calf_Day_kg * 365)</f>
        <v>79.067700903880635</v>
      </c>
      <c r="G39" s="186" t="s">
        <v>255</v>
      </c>
      <c r="H39" s="382"/>
      <c r="I39" s="360"/>
      <c r="J39" s="1043">
        <f>F2_PE_Lact_Cow_Life_kg*Defaults!$D$8</f>
        <v>182.4520830507486</v>
      </c>
      <c r="K39" s="226" t="s">
        <v>258</v>
      </c>
      <c r="L39" s="96"/>
      <c r="M39" s="1043">
        <f>(F2_PE_Lact_Cow_Day_kg*F2_Length_of_Lactation*F2_Number_of_Lactations) + (F2_PE_Dry_Cow_Day_kg * F2_Dryoff_Period*(F2_Number_of_Lactations-1)) + (F2_PE_Heifer_Day_kg *( F2_Age_at_1st_Birthing*30.4-365)) + (F2_PE_Calf_Day_kg * 365)</f>
        <v>82.758858567087699</v>
      </c>
      <c r="N39" s="44" t="s">
        <v>255</v>
      </c>
      <c r="O39" s="96"/>
      <c r="P39" s="493"/>
      <c r="Q39" s="1044">
        <f>F3_PE_Lact_Cow_Life_kg*Defaults!$D$8</f>
        <v>266.9395250485374</v>
      </c>
      <c r="R39" s="431" t="s">
        <v>258</v>
      </c>
      <c r="S39" s="494"/>
      <c r="T39" s="1044">
        <f>(F3_PE_Lact_Cow_Day_kg*F3_Length_of_Lactation*F3_Number_of_Lactations) + (F3_PE_Dry_Cow_Day_kg * F3_Dryoff_Period*(F3_Number_of_Lactations-1)) + (F3_PE_Heifer_Day_kg *( F3_Age_at_1st_Birthing*30.4-365)) + (F3_PE_Calf_Day_kg * 365)</f>
        <v>121.08171104471712</v>
      </c>
      <c r="U39" s="511" t="s">
        <v>255</v>
      </c>
      <c r="V39" s="495"/>
      <c r="W39" s="496"/>
      <c r="X39" s="1045">
        <f>F4_PE_Lact_Cow_Life_kg*Defaults!$D$8</f>
        <v>211.62501673016587</v>
      </c>
      <c r="Y39" s="434" t="s">
        <v>258</v>
      </c>
      <c r="Z39" s="496"/>
      <c r="AA39" s="1045">
        <f>(F4_PE_Lact_Cow_Day_kg*F4_Length_of_Lactation*F4_Number_of_Lactations) + (F4_PE_Dry_Cow_Day_kg * F4_Dryoff_Period*(F4_Number_of_Lactations-1)) + (F4_PE_Heifer_Day_kg *( F4_Age_at_1st_Birthing*30.4-365)) + (F4_PE_Calf_Day_kg * 365)</f>
        <v>95.991476424842631</v>
      </c>
      <c r="AB39" s="465" t="s">
        <v>255</v>
      </c>
      <c r="AC39" s="497"/>
    </row>
    <row r="40" spans="1:29">
      <c r="A40" s="209" t="s">
        <v>236</v>
      </c>
      <c r="B40" s="358"/>
      <c r="C40" s="1074">
        <f>F1_PE_Lact_Cow_Life_lb/F1_Age_at_EOL</f>
        <v>38.939780184978694</v>
      </c>
      <c r="D40" s="225" t="s">
        <v>261</v>
      </c>
      <c r="E40" s="382"/>
      <c r="F40" s="1074">
        <f>F1_PE_Lact_Cow_Life_kg/F1_Age_at_EOL</f>
        <v>17.6627841517478</v>
      </c>
      <c r="G40" s="186" t="s">
        <v>38</v>
      </c>
      <c r="H40" s="382"/>
      <c r="I40" s="360"/>
      <c r="J40" s="1081">
        <f>F2_PE_Lact_Cow_Life_lb/F2_Age_at_EOL</f>
        <v>38.686070784197028</v>
      </c>
      <c r="K40" s="226" t="s">
        <v>261</v>
      </c>
      <c r="L40" s="96"/>
      <c r="M40" s="1081">
        <f>F2_PE_Lact_Cow_Life_kg/F2_Age_at_EOL</f>
        <v>17.547703523095343</v>
      </c>
      <c r="N40" s="44" t="s">
        <v>38</v>
      </c>
      <c r="O40" s="96"/>
      <c r="P40" s="493"/>
      <c r="Q40" s="1085">
        <f>F3_PE_Lact_Cow_Life_lb/F3_Age_at_EOL</f>
        <v>42.736484017883996</v>
      </c>
      <c r="R40" s="431" t="s">
        <v>261</v>
      </c>
      <c r="S40" s="494"/>
      <c r="T40" s="1085">
        <f>F3_PE_Lact_Cow_Life_kg/F3_Age_at_EOL</f>
        <v>19.384939746108063</v>
      </c>
      <c r="U40" s="511" t="s">
        <v>38</v>
      </c>
      <c r="V40" s="495"/>
      <c r="W40" s="496"/>
      <c r="X40" s="1089">
        <f>F4_PE_Lact_Cow_Life_lb/F4_Age_at_EOL</f>
        <v>32.82117215365453</v>
      </c>
      <c r="Y40" s="434" t="s">
        <v>261</v>
      </c>
      <c r="Z40" s="496"/>
      <c r="AA40" s="1089">
        <f>F4_PE_Lact_Cow_Life_kg/F4_Age_at_EOL</f>
        <v>14.887430709765127</v>
      </c>
      <c r="AB40" s="465" t="s">
        <v>38</v>
      </c>
      <c r="AC40" s="497"/>
    </row>
    <row r="41" spans="1:29" ht="5.25" customHeight="1">
      <c r="A41" s="286"/>
      <c r="B41" s="498"/>
      <c r="C41" s="499"/>
      <c r="D41" s="499"/>
      <c r="E41" s="499"/>
      <c r="F41" s="499"/>
      <c r="G41" s="499"/>
      <c r="H41" s="499"/>
      <c r="I41" s="500"/>
      <c r="J41" s="501"/>
      <c r="K41" s="501"/>
      <c r="L41" s="501"/>
      <c r="M41" s="501"/>
      <c r="N41" s="501"/>
      <c r="O41" s="501"/>
      <c r="P41" s="502"/>
      <c r="Q41" s="503"/>
      <c r="R41" s="503"/>
      <c r="S41" s="503"/>
      <c r="T41" s="503"/>
      <c r="U41" s="503"/>
      <c r="V41" s="504"/>
      <c r="W41" s="505"/>
      <c r="X41" s="505"/>
      <c r="Y41" s="505"/>
      <c r="Z41" s="505"/>
      <c r="AA41" s="505"/>
      <c r="AB41" s="505"/>
      <c r="AC41" s="506"/>
    </row>
    <row r="42" spans="1:29" ht="5.25" customHeight="1">
      <c r="A42" s="281"/>
      <c r="B42" s="358"/>
      <c r="C42" s="382"/>
      <c r="D42" s="382"/>
      <c r="E42" s="382"/>
      <c r="F42" s="382"/>
      <c r="G42" s="382"/>
      <c r="H42" s="382"/>
      <c r="I42" s="360"/>
      <c r="J42" s="96"/>
      <c r="K42" s="96"/>
      <c r="L42" s="96"/>
      <c r="M42" s="96"/>
      <c r="N42" s="96"/>
      <c r="O42" s="96"/>
      <c r="P42" s="493"/>
      <c r="Q42" s="494"/>
      <c r="R42" s="494"/>
      <c r="S42" s="494"/>
      <c r="T42" s="494"/>
      <c r="U42" s="494"/>
      <c r="V42" s="495"/>
      <c r="W42" s="496"/>
      <c r="X42" s="496"/>
      <c r="Y42" s="496"/>
      <c r="Z42" s="496"/>
      <c r="AA42" s="496"/>
      <c r="AB42" s="496"/>
      <c r="AC42" s="497"/>
    </row>
    <row r="43" spans="1:29">
      <c r="A43" s="621" t="s">
        <v>1426</v>
      </c>
      <c r="B43" s="358"/>
      <c r="C43" s="382"/>
      <c r="D43" s="382"/>
      <c r="E43" s="382"/>
      <c r="F43" s="382"/>
      <c r="G43" s="382"/>
      <c r="H43" s="382"/>
      <c r="I43" s="360"/>
      <c r="J43" s="96"/>
      <c r="K43" s="96"/>
      <c r="L43" s="96"/>
      <c r="M43" s="96"/>
      <c r="N43" s="96"/>
      <c r="O43" s="96"/>
      <c r="P43" s="493"/>
      <c r="Q43" s="494"/>
      <c r="R43" s="494"/>
      <c r="S43" s="494"/>
      <c r="T43" s="494"/>
      <c r="U43" s="494"/>
      <c r="V43" s="495"/>
      <c r="W43" s="496"/>
      <c r="X43" s="496"/>
      <c r="Y43" s="496"/>
      <c r="Z43" s="496"/>
      <c r="AA43" s="496"/>
      <c r="AB43" s="496"/>
      <c r="AC43" s="497"/>
    </row>
    <row r="44" spans="1:29">
      <c r="A44" s="209" t="s">
        <v>1634</v>
      </c>
      <c r="B44" s="358"/>
      <c r="C44" s="1076"/>
      <c r="D44" s="225"/>
      <c r="E44" s="382"/>
      <c r="F44" s="1095">
        <f>F1_KE_Lact_Cow_Day_kg/F1_Unadjusted_Milk_Production_kg_day</f>
        <v>6.3500914593241182E-3</v>
      </c>
      <c r="G44" s="186" t="s">
        <v>256</v>
      </c>
      <c r="H44" s="382"/>
      <c r="I44" s="360"/>
      <c r="J44" s="1080"/>
      <c r="K44" s="226"/>
      <c r="L44" s="96"/>
      <c r="M44" s="1093">
        <f>F2_KE_Lact_Cow_Day_kg/F2_Unadjusted_Milk_Production_kg_day</f>
        <v>6.8469210549805051E-3</v>
      </c>
      <c r="N44" s="44" t="s">
        <v>256</v>
      </c>
      <c r="O44" s="96"/>
      <c r="P44" s="493"/>
      <c r="Q44" s="1084"/>
      <c r="R44" s="431"/>
      <c r="S44" s="494"/>
      <c r="T44" s="1105">
        <f>F3_KE_Lact_Cow_Day_kg/F3_Unadjusted_Milk_Production_kg_day</f>
        <v>7.1115469186251905E-3</v>
      </c>
      <c r="U44" s="511" t="s">
        <v>256</v>
      </c>
      <c r="V44" s="495"/>
      <c r="W44" s="496"/>
      <c r="X44" s="1088"/>
      <c r="Y44" s="434"/>
      <c r="Z44" s="496"/>
      <c r="AA44" s="1104">
        <f>F4_KE_Lact_Cow_Day_kg/F4_Unadjusted_Milk_Production_kg_day</f>
        <v>5.780298283917051E-3</v>
      </c>
      <c r="AB44" s="465" t="s">
        <v>256</v>
      </c>
      <c r="AC44" s="497"/>
    </row>
    <row r="45" spans="1:29">
      <c r="A45" s="209" t="s">
        <v>1635</v>
      </c>
      <c r="B45" s="358"/>
      <c r="C45" s="1076"/>
      <c r="D45" s="225"/>
      <c r="E45" s="382"/>
      <c r="F45" s="1095">
        <f>F1_KE_Lact_Cow_Day_kg/F1_ECM_Production_kg_day</f>
        <v>6.4428687696064515E-3</v>
      </c>
      <c r="G45" s="186" t="s">
        <v>256</v>
      </c>
      <c r="H45" s="382"/>
      <c r="I45" s="360"/>
      <c r="J45" s="1080"/>
      <c r="K45" s="226"/>
      <c r="L45" s="96"/>
      <c r="M45" s="1093">
        <f>F2_KE_Lact_Cow_Day_kg/F2_ECM_Production_kg_day</f>
        <v>6.7356083907155404E-3</v>
      </c>
      <c r="N45" s="44" t="s">
        <v>256</v>
      </c>
      <c r="O45" s="96"/>
      <c r="P45" s="493"/>
      <c r="Q45" s="1084"/>
      <c r="R45" s="431"/>
      <c r="S45" s="494"/>
      <c r="T45" s="1105">
        <f>F3_KE_Lact_Cow_Day_kg/F3_ECM_Production_kg_day</f>
        <v>6.802378802071061E-3</v>
      </c>
      <c r="U45" s="511" t="s">
        <v>256</v>
      </c>
      <c r="V45" s="495"/>
      <c r="W45" s="496"/>
      <c r="X45" s="1088"/>
      <c r="Y45" s="434"/>
      <c r="Z45" s="496"/>
      <c r="AA45" s="1104">
        <f>F4_KE_Lact_Cow_Day_kg/F4_ECM_Production_kg_day</f>
        <v>4.7855697547042296E-3</v>
      </c>
      <c r="AB45" s="465" t="s">
        <v>256</v>
      </c>
      <c r="AC45" s="497"/>
    </row>
    <row r="46" spans="1:29">
      <c r="A46" s="209" t="s">
        <v>250</v>
      </c>
      <c r="B46" s="358"/>
      <c r="C46" s="1096">
        <f>F1_KE_Lact_Cow_Day_kg * Defaults!$D$8</f>
        <v>0.4762568594493089</v>
      </c>
      <c r="D46" s="225" t="s">
        <v>259</v>
      </c>
      <c r="E46" s="382"/>
      <c r="F46" s="1090">
        <f>F1_KE_Lact_Cow_Day_kg</f>
        <v>0.21602644055210748</v>
      </c>
      <c r="G46" s="186" t="s">
        <v>37</v>
      </c>
      <c r="H46" s="382"/>
      <c r="I46" s="360"/>
      <c r="J46" s="1097">
        <f>F2_KE_Lact_Cow_Day_kg * Defaults!$D$8</f>
        <v>0.44504986857373285</v>
      </c>
      <c r="K46" s="226" t="s">
        <v>259</v>
      </c>
      <c r="L46" s="96"/>
      <c r="M46" s="1091">
        <f>F2_KE_Lact_Cow_Day_kg</f>
        <v>0.2018711900282873</v>
      </c>
      <c r="N46" s="44" t="s">
        <v>37</v>
      </c>
      <c r="O46" s="96"/>
      <c r="P46" s="493"/>
      <c r="Q46" s="1098">
        <f>F3_KE_Lact_Cow_Day_kg * Defaults!$D$8</f>
        <v>0.42669281511751139</v>
      </c>
      <c r="R46" s="431" t="s">
        <v>259</v>
      </c>
      <c r="S46" s="494"/>
      <c r="T46" s="1101">
        <f>F3_KE_Lact_Cow_Day_kg</f>
        <v>0.19354457207309883</v>
      </c>
      <c r="U46" s="511" t="s">
        <v>37</v>
      </c>
      <c r="V46" s="495"/>
      <c r="W46" s="496"/>
      <c r="X46" s="1099">
        <f>F4_KE_Lact_Cow_Day_kg * Defaults!$D$8</f>
        <v>0.28901491419585251</v>
      </c>
      <c r="Y46" s="434" t="s">
        <v>259</v>
      </c>
      <c r="Z46" s="496"/>
      <c r="AA46" s="1100">
        <f>F4_KE_Lact_Cow_Day_kg</f>
        <v>0.13109493740918629</v>
      </c>
      <c r="AB46" s="465" t="s">
        <v>37</v>
      </c>
      <c r="AC46" s="497"/>
    </row>
    <row r="47" spans="1:29">
      <c r="A47" s="209" t="s">
        <v>237</v>
      </c>
      <c r="B47" s="358"/>
      <c r="C47" s="1042">
        <f>F1_KE_Lact_Cow_Day_lb*F1_Length_of_Lactation</f>
        <v>195.27255976120827</v>
      </c>
      <c r="D47" s="225" t="s">
        <v>260</v>
      </c>
      <c r="E47" s="382"/>
      <c r="F47" s="1042">
        <f>F1_KE_Lact_Cow_Day_kg*F1_Length_of_Lactation</f>
        <v>88.574127985242043</v>
      </c>
      <c r="G47" s="186" t="s">
        <v>240</v>
      </c>
      <c r="H47" s="382"/>
      <c r="I47" s="360"/>
      <c r="J47" s="1043">
        <f>F2_KE_Lact_Cow_Day_lb*F2_Length_of_Lactation</f>
        <v>174.21074951823073</v>
      </c>
      <c r="K47" s="226" t="s">
        <v>260</v>
      </c>
      <c r="L47" s="96"/>
      <c r="M47" s="1043">
        <f>F2_KE_Lact_Cow_Day_kg*F2_Length_of_Lactation</f>
        <v>79.02065319931377</v>
      </c>
      <c r="N47" s="44" t="s">
        <v>240</v>
      </c>
      <c r="O47" s="96"/>
      <c r="P47" s="493"/>
      <c r="Q47" s="1044">
        <f>F3_KE_Lact_Cow_Day_lb*F3_Length_of_Lactation</f>
        <v>143.72692804561524</v>
      </c>
      <c r="R47" s="431" t="s">
        <v>260</v>
      </c>
      <c r="S47" s="494"/>
      <c r="T47" s="1044">
        <f>F3_KE_Lact_Cow_Day_kg*F3_Length_of_Lactation</f>
        <v>65.193426742629114</v>
      </c>
      <c r="U47" s="511" t="s">
        <v>240</v>
      </c>
      <c r="V47" s="495"/>
      <c r="W47" s="496"/>
      <c r="X47" s="1045">
        <f>F4_KE_Lact_Cow_Day_lb*F4_Length_of_Lactation</f>
        <v>90.322940984487829</v>
      </c>
      <c r="Y47" s="434" t="s">
        <v>260</v>
      </c>
      <c r="Z47" s="496"/>
      <c r="AA47" s="1045">
        <f>F4_KE_Lact_Cow_Day_kg*F4_Length_of_Lactation</f>
        <v>40.969789839118896</v>
      </c>
      <c r="AB47" s="465" t="s">
        <v>240</v>
      </c>
      <c r="AC47" s="497"/>
    </row>
    <row r="48" spans="1:29">
      <c r="A48" s="209" t="s">
        <v>161</v>
      </c>
      <c r="B48" s="358"/>
      <c r="C48" s="1042">
        <f>F1_KE_Lact_Cow_Life_kg*Defaults!$D$8</f>
        <v>562.33947271363763</v>
      </c>
      <c r="D48" s="225" t="s">
        <v>258</v>
      </c>
      <c r="E48" s="382"/>
      <c r="F48" s="1042">
        <f>(F1_KE_Lact_Cow_Day_kg*F1_Length_of_Lactation*F1_Number_of_Lactations) + (F1_KE_Dry_Cow_Day_kg * F1_Dryoff_Period*(F1_Number_of_Lactations-1)) + (F1_KE_Heifer_Day_kg *( F1_Age_at_1st_Birthing*30.4-365)) + (F1_KE_Calf_Day_kg * 365)</f>
        <v>255.0728504209734</v>
      </c>
      <c r="G48" s="186" t="s">
        <v>255</v>
      </c>
      <c r="H48" s="382"/>
      <c r="I48" s="360"/>
      <c r="J48" s="1043">
        <f>F2_KE_Lact_Cow_Life_kg*Defaults!$D$8</f>
        <v>577.78343365714954</v>
      </c>
      <c r="K48" s="226" t="s">
        <v>258</v>
      </c>
      <c r="L48" s="96"/>
      <c r="M48" s="1043">
        <f>(F2_KE_Lact_Cow_Day_kg*F2_Length_of_Lactation*F2_Number_of_Lactations) + (F2_KE_Dry_Cow_Day_kg * F2_Dryoff_Period*(F2_Number_of_Lactations-1)) + (F2_KE_Heifer_Day_kg *( F2_Age_at_1st_Birthing*30.4-365)) + (F2_KE_Calf_Day_kg * 365)</f>
        <v>262.07811206594027</v>
      </c>
      <c r="N48" s="44" t="s">
        <v>255</v>
      </c>
      <c r="O48" s="96"/>
      <c r="P48" s="493"/>
      <c r="Q48" s="1044">
        <f>F3_KE_Lact_Cow_Life_kg*Defaults!$D$8</f>
        <v>790.67401982746276</v>
      </c>
      <c r="R48" s="431" t="s">
        <v>258</v>
      </c>
      <c r="S48" s="494"/>
      <c r="T48" s="1044">
        <f>(F3_KE_Lact_Cow_Day_kg*F3_Length_of_Lactation*F3_Number_of_Lactations) + (F3_KE_Dry_Cow_Day_kg * F3_Dryoff_Period*(F3_Number_of_Lactations-1)) + (F3_KE_Heifer_Day_kg *( F3_Age_at_1st_Birthing*30.4-365)) + (F3_KE_Calf_Day_kg * 365)</f>
        <v>358.64364103407371</v>
      </c>
      <c r="U48" s="511" t="s">
        <v>255</v>
      </c>
      <c r="V48" s="495"/>
      <c r="W48" s="496"/>
      <c r="X48" s="1045">
        <f>F4_KE_Lact_Cow_Life_kg*Defaults!$D$8</f>
        <v>433.22535920742342</v>
      </c>
      <c r="Y48" s="434" t="s">
        <v>258</v>
      </c>
      <c r="Z48" s="496"/>
      <c r="AA48" s="1045">
        <f>(F4_KE_Lact_Cow_Day_kg*F4_Length_of_Lactation*F4_Number_of_Lactations) + (F4_KE_Dry_Cow_Day_kg * F4_Dryoff_Period*(F4_Number_of_Lactations-1)) + (F4_KE_Heifer_Day_kg *( F4_Age_at_1st_Birthing*30.4-365)) + (F4_KE_Calf_Day_kg * 365)</f>
        <v>196.50768372071931</v>
      </c>
      <c r="AB48" s="465" t="s">
        <v>255</v>
      </c>
      <c r="AC48" s="497"/>
    </row>
    <row r="49" spans="1:29">
      <c r="A49" s="209" t="s">
        <v>236</v>
      </c>
      <c r="B49" s="358"/>
      <c r="C49" s="1074">
        <f>F1_KE_Lact_Cow_Life_lb/F1_Age_at_EOL</f>
        <v>125.6199511684697</v>
      </c>
      <c r="D49" s="225" t="s">
        <v>261</v>
      </c>
      <c r="E49" s="382"/>
      <c r="F49" s="1074">
        <f>F1_KE_Lact_Cow_Life_kg/F1_Age_at_EOL</f>
        <v>56.980241596168455</v>
      </c>
      <c r="G49" s="186" t="s">
        <v>38</v>
      </c>
      <c r="H49" s="382"/>
      <c r="I49" s="360"/>
      <c r="J49" s="1081">
        <f>F2_KE_Lact_Cow_Life_lb/F2_Age_at_EOL</f>
        <v>122.50981429562354</v>
      </c>
      <c r="K49" s="226" t="s">
        <v>261</v>
      </c>
      <c r="L49" s="96"/>
      <c r="M49" s="1081">
        <f>F2_KE_Lact_Cow_Life_kg/F2_Age_at_EOL</f>
        <v>55.569507482968078</v>
      </c>
      <c r="N49" s="44" t="s">
        <v>38</v>
      </c>
      <c r="O49" s="96"/>
      <c r="P49" s="493"/>
      <c r="Q49" s="1085">
        <f>F3_KE_Lact_Cow_Life_lb/F3_Age_at_EOL</f>
        <v>126.58532903873389</v>
      </c>
      <c r="R49" s="431" t="s">
        <v>261</v>
      </c>
      <c r="S49" s="494"/>
      <c r="T49" s="1085">
        <f>F3_KE_Lact_Cow_Life_kg/F3_Age_at_EOL</f>
        <v>57.41812955717775</v>
      </c>
      <c r="U49" s="511" t="s">
        <v>38</v>
      </c>
      <c r="V49" s="495"/>
      <c r="W49" s="496"/>
      <c r="X49" s="1089">
        <f>F4_KE_Lact_Cow_Life_lb/F4_Age_at_EOL</f>
        <v>67.189429281915508</v>
      </c>
      <c r="Y49" s="434" t="s">
        <v>261</v>
      </c>
      <c r="Z49" s="496"/>
      <c r="AA49" s="1089">
        <f>F4_KE_Lact_Cow_Life_kg/F4_Age_at_EOL</f>
        <v>30.476607239385373</v>
      </c>
      <c r="AB49" s="465" t="s">
        <v>38</v>
      </c>
      <c r="AC49" s="497"/>
    </row>
    <row r="50" spans="1:29" ht="5.25" customHeight="1">
      <c r="A50" s="286"/>
      <c r="B50" s="498"/>
      <c r="C50" s="499"/>
      <c r="D50" s="499"/>
      <c r="E50" s="499"/>
      <c r="F50" s="499"/>
      <c r="G50" s="499"/>
      <c r="H50" s="499"/>
      <c r="I50" s="500"/>
      <c r="J50" s="501"/>
      <c r="K50" s="501"/>
      <c r="L50" s="501"/>
      <c r="M50" s="501"/>
      <c r="N50" s="501"/>
      <c r="O50" s="501"/>
      <c r="P50" s="502"/>
      <c r="Q50" s="503"/>
      <c r="R50" s="503"/>
      <c r="S50" s="503"/>
      <c r="T50" s="503"/>
      <c r="U50" s="503"/>
      <c r="V50" s="504"/>
      <c r="W50" s="505"/>
      <c r="X50" s="505"/>
      <c r="Y50" s="505"/>
      <c r="Z50" s="505"/>
      <c r="AA50" s="505"/>
      <c r="AB50" s="505"/>
      <c r="AC50" s="506"/>
    </row>
    <row r="51" spans="1:29" ht="32.25" customHeight="1">
      <c r="A51" s="3958" t="s">
        <v>474</v>
      </c>
      <c r="B51" s="3959"/>
      <c r="C51" s="3959"/>
      <c r="D51" s="3959"/>
      <c r="E51" s="3959"/>
      <c r="F51" s="3959"/>
      <c r="G51" s="3959"/>
      <c r="H51" s="3959"/>
      <c r="I51" s="3959"/>
      <c r="J51" s="3959"/>
      <c r="K51" s="3959"/>
      <c r="L51" s="3959"/>
      <c r="M51" s="3959"/>
      <c r="N51" s="3959"/>
      <c r="O51" s="3959"/>
      <c r="P51" s="3959"/>
      <c r="Q51" s="3959"/>
      <c r="R51" s="3959"/>
      <c r="S51" s="3959"/>
      <c r="T51" s="3959"/>
      <c r="U51" s="3959"/>
      <c r="V51" s="3959"/>
      <c r="W51" s="3959"/>
      <c r="X51" s="3959"/>
      <c r="Y51" s="3959"/>
      <c r="Z51" s="3959"/>
      <c r="AA51" s="3959"/>
      <c r="AB51" s="3959"/>
      <c r="AC51" s="1041"/>
    </row>
    <row r="52" spans="1:29" ht="5.25" customHeight="1">
      <c r="A52" s="281"/>
      <c r="B52" s="358"/>
      <c r="C52" s="382"/>
      <c r="D52" s="382"/>
      <c r="E52" s="382"/>
      <c r="F52" s="382"/>
      <c r="G52" s="382"/>
      <c r="H52" s="382"/>
      <c r="I52" s="360"/>
      <c r="J52" s="96"/>
      <c r="K52" s="96"/>
      <c r="L52" s="96"/>
      <c r="M52" s="96"/>
      <c r="N52" s="96"/>
      <c r="O52" s="96"/>
      <c r="P52" s="493"/>
      <c r="Q52" s="494"/>
      <c r="R52" s="494"/>
      <c r="S52" s="494"/>
      <c r="T52" s="494"/>
      <c r="U52" s="494"/>
      <c r="V52" s="495"/>
      <c r="W52" s="496"/>
      <c r="X52" s="496"/>
      <c r="Y52" s="496"/>
      <c r="Z52" s="496"/>
      <c r="AA52" s="496"/>
      <c r="AB52" s="496"/>
      <c r="AC52" s="497"/>
    </row>
    <row r="53" spans="1:29">
      <c r="A53" s="621" t="s">
        <v>1422</v>
      </c>
      <c r="B53" s="358"/>
      <c r="C53" s="382"/>
      <c r="D53" s="382"/>
      <c r="E53" s="382"/>
      <c r="F53" s="382"/>
      <c r="G53" s="382"/>
      <c r="H53" s="382"/>
      <c r="I53" s="360"/>
      <c r="J53" s="96"/>
      <c r="K53" s="96"/>
      <c r="L53" s="96"/>
      <c r="M53" s="96"/>
      <c r="N53" s="96"/>
      <c r="O53" s="96"/>
      <c r="P53" s="493"/>
      <c r="Q53" s="494"/>
      <c r="R53" s="494"/>
      <c r="S53" s="494"/>
      <c r="T53" s="494"/>
      <c r="U53" s="494"/>
      <c r="V53" s="495"/>
      <c r="W53" s="496"/>
      <c r="X53" s="496"/>
      <c r="Y53" s="496"/>
      <c r="Z53" s="496"/>
      <c r="AA53" s="496"/>
      <c r="AB53" s="496"/>
      <c r="AC53" s="497"/>
    </row>
    <row r="54" spans="1:29">
      <c r="A54" s="209" t="s">
        <v>381</v>
      </c>
      <c r="B54" s="358"/>
      <c r="C54" s="1077">
        <f>F54* Defaults!$D$8</f>
        <v>81.024304496000013</v>
      </c>
      <c r="D54" s="225" t="s">
        <v>259</v>
      </c>
      <c r="E54" s="382"/>
      <c r="F54" s="1075">
        <f>F1_TME_Dry_Cow_Day_kg</f>
        <v>36.752000000000002</v>
      </c>
      <c r="G54" s="186" t="s">
        <v>37</v>
      </c>
      <c r="H54" s="382"/>
      <c r="I54" s="360"/>
      <c r="J54" s="1078">
        <f>M54* Defaults!$D$8</f>
        <v>81.024304496000013</v>
      </c>
      <c r="K54" s="226" t="s">
        <v>259</v>
      </c>
      <c r="L54" s="96"/>
      <c r="M54" s="1079">
        <f>F2_TME_Dry_Cow_Day_kg</f>
        <v>36.752000000000002</v>
      </c>
      <c r="N54" s="44" t="s">
        <v>37</v>
      </c>
      <c r="O54" s="96"/>
      <c r="P54" s="493"/>
      <c r="Q54" s="1082">
        <f>T54* Defaults!$D$8</f>
        <v>81.024304496000013</v>
      </c>
      <c r="R54" s="431" t="s">
        <v>259</v>
      </c>
      <c r="S54" s="494"/>
      <c r="T54" s="1083">
        <f>F3_TME_Dry_Cow_Day_kg</f>
        <v>36.752000000000002</v>
      </c>
      <c r="U54" s="511" t="s">
        <v>37</v>
      </c>
      <c r="V54" s="495"/>
      <c r="W54" s="496"/>
      <c r="X54" s="1086">
        <f>AA54* Defaults!$D$8</f>
        <v>60.657792819867545</v>
      </c>
      <c r="Y54" s="434" t="s">
        <v>259</v>
      </c>
      <c r="Z54" s="496"/>
      <c r="AA54" s="1087">
        <f>F4_TME_Dry_Cow_Day_kg</f>
        <v>27.513907284768209</v>
      </c>
      <c r="AB54" s="465" t="s">
        <v>37</v>
      </c>
      <c r="AC54" s="497"/>
    </row>
    <row r="55" spans="1:29">
      <c r="A55" s="209" t="s">
        <v>382</v>
      </c>
      <c r="B55" s="358"/>
      <c r="C55" s="1077">
        <f>F55* Defaults!$D$8</f>
        <v>52.714387813320009</v>
      </c>
      <c r="D55" s="225" t="s">
        <v>259</v>
      </c>
      <c r="E55" s="382"/>
      <c r="F55" s="1075">
        <f>F1_TME_Heifer_Day_kg</f>
        <v>23.91084</v>
      </c>
      <c r="G55" s="186" t="s">
        <v>37</v>
      </c>
      <c r="H55" s="382"/>
      <c r="I55" s="360"/>
      <c r="J55" s="1078">
        <f>M55* Defaults!$D$8</f>
        <v>52.714387813320009</v>
      </c>
      <c r="K55" s="226" t="s">
        <v>259</v>
      </c>
      <c r="L55" s="96"/>
      <c r="M55" s="1079">
        <f>F2_TME_Heifer_Day_kg</f>
        <v>23.91084</v>
      </c>
      <c r="N55" s="44" t="s">
        <v>37</v>
      </c>
      <c r="O55" s="96"/>
      <c r="P55" s="493"/>
      <c r="Q55" s="1082">
        <f>T55* Defaults!$D$8</f>
        <v>52.714387813320009</v>
      </c>
      <c r="R55" s="431" t="s">
        <v>259</v>
      </c>
      <c r="S55" s="494"/>
      <c r="T55" s="1083">
        <f>F3_TME_Heifer_Day_kg</f>
        <v>23.91084</v>
      </c>
      <c r="U55" s="511" t="s">
        <v>37</v>
      </c>
      <c r="V55" s="495"/>
      <c r="W55" s="496"/>
      <c r="X55" s="1086">
        <f>AA55* Defaults!$D$8</f>
        <v>33.172669676574372</v>
      </c>
      <c r="Y55" s="434" t="s">
        <v>259</v>
      </c>
      <c r="Z55" s="496"/>
      <c r="AA55" s="1087">
        <f>F4_TME_Heifer_Day_kg</f>
        <v>15.04686727688787</v>
      </c>
      <c r="AB55" s="465" t="s">
        <v>37</v>
      </c>
      <c r="AC55" s="497"/>
    </row>
    <row r="56" spans="1:29">
      <c r="A56" s="209" t="s">
        <v>383</v>
      </c>
      <c r="B56" s="358"/>
      <c r="C56" s="1077">
        <f>F56* Defaults!$D$8</f>
        <v>25.665599112261127</v>
      </c>
      <c r="D56" s="225" t="s">
        <v>259</v>
      </c>
      <c r="E56" s="382"/>
      <c r="F56" s="1075">
        <f>F1_TME_Calf_Day_kg</f>
        <v>11.641717931937173</v>
      </c>
      <c r="G56" s="186" t="s">
        <v>37</v>
      </c>
      <c r="H56" s="382"/>
      <c r="I56" s="360"/>
      <c r="J56" s="1078">
        <f>M56* Defaults!$D$8</f>
        <v>25.665599112261127</v>
      </c>
      <c r="K56" s="226" t="s">
        <v>259</v>
      </c>
      <c r="L56" s="96"/>
      <c r="M56" s="1079">
        <f>F2_TME_Calf_Day_kg</f>
        <v>11.641717931937173</v>
      </c>
      <c r="N56" s="44" t="s">
        <v>37</v>
      </c>
      <c r="O56" s="96"/>
      <c r="P56" s="493"/>
      <c r="Q56" s="1082">
        <f>T56* Defaults!$D$8</f>
        <v>25.665599112261127</v>
      </c>
      <c r="R56" s="431" t="s">
        <v>259</v>
      </c>
      <c r="S56" s="494"/>
      <c r="T56" s="1083">
        <f>F3_TME_Calf_Day_kg</f>
        <v>11.641717931937173</v>
      </c>
      <c r="U56" s="511" t="s">
        <v>37</v>
      </c>
      <c r="V56" s="495"/>
      <c r="W56" s="496"/>
      <c r="X56" s="1086">
        <f>AA56* Defaults!$D$8</f>
        <v>16.774901380562831</v>
      </c>
      <c r="Y56" s="434" t="s">
        <v>259</v>
      </c>
      <c r="Z56" s="496"/>
      <c r="AA56" s="1087">
        <f>F4_TME_Calf_Day_kg</f>
        <v>7.6089659685863875</v>
      </c>
      <c r="AB56" s="465" t="s">
        <v>37</v>
      </c>
      <c r="AC56" s="497"/>
    </row>
    <row r="57" spans="1:29" ht="5.25" customHeight="1">
      <c r="A57" s="286"/>
      <c r="B57" s="498"/>
      <c r="C57" s="499"/>
      <c r="D57" s="499"/>
      <c r="E57" s="499"/>
      <c r="F57" s="499"/>
      <c r="G57" s="499"/>
      <c r="H57" s="499"/>
      <c r="I57" s="500"/>
      <c r="J57" s="501"/>
      <c r="K57" s="501"/>
      <c r="L57" s="501"/>
      <c r="M57" s="501"/>
      <c r="N57" s="501"/>
      <c r="O57" s="501"/>
      <c r="P57" s="502"/>
      <c r="Q57" s="503"/>
      <c r="R57" s="503"/>
      <c r="S57" s="503"/>
      <c r="T57" s="503"/>
      <c r="U57" s="503"/>
      <c r="V57" s="504"/>
      <c r="W57" s="505"/>
      <c r="X57" s="505"/>
      <c r="Y57" s="505"/>
      <c r="Z57" s="505"/>
      <c r="AA57" s="505"/>
      <c r="AB57" s="505"/>
      <c r="AC57" s="506"/>
    </row>
    <row r="58" spans="1:29" ht="5.25" customHeight="1">
      <c r="A58" s="281"/>
      <c r="B58" s="358"/>
      <c r="C58" s="382"/>
      <c r="D58" s="382"/>
      <c r="E58" s="382"/>
      <c r="F58" s="382"/>
      <c r="G58" s="382"/>
      <c r="H58" s="382"/>
      <c r="I58" s="360"/>
      <c r="J58" s="96"/>
      <c r="K58" s="96"/>
      <c r="L58" s="96"/>
      <c r="M58" s="96"/>
      <c r="N58" s="96"/>
      <c r="O58" s="96"/>
      <c r="P58" s="493"/>
      <c r="Q58" s="494"/>
      <c r="R58" s="494"/>
      <c r="S58" s="494"/>
      <c r="T58" s="494"/>
      <c r="U58" s="494"/>
      <c r="V58" s="495"/>
      <c r="W58" s="496"/>
      <c r="X58" s="496"/>
      <c r="Y58" s="496"/>
      <c r="Z58" s="496"/>
      <c r="AA58" s="496"/>
      <c r="AB58" s="496"/>
      <c r="AC58" s="497"/>
    </row>
    <row r="59" spans="1:29">
      <c r="A59" s="621" t="s">
        <v>1423</v>
      </c>
      <c r="B59" s="358"/>
      <c r="C59" s="382"/>
      <c r="D59" s="382"/>
      <c r="E59" s="382"/>
      <c r="F59" s="382"/>
      <c r="G59" s="382"/>
      <c r="H59" s="382"/>
      <c r="I59" s="360"/>
      <c r="J59" s="96"/>
      <c r="K59" s="96"/>
      <c r="L59" s="96"/>
      <c r="M59" s="96"/>
      <c r="N59" s="96"/>
      <c r="O59" s="96"/>
      <c r="P59" s="493"/>
      <c r="Q59" s="494"/>
      <c r="R59" s="494"/>
      <c r="S59" s="494"/>
      <c r="T59" s="494"/>
      <c r="U59" s="494"/>
      <c r="V59" s="495"/>
      <c r="W59" s="496"/>
      <c r="X59" s="496"/>
      <c r="Y59" s="496"/>
      <c r="Z59" s="496"/>
      <c r="AA59" s="496"/>
      <c r="AB59" s="496"/>
      <c r="AC59" s="497"/>
    </row>
    <row r="60" spans="1:29">
      <c r="A60" s="209" t="s">
        <v>381</v>
      </c>
      <c r="B60" s="358"/>
      <c r="C60" s="1077">
        <f>F60* Defaults!$D$8</f>
        <v>9.9260945952000004</v>
      </c>
      <c r="D60" s="225" t="s">
        <v>259</v>
      </c>
      <c r="E60" s="382"/>
      <c r="F60" s="1090">
        <f>F1_DME_Dry_Cow_Day_kg</f>
        <v>4.5023999999999997</v>
      </c>
      <c r="G60" s="186" t="s">
        <v>37</v>
      </c>
      <c r="H60" s="382"/>
      <c r="I60" s="360"/>
      <c r="J60" s="1078">
        <f>M60* Defaults!$D$8</f>
        <v>9.9260945952000004</v>
      </c>
      <c r="K60" s="226" t="s">
        <v>259</v>
      </c>
      <c r="L60" s="96"/>
      <c r="M60" s="1091">
        <f>F2_DME_Dry_Cow_Day_kg</f>
        <v>4.5023999999999997</v>
      </c>
      <c r="N60" s="44" t="s">
        <v>37</v>
      </c>
      <c r="O60" s="96"/>
      <c r="P60" s="493"/>
      <c r="Q60" s="1082">
        <f>T60* Defaults!$D$8</f>
        <v>9.9260945952000004</v>
      </c>
      <c r="R60" s="431" t="s">
        <v>259</v>
      </c>
      <c r="S60" s="494"/>
      <c r="T60" s="1101">
        <f>F3_DME_Dry_Cow_Day_kg</f>
        <v>4.5023999999999997</v>
      </c>
      <c r="U60" s="511" t="s">
        <v>37</v>
      </c>
      <c r="V60" s="495"/>
      <c r="W60" s="496"/>
      <c r="X60" s="1086">
        <f>AA60* Defaults!$D$8</f>
        <v>7.1692587941721868</v>
      </c>
      <c r="Y60" s="434" t="s">
        <v>259</v>
      </c>
      <c r="Z60" s="496"/>
      <c r="AA60" s="1100">
        <f>F4_DME_Dry_Cow_Day_kg</f>
        <v>3.2519205298013247</v>
      </c>
      <c r="AB60" s="465" t="s">
        <v>37</v>
      </c>
      <c r="AC60" s="497"/>
    </row>
    <row r="61" spans="1:29">
      <c r="A61" s="209" t="s">
        <v>382</v>
      </c>
      <c r="B61" s="358"/>
      <c r="C61" s="1077">
        <f>F61* Defaults!$D$8</f>
        <v>8.3093122719199997</v>
      </c>
      <c r="D61" s="225" t="s">
        <v>259</v>
      </c>
      <c r="E61" s="382"/>
      <c r="F61" s="1090">
        <f>F1_DME_Heifer_Day_kg</f>
        <v>3.7690399999999995</v>
      </c>
      <c r="G61" s="186" t="s">
        <v>37</v>
      </c>
      <c r="H61" s="382"/>
      <c r="I61" s="360"/>
      <c r="J61" s="1078">
        <f>M61* Defaults!$D$8</f>
        <v>8.3093122719199997</v>
      </c>
      <c r="K61" s="226" t="s">
        <v>259</v>
      </c>
      <c r="L61" s="96"/>
      <c r="M61" s="1091">
        <f>F2_DME_Heifer_Day_kg</f>
        <v>3.7690399999999995</v>
      </c>
      <c r="N61" s="44" t="s">
        <v>37</v>
      </c>
      <c r="O61" s="96"/>
      <c r="P61" s="493"/>
      <c r="Q61" s="1082">
        <f>T61* Defaults!$D$8</f>
        <v>8.3093122719199997</v>
      </c>
      <c r="R61" s="431" t="s">
        <v>259</v>
      </c>
      <c r="S61" s="494"/>
      <c r="T61" s="1101">
        <f>F3_DME_Heifer_Day_kg</f>
        <v>3.7690399999999995</v>
      </c>
      <c r="U61" s="511" t="s">
        <v>37</v>
      </c>
      <c r="V61" s="495"/>
      <c r="W61" s="496"/>
      <c r="X61" s="1086">
        <f>AA61* Defaults!$D$8</f>
        <v>5.8827917976613273</v>
      </c>
      <c r="Y61" s="434" t="s">
        <v>259</v>
      </c>
      <c r="Z61" s="496"/>
      <c r="AA61" s="1100">
        <f>F4_DME_Heifer_Day_kg</f>
        <v>2.6683890160183066</v>
      </c>
      <c r="AB61" s="465" t="s">
        <v>37</v>
      </c>
      <c r="AC61" s="497"/>
    </row>
    <row r="62" spans="1:29">
      <c r="A62" s="209" t="s">
        <v>383</v>
      </c>
      <c r="B62" s="358"/>
      <c r="C62" s="1077">
        <f>F62* Defaults!$D$8</f>
        <v>2.9236465075706155</v>
      </c>
      <c r="D62" s="225" t="s">
        <v>259</v>
      </c>
      <c r="E62" s="382"/>
      <c r="F62" s="1090">
        <f>F1_DME_Calf_Day_kg</f>
        <v>1.3261435209424084</v>
      </c>
      <c r="G62" s="186" t="s">
        <v>37</v>
      </c>
      <c r="H62" s="382"/>
      <c r="I62" s="360"/>
      <c r="J62" s="1078">
        <f>M62* Defaults!$D$8</f>
        <v>2.9236465075706155</v>
      </c>
      <c r="K62" s="226" t="s">
        <v>259</v>
      </c>
      <c r="L62" s="96"/>
      <c r="M62" s="1091">
        <f>F2_DME_Calf_Day_kg</f>
        <v>1.3261435209424084</v>
      </c>
      <c r="N62" s="44" t="s">
        <v>37</v>
      </c>
      <c r="O62" s="96"/>
      <c r="P62" s="493"/>
      <c r="Q62" s="1082">
        <f>T62* Defaults!$D$8</f>
        <v>2.9236465075706155</v>
      </c>
      <c r="R62" s="431" t="s">
        <v>259</v>
      </c>
      <c r="S62" s="494"/>
      <c r="T62" s="1101">
        <f>F3_DME_Calf_Day_kg</f>
        <v>1.3261435209424084</v>
      </c>
      <c r="U62" s="511" t="s">
        <v>37</v>
      </c>
      <c r="V62" s="495"/>
      <c r="W62" s="496"/>
      <c r="X62" s="1086">
        <f>AA62* Defaults!$D$8</f>
        <v>1.9108800703075917</v>
      </c>
      <c r="Y62" s="434" t="s">
        <v>259</v>
      </c>
      <c r="Z62" s="496"/>
      <c r="AA62" s="1100">
        <f>F4_DME_Calf_Day_kg</f>
        <v>0.86676047120418842</v>
      </c>
      <c r="AB62" s="465" t="s">
        <v>37</v>
      </c>
      <c r="AC62" s="497"/>
    </row>
    <row r="63" spans="1:29" ht="5.25" customHeight="1">
      <c r="A63" s="286"/>
      <c r="B63" s="498"/>
      <c r="C63" s="499"/>
      <c r="D63" s="499"/>
      <c r="E63" s="499"/>
      <c r="F63" s="1601"/>
      <c r="G63" s="499"/>
      <c r="H63" s="499"/>
      <c r="I63" s="500"/>
      <c r="J63" s="501"/>
      <c r="K63" s="501"/>
      <c r="L63" s="501"/>
      <c r="M63" s="1600"/>
      <c r="N63" s="501"/>
      <c r="O63" s="501"/>
      <c r="P63" s="502"/>
      <c r="Q63" s="503"/>
      <c r="R63" s="503"/>
      <c r="S63" s="503"/>
      <c r="T63" s="1602"/>
      <c r="U63" s="503"/>
      <c r="V63" s="504"/>
      <c r="W63" s="505"/>
      <c r="X63" s="505"/>
      <c r="Y63" s="505"/>
      <c r="Z63" s="505"/>
      <c r="AA63" s="1604"/>
      <c r="AB63" s="505"/>
      <c r="AC63" s="506"/>
    </row>
    <row r="64" spans="1:29" ht="5.25" customHeight="1">
      <c r="A64" s="281"/>
      <c r="B64" s="358"/>
      <c r="C64" s="382"/>
      <c r="D64" s="382"/>
      <c r="E64" s="382"/>
      <c r="F64" s="1466"/>
      <c r="G64" s="382"/>
      <c r="H64" s="382"/>
      <c r="I64" s="360"/>
      <c r="J64" s="96"/>
      <c r="K64" s="96"/>
      <c r="L64" s="96"/>
      <c r="M64" s="1469"/>
      <c r="N64" s="96"/>
      <c r="O64" s="96"/>
      <c r="P64" s="493"/>
      <c r="Q64" s="494"/>
      <c r="R64" s="494"/>
      <c r="S64" s="494"/>
      <c r="T64" s="1603"/>
      <c r="U64" s="494"/>
      <c r="V64" s="495"/>
      <c r="W64" s="496"/>
      <c r="X64" s="496"/>
      <c r="Y64" s="496"/>
      <c r="Z64" s="496"/>
      <c r="AA64" s="1605"/>
      <c r="AB64" s="496"/>
      <c r="AC64" s="497"/>
    </row>
    <row r="65" spans="1:29">
      <c r="A65" s="621" t="s">
        <v>1424</v>
      </c>
      <c r="B65" s="358"/>
      <c r="C65" s="382"/>
      <c r="D65" s="382"/>
      <c r="E65" s="382"/>
      <c r="F65" s="1466"/>
      <c r="G65" s="382"/>
      <c r="H65" s="382"/>
      <c r="I65" s="360"/>
      <c r="J65" s="96"/>
      <c r="K65" s="96"/>
      <c r="L65" s="96"/>
      <c r="M65" s="1469"/>
      <c r="N65" s="96"/>
      <c r="O65" s="96"/>
      <c r="P65" s="493"/>
      <c r="Q65" s="494"/>
      <c r="R65" s="494"/>
      <c r="S65" s="494"/>
      <c r="T65" s="1603"/>
      <c r="U65" s="494"/>
      <c r="V65" s="495"/>
      <c r="W65" s="496"/>
      <c r="X65" s="496"/>
      <c r="Y65" s="496"/>
      <c r="Z65" s="496"/>
      <c r="AA65" s="1605"/>
      <c r="AB65" s="496"/>
      <c r="AC65" s="497"/>
    </row>
    <row r="66" spans="1:29">
      <c r="A66" s="209" t="s">
        <v>381</v>
      </c>
      <c r="B66" s="358"/>
      <c r="C66" s="1077">
        <f>F66* Defaults!$D$8</f>
        <v>0.58269755581576022</v>
      </c>
      <c r="D66" s="225" t="s">
        <v>259</v>
      </c>
      <c r="E66" s="382"/>
      <c r="F66" s="1090">
        <f>F1_NE_Dry_Cow_Day_kg</f>
        <v>0.26430712000000006</v>
      </c>
      <c r="G66" s="186" t="s">
        <v>37</v>
      </c>
      <c r="H66" s="382"/>
      <c r="I66" s="360"/>
      <c r="J66" s="1078">
        <f>M66* Defaults!$D$8</f>
        <v>0.58269755581576022</v>
      </c>
      <c r="K66" s="226" t="s">
        <v>259</v>
      </c>
      <c r="L66" s="96"/>
      <c r="M66" s="1091">
        <f>F2_NE_Dry_Cow_Day_kg</f>
        <v>0.26430712000000006</v>
      </c>
      <c r="N66" s="44" t="s">
        <v>37</v>
      </c>
      <c r="O66" s="96"/>
      <c r="P66" s="493"/>
      <c r="Q66" s="1082">
        <f>T66* Defaults!$D$8</f>
        <v>0.58269755581576022</v>
      </c>
      <c r="R66" s="431" t="s">
        <v>259</v>
      </c>
      <c r="S66" s="494"/>
      <c r="T66" s="1101">
        <f>F3_NE_Dry_Cow_Day_kg</f>
        <v>0.26430712000000006</v>
      </c>
      <c r="U66" s="511" t="s">
        <v>37</v>
      </c>
      <c r="V66" s="495"/>
      <c r="W66" s="496"/>
      <c r="X66" s="1086">
        <f>AA66* Defaults!$D$8</f>
        <v>0.32852945603313882</v>
      </c>
      <c r="Y66" s="434" t="s">
        <v>259</v>
      </c>
      <c r="Z66" s="496"/>
      <c r="AA66" s="1100">
        <f>F4_NE_Dry_Cow_Day_kg</f>
        <v>0.14901842901627116</v>
      </c>
      <c r="AB66" s="465" t="s">
        <v>37</v>
      </c>
      <c r="AC66" s="497"/>
    </row>
    <row r="67" spans="1:29">
      <c r="A67" s="209" t="s">
        <v>382</v>
      </c>
      <c r="B67" s="358"/>
      <c r="C67" s="1077">
        <f>F67* Defaults!$D$8</f>
        <v>0.27474569860173764</v>
      </c>
      <c r="D67" s="225" t="s">
        <v>259</v>
      </c>
      <c r="E67" s="382"/>
      <c r="F67" s="1090">
        <f>F1_NE_Heifer_Day_kg</f>
        <v>0.1246225312</v>
      </c>
      <c r="G67" s="186" t="s">
        <v>37</v>
      </c>
      <c r="H67" s="382"/>
      <c r="I67" s="360"/>
      <c r="J67" s="1078">
        <f>M67* Defaults!$D$8</f>
        <v>0.27474569860173764</v>
      </c>
      <c r="K67" s="226" t="s">
        <v>259</v>
      </c>
      <c r="L67" s="96"/>
      <c r="M67" s="1091">
        <f>F2_NE_Heifer_Day_kg</f>
        <v>0.1246225312</v>
      </c>
      <c r="N67" s="44" t="s">
        <v>37</v>
      </c>
      <c r="O67" s="96"/>
      <c r="P67" s="493"/>
      <c r="Q67" s="1082">
        <f>T67* Defaults!$D$8</f>
        <v>0.27474569860173764</v>
      </c>
      <c r="R67" s="431" t="s">
        <v>259</v>
      </c>
      <c r="S67" s="494"/>
      <c r="T67" s="1101">
        <f>F3_NE_Heifer_Day_kg</f>
        <v>0.1246225312</v>
      </c>
      <c r="U67" s="511" t="s">
        <v>37</v>
      </c>
      <c r="V67" s="495"/>
      <c r="W67" s="496"/>
      <c r="X67" s="1086">
        <f>AA67* Defaults!$D$8</f>
        <v>0.17724421907112259</v>
      </c>
      <c r="Y67" s="434" t="s">
        <v>259</v>
      </c>
      <c r="Z67" s="496"/>
      <c r="AA67" s="1100">
        <f>F4_NE_Heifer_Day_kg</f>
        <v>8.0396611607119486E-2</v>
      </c>
      <c r="AB67" s="465" t="s">
        <v>37</v>
      </c>
      <c r="AC67" s="497"/>
    </row>
    <row r="68" spans="1:29">
      <c r="A68" s="209" t="s">
        <v>383</v>
      </c>
      <c r="B68" s="358"/>
      <c r="C68" s="1077">
        <f>F68* Defaults!$D$8</f>
        <v>0.13917267517982884</v>
      </c>
      <c r="D68" s="225" t="s">
        <v>259</v>
      </c>
      <c r="E68" s="382"/>
      <c r="F68" s="1090">
        <f>F1_NE_Calf_Day_kg</f>
        <v>6.3127652745992774E-2</v>
      </c>
      <c r="G68" s="186" t="s">
        <v>37</v>
      </c>
      <c r="H68" s="382"/>
      <c r="I68" s="360"/>
      <c r="J68" s="1078">
        <f>M68* Defaults!$D$8</f>
        <v>0.13917267517982884</v>
      </c>
      <c r="K68" s="226" t="s">
        <v>259</v>
      </c>
      <c r="L68" s="96"/>
      <c r="M68" s="1091">
        <f>F2_NE_Calf_Day_kg</f>
        <v>6.3127652745992774E-2</v>
      </c>
      <c r="N68" s="44" t="s">
        <v>37</v>
      </c>
      <c r="O68" s="96"/>
      <c r="P68" s="493"/>
      <c r="Q68" s="1082">
        <f>T68* Defaults!$D$8</f>
        <v>0.13917267517982881</v>
      </c>
      <c r="R68" s="431" t="s">
        <v>259</v>
      </c>
      <c r="S68" s="494"/>
      <c r="T68" s="1101">
        <f>F3_NE_Calf_Day_kg</f>
        <v>6.312765274599276E-2</v>
      </c>
      <c r="U68" s="511" t="s">
        <v>37</v>
      </c>
      <c r="V68" s="495"/>
      <c r="W68" s="496"/>
      <c r="X68" s="1086">
        <f>AA68* Defaults!$D$8</f>
        <v>5.9452635815211603E-2</v>
      </c>
      <c r="Y68" s="434" t="s">
        <v>259</v>
      </c>
      <c r="Z68" s="496"/>
      <c r="AA68" s="1100">
        <f>F4_NE_Calf_Day_kg</f>
        <v>2.6967257356569171E-2</v>
      </c>
      <c r="AB68" s="465" t="s">
        <v>37</v>
      </c>
      <c r="AC68" s="497"/>
    </row>
    <row r="69" spans="1:29" ht="5.25" customHeight="1">
      <c r="A69" s="286"/>
      <c r="B69" s="498"/>
      <c r="C69" s="499"/>
      <c r="D69" s="499"/>
      <c r="E69" s="499"/>
      <c r="F69" s="1601"/>
      <c r="G69" s="499"/>
      <c r="H69" s="499"/>
      <c r="I69" s="500"/>
      <c r="J69" s="501"/>
      <c r="K69" s="501"/>
      <c r="L69" s="501"/>
      <c r="M69" s="1600"/>
      <c r="N69" s="501"/>
      <c r="O69" s="501"/>
      <c r="P69" s="502"/>
      <c r="Q69" s="503"/>
      <c r="R69" s="503"/>
      <c r="S69" s="503"/>
      <c r="T69" s="1602"/>
      <c r="U69" s="503"/>
      <c r="V69" s="504"/>
      <c r="W69" s="505"/>
      <c r="X69" s="505"/>
      <c r="Y69" s="505"/>
      <c r="Z69" s="505"/>
      <c r="AA69" s="1604"/>
      <c r="AB69" s="505"/>
      <c r="AC69" s="506"/>
    </row>
    <row r="70" spans="1:29" ht="5.25" customHeight="1">
      <c r="A70" s="281"/>
      <c r="B70" s="358"/>
      <c r="C70" s="382"/>
      <c r="D70" s="382"/>
      <c r="E70" s="382"/>
      <c r="F70" s="1466"/>
      <c r="G70" s="382"/>
      <c r="H70" s="382"/>
      <c r="I70" s="360"/>
      <c r="J70" s="96"/>
      <c r="K70" s="96"/>
      <c r="L70" s="96"/>
      <c r="M70" s="1469"/>
      <c r="N70" s="96"/>
      <c r="O70" s="96"/>
      <c r="P70" s="493"/>
      <c r="Q70" s="494"/>
      <c r="R70" s="494"/>
      <c r="S70" s="494"/>
      <c r="T70" s="1603"/>
      <c r="U70" s="494"/>
      <c r="V70" s="495"/>
      <c r="W70" s="496"/>
      <c r="X70" s="496"/>
      <c r="Y70" s="496"/>
      <c r="Z70" s="496"/>
      <c r="AA70" s="1605"/>
      <c r="AB70" s="496"/>
      <c r="AC70" s="497"/>
    </row>
    <row r="71" spans="1:29">
      <c r="A71" s="621" t="s">
        <v>1425</v>
      </c>
      <c r="B71" s="358"/>
      <c r="C71" s="382"/>
      <c r="D71" s="382"/>
      <c r="E71" s="382"/>
      <c r="F71" s="1466"/>
      <c r="G71" s="382"/>
      <c r="H71" s="382"/>
      <c r="I71" s="360"/>
      <c r="J71" s="96"/>
      <c r="K71" s="96"/>
      <c r="L71" s="96"/>
      <c r="M71" s="1469"/>
      <c r="N71" s="96"/>
      <c r="O71" s="96"/>
      <c r="P71" s="493"/>
      <c r="Q71" s="494"/>
      <c r="R71" s="494"/>
      <c r="S71" s="494"/>
      <c r="T71" s="1603"/>
      <c r="U71" s="494"/>
      <c r="V71" s="495"/>
      <c r="W71" s="496"/>
      <c r="X71" s="496"/>
      <c r="Y71" s="496"/>
      <c r="Z71" s="496"/>
      <c r="AA71" s="1605"/>
      <c r="AB71" s="496"/>
      <c r="AC71" s="497"/>
    </row>
    <row r="72" spans="1:29">
      <c r="A72" s="209" t="s">
        <v>381</v>
      </c>
      <c r="B72" s="358"/>
      <c r="C72" s="1077">
        <f>F72* Defaults!$D$8</f>
        <v>0.10308295093273601</v>
      </c>
      <c r="D72" s="225" t="s">
        <v>259</v>
      </c>
      <c r="E72" s="382"/>
      <c r="F72" s="1090">
        <f>F1_PE_Dry_Cow_Day_kg</f>
        <v>4.6757632E-2</v>
      </c>
      <c r="G72" s="186" t="s">
        <v>37</v>
      </c>
      <c r="H72" s="382"/>
      <c r="I72" s="360"/>
      <c r="J72" s="1078">
        <f>M72* Defaults!$D$8</f>
        <v>0.10308295093273601</v>
      </c>
      <c r="K72" s="226" t="s">
        <v>259</v>
      </c>
      <c r="L72" s="96"/>
      <c r="M72" s="1091">
        <f>F2_PE_Dry_Cow_Day_kg</f>
        <v>4.6757632E-2</v>
      </c>
      <c r="N72" s="44" t="s">
        <v>37</v>
      </c>
      <c r="O72" s="96"/>
      <c r="P72" s="493"/>
      <c r="Q72" s="1082">
        <f>T72* Defaults!$D$8</f>
        <v>0.10308295093273601</v>
      </c>
      <c r="R72" s="431" t="s">
        <v>259</v>
      </c>
      <c r="S72" s="494"/>
      <c r="T72" s="1101">
        <f>F3_PE_Dry_Cow_Day_kg</f>
        <v>4.6757632E-2</v>
      </c>
      <c r="U72" s="511" t="s">
        <v>37</v>
      </c>
      <c r="V72" s="495"/>
      <c r="W72" s="496"/>
      <c r="X72" s="1086">
        <f>AA72* Defaults!$D$8</f>
        <v>7.1325845652061778E-2</v>
      </c>
      <c r="Y72" s="434" t="s">
        <v>259</v>
      </c>
      <c r="Z72" s="496"/>
      <c r="AA72" s="1100">
        <f>F4_PE_Dry_Cow_Day_kg</f>
        <v>3.2352853822200787E-2</v>
      </c>
      <c r="AB72" s="465" t="s">
        <v>37</v>
      </c>
      <c r="AC72" s="497"/>
    </row>
    <row r="73" spans="1:29">
      <c r="A73" s="209" t="s">
        <v>382</v>
      </c>
      <c r="B73" s="358"/>
      <c r="C73" s="1077">
        <f>F73* Defaults!$D$8</f>
        <v>7.6414636659994609E-2</v>
      </c>
      <c r="D73" s="225" t="s">
        <v>259</v>
      </c>
      <c r="E73" s="382"/>
      <c r="F73" s="1090">
        <f>F1_PE_Heifer_Day_kg</f>
        <v>3.4661090200000001E-2</v>
      </c>
      <c r="G73" s="186" t="s">
        <v>37</v>
      </c>
      <c r="H73" s="382"/>
      <c r="I73" s="360"/>
      <c r="J73" s="1078">
        <f>M73* Defaults!$D$8</f>
        <v>7.6414636659994609E-2</v>
      </c>
      <c r="K73" s="226" t="s">
        <v>259</v>
      </c>
      <c r="L73" s="96"/>
      <c r="M73" s="1091">
        <f>F2_PE_Heifer_Day_kg</f>
        <v>3.4661090200000001E-2</v>
      </c>
      <c r="N73" s="44" t="s">
        <v>37</v>
      </c>
      <c r="O73" s="96"/>
      <c r="P73" s="493"/>
      <c r="Q73" s="1082">
        <f>T73* Defaults!$D$8</f>
        <v>7.6414636659994609E-2</v>
      </c>
      <c r="R73" s="431" t="s">
        <v>259</v>
      </c>
      <c r="S73" s="494"/>
      <c r="T73" s="1101">
        <f>F3_PE_Heifer_Day_kg</f>
        <v>3.4661090200000001E-2</v>
      </c>
      <c r="U73" s="511" t="s">
        <v>37</v>
      </c>
      <c r="V73" s="495"/>
      <c r="W73" s="496"/>
      <c r="X73" s="1086">
        <f>AA73* Defaults!$D$8</f>
        <v>5.8356993242334065E-2</v>
      </c>
      <c r="Y73" s="434" t="s">
        <v>259</v>
      </c>
      <c r="Z73" s="496"/>
      <c r="AA73" s="1100">
        <f>F4_PE_Heifer_Day_kg</f>
        <v>2.6470282330509142E-2</v>
      </c>
      <c r="AB73" s="465" t="s">
        <v>37</v>
      </c>
      <c r="AC73" s="497"/>
    </row>
    <row r="74" spans="1:29">
      <c r="A74" s="209" t="s">
        <v>383</v>
      </c>
      <c r="B74" s="358"/>
      <c r="C74" s="1077">
        <f>F74* Defaults!$D$8</f>
        <v>1.7144050720472453E-2</v>
      </c>
      <c r="D74" s="225" t="s">
        <v>259</v>
      </c>
      <c r="E74" s="382"/>
      <c r="F74" s="1090">
        <f>F1_PE_Calf_Day_kg</f>
        <v>7.7764092638389661E-3</v>
      </c>
      <c r="G74" s="186" t="s">
        <v>37</v>
      </c>
      <c r="H74" s="382"/>
      <c r="I74" s="360"/>
      <c r="J74" s="1078">
        <f>M74* Defaults!$D$8</f>
        <v>1.7144050720472453E-2</v>
      </c>
      <c r="K74" s="226" t="s">
        <v>259</v>
      </c>
      <c r="L74" s="96"/>
      <c r="M74" s="1091">
        <f>F2_PE_Calf_Day_kg</f>
        <v>7.7764092638389661E-3</v>
      </c>
      <c r="N74" s="44" t="s">
        <v>37</v>
      </c>
      <c r="O74" s="96"/>
      <c r="P74" s="493"/>
      <c r="Q74" s="1082">
        <f>T74* Defaults!$D$8</f>
        <v>1.7144050720472453E-2</v>
      </c>
      <c r="R74" s="431" t="s">
        <v>259</v>
      </c>
      <c r="S74" s="494"/>
      <c r="T74" s="1101">
        <f>F3_PE_Calf_Day_kg</f>
        <v>7.7764092638389661E-3</v>
      </c>
      <c r="U74" s="511" t="s">
        <v>37</v>
      </c>
      <c r="V74" s="495"/>
      <c r="W74" s="496"/>
      <c r="X74" s="1086">
        <f>AA74* Defaults!$D$8</f>
        <v>7.3237005939905397E-3</v>
      </c>
      <c r="Y74" s="434" t="s">
        <v>259</v>
      </c>
      <c r="Z74" s="496"/>
      <c r="AA74" s="1100">
        <f>F4_PE_Calf_Day_kg</f>
        <v>3.3219741397919459E-3</v>
      </c>
      <c r="AB74" s="465" t="s">
        <v>37</v>
      </c>
      <c r="AC74" s="497"/>
    </row>
    <row r="75" spans="1:29" ht="5.25" customHeight="1">
      <c r="A75" s="286"/>
      <c r="B75" s="498"/>
      <c r="C75" s="499"/>
      <c r="D75" s="499"/>
      <c r="E75" s="499"/>
      <c r="F75" s="1601"/>
      <c r="G75" s="499"/>
      <c r="H75" s="499"/>
      <c r="I75" s="500"/>
      <c r="J75" s="501"/>
      <c r="K75" s="501"/>
      <c r="L75" s="501"/>
      <c r="M75" s="1600"/>
      <c r="N75" s="501"/>
      <c r="O75" s="501"/>
      <c r="P75" s="502"/>
      <c r="Q75" s="503"/>
      <c r="R75" s="503"/>
      <c r="S75" s="503"/>
      <c r="T75" s="1602"/>
      <c r="U75" s="503"/>
      <c r="V75" s="504"/>
      <c r="W75" s="505"/>
      <c r="X75" s="505"/>
      <c r="Y75" s="505"/>
      <c r="Z75" s="505"/>
      <c r="AA75" s="1604"/>
      <c r="AB75" s="505"/>
      <c r="AC75" s="506"/>
    </row>
    <row r="76" spans="1:29" ht="5.25" customHeight="1">
      <c r="A76" s="281"/>
      <c r="B76" s="358"/>
      <c r="C76" s="382"/>
      <c r="D76" s="382"/>
      <c r="E76" s="382"/>
      <c r="F76" s="1466"/>
      <c r="G76" s="382"/>
      <c r="H76" s="382"/>
      <c r="I76" s="360"/>
      <c r="J76" s="96"/>
      <c r="K76" s="96"/>
      <c r="L76" s="96"/>
      <c r="M76" s="1469"/>
      <c r="N76" s="96"/>
      <c r="O76" s="96"/>
      <c r="P76" s="493"/>
      <c r="Q76" s="494"/>
      <c r="R76" s="494"/>
      <c r="S76" s="494"/>
      <c r="T76" s="1603"/>
      <c r="U76" s="494"/>
      <c r="V76" s="495"/>
      <c r="W76" s="496"/>
      <c r="X76" s="496"/>
      <c r="Y76" s="496"/>
      <c r="Z76" s="496"/>
      <c r="AA76" s="1605"/>
      <c r="AB76" s="496"/>
      <c r="AC76" s="497"/>
    </row>
    <row r="77" spans="1:29">
      <c r="A77" s="621" t="s">
        <v>1426</v>
      </c>
      <c r="B77" s="358"/>
      <c r="C77" s="382"/>
      <c r="D77" s="382"/>
      <c r="E77" s="382"/>
      <c r="F77" s="1466"/>
      <c r="G77" s="382"/>
      <c r="H77" s="382"/>
      <c r="I77" s="360"/>
      <c r="J77" s="96"/>
      <c r="K77" s="96"/>
      <c r="L77" s="96"/>
      <c r="M77" s="1469"/>
      <c r="N77" s="96"/>
      <c r="O77" s="96"/>
      <c r="P77" s="493"/>
      <c r="Q77" s="494"/>
      <c r="R77" s="494"/>
      <c r="S77" s="494"/>
      <c r="T77" s="1603"/>
      <c r="U77" s="494"/>
      <c r="V77" s="495"/>
      <c r="W77" s="496"/>
      <c r="X77" s="496"/>
      <c r="Y77" s="496"/>
      <c r="Z77" s="496"/>
      <c r="AA77" s="1605"/>
      <c r="AB77" s="496"/>
      <c r="AC77" s="497"/>
    </row>
    <row r="78" spans="1:29">
      <c r="A78" s="209" t="s">
        <v>381</v>
      </c>
      <c r="B78" s="358"/>
      <c r="C78" s="1077">
        <f>F78* Defaults!$D$8</f>
        <v>0.25609253507680008</v>
      </c>
      <c r="D78" s="225" t="s">
        <v>259</v>
      </c>
      <c r="E78" s="382"/>
      <c r="F78" s="1090">
        <f>F1_KE_Dry_Cow_Day_kg</f>
        <v>0.11616160000000002</v>
      </c>
      <c r="G78" s="186" t="s">
        <v>37</v>
      </c>
      <c r="H78" s="382"/>
      <c r="I78" s="360"/>
      <c r="J78" s="1078">
        <f>M78* Defaults!$D$8</f>
        <v>0.25609253507680008</v>
      </c>
      <c r="K78" s="226" t="s">
        <v>259</v>
      </c>
      <c r="L78" s="96"/>
      <c r="M78" s="1091">
        <f>F2_KE_Dry_Cow_Day_kg</f>
        <v>0.11616160000000002</v>
      </c>
      <c r="N78" s="44" t="s">
        <v>37</v>
      </c>
      <c r="O78" s="96"/>
      <c r="P78" s="493"/>
      <c r="Q78" s="1082">
        <f>T78* Defaults!$D$8</f>
        <v>0.25609253507680008</v>
      </c>
      <c r="R78" s="431" t="s">
        <v>259</v>
      </c>
      <c r="S78" s="494"/>
      <c r="T78" s="1101">
        <f>F3_KE_Dry_Cow_Day_kg</f>
        <v>0.11616160000000002</v>
      </c>
      <c r="U78" s="511" t="s">
        <v>37</v>
      </c>
      <c r="V78" s="495"/>
      <c r="W78" s="496"/>
      <c r="X78" s="1086">
        <f>AA78* Defaults!$D$8</f>
        <v>4.7109727478013258E-2</v>
      </c>
      <c r="Y78" s="434" t="s">
        <v>259</v>
      </c>
      <c r="Z78" s="496"/>
      <c r="AA78" s="1100">
        <f>F4_KE_Dry_Cow_Day_kg</f>
        <v>2.1368609271523183E-2</v>
      </c>
      <c r="AB78" s="465" t="s">
        <v>37</v>
      </c>
      <c r="AC78" s="497"/>
    </row>
    <row r="79" spans="1:29">
      <c r="A79" s="209" t="s">
        <v>382</v>
      </c>
      <c r="B79" s="358"/>
      <c r="C79" s="1077">
        <f>F79* Defaults!$D$8</f>
        <v>0.28661906790860003</v>
      </c>
      <c r="D79" s="225" t="s">
        <v>259</v>
      </c>
      <c r="E79" s="382"/>
      <c r="F79" s="1090">
        <f>F1_KE_Heifer_Day_kg</f>
        <v>0.13000819999999999</v>
      </c>
      <c r="G79" s="186" t="s">
        <v>37</v>
      </c>
      <c r="H79" s="382"/>
      <c r="I79" s="360"/>
      <c r="J79" s="1078">
        <f>M79* Defaults!$D$8</f>
        <v>0.28661906790860003</v>
      </c>
      <c r="K79" s="226" t="s">
        <v>259</v>
      </c>
      <c r="L79" s="96"/>
      <c r="M79" s="1091">
        <f>F2_KE_Heifer_Day_kg</f>
        <v>0.13000819999999999</v>
      </c>
      <c r="N79" s="44" t="s">
        <v>37</v>
      </c>
      <c r="O79" s="96"/>
      <c r="P79" s="493"/>
      <c r="Q79" s="1082">
        <f>T79* Defaults!$D$8</f>
        <v>0.28661906790860003</v>
      </c>
      <c r="R79" s="431" t="s">
        <v>259</v>
      </c>
      <c r="S79" s="494"/>
      <c r="T79" s="1101">
        <f>F3_KE_Heifer_Day_kg</f>
        <v>0.13000819999999999</v>
      </c>
      <c r="U79" s="511" t="s">
        <v>37</v>
      </c>
      <c r="V79" s="495"/>
      <c r="W79" s="496"/>
      <c r="X79" s="1086">
        <f>AA79* Defaults!$D$8</f>
        <v>4.5925046562620205E-2</v>
      </c>
      <c r="Y79" s="434" t="s">
        <v>259</v>
      </c>
      <c r="Z79" s="496"/>
      <c r="AA79" s="1100">
        <f>F4_KE_Heifer_Day_kg</f>
        <v>2.083124713958813E-2</v>
      </c>
      <c r="AB79" s="465" t="s">
        <v>37</v>
      </c>
      <c r="AC79" s="497"/>
    </row>
    <row r="80" spans="1:29">
      <c r="A80" s="209" t="s">
        <v>383</v>
      </c>
      <c r="B80" s="358"/>
      <c r="C80" s="1077">
        <f>F80* Defaults!$D$8</f>
        <v>0.208365708179748</v>
      </c>
      <c r="D80" s="225" t="s">
        <v>259</v>
      </c>
      <c r="E80" s="382"/>
      <c r="F80" s="1090">
        <f>F1_KE_Calf_Day_kg</f>
        <v>9.4513079188481647E-2</v>
      </c>
      <c r="G80" s="186" t="s">
        <v>37</v>
      </c>
      <c r="H80" s="382"/>
      <c r="I80" s="360"/>
      <c r="J80" s="1078">
        <f>M80* Defaults!$D$8</f>
        <v>0.208365708179748</v>
      </c>
      <c r="K80" s="226" t="s">
        <v>259</v>
      </c>
      <c r="L80" s="96"/>
      <c r="M80" s="1091">
        <f>F2_KE_Calf_Day_kg</f>
        <v>9.4513079188481647E-2</v>
      </c>
      <c r="N80" s="44" t="s">
        <v>37</v>
      </c>
      <c r="O80" s="96"/>
      <c r="P80" s="493"/>
      <c r="Q80" s="1082">
        <f>T80* Defaults!$D$8</f>
        <v>0.208365708179748</v>
      </c>
      <c r="R80" s="431" t="s">
        <v>259</v>
      </c>
      <c r="S80" s="494"/>
      <c r="T80" s="1101">
        <f>F3_KE_Calf_Day_kg</f>
        <v>9.4513079188481647E-2</v>
      </c>
      <c r="U80" s="511" t="s">
        <v>37</v>
      </c>
      <c r="V80" s="495"/>
      <c r="W80" s="496"/>
      <c r="X80" s="1086">
        <f>AA80* Defaults!$D$8</f>
        <v>1.0559249624018305E-2</v>
      </c>
      <c r="Y80" s="434" t="s">
        <v>259</v>
      </c>
      <c r="Z80" s="496"/>
      <c r="AA80" s="1100">
        <f>F4_KE_Calf_Day_kg</f>
        <v>4.7895942408376869E-3</v>
      </c>
      <c r="AB80" s="465" t="s">
        <v>37</v>
      </c>
      <c r="AC80" s="497"/>
    </row>
    <row r="81" spans="1:29" ht="5.25" customHeight="1">
      <c r="A81" s="286"/>
      <c r="B81" s="498"/>
      <c r="C81" s="499"/>
      <c r="D81" s="499"/>
      <c r="E81" s="499"/>
      <c r="F81" s="499"/>
      <c r="G81" s="499"/>
      <c r="H81" s="499"/>
      <c r="I81" s="500"/>
      <c r="J81" s="501"/>
      <c r="K81" s="501"/>
      <c r="L81" s="501"/>
      <c r="M81" s="501"/>
      <c r="N81" s="501"/>
      <c r="O81" s="501"/>
      <c r="P81" s="502"/>
      <c r="Q81" s="503"/>
      <c r="R81" s="503"/>
      <c r="S81" s="503"/>
      <c r="T81" s="503"/>
      <c r="U81" s="503"/>
      <c r="V81" s="504"/>
      <c r="W81" s="505"/>
      <c r="X81" s="505"/>
      <c r="Y81" s="505"/>
      <c r="Z81" s="505"/>
      <c r="AA81" s="505"/>
      <c r="AB81" s="505"/>
      <c r="AC81" s="506"/>
    </row>
    <row r="82" spans="1:29" ht="32.25" customHeight="1">
      <c r="A82" s="4011" t="s">
        <v>1420</v>
      </c>
      <c r="B82" s="4012"/>
      <c r="C82" s="4012"/>
      <c r="D82" s="4012"/>
      <c r="E82" s="4012"/>
      <c r="F82" s="4012"/>
      <c r="G82" s="4012"/>
      <c r="H82" s="4012"/>
      <c r="I82" s="4012"/>
      <c r="J82" s="4012"/>
      <c r="K82" s="4012"/>
      <c r="L82" s="4012"/>
      <c r="M82" s="4012"/>
      <c r="N82" s="4012"/>
      <c r="O82" s="4012"/>
      <c r="P82" s="4012"/>
      <c r="Q82" s="4012"/>
      <c r="R82" s="4012"/>
      <c r="S82" s="4012"/>
      <c r="T82" s="4012"/>
      <c r="U82" s="4012"/>
      <c r="V82" s="4012"/>
      <c r="W82" s="4012"/>
      <c r="X82" s="4012"/>
      <c r="Y82" s="4012"/>
      <c r="Z82" s="4012"/>
      <c r="AA82" s="4012"/>
      <c r="AB82" s="4012"/>
      <c r="AC82" s="4013"/>
    </row>
    <row r="83" spans="1:29" ht="5.25" customHeight="1">
      <c r="A83" s="3843"/>
      <c r="B83" s="357"/>
      <c r="C83" s="366"/>
      <c r="D83" s="366"/>
      <c r="E83" s="366"/>
      <c r="F83" s="3844"/>
      <c r="G83" s="366"/>
      <c r="H83" s="366"/>
      <c r="I83" s="359"/>
      <c r="J83" s="126"/>
      <c r="K83" s="126"/>
      <c r="L83" s="126"/>
      <c r="M83" s="3845"/>
      <c r="N83" s="126"/>
      <c r="O83" s="3848"/>
      <c r="P83" s="604"/>
      <c r="Q83" s="604"/>
      <c r="R83" s="604"/>
      <c r="S83" s="604"/>
      <c r="T83" s="3846"/>
      <c r="U83" s="604"/>
      <c r="V83" s="634"/>
      <c r="W83" s="595"/>
      <c r="X83" s="595"/>
      <c r="Y83" s="595"/>
      <c r="Z83" s="595"/>
      <c r="AA83" s="3847"/>
      <c r="AB83" s="595"/>
      <c r="AC83" s="614"/>
    </row>
    <row r="84" spans="1:29" ht="12" customHeight="1">
      <c r="A84" s="4010" t="s">
        <v>1089</v>
      </c>
      <c r="B84" s="358"/>
      <c r="C84" s="3853" t="s">
        <v>48</v>
      </c>
      <c r="D84" s="163"/>
      <c r="E84" s="382"/>
      <c r="F84" s="3851">
        <v>1</v>
      </c>
      <c r="G84" s="382"/>
      <c r="H84" s="820"/>
      <c r="I84" s="96"/>
      <c r="J84" s="3859" t="s">
        <v>48</v>
      </c>
      <c r="K84" s="145"/>
      <c r="L84" s="96"/>
      <c r="M84" s="3860">
        <v>1</v>
      </c>
      <c r="N84" s="96"/>
      <c r="O84" s="3852"/>
      <c r="P84" s="494"/>
      <c r="Q84" s="3863" t="s">
        <v>48</v>
      </c>
      <c r="R84" s="388"/>
      <c r="S84" s="494"/>
      <c r="T84" s="3864">
        <v>1</v>
      </c>
      <c r="U84" s="494"/>
      <c r="V84" s="495"/>
      <c r="W84" s="496"/>
      <c r="X84" s="3855" t="s">
        <v>48</v>
      </c>
      <c r="Y84" s="397"/>
      <c r="Z84" s="496"/>
      <c r="AA84" s="3856">
        <v>1</v>
      </c>
      <c r="AB84" s="496"/>
      <c r="AC84" s="497"/>
    </row>
    <row r="85" spans="1:29" s="40" customFormat="1" ht="12.75" customHeight="1">
      <c r="A85" s="4010"/>
      <c r="B85" s="3011"/>
      <c r="C85" s="3854" t="s">
        <v>51</v>
      </c>
      <c r="D85" s="3107"/>
      <c r="E85" s="3841"/>
      <c r="F85" s="3851">
        <f>F1_Dry_Cow_Units</f>
        <v>0.14097037755756678</v>
      </c>
      <c r="G85" s="3015"/>
      <c r="H85" s="3842"/>
      <c r="I85" s="3019"/>
      <c r="J85" s="3861" t="s">
        <v>51</v>
      </c>
      <c r="K85" s="3109"/>
      <c r="L85" s="3862"/>
      <c r="M85" s="3860">
        <f>F2_Dry_Cow_Units</f>
        <v>0.14765955875110809</v>
      </c>
      <c r="N85" s="3020"/>
      <c r="O85" s="3849"/>
      <c r="P85" s="3024"/>
      <c r="Q85" s="3865" t="s">
        <v>51</v>
      </c>
      <c r="R85" s="3111"/>
      <c r="S85" s="3866"/>
      <c r="T85" s="3864">
        <f>F3_Dry_Cow_Units</f>
        <v>0.17159515651767643</v>
      </c>
      <c r="U85" s="3025"/>
      <c r="V85" s="3026"/>
      <c r="W85" s="3030"/>
      <c r="X85" s="3857" t="s">
        <v>51</v>
      </c>
      <c r="Y85" s="3113"/>
      <c r="Z85" s="3858"/>
      <c r="AA85" s="3856">
        <f>F4_Dry_Cow_Units</f>
        <v>0.18494816331754776</v>
      </c>
      <c r="AB85" s="3113"/>
      <c r="AC85" s="3095"/>
    </row>
    <row r="86" spans="1:29" s="40" customFormat="1">
      <c r="A86" s="4010"/>
      <c r="B86" s="3011"/>
      <c r="C86" s="3854" t="s">
        <v>1535</v>
      </c>
      <c r="D86" s="3107"/>
      <c r="E86" s="3841"/>
      <c r="F86" s="3851">
        <f>F1_Heifer_Units</f>
        <v>0.64208606291772286</v>
      </c>
      <c r="G86" s="3015"/>
      <c r="H86" s="3842"/>
      <c r="I86" s="3019"/>
      <c r="J86" s="3861" t="s">
        <v>1535</v>
      </c>
      <c r="K86" s="3109"/>
      <c r="L86" s="3862"/>
      <c r="M86" s="3860">
        <f>F2_Heifer_Units</f>
        <v>0.53983446268238322</v>
      </c>
      <c r="N86" s="3020"/>
      <c r="O86" s="3849"/>
      <c r="P86" s="3024"/>
      <c r="Q86" s="3865" t="s">
        <v>1535</v>
      </c>
      <c r="R86" s="3111"/>
      <c r="S86" s="3866"/>
      <c r="T86" s="3864">
        <f>F3_Heifer_Units</f>
        <v>0.41681153564123852</v>
      </c>
      <c r="U86" s="3025"/>
      <c r="V86" s="3026"/>
      <c r="W86" s="3030"/>
      <c r="X86" s="3857" t="s">
        <v>1535</v>
      </c>
      <c r="Y86" s="3113"/>
      <c r="Z86" s="3858"/>
      <c r="AA86" s="3856">
        <f>F4_Heifer_Units</f>
        <v>0.34160339708622189</v>
      </c>
      <c r="AB86" s="3113"/>
      <c r="AC86" s="3095"/>
    </row>
    <row r="87" spans="1:29" s="40" customFormat="1">
      <c r="A87" s="4010"/>
      <c r="B87" s="3011"/>
      <c r="C87" s="3854" t="s">
        <v>710</v>
      </c>
      <c r="D87" s="3107"/>
      <c r="E87" s="3841"/>
      <c r="F87" s="3851">
        <f>F1_Heifer_Calf_Units</f>
        <v>0.65518986012012537</v>
      </c>
      <c r="G87" s="3015"/>
      <c r="H87" s="3842"/>
      <c r="I87" s="3019"/>
      <c r="J87" s="3861" t="s">
        <v>710</v>
      </c>
      <c r="K87" s="3109"/>
      <c r="L87" s="3862"/>
      <c r="M87" s="3860">
        <f>F2_Heifer_Calf_Units</f>
        <v>0.54972959539957567</v>
      </c>
      <c r="N87" s="3020"/>
      <c r="O87" s="3849"/>
      <c r="P87" s="3024"/>
      <c r="Q87" s="3865" t="s">
        <v>710</v>
      </c>
      <c r="R87" s="3111"/>
      <c r="S87" s="3866"/>
      <c r="T87" s="3864">
        <f>F3_Heifer_Calf_Units</f>
        <v>0.42187402392837908</v>
      </c>
      <c r="U87" s="3025"/>
      <c r="V87" s="3026"/>
      <c r="W87" s="3030"/>
      <c r="X87" s="3857" t="s">
        <v>710</v>
      </c>
      <c r="Y87" s="3113"/>
      <c r="Z87" s="3858"/>
      <c r="AA87" s="3856">
        <f>F4_Heifer_Calf_Units</f>
        <v>0.34505393645072924</v>
      </c>
      <c r="AB87" s="3113"/>
      <c r="AC87" s="3095"/>
    </row>
    <row r="88" spans="1:29" ht="5.25" customHeight="1">
      <c r="A88" s="286"/>
      <c r="B88" s="498"/>
      <c r="C88" s="499"/>
      <c r="D88" s="499"/>
      <c r="E88" s="499"/>
      <c r="F88" s="1601"/>
      <c r="G88" s="499"/>
      <c r="H88" s="499"/>
      <c r="I88" s="500"/>
      <c r="J88" s="501"/>
      <c r="K88" s="501"/>
      <c r="L88" s="501"/>
      <c r="M88" s="1600"/>
      <c r="N88" s="501"/>
      <c r="O88" s="3850"/>
      <c r="P88" s="503"/>
      <c r="Q88" s="503"/>
      <c r="R88" s="503"/>
      <c r="S88" s="503"/>
      <c r="T88" s="1602"/>
      <c r="U88" s="503"/>
      <c r="V88" s="504"/>
      <c r="W88" s="505"/>
      <c r="X88" s="505"/>
      <c r="Y88" s="505"/>
      <c r="Z88" s="505"/>
      <c r="AA88" s="1604"/>
      <c r="AB88" s="505"/>
      <c r="AC88" s="506"/>
    </row>
    <row r="89" spans="1:29" s="40" customFormat="1" ht="15.75" customHeight="1">
      <c r="A89" s="3094" t="s">
        <v>1427</v>
      </c>
      <c r="B89" s="3011"/>
      <c r="C89" s="3012">
        <f>F89*Defaults!$D$8</f>
        <v>215.01859701857458</v>
      </c>
      <c r="D89" s="3013" t="s">
        <v>259</v>
      </c>
      <c r="E89" s="3014"/>
      <c r="F89" s="3012">
        <f>F1_Total_ME_kg_day</f>
        <v>97.530778286616155</v>
      </c>
      <c r="G89" s="3015" t="s">
        <v>37</v>
      </c>
      <c r="H89" s="3014"/>
      <c r="I89" s="3016"/>
      <c r="J89" s="3017">
        <f>M89*Defaults!$D$8</f>
        <v>202.54565188650022</v>
      </c>
      <c r="K89" s="3018" t="s">
        <v>259</v>
      </c>
      <c r="L89" s="3019"/>
      <c r="M89" s="3017">
        <f>F2_Total_ME_kg_day</f>
        <v>91.873146513712413</v>
      </c>
      <c r="N89" s="3020" t="s">
        <v>37</v>
      </c>
      <c r="O89" s="3019"/>
      <c r="P89" s="3021"/>
      <c r="Q89" s="3022">
        <f>T89*Defaults!$D$8</f>
        <v>191.8254489206069</v>
      </c>
      <c r="R89" s="3023" t="s">
        <v>259</v>
      </c>
      <c r="S89" s="3024"/>
      <c r="T89" s="3022">
        <f>F3_Total_ME_kg_day</f>
        <v>87.010545077596888</v>
      </c>
      <c r="U89" s="3025" t="s">
        <v>37</v>
      </c>
      <c r="V89" s="3026"/>
      <c r="W89" s="3030"/>
      <c r="X89" s="3028">
        <f>AA89*Defaults!$D$8</f>
        <v>151.7636459798037</v>
      </c>
      <c r="Y89" s="3029" t="s">
        <v>259</v>
      </c>
      <c r="Z89" s="3030"/>
      <c r="AA89" s="3028">
        <f>F4_Total_ME_kg_day</f>
        <v>68.838820052137564</v>
      </c>
      <c r="AB89" s="3113" t="s">
        <v>37</v>
      </c>
      <c r="AC89" s="3095"/>
    </row>
    <row r="90" spans="1:29" ht="15.75" customHeight="1">
      <c r="A90" s="3032" t="s">
        <v>1430</v>
      </c>
      <c r="B90" s="3011"/>
      <c r="C90" s="3012">
        <f>F90*Defaults!$D$8</f>
        <v>28.309940851324388</v>
      </c>
      <c r="D90" s="1467" t="s">
        <v>259</v>
      </c>
      <c r="E90" s="3014"/>
      <c r="F90" s="3012">
        <f>F1_Total_DME_kg_day</f>
        <v>12.841170962710805</v>
      </c>
      <c r="G90" s="1467" t="s">
        <v>37</v>
      </c>
      <c r="H90" s="3014"/>
      <c r="I90" s="3016"/>
      <c r="J90" s="3017">
        <f>M90*Defaults!$D$8</f>
        <v>26.552649285319237</v>
      </c>
      <c r="K90" s="1662" t="s">
        <v>259</v>
      </c>
      <c r="L90" s="3019"/>
      <c r="M90" s="3017">
        <f>F2_Total_DME_kg_day</f>
        <v>12.044077053228255</v>
      </c>
      <c r="N90" s="1662" t="s">
        <v>37</v>
      </c>
      <c r="O90" s="3019"/>
      <c r="P90" s="3021"/>
      <c r="Q90" s="3022">
        <f>T90*Defaults!$D$8</f>
        <v>25.002595880547137</v>
      </c>
      <c r="R90" s="3023" t="s">
        <v>259</v>
      </c>
      <c r="S90" s="3024"/>
      <c r="T90" s="3022">
        <f>F3_Total_DME_kg_day</f>
        <v>11.340984776330073</v>
      </c>
      <c r="U90" s="1665" t="s">
        <v>37</v>
      </c>
      <c r="V90" s="3026"/>
      <c r="W90" s="3027"/>
      <c r="X90" s="3028">
        <f>AA90*Defaults!$D$8</f>
        <v>19.660377999107272</v>
      </c>
      <c r="Y90" s="3029" t="s">
        <v>259</v>
      </c>
      <c r="Z90" s="3027"/>
      <c r="AA90" s="3028">
        <f>F4_Total_DME_kg_day</f>
        <v>8.9177959220725125</v>
      </c>
      <c r="AB90" s="465" t="s">
        <v>37</v>
      </c>
      <c r="AC90" s="3031"/>
    </row>
    <row r="91" spans="1:29" ht="15.75" customHeight="1">
      <c r="A91" s="3032" t="s">
        <v>1428</v>
      </c>
      <c r="B91" s="3011"/>
      <c r="C91" s="3012">
        <f>F91*Defaults!$D$8</f>
        <v>1.3864696521470994</v>
      </c>
      <c r="D91" s="1467" t="s">
        <v>259</v>
      </c>
      <c r="E91" s="3014"/>
      <c r="F91" s="3012">
        <f>F1_Total_NE_kg_day</f>
        <v>0.62889194757883737</v>
      </c>
      <c r="G91" s="1467" t="s">
        <v>37</v>
      </c>
      <c r="H91" s="3014"/>
      <c r="I91" s="3016"/>
      <c r="J91" s="3017">
        <f>M91*Defaults!$D$8</f>
        <v>1.2908338679792963</v>
      </c>
      <c r="K91" s="1662" t="s">
        <v>259</v>
      </c>
      <c r="L91" s="3019"/>
      <c r="M91" s="3017">
        <f>F2_Total_NE_kg_day</f>
        <v>0.58551229302211594</v>
      </c>
      <c r="N91" s="1662" t="s">
        <v>37</v>
      </c>
      <c r="O91" s="3019"/>
      <c r="P91" s="3021"/>
      <c r="Q91" s="3022">
        <f>T91*Defaults!$D$8</f>
        <v>1.2208020082746902</v>
      </c>
      <c r="R91" s="3023" t="s">
        <v>259</v>
      </c>
      <c r="S91" s="3024"/>
      <c r="T91" s="3022">
        <f>F3_Total_NE_kg_day</f>
        <v>0.55374638125189213</v>
      </c>
      <c r="U91" s="1665" t="s">
        <v>37</v>
      </c>
      <c r="V91" s="3026"/>
      <c r="W91" s="3027"/>
      <c r="X91" s="3028">
        <f>AA91*Defaults!$D$8</f>
        <v>0.78734046537082136</v>
      </c>
      <c r="Y91" s="3029" t="s">
        <v>259</v>
      </c>
      <c r="Z91" s="3027"/>
      <c r="AA91" s="3028">
        <f>F4_Total_NE_kg_day</f>
        <v>0.35713156642692256</v>
      </c>
      <c r="AB91" s="465" t="s">
        <v>37</v>
      </c>
      <c r="AC91" s="3031"/>
    </row>
    <row r="92" spans="1:29" ht="15.75" customHeight="1">
      <c r="A92" s="3032" t="s">
        <v>1429</v>
      </c>
      <c r="B92" s="3011"/>
      <c r="C92" s="3012">
        <f>F92*Defaults!$D$8</f>
        <v>0.2516653281009546</v>
      </c>
      <c r="D92" s="1467" t="s">
        <v>259</v>
      </c>
      <c r="E92" s="3014"/>
      <c r="F92" s="3012">
        <f>F1_Total_PE_kg_day</f>
        <v>0.11415345303979618</v>
      </c>
      <c r="G92" s="1467" t="s">
        <v>37</v>
      </c>
      <c r="H92" s="3014"/>
      <c r="I92" s="3016"/>
      <c r="J92" s="3017">
        <f>M92*Defaults!$D$8</f>
        <v>0.23321817792297911</v>
      </c>
      <c r="K92" s="1662" t="s">
        <v>259</v>
      </c>
      <c r="L92" s="3019"/>
      <c r="M92" s="3017">
        <f>F2_Total_PE_kg_day</f>
        <v>0.10578596790606788</v>
      </c>
      <c r="N92" s="1662" t="s">
        <v>37</v>
      </c>
      <c r="O92" s="3019"/>
      <c r="P92" s="3021"/>
      <c r="Q92" s="3022">
        <f>T92*Defaults!$D$8</f>
        <v>0.21866414098351955</v>
      </c>
      <c r="R92" s="3023" t="s">
        <v>259</v>
      </c>
      <c r="S92" s="3024"/>
      <c r="T92" s="3022">
        <f>F3_Total_PE_kg_day</f>
        <v>9.9184368929980102E-2</v>
      </c>
      <c r="U92" s="1665" t="s">
        <v>37</v>
      </c>
      <c r="V92" s="3026"/>
      <c r="W92" s="3027"/>
      <c r="X92" s="3028">
        <f>AA92*Defaults!$D$8</f>
        <v>0.16080892770275301</v>
      </c>
      <c r="Y92" s="3029" t="s">
        <v>259</v>
      </c>
      <c r="Z92" s="3027"/>
      <c r="AA92" s="3028">
        <f>F4_Total_PE_kg_day</f>
        <v>7.2941690122416844E-2</v>
      </c>
      <c r="AB92" s="465" t="s">
        <v>37</v>
      </c>
      <c r="AC92" s="3031"/>
    </row>
    <row r="93" spans="1:29" ht="15.75" customHeight="1">
      <c r="A93" s="3032" t="s">
        <v>1431</v>
      </c>
      <c r="B93" s="358"/>
      <c r="C93" s="3012">
        <f>F93*Defaults!$D$8</f>
        <v>0.83291152887546027</v>
      </c>
      <c r="D93" s="1467" t="s">
        <v>259</v>
      </c>
      <c r="E93" s="1466"/>
      <c r="F93" s="3012">
        <f>F1_Total_KE_kg_day</f>
        <v>0.3778022495798421</v>
      </c>
      <c r="G93" s="1467" t="s">
        <v>37</v>
      </c>
      <c r="H93" s="1466"/>
      <c r="I93" s="1468"/>
      <c r="J93" s="3017">
        <f>M93*Defaults!$D$8</f>
        <v>0.75213602627438925</v>
      </c>
      <c r="K93" s="1662" t="s">
        <v>259</v>
      </c>
      <c r="L93" s="1469"/>
      <c r="M93" s="3017">
        <f>F2_Total_KE_kg_day</f>
        <v>0.34116310420166585</v>
      </c>
      <c r="N93" s="1662" t="s">
        <v>37</v>
      </c>
      <c r="O93" s="1469"/>
      <c r="P93" s="1663"/>
      <c r="Q93" s="3022">
        <f>T93*Defaults!$D$8</f>
        <v>0.67800726735454409</v>
      </c>
      <c r="R93" s="1665" t="s">
        <v>259</v>
      </c>
      <c r="S93" s="1603"/>
      <c r="T93" s="3022">
        <f>F3_Total_KE_kg_day</f>
        <v>0.30753887052550211</v>
      </c>
      <c r="U93" s="1665" t="s">
        <v>37</v>
      </c>
      <c r="V93" s="1666"/>
      <c r="W93" s="1605"/>
      <c r="X93" s="3028">
        <f>AA93*Defaults!$D$8</f>
        <v>0.31705943433316863</v>
      </c>
      <c r="Y93" s="3010" t="s">
        <v>259</v>
      </c>
      <c r="Z93" s="1605"/>
      <c r="AA93" s="3028">
        <f>F4_Total_KE_kg_day</f>
        <v>0.14381571558183354</v>
      </c>
      <c r="AB93" s="465" t="s">
        <v>37</v>
      </c>
      <c r="AC93" s="497"/>
    </row>
    <row r="94" spans="1:29" ht="5.25" customHeight="1">
      <c r="A94" s="3033"/>
      <c r="B94" s="498"/>
      <c r="C94" s="499"/>
      <c r="D94" s="499"/>
      <c r="E94" s="499"/>
      <c r="F94" s="499"/>
      <c r="G94" s="499"/>
      <c r="H94" s="499"/>
      <c r="I94" s="500"/>
      <c r="J94" s="501"/>
      <c r="K94" s="501"/>
      <c r="L94" s="501"/>
      <c r="M94" s="501"/>
      <c r="N94" s="501"/>
      <c r="O94" s="501"/>
      <c r="P94" s="502"/>
      <c r="Q94" s="503"/>
      <c r="R94" s="503"/>
      <c r="S94" s="503"/>
      <c r="T94" s="503"/>
      <c r="U94" s="503"/>
      <c r="V94" s="504"/>
      <c r="W94" s="505"/>
      <c r="X94" s="505"/>
      <c r="Y94" s="505"/>
      <c r="Z94" s="505"/>
      <c r="AA94" s="505"/>
      <c r="AB94" s="505"/>
      <c r="AC94" s="506"/>
    </row>
    <row r="95" spans="1:29" s="20" customFormat="1" ht="15.75" customHeight="1">
      <c r="A95" s="1194" t="s">
        <v>1421</v>
      </c>
      <c r="B95" s="2383"/>
      <c r="C95" s="2998">
        <f>C89+C90+C91+C92+C93</f>
        <v>245.79958437902249</v>
      </c>
      <c r="D95" s="2999" t="s">
        <v>259</v>
      </c>
      <c r="E95" s="2999"/>
      <c r="F95" s="2998">
        <f>F89+F90+F91+F92+F93</f>
        <v>111.49279689952543</v>
      </c>
      <c r="G95" s="2999" t="s">
        <v>37</v>
      </c>
      <c r="H95" s="2999"/>
      <c r="I95" s="3000"/>
      <c r="J95" s="3001">
        <f>J89+J90+J91+J92+J93</f>
        <v>231.37448924399615</v>
      </c>
      <c r="K95" s="3002" t="s">
        <v>259</v>
      </c>
      <c r="L95" s="3002"/>
      <c r="M95" s="3001">
        <f>M89+M90+M91+M92+M93</f>
        <v>104.94968493207053</v>
      </c>
      <c r="N95" s="3002" t="s">
        <v>37</v>
      </c>
      <c r="O95" s="3002"/>
      <c r="P95" s="3003"/>
      <c r="Q95" s="3004">
        <f>Q89+Q90+Q91+Q92+Q93</f>
        <v>218.94551821776679</v>
      </c>
      <c r="R95" s="3005" t="s">
        <v>259</v>
      </c>
      <c r="S95" s="3005"/>
      <c r="T95" s="3004">
        <f>T89+T90+T91+T92+T93</f>
        <v>99.311999474634348</v>
      </c>
      <c r="U95" s="3005" t="s">
        <v>37</v>
      </c>
      <c r="V95" s="3006"/>
      <c r="W95" s="3007"/>
      <c r="X95" s="3008">
        <f>X89+X90+X91+X92+X93</f>
        <v>172.68923280631773</v>
      </c>
      <c r="Y95" s="3007" t="s">
        <v>259</v>
      </c>
      <c r="Z95" s="3007"/>
      <c r="AA95" s="3008">
        <f>AA89+AA90+AA91+AA92+AA93</f>
        <v>78.330504946341264</v>
      </c>
      <c r="AB95" s="3009" t="s">
        <v>37</v>
      </c>
      <c r="AC95" s="2055"/>
    </row>
    <row r="96" spans="1:29" ht="5.25" customHeight="1" thickBot="1">
      <c r="A96" s="2233"/>
      <c r="B96" s="2995"/>
      <c r="C96" s="1551"/>
      <c r="D96" s="1551"/>
      <c r="E96" s="1551"/>
      <c r="F96" s="1551"/>
      <c r="G96" s="1551"/>
      <c r="H96" s="1551"/>
      <c r="I96" s="1987"/>
      <c r="J96" s="1552"/>
      <c r="K96" s="1552"/>
      <c r="L96" s="1552"/>
      <c r="M96" s="1552"/>
      <c r="N96" s="1552"/>
      <c r="O96" s="1552"/>
      <c r="P96" s="2996"/>
      <c r="Q96" s="2985"/>
      <c r="R96" s="2985"/>
      <c r="S96" s="2985"/>
      <c r="T96" s="2985"/>
      <c r="U96" s="2985"/>
      <c r="V96" s="2997"/>
      <c r="W96" s="2950"/>
      <c r="X96" s="2950"/>
      <c r="Y96" s="2950"/>
      <c r="Z96" s="2950"/>
      <c r="AA96" s="2950"/>
      <c r="AB96" s="2950"/>
      <c r="AC96" s="2953"/>
    </row>
  </sheetData>
  <sheetProtection password="E0BE" sheet="1" objects="1" scenarios="1"/>
  <mergeCells count="14">
    <mergeCell ref="A84:A87"/>
    <mergeCell ref="A82:AC82"/>
    <mergeCell ref="A1:AC1"/>
    <mergeCell ref="A51:AB51"/>
    <mergeCell ref="A5:AC5"/>
    <mergeCell ref="A2:AC2"/>
    <mergeCell ref="B3:H3"/>
    <mergeCell ref="I3:O3"/>
    <mergeCell ref="P3:U3"/>
    <mergeCell ref="W3:AC3"/>
    <mergeCell ref="B4:H4"/>
    <mergeCell ref="I4:O4"/>
    <mergeCell ref="P4:V4"/>
    <mergeCell ref="W4:AC4"/>
  </mergeCells>
  <printOptions horizontalCentered="1"/>
  <pageMargins left="0.7" right="0.7" top="0.75" bottom="0.75" header="0.3" footer="0.3"/>
  <pageSetup scale="56" fitToHeight="2" orientation="landscape" horizontalDpi="1200" verticalDpi="1200" r:id="rId1"/>
  <headerFooter>
    <oddFooter>&amp;L&amp;A&amp;C&amp;F&amp;R&amp;D</oddFooter>
  </headerFooter>
  <rowBreaks count="1" manualBreakCount="1">
    <brk id="50" max="2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1662</vt:i4>
      </vt:variant>
    </vt:vector>
  </HeadingPairs>
  <TitlesOfParts>
    <vt:vector size="1700" baseType="lpstr">
      <vt:lpstr>Title Page</vt:lpstr>
      <vt:lpstr>Application Setup</vt:lpstr>
      <vt:lpstr>Chosen Parameters-Part I</vt:lpstr>
      <vt:lpstr>Chosen Parameters-Part II</vt:lpstr>
      <vt:lpstr>Chosen Parameters-Part III</vt:lpstr>
      <vt:lpstr>Chosen Parameters-Part IV</vt:lpstr>
      <vt:lpstr>Results Table-Part I</vt:lpstr>
      <vt:lpstr>Results Table-Part II</vt:lpstr>
      <vt:lpstr>Results Table-Part III</vt:lpstr>
      <vt:lpstr>Results Table-Part IV</vt:lpstr>
      <vt:lpstr>Step 1 -- Herd Profile</vt:lpstr>
      <vt:lpstr>Step 2--Cull Rates</vt:lpstr>
      <vt:lpstr>Step 3--Lactation Profile</vt:lpstr>
      <vt:lpstr>Step 4--Breeding &amp; Health</vt:lpstr>
      <vt:lpstr>Step 5--Total Production</vt:lpstr>
      <vt:lpstr>Step 6--DMI Required</vt:lpstr>
      <vt:lpstr>Step 7a--Feedstuff Required</vt:lpstr>
      <vt:lpstr>Step 7b--Feedstuff Required</vt:lpstr>
      <vt:lpstr>Step 8a--DMI Worksheet</vt:lpstr>
      <vt:lpstr>Step 8b--DMI Worksheet</vt:lpstr>
      <vt:lpstr>Step 9a--Daily DMI Rations</vt:lpstr>
      <vt:lpstr>Step 9b--Daily DMI Rations</vt:lpstr>
      <vt:lpstr>Step 10a--Required Acres</vt:lpstr>
      <vt:lpstr>Step 10b--Required Acres</vt:lpstr>
      <vt:lpstr>Step 11a--Inputs</vt:lpstr>
      <vt:lpstr>Step 11b--Inputs</vt:lpstr>
      <vt:lpstr>Step 11a--Inputs Detail</vt:lpstr>
      <vt:lpstr>Step 11b--Inputs Detail</vt:lpstr>
      <vt:lpstr>Step 12--Dietary Intake</vt:lpstr>
      <vt:lpstr>Step 13a--Nutrient Excretions</vt:lpstr>
      <vt:lpstr>Step 13b--Nutrient Excretions</vt:lpstr>
      <vt:lpstr>Step 14a-Greenhouse Gas Factors</vt:lpstr>
      <vt:lpstr>Step 14b-Greenhouse Gas Factors</vt:lpstr>
      <vt:lpstr>Step 15a--CH4 Emissions</vt:lpstr>
      <vt:lpstr>Step 15b--CH4 Emissions</vt:lpstr>
      <vt:lpstr>App A-Formula Sources</vt:lpstr>
      <vt:lpstr>Options</vt:lpstr>
      <vt:lpstr>Defaults</vt:lpstr>
      <vt:lpstr>Application_Name</vt:lpstr>
      <vt:lpstr>F1_Abortion_Days_Cows</vt:lpstr>
      <vt:lpstr>F1_Abortion_Days_Cows_default</vt:lpstr>
      <vt:lpstr>F1_Abortion_Days_Cows_reported</vt:lpstr>
      <vt:lpstr>F1_Abortion_Days_Heifers</vt:lpstr>
      <vt:lpstr>F1_Abortion_Days_Heifers_default</vt:lpstr>
      <vt:lpstr>F1_Abortion_Days_Heifers_reported</vt:lpstr>
      <vt:lpstr>F1_Abortion_Rate_Cows</vt:lpstr>
      <vt:lpstr>F1_Abortion_Rate_Cows_default</vt:lpstr>
      <vt:lpstr>F1_Abortion_Rate_Cows_reported</vt:lpstr>
      <vt:lpstr>F1_Abortion_Rate_Heifers</vt:lpstr>
      <vt:lpstr>F1_Abortion_Rate_Heifers_default</vt:lpstr>
      <vt:lpstr>F1_Abortion_Rate_Heifers_reported</vt:lpstr>
      <vt:lpstr>F1_Age_at_1st_Birthing</vt:lpstr>
      <vt:lpstr>F1_Age_at_1st_Birthing_default</vt:lpstr>
      <vt:lpstr>F1_Age_at_1st_Birthing_projected</vt:lpstr>
      <vt:lpstr>F1_Age_at_1st_Birthing_reported</vt:lpstr>
      <vt:lpstr>F1_Age_at_1st_Breeding</vt:lpstr>
      <vt:lpstr>F1_Age_at_1st_Breeding_default</vt:lpstr>
      <vt:lpstr>F1_Age_at_1st_Breeding_reported</vt:lpstr>
      <vt:lpstr>F1_Age_at_EOL</vt:lpstr>
      <vt:lpstr>F1_Age_at_EOL_projected</vt:lpstr>
      <vt:lpstr>F1_Age_at_EOL_reported</vt:lpstr>
      <vt:lpstr>F1_Annual_Bull_Calves</vt:lpstr>
      <vt:lpstr>F1_Annual_Heifer_Calves</vt:lpstr>
      <vt:lpstr>F1_Annual_Total_Calves</vt:lpstr>
      <vt:lpstr>F1_Avg_Annual_Milk_Production_ECM</vt:lpstr>
      <vt:lpstr>F1_Avg_Annual_Milk_Production_Unadjusted</vt:lpstr>
      <vt:lpstr>F1_Bo</vt:lpstr>
      <vt:lpstr>F1_Breeding_Method</vt:lpstr>
      <vt:lpstr>F1_Bull_Calves_in_Life</vt:lpstr>
      <vt:lpstr>F1_Bull_Can_Impregnate</vt:lpstr>
      <vt:lpstr>F1_Bull_Can_Impregnate_default</vt:lpstr>
      <vt:lpstr>F1_Bull_Can_Impregnate_reported</vt:lpstr>
      <vt:lpstr>F1_Bull_Units</vt:lpstr>
      <vt:lpstr>F1_Bulls</vt:lpstr>
      <vt:lpstr>F1_Calf_Dressing_Rate</vt:lpstr>
      <vt:lpstr>F1_Calf_Weight_default</vt:lpstr>
      <vt:lpstr>F1_Calf_Weight_kg</vt:lpstr>
      <vt:lpstr>F1_Calf_Weight_lb</vt:lpstr>
      <vt:lpstr>F1_Calf_Weight_reported</vt:lpstr>
      <vt:lpstr>F1_Calving_Interval</vt:lpstr>
      <vt:lpstr>F1_Calving_Interval_projected</vt:lpstr>
      <vt:lpstr>F1_Calving_Interval_reported</vt:lpstr>
      <vt:lpstr>F1_Calving_to_1st_Breeding_Attempt</vt:lpstr>
      <vt:lpstr>F1_Calving_to_1st_Breeding_Attempt_default</vt:lpstr>
      <vt:lpstr>F1_Calving_to_1st_Breeding_Attempt_reported</vt:lpstr>
      <vt:lpstr>F1_Climate</vt:lpstr>
      <vt:lpstr>F1_Cow_Breeding_Attempts</vt:lpstr>
      <vt:lpstr>F1_Cow_Breeding_Attempts_default</vt:lpstr>
      <vt:lpstr>F1_Cow_Breeding_Attempts_reported</vt:lpstr>
      <vt:lpstr>F1_Cow_Days_Between_Breeding_Attempts</vt:lpstr>
      <vt:lpstr>F1_Cow_Days_between_Breeding_Attempts_default</vt:lpstr>
      <vt:lpstr>F1_Cow_Days_between_Breeding_Attempts_projected</vt:lpstr>
      <vt:lpstr>F1_Cow_Days_between_Breeding_Attempts_reported</vt:lpstr>
      <vt:lpstr>F1_Cow_Dressing_Rate</vt:lpstr>
      <vt:lpstr>F1_Cow_Failure_to_Breed_Rate</vt:lpstr>
      <vt:lpstr>F1_Cow_Failure_to_Breed_Rate_default</vt:lpstr>
      <vt:lpstr>F1_Cow_Failure_to_Breed_Rate_reported</vt:lpstr>
      <vt:lpstr>F1_Cull_Rate_Dry_Cows</vt:lpstr>
      <vt:lpstr>F1_Cull_Rate_Dry_Cows_default</vt:lpstr>
      <vt:lpstr>F1_Cull_Rate_Dry_Cows_reported</vt:lpstr>
      <vt:lpstr>F1_Cull_Rate_Involuntary_Lact_Cows</vt:lpstr>
      <vt:lpstr>F1_Cull_Rate_Involuntary_Lact_Cows_default</vt:lpstr>
      <vt:lpstr>F1_Cull_Rate_Involuntary_Lact_Cows_reported</vt:lpstr>
      <vt:lpstr>F1_Cull_Rate_Voluntary_Lact_Cows</vt:lpstr>
      <vt:lpstr>F1_Cull_Rate_Voluntary_Lact_Cows_default</vt:lpstr>
      <vt:lpstr>F1_Cull_Rate_Voluntary_Lact_Cows_reported</vt:lpstr>
      <vt:lpstr>F1_Days_in_Diverted_Milk</vt:lpstr>
      <vt:lpstr>F1_Days_in_Diverted_Milk_default</vt:lpstr>
      <vt:lpstr>F1_Days_in_Diverted_Milk_reported</vt:lpstr>
      <vt:lpstr>F1_Death_Rate_Dry_Cows</vt:lpstr>
      <vt:lpstr>F1_Death_Rate_Dry_Cows_default</vt:lpstr>
      <vt:lpstr>F1_Death_Rate_Dry_Cows_reported</vt:lpstr>
      <vt:lpstr>F1_Death_Rate_Heifers</vt:lpstr>
      <vt:lpstr>F1_Death_Rate_Heifers_default</vt:lpstr>
      <vt:lpstr>F1_Death_Rate_Heifers_reported</vt:lpstr>
      <vt:lpstr>F1_Death_Rate_Lact_Cows</vt:lpstr>
      <vt:lpstr>F1_Death_Rate_Lact_Cows_default</vt:lpstr>
      <vt:lpstr>F1_Death_Rate_Lact_Cows_reported</vt:lpstr>
      <vt:lpstr>F1_Death_Rate_Unweaned_Heifers</vt:lpstr>
      <vt:lpstr>F1_Death_Rate_Unweaned_Heifers_default</vt:lpstr>
      <vt:lpstr>F1_Death_Rate_Unweaned_Heifers_reported</vt:lpstr>
      <vt:lpstr>F1_Death_Rate_Weaned_Heifers</vt:lpstr>
      <vt:lpstr>F1_Death_Rate_Weaned_Heifers_default</vt:lpstr>
      <vt:lpstr>F1_Death_Rate_Weaned_Heifers_reported</vt:lpstr>
      <vt:lpstr>F1_Diet_Digestibility</vt:lpstr>
      <vt:lpstr>F1_Diet_Digestibility_projected</vt:lpstr>
      <vt:lpstr>F1_Diet_Digestibility_reported</vt:lpstr>
      <vt:lpstr>F1_Dietary_CP_Calf</vt:lpstr>
      <vt:lpstr>F1_Dietary_CP_Calf_projected</vt:lpstr>
      <vt:lpstr>F1_Dietary_CP_Calf_reported</vt:lpstr>
      <vt:lpstr>F1_Dietary_CP_Dry_Cow</vt:lpstr>
      <vt:lpstr>F1_Dietary_CP_Dry_Cow_projected</vt:lpstr>
      <vt:lpstr>F1_Dietary_CP_Dry_Cow_reported</vt:lpstr>
      <vt:lpstr>F1_Dietary_CP_Heifer</vt:lpstr>
      <vt:lpstr>F1_Dietary_CP_Heifers_projected</vt:lpstr>
      <vt:lpstr>F1_Dietary_CP_Heifers_reported</vt:lpstr>
      <vt:lpstr>F1_Dietary_CP_Lact_Cow</vt:lpstr>
      <vt:lpstr>F1_Dietary_CP_Lact_Cow_projected</vt:lpstr>
      <vt:lpstr>F1_Dietary_CP_Lact_Cow_reported</vt:lpstr>
      <vt:lpstr>F1_Dietary_K_Calf</vt:lpstr>
      <vt:lpstr>F1_Dietary_K_Calf_projected</vt:lpstr>
      <vt:lpstr>F1_Dietary_K_Calf_reported</vt:lpstr>
      <vt:lpstr>F1_Dietary_K_Dry_Cow</vt:lpstr>
      <vt:lpstr>F1_Dietary_K_Dry_Cow_projected</vt:lpstr>
      <vt:lpstr>F1_Dietary_K_Dry_Cow_reported</vt:lpstr>
      <vt:lpstr>F1_Dietary_K_Heifer</vt:lpstr>
      <vt:lpstr>F1_Dietary_K_Heifer_projected</vt:lpstr>
      <vt:lpstr>F1_Dietary_K_Heifer_reported</vt:lpstr>
      <vt:lpstr>F1_Dietary_K_Lact_Cow</vt:lpstr>
      <vt:lpstr>F1_Dietary_K_Lact_Cow_projected</vt:lpstr>
      <vt:lpstr>F1_Dietary_K_Lact_Cow_reported</vt:lpstr>
      <vt:lpstr>F1_Dietary_P_Calf</vt:lpstr>
      <vt:lpstr>F1_Dietary_P_Calf_projected</vt:lpstr>
      <vt:lpstr>F1_Dietary_P_Calf_reported</vt:lpstr>
      <vt:lpstr>F1_Dietary_P_Dry_Cow</vt:lpstr>
      <vt:lpstr>F1_Dietary_P_Dry_Cow_projected</vt:lpstr>
      <vt:lpstr>F1_Dietary_P_Dry_Cow_reported</vt:lpstr>
      <vt:lpstr>F1_Dietary_P_Heifer</vt:lpstr>
      <vt:lpstr>F1_Dietary_P_Heifer_projected</vt:lpstr>
      <vt:lpstr>F1_Dietary_P_Heifer_reported</vt:lpstr>
      <vt:lpstr>F1_Dietary_P_Lact_Cow</vt:lpstr>
      <vt:lpstr>F1_Dietary_P_Lact_Cow_projected</vt:lpstr>
      <vt:lpstr>F1_Dietary_P_Lact_Cow_reported</vt:lpstr>
      <vt:lpstr>F1_Digestible_Energy</vt:lpstr>
      <vt:lpstr>F1_Digestible_Energy_projected</vt:lpstr>
      <vt:lpstr>F1_Digestible_Energy_reported</vt:lpstr>
      <vt:lpstr>F1_DIM</vt:lpstr>
      <vt:lpstr>F1_DME_Calf_Day_kg</vt:lpstr>
      <vt:lpstr>F1_DME_Calf_projected_kg</vt:lpstr>
      <vt:lpstr>F1_DME_Calf_reported_kg</vt:lpstr>
      <vt:lpstr>F1_DME_Dry_Cow_Day_kg</vt:lpstr>
      <vt:lpstr>F1_DME_Dry_Cow_projected_kg</vt:lpstr>
      <vt:lpstr>F1_DME_Dry_Cow_reported_kg</vt:lpstr>
      <vt:lpstr>F1_DME_Heifer_Day_kg</vt:lpstr>
      <vt:lpstr>F1_DME_Heifer_Projected_kg</vt:lpstr>
      <vt:lpstr>F1_DME_Heifer_reported_kg</vt:lpstr>
      <vt:lpstr>F1_DME_Lact_Cow_Day_kg</vt:lpstr>
      <vt:lpstr>F1_DME_Lact_Cow_Day_lb</vt:lpstr>
      <vt:lpstr>F1_DME_Lact_Cow_Life_kg</vt:lpstr>
      <vt:lpstr>F1_DME_Lact_Cow_Life_lb</vt:lpstr>
      <vt:lpstr>F1_DME_Lact_Cow_projected_kg</vt:lpstr>
      <vt:lpstr>F1_DME_Lact_Cow_reported_kg</vt:lpstr>
      <vt:lpstr>F1_DMI_Dry_Cow_kg</vt:lpstr>
      <vt:lpstr>F1_DMI_Dry_Cow_lb</vt:lpstr>
      <vt:lpstr>F1_DMI_Dry_Cow_projected_kg</vt:lpstr>
      <vt:lpstr>F1_DMI_Dry_Cow_reported_kg</vt:lpstr>
      <vt:lpstr>F1_DMI_Heifer_Calf_kg</vt:lpstr>
      <vt:lpstr>F1_DMI_Heifer_Calf_lb</vt:lpstr>
      <vt:lpstr>F1_DMI_Heifer_Calf_projected_kg</vt:lpstr>
      <vt:lpstr>F1_DMI_Heifer_Calf_reported_kg</vt:lpstr>
      <vt:lpstr>F1_DMI_Heifer_kg</vt:lpstr>
      <vt:lpstr>F1_DMI_Heifer_lb</vt:lpstr>
      <vt:lpstr>F1_DMI_Heifer_projected_kg</vt:lpstr>
      <vt:lpstr>F1_DMI_Heifer_reported_kg</vt:lpstr>
      <vt:lpstr>F1_DMI_Lact_Cow_at_Milk_Production_kg_default</vt:lpstr>
      <vt:lpstr>F1_DMI_Lact_Cow_at_Milk_Production_kg_reported</vt:lpstr>
      <vt:lpstr>F1_DMI_Lact_Cow_at_Milk_Production_lb_default</vt:lpstr>
      <vt:lpstr>F1_DMI_Lact_Cow_at_Milk_Production_lb_reported</vt:lpstr>
      <vt:lpstr>F1_DMI_Lact_Cow_kg</vt:lpstr>
      <vt:lpstr>F1_DMI_Lact_Cow_lb</vt:lpstr>
      <vt:lpstr>F1_Dry_Cow_Units</vt:lpstr>
      <vt:lpstr>F1_Dry_Cow_Weight_default</vt:lpstr>
      <vt:lpstr>F1_Dry_Cow_Weight_kg</vt:lpstr>
      <vt:lpstr>F1_Dry_Cow_Weight_lb</vt:lpstr>
      <vt:lpstr>F1_Dry_Cow_Weight_reported</vt:lpstr>
      <vt:lpstr>F1_Dry_Cows</vt:lpstr>
      <vt:lpstr>F1_Dryoff_Period</vt:lpstr>
      <vt:lpstr>F1_Dryoff_Period_default</vt:lpstr>
      <vt:lpstr>F1_Dryoff_Period_reported</vt:lpstr>
      <vt:lpstr>F1_ECM_Production_kg_day</vt:lpstr>
      <vt:lpstr>F1_ECM_Production_lb_day</vt:lpstr>
      <vt:lpstr>F1_ECM_Production_Life_lb</vt:lpstr>
      <vt:lpstr>F1_Embryonic_Loss_Days_Cows</vt:lpstr>
      <vt:lpstr>F1_Embryonic_Loss_Days_Cows_default</vt:lpstr>
      <vt:lpstr>F1_Embryonic_Loss_Days_Cows_reported</vt:lpstr>
      <vt:lpstr>F1_Embryonic_Loss_Days_Heifers</vt:lpstr>
      <vt:lpstr>F1_Embryonic_Loss_Days_Heifers_default</vt:lpstr>
      <vt:lpstr>F1_Embryonic_Loss_Days_Heifers_reported</vt:lpstr>
      <vt:lpstr>F1_Embryonic_Loss_Rate_Cows</vt:lpstr>
      <vt:lpstr>F1_Embryonic_Loss_Rate_Cows_default</vt:lpstr>
      <vt:lpstr>F1_Embryonic_Loss_Rate_Cows_reported</vt:lpstr>
      <vt:lpstr>F1_Embryonic_Loss_Rate_Heifers</vt:lpstr>
      <vt:lpstr>F1_Embryonic_Loss_Rate_Heifers_default</vt:lpstr>
      <vt:lpstr>F1_Embryonic_Loss_Rate_Heifers_reported</vt:lpstr>
      <vt:lpstr>F1_Fat_Content_kg</vt:lpstr>
      <vt:lpstr>F1_Fat_Content_lb</vt:lpstr>
      <vt:lpstr>F1_Gestation_Period</vt:lpstr>
      <vt:lpstr>F1_Gross_Energy</vt:lpstr>
      <vt:lpstr>F1_Gross_Energy_projected</vt:lpstr>
      <vt:lpstr>F1_Gross_Energy_reported</vt:lpstr>
      <vt:lpstr>F1_Grown_Calf_Weight_default</vt:lpstr>
      <vt:lpstr>F1_Grown_Calf_Weight_kg</vt:lpstr>
      <vt:lpstr>F1_Grown_Calf_Weight_lb</vt:lpstr>
      <vt:lpstr>F1_Grown_Calf_Weight_reported</vt:lpstr>
      <vt:lpstr>F1_Heifer_Breeding_Attempts</vt:lpstr>
      <vt:lpstr>F1_Heifer_Breeding_Attempts_default</vt:lpstr>
      <vt:lpstr>F1_Heifer_Breeding_Attempts_reported</vt:lpstr>
      <vt:lpstr>F1_Heifer_Calf</vt:lpstr>
      <vt:lpstr>F1_Heifer_Calf_Units</vt:lpstr>
      <vt:lpstr>F1_Heifer_Calves_in_Life</vt:lpstr>
      <vt:lpstr>F1_Heifer_Days_Between_Breeding_Attempts</vt:lpstr>
      <vt:lpstr>F1_Heifer_Days_between_Breeding_Attempts_default</vt:lpstr>
      <vt:lpstr>F1_Heifer_Days_between_Breeding_Attempts_projected</vt:lpstr>
      <vt:lpstr>F1_Heifer_Days_between_Breeding_Attempts_reported</vt:lpstr>
      <vt:lpstr>F1_Heifer_Failure_to_Breed_Rate</vt:lpstr>
      <vt:lpstr>F1_Heifer_Failure_to_Breed_Rate_default</vt:lpstr>
      <vt:lpstr>F1_Heifer_Failure_to_Breed_Rate_reported</vt:lpstr>
      <vt:lpstr>F1_Heifer_Units</vt:lpstr>
      <vt:lpstr>F1_Heifer_Weight_default</vt:lpstr>
      <vt:lpstr>F1_Heifer_Weight_kg</vt:lpstr>
      <vt:lpstr>F1_Heifer_Weight_lb</vt:lpstr>
      <vt:lpstr>F1_Heifer_Weight_reported</vt:lpstr>
      <vt:lpstr>F1_Heifers</vt:lpstr>
      <vt:lpstr>F1_Heifers_to_be_Born</vt:lpstr>
      <vt:lpstr>F1_Herbicide_per_Lactation_kg</vt:lpstr>
      <vt:lpstr>F1_Herbicide_per_Lactation_lb</vt:lpstr>
      <vt:lpstr>F1_Herbicides_Calf_day</vt:lpstr>
      <vt:lpstr>F1_Herbicides_Dry_Cow_day</vt:lpstr>
      <vt:lpstr>F1_Herbicides_Heifer_day</vt:lpstr>
      <vt:lpstr>F1_Herbicides_Lact_Cow_day</vt:lpstr>
      <vt:lpstr>F1_Insecticide_per_Lactation_kg</vt:lpstr>
      <vt:lpstr>F1_Insecticide_per_Lactation_lb</vt:lpstr>
      <vt:lpstr>F1_Insecticides_Calf_day</vt:lpstr>
      <vt:lpstr>F1_Insecticides_Dry_Cow_day</vt:lpstr>
      <vt:lpstr>F1_Insecticides_Heifer_day</vt:lpstr>
      <vt:lpstr>F1_Insecticides_Lact_Cow_day</vt:lpstr>
      <vt:lpstr>F1_KE_Calf_Day_kg</vt:lpstr>
      <vt:lpstr>F1_KE_Calf_projected_kg</vt:lpstr>
      <vt:lpstr>F1_KE_Calf_reported_kg</vt:lpstr>
      <vt:lpstr>F1_KE_Dry_Cow_Day_kg</vt:lpstr>
      <vt:lpstr>F1_KE_Dry_Cow_projected_kg</vt:lpstr>
      <vt:lpstr>F1_KE_Dry_Cow_reported_kg</vt:lpstr>
      <vt:lpstr>F1_KE_Heifer_Day_kg</vt:lpstr>
      <vt:lpstr>F1_KE_Heifer_projected_kg</vt:lpstr>
      <vt:lpstr>F1_KE_Heifer_reported_kg</vt:lpstr>
      <vt:lpstr>F1_KE_Lact_Cow_Day_kg</vt:lpstr>
      <vt:lpstr>F1_KE_Lact_Cow_Day_lb</vt:lpstr>
      <vt:lpstr>F1_KE_Lact_Cow_Life_kg</vt:lpstr>
      <vt:lpstr>F1_KE_Lact_Cow_Life_lb</vt:lpstr>
      <vt:lpstr>F1_KE_Lact_Cow_projected_kg</vt:lpstr>
      <vt:lpstr>F1_KE_Lact_Cow_reported_kg</vt:lpstr>
      <vt:lpstr>F1_Lact_Cow_Weight_default</vt:lpstr>
      <vt:lpstr>F1_Lact_Cow_Weight_kg</vt:lpstr>
      <vt:lpstr>F1_Lact_Cow_Weight_lb</vt:lpstr>
      <vt:lpstr>F1_Lact_Cow_Weight_reported</vt:lpstr>
      <vt:lpstr>F1_Lact_Cows</vt:lpstr>
      <vt:lpstr>F1_Lact_Cows_projected</vt:lpstr>
      <vt:lpstr>F1_Lact_Cows_reported</vt:lpstr>
      <vt:lpstr>F1_Length_of_Lactation</vt:lpstr>
      <vt:lpstr>F1_Length_of_Lactation_projected</vt:lpstr>
      <vt:lpstr>F1_Length_of_Lactation_reported</vt:lpstr>
      <vt:lpstr>F1_Market_Value_Bull_Calf</vt:lpstr>
      <vt:lpstr>F1_Market_Value_Bull_Calf_default</vt:lpstr>
      <vt:lpstr>F1_Market_Value_Bull_Calf_reported</vt:lpstr>
      <vt:lpstr>F1_Market_Value_Heifer_Calf</vt:lpstr>
      <vt:lpstr>F1_Market_Value_Heifer_Calf_default</vt:lpstr>
      <vt:lpstr>F1_Market_Value_Heifer_Calf_reported</vt:lpstr>
      <vt:lpstr>F1_MCF</vt:lpstr>
      <vt:lpstr>F1_MCF_projected</vt:lpstr>
      <vt:lpstr>F1_MCF_reported</vt:lpstr>
      <vt:lpstr>F1_Meat_Price_Calf</vt:lpstr>
      <vt:lpstr>F1_Meat_Price_Calf_default</vt:lpstr>
      <vt:lpstr>F1_Meat_Price_Calf_reported</vt:lpstr>
      <vt:lpstr>F1_Meat_Price_Cow</vt:lpstr>
      <vt:lpstr>F1_Meat_Price_Cow_default</vt:lpstr>
      <vt:lpstr>F1_Meat_Price_Cow_reported</vt:lpstr>
      <vt:lpstr>F1_Meat_Production_from_Calves</vt:lpstr>
      <vt:lpstr>F1_Meat_Production_from_Cow</vt:lpstr>
      <vt:lpstr>F1_Methane_Enteric_Calf_Day_kg</vt:lpstr>
      <vt:lpstr>F1_Methane_Enteric_Calf_Day_lb</vt:lpstr>
      <vt:lpstr>F1_Methane_Enteric_Dry_Cow_Day_kg</vt:lpstr>
      <vt:lpstr>F1_Methane_Enteric_Dry_Cow_Day_lb</vt:lpstr>
      <vt:lpstr>F1_Methane_Enteric_Heifer_Day_kg</vt:lpstr>
      <vt:lpstr>F1_Methane_Enteric_Heifer_Day_lb</vt:lpstr>
      <vt:lpstr>F1_Methane_Enteric_Lact_Cow_Day_kg</vt:lpstr>
      <vt:lpstr>F1_Methane_Enteric_Lact_Cow_Day_lb</vt:lpstr>
      <vt:lpstr>F1_Methane_Enteric_Lact_Cow_Life_kg</vt:lpstr>
      <vt:lpstr>F1_Methane_Enteric_Lact_Cow_Life_lb</vt:lpstr>
      <vt:lpstr>F1_Methane_Manure_Calf_Day_kg</vt:lpstr>
      <vt:lpstr>F1_Methane_Manure_Calf_Day_lb</vt:lpstr>
      <vt:lpstr>F1_Methane_Manure_Dry_Cow_Day_kg</vt:lpstr>
      <vt:lpstr>F1_Methane_Manure_Dry_Cow_Day_lb</vt:lpstr>
      <vt:lpstr>F1_Methane_Manure_Heifer_Day_kg</vt:lpstr>
      <vt:lpstr>F1_Methane_Manure_Heifer_Day_lb</vt:lpstr>
      <vt:lpstr>F1_Methane_Manure_Lact_Cow_Day_kg</vt:lpstr>
      <vt:lpstr>F1_Methane_Manure_Lact_Cow_Day_lb</vt:lpstr>
      <vt:lpstr>F1_Methane_Manure_Lact_Cow_Life_kg</vt:lpstr>
      <vt:lpstr>F1_Methane_Manure_Lact_Cow_Life_lb</vt:lpstr>
      <vt:lpstr>F1_Milk_Price</vt:lpstr>
      <vt:lpstr>F1_Milk_Price_default</vt:lpstr>
      <vt:lpstr>F1_Milk_Price_reported</vt:lpstr>
      <vt:lpstr>F1_NE_activity</vt:lpstr>
      <vt:lpstr>F1_NE_Calf_Day_kg</vt:lpstr>
      <vt:lpstr>F1_NE_Calf_projected_kg</vt:lpstr>
      <vt:lpstr>F1_NE_Calf_reported_kg</vt:lpstr>
      <vt:lpstr>F1_NE_Dry_Cow_Day_kg</vt:lpstr>
      <vt:lpstr>F1_NE_Dry_Cow_projected_kg</vt:lpstr>
      <vt:lpstr>F1_NE_Dry_Cow_reported_kg</vt:lpstr>
      <vt:lpstr>F1_NE_Heifer_Day_kg</vt:lpstr>
      <vt:lpstr>F1_NE_Heifer_Projected_kg</vt:lpstr>
      <vt:lpstr>F1_NE_Heifer_reported_kg</vt:lpstr>
      <vt:lpstr>F1_NE_Lact_Cow_Day_kg</vt:lpstr>
      <vt:lpstr>F1_NE_Lact_Cow_Day_lb</vt:lpstr>
      <vt:lpstr>F1_NE_Lact_Cow_Life_kg</vt:lpstr>
      <vt:lpstr>F1_NE_Lact_Cow_Life_lb</vt:lpstr>
      <vt:lpstr>F1_NE_Lact_Cow_projected_DCP_kg</vt:lpstr>
      <vt:lpstr>F1_NE_Lact_Cow_projected_Milk_kg</vt:lpstr>
      <vt:lpstr>F1_NE_Lact_Cow_reported_kg</vt:lpstr>
      <vt:lpstr>F1_NE_lactation</vt:lpstr>
      <vt:lpstr>F1_NE_maintenance</vt:lpstr>
      <vt:lpstr>F1_NE_pregnancy</vt:lpstr>
      <vt:lpstr>F1_Nitrogen_Calf_day</vt:lpstr>
      <vt:lpstr>F1_Nitrogen_Dry_Cow_day</vt:lpstr>
      <vt:lpstr>F1_Nitrogen_Heifer_day</vt:lpstr>
      <vt:lpstr>F1_Nitrogen_Lact_Cow_day</vt:lpstr>
      <vt:lpstr>F1_Nitrogen_per_Lactation_kg</vt:lpstr>
      <vt:lpstr>F1_Nitrogen_per_Lactation_lb</vt:lpstr>
      <vt:lpstr>F1_Number_of_Bull_Calves_Born</vt:lpstr>
      <vt:lpstr>F1_Number_of_Heifer_Calves_Born</vt:lpstr>
      <vt:lpstr>F1_Number_of_Lactations</vt:lpstr>
      <vt:lpstr>F1_Number_of_Lactations_reported</vt:lpstr>
      <vt:lpstr>F1_Organic</vt:lpstr>
      <vt:lpstr>F1_PE_Calf_Day_kg</vt:lpstr>
      <vt:lpstr>F1_PE_Calf_projected_kg</vt:lpstr>
      <vt:lpstr>F1_PE_Calf_reported_kg</vt:lpstr>
      <vt:lpstr>F1_PE_Dry_Cow_Day_kg</vt:lpstr>
      <vt:lpstr>F1_PE_Dry_Cow_projected_kg</vt:lpstr>
      <vt:lpstr>F1_PE_Dry_Cow_reported_kg</vt:lpstr>
      <vt:lpstr>F1_PE_Heifer_Day_kg</vt:lpstr>
      <vt:lpstr>F1_PE_Heifer_projected_kg</vt:lpstr>
      <vt:lpstr>F1_PE_Heifer_reported_kg</vt:lpstr>
      <vt:lpstr>F1_PE_Lact_Cow_Day_kg</vt:lpstr>
      <vt:lpstr>F1_PE_Lact_Cow_Day_lb</vt:lpstr>
      <vt:lpstr>F1_PE_Lact_Cow_Life_kg</vt:lpstr>
      <vt:lpstr>F1_PE_Lact_Cow_Life_lb</vt:lpstr>
      <vt:lpstr>F1_PE_Lact_Cow_projected_DP_kg</vt:lpstr>
      <vt:lpstr>F1_PE_Lact_Cow_projected_Milk_kg</vt:lpstr>
      <vt:lpstr>F1_PE_Lact_Cow_reported_kg</vt:lpstr>
      <vt:lpstr>F1_Percent_Bull_Calves</vt:lpstr>
      <vt:lpstr>F1_Percent_Heifer_Calves</vt:lpstr>
      <vt:lpstr>F1_Percent_Live_Births</vt:lpstr>
      <vt:lpstr>F1_Percent_Milk_Fat</vt:lpstr>
      <vt:lpstr>F1_Percent_Milk_Protein</vt:lpstr>
      <vt:lpstr>F1_Pounds_Available_for_Slaughter</vt:lpstr>
      <vt:lpstr>F1_Protein_Content_kg</vt:lpstr>
      <vt:lpstr>F1_Protein_Content_lb</vt:lpstr>
      <vt:lpstr>F1_REM</vt:lpstr>
      <vt:lpstr>F1_Replacement_Heifers</vt:lpstr>
      <vt:lpstr>F1_Revenue_from_Calf_Sales_year_of_life</vt:lpstr>
      <vt:lpstr>F1_Revenue_from_Meat_year_of_life</vt:lpstr>
      <vt:lpstr>F1_Revenue_from_Unadjusted_Milk_year_of_life_lb</vt:lpstr>
      <vt:lpstr>F1_Rrevenue_from_ECM_Milk_year_of_life_lb</vt:lpstr>
      <vt:lpstr>F1_State</vt:lpstr>
      <vt:lpstr>F1_TME_Calf_Day_kg</vt:lpstr>
      <vt:lpstr>F1_TME_Calf_projected_kg</vt:lpstr>
      <vt:lpstr>F1_TME_Calf_reported_kg</vt:lpstr>
      <vt:lpstr>F1_TME_Dry_Cow_Day_kg</vt:lpstr>
      <vt:lpstr>F1_TME_Dry_Cow_projected_kg</vt:lpstr>
      <vt:lpstr>F1_TME_Dry_Cow_reported_kg</vt:lpstr>
      <vt:lpstr>F1_TME_Heifer_Day_kg</vt:lpstr>
      <vt:lpstr>F1_TME_Heifer_Projected_kg</vt:lpstr>
      <vt:lpstr>F1_TME_Heifer_reported_kg</vt:lpstr>
      <vt:lpstr>F1_TME_Lact_Cow_Day_kg</vt:lpstr>
      <vt:lpstr>F1_TME_Lact_Cow_Day_lb</vt:lpstr>
      <vt:lpstr>F1_TME_Lact_Cow_Life_kg</vt:lpstr>
      <vt:lpstr>F1_TME_Lact_Cow_Life_lb</vt:lpstr>
      <vt:lpstr>F1_TME_Lact_Cow_projected_kg</vt:lpstr>
      <vt:lpstr>F1_TME_Lact_Cow_projected_lb</vt:lpstr>
      <vt:lpstr>F1_TME_Lact_Cow_reported_kg</vt:lpstr>
      <vt:lpstr>F1_TME_Lact_Cow_reported_lb</vt:lpstr>
      <vt:lpstr>F1_Total_Calves_in_Life</vt:lpstr>
      <vt:lpstr>F1_Total_DME_kg_day</vt:lpstr>
      <vt:lpstr>F1_Total_KE_kg_day</vt:lpstr>
      <vt:lpstr>F1_Total_ME_kg_day</vt:lpstr>
      <vt:lpstr>F1_Total_Meat_Production</vt:lpstr>
      <vt:lpstr>F1_Total_Methane_Calf_Day_kg</vt:lpstr>
      <vt:lpstr>F1_Total_Methane_Dry_Cow_Day_kg</vt:lpstr>
      <vt:lpstr>F1_Total_Methane_Heifer_Day_kg</vt:lpstr>
      <vt:lpstr>F1_Total_Methane_Lact_Cow_Day_kg</vt:lpstr>
      <vt:lpstr>F1_Total_Methane_Lact_Cow_Day_lb</vt:lpstr>
      <vt:lpstr>F1_Total_Methane_Lact_Cow_Life_kg</vt:lpstr>
      <vt:lpstr>F1_Total_Methane_Lact_Cow_Life_lb</vt:lpstr>
      <vt:lpstr>F1_Total_NE_kg_day</vt:lpstr>
      <vt:lpstr>F1_Total_Net_Energy</vt:lpstr>
      <vt:lpstr>F1_Total_PE_kg_day</vt:lpstr>
      <vt:lpstr>F1_Unadjusted_Milk_Production_kg_day</vt:lpstr>
      <vt:lpstr>F1_Unadjusted_Milk_Production_kg_day_default</vt:lpstr>
      <vt:lpstr>F1_Unadjusted_Milk_Production_kg_day_reported</vt:lpstr>
      <vt:lpstr>F1_Unadjusted_Milk_Production_lb_day</vt:lpstr>
      <vt:lpstr>F1_Unadjusted_Milk_Production_lb_day_default</vt:lpstr>
      <vt:lpstr>F1_Unadjusted_Milk_Production_lb_day_reported</vt:lpstr>
      <vt:lpstr>F1_Unadjusted_Milk_Production_Life_lb</vt:lpstr>
      <vt:lpstr>F1_Unsuccessful_Breeding_Cows_Days</vt:lpstr>
      <vt:lpstr>F1_Unsuccessful_Breeding_Cows_Days_default</vt:lpstr>
      <vt:lpstr>F1_Unsuccessful_Breeding_Cows_Days_reported</vt:lpstr>
      <vt:lpstr>F1_Unsuccessful_Breeding_Cows_Percent</vt:lpstr>
      <vt:lpstr>F1_Unsuccessful_Breeding_Cows_Percent_default</vt:lpstr>
      <vt:lpstr>F1_Unsuccessful_Breeding_Cows_Percent_reported</vt:lpstr>
      <vt:lpstr>F1_Unsuccessful_Breeding_Heifers_Days</vt:lpstr>
      <vt:lpstr>F1_Unsuccessful_Breeding_Heifers_Days_default</vt:lpstr>
      <vt:lpstr>F1_Unsuccessful_Breeding_Heifers_Days_reported</vt:lpstr>
      <vt:lpstr>F1_Unsuccessful_Breeding_Heifers_Percent</vt:lpstr>
      <vt:lpstr>F1_Unsuccessful_Breeding_Heifers_Percent_default</vt:lpstr>
      <vt:lpstr>F1_Unsuccessful_Breeding_Heifers_Percent_reported</vt:lpstr>
      <vt:lpstr>F1_VSP</vt:lpstr>
      <vt:lpstr>F1_VSP_projected</vt:lpstr>
      <vt:lpstr>F1_VSP_reported</vt:lpstr>
      <vt:lpstr>F1_Years_of_Productive_Life</vt:lpstr>
      <vt:lpstr>F1_YM</vt:lpstr>
      <vt:lpstr>F2_Abortion_Days_Cows</vt:lpstr>
      <vt:lpstr>F2_Abortion_Days_Cows_default</vt:lpstr>
      <vt:lpstr>F2_Abortion_Days_Cows_reported</vt:lpstr>
      <vt:lpstr>F2_Abortion_Days_Heifers</vt:lpstr>
      <vt:lpstr>F2_Abortion_Days_Heifers_default</vt:lpstr>
      <vt:lpstr>F2_Abortion_Days_Heifers_reported</vt:lpstr>
      <vt:lpstr>F2_Abortion_Rate_Cows</vt:lpstr>
      <vt:lpstr>F2_Abortion_Rate_Cows_default</vt:lpstr>
      <vt:lpstr>F2_Abortion_Rate_Cows_reported</vt:lpstr>
      <vt:lpstr>F2_Abortion_Rate_Heifers</vt:lpstr>
      <vt:lpstr>F2_Abortion_Rate_Heifers_default</vt:lpstr>
      <vt:lpstr>F2_Abortion_Rate_Heifers_reported</vt:lpstr>
      <vt:lpstr>F2_Age_at_1st_Birthing</vt:lpstr>
      <vt:lpstr>F2_Age_at_1st_Birthing_default</vt:lpstr>
      <vt:lpstr>F2_Age_at_1st_Birthing_projected</vt:lpstr>
      <vt:lpstr>F2_Age_at_1st_Birthing_reported</vt:lpstr>
      <vt:lpstr>F2_Age_at_1st_Breeding</vt:lpstr>
      <vt:lpstr>F2_Age_at_1st_Breeding_default</vt:lpstr>
      <vt:lpstr>F2_Age_at_1st_Breeding_reported</vt:lpstr>
      <vt:lpstr>F2_Age_at_EOL</vt:lpstr>
      <vt:lpstr>F2_Age_at_EOL_projected</vt:lpstr>
      <vt:lpstr>F2_Age_at_EOL_reported</vt:lpstr>
      <vt:lpstr>F2_Annual_Bull_Calves</vt:lpstr>
      <vt:lpstr>F2_Annual_Heifer_Calves</vt:lpstr>
      <vt:lpstr>F2_Annual_Total_Calves</vt:lpstr>
      <vt:lpstr>F2_Avg_Annual_Milk_Production_ECM</vt:lpstr>
      <vt:lpstr>F2_Avg_Annual_Milk_Production_Unadjusted</vt:lpstr>
      <vt:lpstr>F2_Bo</vt:lpstr>
      <vt:lpstr>F2_Breeding_Method</vt:lpstr>
      <vt:lpstr>F2_Bull_Calves_in_Life</vt:lpstr>
      <vt:lpstr>F2_Bull_Can_Impregnate</vt:lpstr>
      <vt:lpstr>F2_Bull_Can_Impregnate_default</vt:lpstr>
      <vt:lpstr>F2_Bull_Can_Impregnate_reported</vt:lpstr>
      <vt:lpstr>F2_Bull_Units</vt:lpstr>
      <vt:lpstr>F2_Bulls</vt:lpstr>
      <vt:lpstr>F2_Calf_Dressing_Rate</vt:lpstr>
      <vt:lpstr>F2_Calf_Weight_default</vt:lpstr>
      <vt:lpstr>F2_Calf_Weight_kg</vt:lpstr>
      <vt:lpstr>F2_Calf_Weight_lb</vt:lpstr>
      <vt:lpstr>F2_Calf_Weight_reported</vt:lpstr>
      <vt:lpstr>F2_Calving_Interval</vt:lpstr>
      <vt:lpstr>F2_Calving_Interval_projected</vt:lpstr>
      <vt:lpstr>F2_Calving_Interval_reported</vt:lpstr>
      <vt:lpstr>F2_Calving_to_1st_Breeding_Attempt</vt:lpstr>
      <vt:lpstr>F2_Calving_to_1st_Breeding_Attempt_default</vt:lpstr>
      <vt:lpstr>F2_Calving_to_1st_Breeding_Attempt_reported</vt:lpstr>
      <vt:lpstr>F2_Climate</vt:lpstr>
      <vt:lpstr>F2_Cow_Breeding_Attempts</vt:lpstr>
      <vt:lpstr>F2_Cow_Breeding_Attempts_default</vt:lpstr>
      <vt:lpstr>F2_Cow_Breeding_Attempts_reported</vt:lpstr>
      <vt:lpstr>F2_Cow_Days_Between_Breeding_Attempts</vt:lpstr>
      <vt:lpstr>F2_Cow_Days_between_Breeding_Attempts_default</vt:lpstr>
      <vt:lpstr>F2_Cow_Days_between_Breeding_Attempts_projected</vt:lpstr>
      <vt:lpstr>F2_Cow_Days_between_Breeding_Attempts_reported</vt:lpstr>
      <vt:lpstr>F2_Cow_Dressing_Rate</vt:lpstr>
      <vt:lpstr>F2_Cow_Failure_to_Breed_Rate</vt:lpstr>
      <vt:lpstr>F2_Cow_Failure_to_Breed_Rate_default</vt:lpstr>
      <vt:lpstr>F2_Cow_Failure_to_Breed_Rate_reported</vt:lpstr>
      <vt:lpstr>F2_Cull_Rate_Dry_Cows</vt:lpstr>
      <vt:lpstr>F2_Cull_Rate_Dry_Cows_default</vt:lpstr>
      <vt:lpstr>F2_Cull_Rate_Dry_Cows_reported</vt:lpstr>
      <vt:lpstr>F2_Cull_Rate_Involuntary_Lact_Cows</vt:lpstr>
      <vt:lpstr>F2_Cull_Rate_Involuntary_Lact_Cows_default</vt:lpstr>
      <vt:lpstr>F2_Cull_Rate_Involuntary_Lact_Cows_reported</vt:lpstr>
      <vt:lpstr>F2_Cull_Rate_Voluntary_Lact_Cows</vt:lpstr>
      <vt:lpstr>F2_Cull_Rate_Voluntary_Lact_Cows_default</vt:lpstr>
      <vt:lpstr>F2_Cull_Rate_Voluntary_Lact_Cows_reported</vt:lpstr>
      <vt:lpstr>F2_Days_in_Diverted_Milk</vt:lpstr>
      <vt:lpstr>F2_Days_in_Diverted_Milk_default</vt:lpstr>
      <vt:lpstr>F2_Days_in_Diverted_Milk_reported</vt:lpstr>
      <vt:lpstr>F2_Death_Rate_Dry_Cows</vt:lpstr>
      <vt:lpstr>F2_Death_Rate_Dry_Cows_default</vt:lpstr>
      <vt:lpstr>F2_Death_Rate_Dry_Cows_reported</vt:lpstr>
      <vt:lpstr>F2_Death_Rate_Heifers</vt:lpstr>
      <vt:lpstr>F2_Death_Rate_Heifers_default</vt:lpstr>
      <vt:lpstr>F2_Death_Rate_Heifers_reported</vt:lpstr>
      <vt:lpstr>F2_Death_Rate_Lact_Cows</vt:lpstr>
      <vt:lpstr>F2_Death_Rate_Lact_Cows_default</vt:lpstr>
      <vt:lpstr>F2_Death_Rate_Lact_Cows_reported</vt:lpstr>
      <vt:lpstr>F2_Death_Rate_Unweaned_Heifers</vt:lpstr>
      <vt:lpstr>F2_Death_Rate_Unweaned_Heifers_default</vt:lpstr>
      <vt:lpstr>F2_Death_Rate_Unweaned_Heifers_reported</vt:lpstr>
      <vt:lpstr>F2_Death_Rate_Weaned_Heifers</vt:lpstr>
      <vt:lpstr>F2_Death_Rate_Weaned_Heifers_default</vt:lpstr>
      <vt:lpstr>F2_Death_Rate_Weaned_Heifers_reported</vt:lpstr>
      <vt:lpstr>F2_Diet_Digestibility</vt:lpstr>
      <vt:lpstr>F2_Diet_Digestibility_projected</vt:lpstr>
      <vt:lpstr>F2_Diet_Digestibility_reported</vt:lpstr>
      <vt:lpstr>F2_Dietary_CP_Calf</vt:lpstr>
      <vt:lpstr>F2_Dietary_CP_Calf_projected</vt:lpstr>
      <vt:lpstr>F2_Dietary_CP_Calf_reported</vt:lpstr>
      <vt:lpstr>F2_Dietary_CP_Dry_Cow</vt:lpstr>
      <vt:lpstr>F2_Dietary_CP_Dry_Cow_projected</vt:lpstr>
      <vt:lpstr>F2_Dietary_CP_Dry_Cow_reported</vt:lpstr>
      <vt:lpstr>F2_Dietary_CP_Heifer</vt:lpstr>
      <vt:lpstr>F2_Dietary_CP_Heifer_projected</vt:lpstr>
      <vt:lpstr>F2_Dietary_CP_Heifer_reported</vt:lpstr>
      <vt:lpstr>F2_Dietary_CP_Lact_Cow</vt:lpstr>
      <vt:lpstr>F2_Dietary_CP_Lact_Cow_projected</vt:lpstr>
      <vt:lpstr>F2_Dietary_CP_Lact_Cow_reported</vt:lpstr>
      <vt:lpstr>F2_Dietary_K_Calf</vt:lpstr>
      <vt:lpstr>F2_Dietary_K_Calf_projected</vt:lpstr>
      <vt:lpstr>F2_Dietary_K_Calf_reported</vt:lpstr>
      <vt:lpstr>F2_Dietary_K_Dry_Cow</vt:lpstr>
      <vt:lpstr>F2_Dietary_K_Dry_Cow_projected</vt:lpstr>
      <vt:lpstr>F2_Dietary_K_Dry_Cow_reported</vt:lpstr>
      <vt:lpstr>F2_Dietary_K_Heifer</vt:lpstr>
      <vt:lpstr>F2_Dietary_K_Heifer_projected</vt:lpstr>
      <vt:lpstr>F2_Dietary_K_Heifer_reported</vt:lpstr>
      <vt:lpstr>F2_Dietary_K_Lact_Cow</vt:lpstr>
      <vt:lpstr>F2_Dietary_K_Lact_Cow_projected</vt:lpstr>
      <vt:lpstr>F2_Dietary_K_Lact_Cow_reported</vt:lpstr>
      <vt:lpstr>F2_Dietary_P_Calf</vt:lpstr>
      <vt:lpstr>F2_Dietary_P_Calf_projected</vt:lpstr>
      <vt:lpstr>F2_Dietary_P_Calf_reported</vt:lpstr>
      <vt:lpstr>F2_Dietary_P_Dry_Cow</vt:lpstr>
      <vt:lpstr>F2_Dietary_P_Dry_Cow_projected</vt:lpstr>
      <vt:lpstr>F2_Dietary_P_Dry_Cow_reported</vt:lpstr>
      <vt:lpstr>F2_Dietary_P_Heifer</vt:lpstr>
      <vt:lpstr>F2_Dietary_P_Heifer_projected</vt:lpstr>
      <vt:lpstr>F2_Dietary_P_Heifer_reported</vt:lpstr>
      <vt:lpstr>F2_Dietary_P_Lact_Cow</vt:lpstr>
      <vt:lpstr>F2_Dietary_P_Lact_Cow_projected</vt:lpstr>
      <vt:lpstr>F2_Dietary_P_Lact_Cow_reported</vt:lpstr>
      <vt:lpstr>F2_Digestible_Energy</vt:lpstr>
      <vt:lpstr>F2_Digestible_Energy_projected</vt:lpstr>
      <vt:lpstr>F2_Digestible_Energy_reported</vt:lpstr>
      <vt:lpstr>F2_DIM</vt:lpstr>
      <vt:lpstr>F2_DME_Calf_Day_kg</vt:lpstr>
      <vt:lpstr>F2_DME_Calf_projected_kg</vt:lpstr>
      <vt:lpstr>F2_DME_Calf_reported_kg</vt:lpstr>
      <vt:lpstr>F2_DME_Dry_Cow_Day_kg</vt:lpstr>
      <vt:lpstr>F2_DME_Dry_Cow_projected_kg</vt:lpstr>
      <vt:lpstr>F2_DME_Dry_Cow_reported_kg</vt:lpstr>
      <vt:lpstr>F2_DME_Heifer_Day_kg</vt:lpstr>
      <vt:lpstr>F2_DME_Heifer_Projected_kg</vt:lpstr>
      <vt:lpstr>F2_DME_Heifer_reported_kg</vt:lpstr>
      <vt:lpstr>F2_DME_Lact_Cow_Day_kg</vt:lpstr>
      <vt:lpstr>F2_DME_Lact_Cow_Day_lb</vt:lpstr>
      <vt:lpstr>F2_DME_Lact_Cow_Life_kg</vt:lpstr>
      <vt:lpstr>F2_DME_Lact_Cow_Life_lb</vt:lpstr>
      <vt:lpstr>F2_DME_Lact_Cow_projected_kg</vt:lpstr>
      <vt:lpstr>F2_DME_Lact_Cow_reported_kg</vt:lpstr>
      <vt:lpstr>F2_DMI_Dry_Cow_kg</vt:lpstr>
      <vt:lpstr>F2_DMI_Dry_Cow_lb</vt:lpstr>
      <vt:lpstr>F2_DMI_Dry_Cow_projected_kg</vt:lpstr>
      <vt:lpstr>F2_DMI_Dry_Cow_reported_kg</vt:lpstr>
      <vt:lpstr>F2_DMI_Heifer_Calf_kg</vt:lpstr>
      <vt:lpstr>F2_DMI_Heifer_Calf_lb</vt:lpstr>
      <vt:lpstr>F2_DMI_Heifer_Calf_projected_kg</vt:lpstr>
      <vt:lpstr>F2_DMI_Heifer_Calf_reported_kg</vt:lpstr>
      <vt:lpstr>F2_DMI_Heifer_kg</vt:lpstr>
      <vt:lpstr>F2_DMI_Heifer_lb</vt:lpstr>
      <vt:lpstr>F2_DMI_Heifer_projected_kg</vt:lpstr>
      <vt:lpstr>F2_DMI_Heifer_reported_kg</vt:lpstr>
      <vt:lpstr>F2_DMI_Lact_Cow_at_Milk_Production_kg_default</vt:lpstr>
      <vt:lpstr>F2_DMI_Lact_Cow_at_Milk_Production_kg_reported</vt:lpstr>
      <vt:lpstr>F2_DMI_Lact_Cow_at_Milk_Production_lb_default</vt:lpstr>
      <vt:lpstr>F2_DMI_Lact_Cow_at_Milk_Production_lb_reported</vt:lpstr>
      <vt:lpstr>F2_DMI_Lact_Cow_kg</vt:lpstr>
      <vt:lpstr>F2_DMI_Lact_Cow_lb</vt:lpstr>
      <vt:lpstr>F2_Dry_Cow_Units</vt:lpstr>
      <vt:lpstr>F2_Dry_Cow_Weight_default</vt:lpstr>
      <vt:lpstr>F2_Dry_Cow_Weight_kg</vt:lpstr>
      <vt:lpstr>F2_Dry_Cow_Weight_lb</vt:lpstr>
      <vt:lpstr>F2_Dry_Cow_Weight_reported</vt:lpstr>
      <vt:lpstr>F2_Dry_Cows</vt:lpstr>
      <vt:lpstr>F2_Dryoff_Period</vt:lpstr>
      <vt:lpstr>F2_Dryoff_Period_default</vt:lpstr>
      <vt:lpstr>F2_Dryoff_Period_reported</vt:lpstr>
      <vt:lpstr>F2_ECM_Production_kg_day</vt:lpstr>
      <vt:lpstr>F2_ECM_Production_lb_day</vt:lpstr>
      <vt:lpstr>F2_ECM_Production_Life_lb</vt:lpstr>
      <vt:lpstr>F2_Embryonic_Loss_Days_Cows</vt:lpstr>
      <vt:lpstr>F2_Embryonic_Loss_Days_Cows_default</vt:lpstr>
      <vt:lpstr>F2_Embryonic_Loss_Days_Cows_reported</vt:lpstr>
      <vt:lpstr>F2_Embryonic_Loss_Days_Heifers</vt:lpstr>
      <vt:lpstr>F2_Embryonic_Loss_Days_Heifers_default</vt:lpstr>
      <vt:lpstr>F2_Embryonic_Loss_Days_Heifers_reported</vt:lpstr>
      <vt:lpstr>F2_Embryonic_Loss_Rate_Cows</vt:lpstr>
      <vt:lpstr>F2_Embryonic_Loss_Rate_Cows_default</vt:lpstr>
      <vt:lpstr>F2_Embryonic_Loss_Rate_Cows_reported</vt:lpstr>
      <vt:lpstr>F2_Embryonic_Loss_Rate_Heifers</vt:lpstr>
      <vt:lpstr>F2_Embryonic_Loss_Rate_Heifers_default</vt:lpstr>
      <vt:lpstr>F2_Embryonic_Loss_Rate_Heifers_reported</vt:lpstr>
      <vt:lpstr>F2_Fat_Content_kg</vt:lpstr>
      <vt:lpstr>F2_Fat_Content_lb</vt:lpstr>
      <vt:lpstr>F2_Gestation_Period</vt:lpstr>
      <vt:lpstr>F2_Gross_Energy</vt:lpstr>
      <vt:lpstr>F2_Gross_Energy_projected</vt:lpstr>
      <vt:lpstr>F2_Gross_Energy_reported</vt:lpstr>
      <vt:lpstr>F2_Grown_Calf_Weight_default</vt:lpstr>
      <vt:lpstr>F2_Grown_Calf_Weight_kg</vt:lpstr>
      <vt:lpstr>F2_Grown_Calf_Weight_lb</vt:lpstr>
      <vt:lpstr>F2_Grown_Calf_Weight_reported</vt:lpstr>
      <vt:lpstr>F2_Heifer_Breeding_Attempts</vt:lpstr>
      <vt:lpstr>F2_Heifer_Breeding_Attempts_default</vt:lpstr>
      <vt:lpstr>F2_Heifer_Breeding_Attempts_reported</vt:lpstr>
      <vt:lpstr>F2_Heifer_Calf</vt:lpstr>
      <vt:lpstr>F2_Heifer_Calf_Units</vt:lpstr>
      <vt:lpstr>F2_Heifer_Calves_in_Life</vt:lpstr>
      <vt:lpstr>F2_Heifer_Days_Between_Breeding_Attempts</vt:lpstr>
      <vt:lpstr>F2_Heifer_Days_between_Breeding_Attempts_default</vt:lpstr>
      <vt:lpstr>F2_Heifer_Days_between_Breeding_Attempts_projected</vt:lpstr>
      <vt:lpstr>F2_Heifer_Days_between_Breeding_Attempts_reported</vt:lpstr>
      <vt:lpstr>F2_Heifer_Failure_to_Breed_Rate</vt:lpstr>
      <vt:lpstr>F2_Heifer_Failure_to_Breed_Rate_default</vt:lpstr>
      <vt:lpstr>F2_Heifer_Failure_to_Breed_Rate_reported</vt:lpstr>
      <vt:lpstr>F2_Heifer_Units</vt:lpstr>
      <vt:lpstr>F2_Heifer_Weight_default</vt:lpstr>
      <vt:lpstr>F2_Heifer_Weight_kg</vt:lpstr>
      <vt:lpstr>F2_Heifer_Weight_lb</vt:lpstr>
      <vt:lpstr>F2_Heifer_Weight_reported</vt:lpstr>
      <vt:lpstr>F2_Heifers</vt:lpstr>
      <vt:lpstr>F2_Heifers_to_be_Born</vt:lpstr>
      <vt:lpstr>F2_Herbicide_per_Lactation_kg</vt:lpstr>
      <vt:lpstr>F2_Herbicide_per_Lactation_lb</vt:lpstr>
      <vt:lpstr>F2_Herbicides_Calf_day</vt:lpstr>
      <vt:lpstr>F2_Herbicides_Dry_Cow_day</vt:lpstr>
      <vt:lpstr>F2_Herbicides_Heifer_day</vt:lpstr>
      <vt:lpstr>F2_Herbicides_Lact_Cow_day</vt:lpstr>
      <vt:lpstr>F2_Insecticide_per_Lactation_kg</vt:lpstr>
      <vt:lpstr>F2_Insecticide_per_Lactation_lb</vt:lpstr>
      <vt:lpstr>F2_Insecticides_Calf_day</vt:lpstr>
      <vt:lpstr>F2_Insecticides_Dry_Cow_day</vt:lpstr>
      <vt:lpstr>F2_Insecticides_Heifer_day</vt:lpstr>
      <vt:lpstr>F2_Insecticides_Lact_Cow_day</vt:lpstr>
      <vt:lpstr>F2_KE_Calf_Day_kg</vt:lpstr>
      <vt:lpstr>F2_KE_Calf_projected_kg</vt:lpstr>
      <vt:lpstr>F2_KE_Calf_reported_kg</vt:lpstr>
      <vt:lpstr>F2_KE_Dry_Cow_Day_kg</vt:lpstr>
      <vt:lpstr>F2_KE_Dry_Cow_projected_kg</vt:lpstr>
      <vt:lpstr>F2_KE_Dry_Cow_reported_kg</vt:lpstr>
      <vt:lpstr>F2_KE_Heifer_Day_kg</vt:lpstr>
      <vt:lpstr>F2_KE_Heifer_projected_kg</vt:lpstr>
      <vt:lpstr>F2_KE_Heifer_reported_kg</vt:lpstr>
      <vt:lpstr>F2_KE_Lact_Cow_Day_kg</vt:lpstr>
      <vt:lpstr>F2_KE_Lact_Cow_Day_lb</vt:lpstr>
      <vt:lpstr>F2_KE_Lact_Cow_Life_kg</vt:lpstr>
      <vt:lpstr>F2_KE_Lact_Cow_Life_lb</vt:lpstr>
      <vt:lpstr>F2_KE_Lact_Cow_projected_kg</vt:lpstr>
      <vt:lpstr>F2_KE_Lact_Cow_reported_kg</vt:lpstr>
      <vt:lpstr>F2_Lact_Cow_Weight_default</vt:lpstr>
      <vt:lpstr>F2_Lact_Cow_Weight_kg</vt:lpstr>
      <vt:lpstr>F2_Lact_Cow_Weight_lb</vt:lpstr>
      <vt:lpstr>F2_Lact_Cow_Weight_reported</vt:lpstr>
      <vt:lpstr>F2_Lact_Cows</vt:lpstr>
      <vt:lpstr>F2_Lact_Cows_projected</vt:lpstr>
      <vt:lpstr>F2_Lact_Cows_reported</vt:lpstr>
      <vt:lpstr>F2_Length_of_Lactation</vt:lpstr>
      <vt:lpstr>F2_Length_of_Lactation_projected</vt:lpstr>
      <vt:lpstr>F2_Length_of_Lactation_reported</vt:lpstr>
      <vt:lpstr>F2_Market_Value_Bull_Calf</vt:lpstr>
      <vt:lpstr>F2_Market_Value_Bull_Calf_default</vt:lpstr>
      <vt:lpstr>F2_Market_Value_Bull_Calf_reported</vt:lpstr>
      <vt:lpstr>F2_Market_Value_Heifer_Calf</vt:lpstr>
      <vt:lpstr>F2_Market_Value_Heifer_Calf_default</vt:lpstr>
      <vt:lpstr>F2_Market_Value_Heifer_Calf_reported</vt:lpstr>
      <vt:lpstr>F2_MCF</vt:lpstr>
      <vt:lpstr>F2_MCF_projected</vt:lpstr>
      <vt:lpstr>F2_MCF_reported</vt:lpstr>
      <vt:lpstr>F2_Meat_Price_Calf</vt:lpstr>
      <vt:lpstr>F2_Meat_Price_Calf_default</vt:lpstr>
      <vt:lpstr>F2_Meat_Price_Calf_reported</vt:lpstr>
      <vt:lpstr>F2_Meat_Price_Cow</vt:lpstr>
      <vt:lpstr>F2_Meat_Price_Cow_default</vt:lpstr>
      <vt:lpstr>F2_Meat_Price_Cow_reported</vt:lpstr>
      <vt:lpstr>F2_Meat_Production_from_Calves</vt:lpstr>
      <vt:lpstr>F2_Meat_Production_from_Cow</vt:lpstr>
      <vt:lpstr>F2_Methane_Enteric_Calf_Day_kg</vt:lpstr>
      <vt:lpstr>F2_Methane_Enteric_Calf_Day_lb</vt:lpstr>
      <vt:lpstr>F2_Methane_Enteric_Dry_Cow_Day_kg</vt:lpstr>
      <vt:lpstr>F2_Methane_Enteric_Dry_Cow_Day_lb</vt:lpstr>
      <vt:lpstr>F2_Methane_Enteric_Heifer_Day_kg</vt:lpstr>
      <vt:lpstr>F2_Methane_Enteric_Heifer_Day_lb</vt:lpstr>
      <vt:lpstr>F2_Methane_Enteric_Lact_Cow_Day_kg</vt:lpstr>
      <vt:lpstr>F2_Methane_Enteric_Lact_Cow_Day_lb</vt:lpstr>
      <vt:lpstr>F2_Methane_Enteric_Lact_Cow_Life_kg</vt:lpstr>
      <vt:lpstr>F2_Methane_Enteric_Lact_Cow_Life_lb</vt:lpstr>
      <vt:lpstr>F2_Methane_Manure_Calf_Day_kg</vt:lpstr>
      <vt:lpstr>F2_Methane_Manure_Calf_Day_lb</vt:lpstr>
      <vt:lpstr>F2_Methane_Manure_Dry_Cow_Day_kg</vt:lpstr>
      <vt:lpstr>F2_Methane_Manure_Dry_Cow_Day_lb</vt:lpstr>
      <vt:lpstr>F2_Methane_Manure_Heifer_Day_kg</vt:lpstr>
      <vt:lpstr>F2_Methane_Manure_Heifer_Day_lb</vt:lpstr>
      <vt:lpstr>F2_Methane_Manure_Lact_Cow_Day_kg</vt:lpstr>
      <vt:lpstr>F2_Methane_Manure_Lact_Cow_Day_lb</vt:lpstr>
      <vt:lpstr>F2_Methane_Manure_Lact_Cow_Life_kg</vt:lpstr>
      <vt:lpstr>F2_Methane_Manure_Lact_Cow_Life_lb</vt:lpstr>
      <vt:lpstr>F2_Milk_Price</vt:lpstr>
      <vt:lpstr>F2_Milk_Price_default</vt:lpstr>
      <vt:lpstr>F2_Milk_Price_reported</vt:lpstr>
      <vt:lpstr>F2_Milk_Unadjusted_Revenue_year_of_life_lb</vt:lpstr>
      <vt:lpstr>F2_NE_activity</vt:lpstr>
      <vt:lpstr>F2_NE_Calf_Day_kg</vt:lpstr>
      <vt:lpstr>F2_NE_Calf_projected_kg</vt:lpstr>
      <vt:lpstr>F2_NE_Calf_reported_kg</vt:lpstr>
      <vt:lpstr>F2_NE_Dry_Cow_Day_kg</vt:lpstr>
      <vt:lpstr>F2_NE_Dry_Cow_projected_kg</vt:lpstr>
      <vt:lpstr>F2_NE_Dry_Cow_reported_kg</vt:lpstr>
      <vt:lpstr>F2_NE_Heifer_Day_kg</vt:lpstr>
      <vt:lpstr>F2_NE_Heifer_Projected_kg</vt:lpstr>
      <vt:lpstr>F2_NE_Heifer_reported_kg</vt:lpstr>
      <vt:lpstr>F2_NE_Lact_Cow_Day_kg</vt:lpstr>
      <vt:lpstr>F2_NE_Lact_Cow_Day_lb</vt:lpstr>
      <vt:lpstr>F2_NE_Lact_Cow_Life_kg</vt:lpstr>
      <vt:lpstr>F2_NE_Lact_Cow_Life_lb</vt:lpstr>
      <vt:lpstr>F2_NE_Lact_Cow_projected_DCP_kg</vt:lpstr>
      <vt:lpstr>F2_NE_Lact_Cow_projected_Milk_kg</vt:lpstr>
      <vt:lpstr>F2_NE_Lact_Cow_reported_kg</vt:lpstr>
      <vt:lpstr>F2_NE_lactation</vt:lpstr>
      <vt:lpstr>F2_NE_maintenance</vt:lpstr>
      <vt:lpstr>F2_NE_pregnancy</vt:lpstr>
      <vt:lpstr>F2_Nitrogen_Calf_day</vt:lpstr>
      <vt:lpstr>F2_Nitrogen_Dry_Cow_day</vt:lpstr>
      <vt:lpstr>F2_Nitrogen_Heifer_day</vt:lpstr>
      <vt:lpstr>F2_Nitrogen_Lact_Cow_day</vt:lpstr>
      <vt:lpstr>F2_Nitrogen_per_Lactation_kg</vt:lpstr>
      <vt:lpstr>F2_Nitrogen_per_Lactation_lb</vt:lpstr>
      <vt:lpstr>F2_Number_of_Bull_Calves_Born</vt:lpstr>
      <vt:lpstr>F2_Number_of_Heifer_Calves_Born</vt:lpstr>
      <vt:lpstr>F2_Number_of_Lactations</vt:lpstr>
      <vt:lpstr>F2_Number_of_Lactations_reported</vt:lpstr>
      <vt:lpstr>F2_Organic</vt:lpstr>
      <vt:lpstr>F2_PE_Calf_Day_kg</vt:lpstr>
      <vt:lpstr>F2_PE_Calf_projected_kg</vt:lpstr>
      <vt:lpstr>F2_PE_Calf_reported_kg</vt:lpstr>
      <vt:lpstr>F2_PE_Dry_Cow_Day_kg</vt:lpstr>
      <vt:lpstr>F2_PE_Dry_Cow_projected_kg</vt:lpstr>
      <vt:lpstr>F2_PE_Dry_Cow_reported_kg</vt:lpstr>
      <vt:lpstr>F2_PE_Heifer_Day_kg</vt:lpstr>
      <vt:lpstr>F2_PE_Heifer_projected_kg</vt:lpstr>
      <vt:lpstr>F2_PE_Heifer_reported_kg</vt:lpstr>
      <vt:lpstr>F2_PE_Lact_Cow_Day_kg</vt:lpstr>
      <vt:lpstr>F2_PE_Lact_Cow_Day_lb</vt:lpstr>
      <vt:lpstr>F2_PE_Lact_Cow_Life_kg</vt:lpstr>
      <vt:lpstr>F2_PE_Lact_Cow_Life_lb</vt:lpstr>
      <vt:lpstr>F2_PE_Lact_Cow_projected_DP_kg</vt:lpstr>
      <vt:lpstr>F2_PE_Lact_Cow_projected_kg</vt:lpstr>
      <vt:lpstr>F2_PE_Lact_Cow_projected_Milk_kg</vt:lpstr>
      <vt:lpstr>F2_PE_Lact_Cow_reported_kg</vt:lpstr>
      <vt:lpstr>F2_Percent_Bull_Calves</vt:lpstr>
      <vt:lpstr>F2_Percent_Heifer_Calves</vt:lpstr>
      <vt:lpstr>F2_Percent_Live_Births</vt:lpstr>
      <vt:lpstr>F2_Percent_Milk_Fat</vt:lpstr>
      <vt:lpstr>F2_Percent_Milk_Protein</vt:lpstr>
      <vt:lpstr>F2_Pounds_Available_for_Slaughter</vt:lpstr>
      <vt:lpstr>F2_Protein_Content_kg</vt:lpstr>
      <vt:lpstr>F2_Protein_Content_lb</vt:lpstr>
      <vt:lpstr>F2_REM</vt:lpstr>
      <vt:lpstr>F2_Replacement_Heifers</vt:lpstr>
      <vt:lpstr>F2_Revenue_from_Calf_Sales_year_of_life</vt:lpstr>
      <vt:lpstr>F2_Revenue_from_ECM_Milk_year_of_life_lb</vt:lpstr>
      <vt:lpstr>F2_Revenue_from_Meat_year_of_life</vt:lpstr>
      <vt:lpstr>F2_TME_Calf_Day_kg</vt:lpstr>
      <vt:lpstr>F2_TME_Calf_projected_kg</vt:lpstr>
      <vt:lpstr>F2_TME_Calf_reported_kg</vt:lpstr>
      <vt:lpstr>F2_TME_Dry_Cow_Day_kg</vt:lpstr>
      <vt:lpstr>F2_TME_Dry_Cow_projected_kg</vt:lpstr>
      <vt:lpstr>F2_TME_Dry_Cow_reported_kg</vt:lpstr>
      <vt:lpstr>F2_TME_Heifer_Day_kg</vt:lpstr>
      <vt:lpstr>F2_TME_Heifer_Projected_kg</vt:lpstr>
      <vt:lpstr>F2_TME_Heifer_reported_kg</vt:lpstr>
      <vt:lpstr>F2_TME_Lact_Cow_Day_kg</vt:lpstr>
      <vt:lpstr>F2_TME_Lact_Cow_Day_lb</vt:lpstr>
      <vt:lpstr>F2_TME_Lact_Cow_Life_kg</vt:lpstr>
      <vt:lpstr>F2_TME_Lact_Cow_Life_lb</vt:lpstr>
      <vt:lpstr>F2_TME_Lact_Cow_projected_kg</vt:lpstr>
      <vt:lpstr>F2_TME_Lact_Cow_projected_lb</vt:lpstr>
      <vt:lpstr>F2_TME_Lact_Cow_reported_kg</vt:lpstr>
      <vt:lpstr>F2_TME_Lact_Cow_reported_lb</vt:lpstr>
      <vt:lpstr>F2_Total_Calves_in_Life</vt:lpstr>
      <vt:lpstr>F2_Total_DME_kg_day</vt:lpstr>
      <vt:lpstr>F2_Total_KE_kg_day</vt:lpstr>
      <vt:lpstr>F2_Total_ME_kg_day</vt:lpstr>
      <vt:lpstr>F2_Total_Meat_Production</vt:lpstr>
      <vt:lpstr>F2_Total_Methane_Calf_Day_kg</vt:lpstr>
      <vt:lpstr>F2_Total_Methane_Dry_Cow_Day_kg</vt:lpstr>
      <vt:lpstr>F2_Total_Methane_Heifer_Day_kg</vt:lpstr>
      <vt:lpstr>F2_Total_Methane_Lact_Cow_Day_kg</vt:lpstr>
      <vt:lpstr>F2_Total_Methane_Lact_Cow_Day_lb</vt:lpstr>
      <vt:lpstr>F2_Total_Methane_Lact_Cow_Life_kg</vt:lpstr>
      <vt:lpstr>F2_Total_Methane_Lact_Cow_Life_lb</vt:lpstr>
      <vt:lpstr>F2_Total_NE_kg_day</vt:lpstr>
      <vt:lpstr>F2_Total_Net_Energy</vt:lpstr>
      <vt:lpstr>F2_Total_PE_kg_day</vt:lpstr>
      <vt:lpstr>F2_Unadjusted_Milk_Production_kg_day</vt:lpstr>
      <vt:lpstr>F2_Unadjusted_Milk_Production_kg_day_default</vt:lpstr>
      <vt:lpstr>F2_Unadjusted_Milk_Production_kg_day_reported</vt:lpstr>
      <vt:lpstr>F2_Unadjusted_Milk_Production_lb_day</vt:lpstr>
      <vt:lpstr>F2_Unadjusted_Milk_Production_lb_day_default</vt:lpstr>
      <vt:lpstr>F2_Unadjusted_Milk_Production_lb_day_reported</vt:lpstr>
      <vt:lpstr>F2_Unadjusted_Milk_Production_Life_lb</vt:lpstr>
      <vt:lpstr>F2_Unsuccessful_Breeding_Cows_Days</vt:lpstr>
      <vt:lpstr>F2_Unsuccessful_Breeding_Cows_Days_default</vt:lpstr>
      <vt:lpstr>F2_Unsuccessful_Breeding_Cows_Days_reported</vt:lpstr>
      <vt:lpstr>F2_Unsuccessful_Breeding_Cows_Percent</vt:lpstr>
      <vt:lpstr>F2_Unsuccessful_Breeding_Cows_Percent_default</vt:lpstr>
      <vt:lpstr>F2_Unsuccessful_Breeding_Cows_Percent_reported</vt:lpstr>
      <vt:lpstr>F2_Unsuccessful_Breeding_Heifers_Days</vt:lpstr>
      <vt:lpstr>F2_Unsuccessful_Breeding_Heifers_Days_default</vt:lpstr>
      <vt:lpstr>F2_Unsuccessful_Breeding_Heifers_Days_reported</vt:lpstr>
      <vt:lpstr>F2_Unsuccessful_Breeding_Heifers_Percent</vt:lpstr>
      <vt:lpstr>F2_Unsuccessful_Breeding_Heifers_Percent_default</vt:lpstr>
      <vt:lpstr>F2_Unsuccessful_Breeding_Heifers_Percent_reported</vt:lpstr>
      <vt:lpstr>F2_VSP</vt:lpstr>
      <vt:lpstr>F2_VSP_projected</vt:lpstr>
      <vt:lpstr>F2_VSP_reported</vt:lpstr>
      <vt:lpstr>F2_Years_of_Productive_Life</vt:lpstr>
      <vt:lpstr>F2_YM</vt:lpstr>
      <vt:lpstr>F3_Abortion_Days_Cows</vt:lpstr>
      <vt:lpstr>F3_Abortion_Days_Cows_default</vt:lpstr>
      <vt:lpstr>F3_Abortion_Days_Cows_reported</vt:lpstr>
      <vt:lpstr>F3_Abortion_Days_Heifers</vt:lpstr>
      <vt:lpstr>F3_Abortion_Days_Heifers_default</vt:lpstr>
      <vt:lpstr>F3_Abortion_Days_Heifers_reported</vt:lpstr>
      <vt:lpstr>F3_Abortion_Rate_Cows</vt:lpstr>
      <vt:lpstr>F3_Abortion_Rate_Cows_default</vt:lpstr>
      <vt:lpstr>F3_Abortion_Rate_Cows_reported</vt:lpstr>
      <vt:lpstr>F3_Abortion_Rate_Heifers</vt:lpstr>
      <vt:lpstr>F3_Abortion_Rate_Heifers_default</vt:lpstr>
      <vt:lpstr>F3_Abortion_Rate_Heifers_reported</vt:lpstr>
      <vt:lpstr>F3_Age_at_1st_Birthing</vt:lpstr>
      <vt:lpstr>F3_Age_at_1st_Birthing_default</vt:lpstr>
      <vt:lpstr>F3_Age_at_1st_Birthing_projected</vt:lpstr>
      <vt:lpstr>F3_Age_at_1st_Birthing_reported</vt:lpstr>
      <vt:lpstr>F3_Age_at_1st_Breeding</vt:lpstr>
      <vt:lpstr>F3_Age_at_1st_Breeding_default</vt:lpstr>
      <vt:lpstr>F3_Age_at_1st_Breeding_reported</vt:lpstr>
      <vt:lpstr>F3_Age_at_EOL</vt:lpstr>
      <vt:lpstr>F3_Age_at_EOL_projected</vt:lpstr>
      <vt:lpstr>F3_Age_at_EOL_reported</vt:lpstr>
      <vt:lpstr>F3_Annual_Bull_Calves</vt:lpstr>
      <vt:lpstr>F3_Annual_Heifer_Calves</vt:lpstr>
      <vt:lpstr>F3_Annual_Total_Calves</vt:lpstr>
      <vt:lpstr>F3_Avg_Annual_Milk_Production_ECM</vt:lpstr>
      <vt:lpstr>F3_Avg_Annual_Milk_Production_Unadjusted</vt:lpstr>
      <vt:lpstr>F3_Bo</vt:lpstr>
      <vt:lpstr>F3_Breeding_Method</vt:lpstr>
      <vt:lpstr>F3_Bull_Calves_in_Life</vt:lpstr>
      <vt:lpstr>F3_Bull_Can_Impregnate</vt:lpstr>
      <vt:lpstr>F3_Bull_Can_Impregnate_default</vt:lpstr>
      <vt:lpstr>F3_Bull_Units</vt:lpstr>
      <vt:lpstr>F3_Bulls</vt:lpstr>
      <vt:lpstr>F3_Calf_Dressing_Rate</vt:lpstr>
      <vt:lpstr>F3_Calf_Weight_default</vt:lpstr>
      <vt:lpstr>F3_Calf_Weight_kg</vt:lpstr>
      <vt:lpstr>F3_Calf_Weight_lb</vt:lpstr>
      <vt:lpstr>F3_Calf_Weight_reported</vt:lpstr>
      <vt:lpstr>F3_Calving_Interval</vt:lpstr>
      <vt:lpstr>F3_Calving_Interval_projected</vt:lpstr>
      <vt:lpstr>F3_Calving_Interval_reported</vt:lpstr>
      <vt:lpstr>F3_Calving_to_1st_Breeding_Attempt</vt:lpstr>
      <vt:lpstr>F3_Calving_to_1st_Breeding_Attempt_default</vt:lpstr>
      <vt:lpstr>F3_Calving_to_1st_Breeding_Attempt_reported</vt:lpstr>
      <vt:lpstr>F3_Climate</vt:lpstr>
      <vt:lpstr>F3_Cow_Breeding_Attempts</vt:lpstr>
      <vt:lpstr>F3_Cow_Breeding_Attempts_default</vt:lpstr>
      <vt:lpstr>F3_Cow_Breeding_Attempts_reported</vt:lpstr>
      <vt:lpstr>F3_Cow_Days_Between_Breeding_Attempts</vt:lpstr>
      <vt:lpstr>F3_Cow_Days_between_Breeding_Attempts_default</vt:lpstr>
      <vt:lpstr>F3_Cow_Days_between_Breeding_Attempts_projected</vt:lpstr>
      <vt:lpstr>F3_Cow_Days_between_Breeding_Attempts_reported</vt:lpstr>
      <vt:lpstr>F3_Cow_Dressing_Rate</vt:lpstr>
      <vt:lpstr>F3_Cow_Failure_to_Breed_Rate</vt:lpstr>
      <vt:lpstr>F3_Cow_Failure_to_Breed_Rate_default</vt:lpstr>
      <vt:lpstr>F3_Cow_Failure_to_Breed_Rate_reported</vt:lpstr>
      <vt:lpstr>F3_Cull_Rate_Dry_Cows</vt:lpstr>
      <vt:lpstr>F3_Cull_Rate_Dry_Cows_default</vt:lpstr>
      <vt:lpstr>F3_Cull_Rate_Dry_Cows_reported</vt:lpstr>
      <vt:lpstr>F3_Cull_Rate_Involuntary_Lact_Cows</vt:lpstr>
      <vt:lpstr>F3_Cull_Rate_Involuntary_Lact_Cows_default</vt:lpstr>
      <vt:lpstr>F3_Cull_Rate_Involuntary_Lact_Cows_reported</vt:lpstr>
      <vt:lpstr>F3_Cull_Rate_Voluntary_Lact_Cows</vt:lpstr>
      <vt:lpstr>F3_Cull_Rate_Voluntary_Lact_Cows_default</vt:lpstr>
      <vt:lpstr>F3_Cull_Rate_Voluntary_Lact_Cows_reported</vt:lpstr>
      <vt:lpstr>F3_Days_in_Diverted_Milk</vt:lpstr>
      <vt:lpstr>F3_Days_in_Diverted_Milk_default</vt:lpstr>
      <vt:lpstr>F3_Days_in_Diverted_Milk_reported</vt:lpstr>
      <vt:lpstr>F3_Death_Rate_Dry_Cows</vt:lpstr>
      <vt:lpstr>F3_Death_Rate_Dry_Cows_default</vt:lpstr>
      <vt:lpstr>F3_Death_Rate_Dry_Cows_reported</vt:lpstr>
      <vt:lpstr>F3_Death_Rate_Heifers</vt:lpstr>
      <vt:lpstr>F3_Death_Rate_Heifers_default</vt:lpstr>
      <vt:lpstr>F3_Death_Rate_Heifers_reported</vt:lpstr>
      <vt:lpstr>F3_Death_Rate_Lact_Cows</vt:lpstr>
      <vt:lpstr>F3_Death_Rate_Lact_Cows_default</vt:lpstr>
      <vt:lpstr>F3_Death_Rate_Lact_Cows_reported</vt:lpstr>
      <vt:lpstr>F3_Death_Rate_Unweaned_Heifers</vt:lpstr>
      <vt:lpstr>F3_Death_Rate_Unweaned_Heifers_default</vt:lpstr>
      <vt:lpstr>F3_Death_Rate_Unweaned_Heifers_reported</vt:lpstr>
      <vt:lpstr>F3_Death_Rate_Weaned_Heifers</vt:lpstr>
      <vt:lpstr>F3_Death_Rate_Weaned_Heifers_default</vt:lpstr>
      <vt:lpstr>F3_Death_Rate_Weaned_Heifers_reported</vt:lpstr>
      <vt:lpstr>F3_Diet_Digestibility</vt:lpstr>
      <vt:lpstr>F3_Diet_Digestibility_projected</vt:lpstr>
      <vt:lpstr>F3_Diet_Digestibility_reported</vt:lpstr>
      <vt:lpstr>F3_Dietary_CP_Calf</vt:lpstr>
      <vt:lpstr>F3_Dietary_CP_Calf_projected</vt:lpstr>
      <vt:lpstr>F3_Dietary_CP_Calf_reported</vt:lpstr>
      <vt:lpstr>F3_Dietary_CP_Dry_Cow</vt:lpstr>
      <vt:lpstr>F3_Dietary_CP_Dry_Cow_projected</vt:lpstr>
      <vt:lpstr>F3_Dietary_CP_Dry_Cow_reported</vt:lpstr>
      <vt:lpstr>F3_Dietary_CP_Heifer</vt:lpstr>
      <vt:lpstr>F3_Dietary_CP_Heifer_projected</vt:lpstr>
      <vt:lpstr>F3_Dietary_CP_Heifer_reported</vt:lpstr>
      <vt:lpstr>F3_Dietary_CP_Lact_Cow</vt:lpstr>
      <vt:lpstr>F3_Dietary_CP_Lact_Cow_projected</vt:lpstr>
      <vt:lpstr>F3_Dietary_CP_Lact_Cow_reported</vt:lpstr>
      <vt:lpstr>F3_Dietary_K_Calf</vt:lpstr>
      <vt:lpstr>F3_Dietary_K_Calf_projected</vt:lpstr>
      <vt:lpstr>F3_Dietary_K_Calf_reported</vt:lpstr>
      <vt:lpstr>F3_Dietary_K_Dry_Cow</vt:lpstr>
      <vt:lpstr>F3_Dietary_K_Dry_Cow_projected</vt:lpstr>
      <vt:lpstr>F3_Dietary_K_Dry_Cow_reported</vt:lpstr>
      <vt:lpstr>F3_Dietary_K_Heifer</vt:lpstr>
      <vt:lpstr>F3_Dietary_K_Heifer_projected</vt:lpstr>
      <vt:lpstr>F3_Dietary_K_Heifer_reported</vt:lpstr>
      <vt:lpstr>F3_Dietary_K_Lact_Cow</vt:lpstr>
      <vt:lpstr>F3_Dietary_K_Lact_Cow_projected</vt:lpstr>
      <vt:lpstr>F3_Dietary_K_Lact_Cow_reported</vt:lpstr>
      <vt:lpstr>F3_Dietary_P_Calf</vt:lpstr>
      <vt:lpstr>F3_Dietary_P_Calf_projected</vt:lpstr>
      <vt:lpstr>F3_Dietary_P_Calf_reported</vt:lpstr>
      <vt:lpstr>F3_Dietary_P_Dry_Cow</vt:lpstr>
      <vt:lpstr>F3_Dietary_P_Dry_Cow_projected</vt:lpstr>
      <vt:lpstr>F3_Dietary_P_Dry_Cow_reported</vt:lpstr>
      <vt:lpstr>F3_Dietary_P_Heifer</vt:lpstr>
      <vt:lpstr>F3_Dietary_P_Heifer_projected</vt:lpstr>
      <vt:lpstr>F3_Dietary_P_Heifer_reported</vt:lpstr>
      <vt:lpstr>F3_Dietary_P_Lact_Cow</vt:lpstr>
      <vt:lpstr>F3_Dietary_P_Lact_Cow_projected</vt:lpstr>
      <vt:lpstr>F3_Dietary_P_Lact_Cow_reported</vt:lpstr>
      <vt:lpstr>F3_Digestible_Energy</vt:lpstr>
      <vt:lpstr>F3_Digestible_Energy_projected</vt:lpstr>
      <vt:lpstr>F3_Digestible_Energy_reported</vt:lpstr>
      <vt:lpstr>F3_DIM</vt:lpstr>
      <vt:lpstr>F3_DME_Calf_Day_kg</vt:lpstr>
      <vt:lpstr>F3_DME_Calf_projected_kg</vt:lpstr>
      <vt:lpstr>F3_DME_Calf_reported_kg</vt:lpstr>
      <vt:lpstr>F3_DME_Dry_Cow_Day_kg</vt:lpstr>
      <vt:lpstr>F3_DME_Dry_Cow_projected_kg</vt:lpstr>
      <vt:lpstr>F3_DME_Dry_Cow_reported_kg</vt:lpstr>
      <vt:lpstr>F3_DME_Heifer_Day_kg</vt:lpstr>
      <vt:lpstr>F3_DME_Heifer_Projected_kg</vt:lpstr>
      <vt:lpstr>F3_DME_Heifer_reported_kg</vt:lpstr>
      <vt:lpstr>F3_DME_Lact_Cow_Day_kg</vt:lpstr>
      <vt:lpstr>F3_DME_Lact_Cow_Day_lb</vt:lpstr>
      <vt:lpstr>F3_DME_Lact_Cow_Life_kg</vt:lpstr>
      <vt:lpstr>F3_DME_Lact_Cow_Life_lb</vt:lpstr>
      <vt:lpstr>F3_DME_Lact_Cow_projected_kg</vt:lpstr>
      <vt:lpstr>F3_DME_Lact_Cow_reported_kg</vt:lpstr>
      <vt:lpstr>F3_DMI_Dry_Cow_kg</vt:lpstr>
      <vt:lpstr>F3_DMI_Dry_Cow_lb</vt:lpstr>
      <vt:lpstr>F3_DMI_Dry_Cow_projected_kg</vt:lpstr>
      <vt:lpstr>F3_DMI_Dry_Cow_reported_kg</vt:lpstr>
      <vt:lpstr>F3_DMI_Heifer_Calf_kg</vt:lpstr>
      <vt:lpstr>F3_DMI_Heifer_Calf_lb</vt:lpstr>
      <vt:lpstr>F3_DMI_Heifer_Calf_projected_kg</vt:lpstr>
      <vt:lpstr>F3_DMI_Heifer_Calf_reported_kg</vt:lpstr>
      <vt:lpstr>F3_DMI_Heifer_kg</vt:lpstr>
      <vt:lpstr>F3_DMI_Heifer_lb</vt:lpstr>
      <vt:lpstr>F3_DMI_Heifer_projected_kg</vt:lpstr>
      <vt:lpstr>F3_DMI_Heifer_reported_kg</vt:lpstr>
      <vt:lpstr>F3_DMI_Lact_Cow_at_Milk_Production_kg_default</vt:lpstr>
      <vt:lpstr>F3_DMI_Lact_Cow_at_Milk_Production_kg_reported</vt:lpstr>
      <vt:lpstr>F3_DMI_Lact_Cow_at_Milk_Production_lb_default</vt:lpstr>
      <vt:lpstr>F3_DMI_Lact_Cow_at_Milk_Production_lb_reported</vt:lpstr>
      <vt:lpstr>F3_DMI_Lact_Cow_kg</vt:lpstr>
      <vt:lpstr>F3_DMI_Lact_Cow_lb</vt:lpstr>
      <vt:lpstr>F3_Dry_Cow_Units</vt:lpstr>
      <vt:lpstr>F3_Dry_Cow_Weight_default</vt:lpstr>
      <vt:lpstr>F3_Dry_Cow_Weight_kg</vt:lpstr>
      <vt:lpstr>F3_Dry_Cow_Weight_lb</vt:lpstr>
      <vt:lpstr>F3_Dry_Cow_Weight_reported</vt:lpstr>
      <vt:lpstr>F3_Dry_Cows</vt:lpstr>
      <vt:lpstr>F3_Dryoff_Period</vt:lpstr>
      <vt:lpstr>F3_Dryoff_Period_default</vt:lpstr>
      <vt:lpstr>F3_Dryoff_Period_reported</vt:lpstr>
      <vt:lpstr>F3_ECM_Production_kg_day</vt:lpstr>
      <vt:lpstr>F3_ECM_Production_lb_day</vt:lpstr>
      <vt:lpstr>F3_ECM_Production_Life_lb</vt:lpstr>
      <vt:lpstr>F3_Embryonic_Loss_Days_Cows</vt:lpstr>
      <vt:lpstr>F3_Embryonic_Loss_Days_Cows_default</vt:lpstr>
      <vt:lpstr>F3_Embryonic_Loss_Days_Cows_reported</vt:lpstr>
      <vt:lpstr>F3_Embryonic_Loss_Days_Heifers</vt:lpstr>
      <vt:lpstr>F3_Embryonic_Loss_Days_Heifers_default</vt:lpstr>
      <vt:lpstr>F3_Embryonic_Loss_Days_Heifers_reported</vt:lpstr>
      <vt:lpstr>F3_Embryonic_Loss_Rate_Cows</vt:lpstr>
      <vt:lpstr>F3_Embryonic_Loss_Rate_Cows_default</vt:lpstr>
      <vt:lpstr>F3_Embryonic_Loss_Rate_Cows_reported</vt:lpstr>
      <vt:lpstr>F3_Embryonic_Loss_Rate_Heifers</vt:lpstr>
      <vt:lpstr>F3_Embryonic_Loss_Rate_Heifers_default</vt:lpstr>
      <vt:lpstr>F3_Embryonic_Loss_Rate_Heifers_reported</vt:lpstr>
      <vt:lpstr>F3_Fat_Content_kg</vt:lpstr>
      <vt:lpstr>F3_Fat_Content_lb</vt:lpstr>
      <vt:lpstr>F3_Gestation_Period</vt:lpstr>
      <vt:lpstr>F3_Gross_Energy</vt:lpstr>
      <vt:lpstr>F3_Gross_Energy_projected</vt:lpstr>
      <vt:lpstr>F3_Gross_Energy_reported</vt:lpstr>
      <vt:lpstr>F3_Grown_Calf_Weight_default</vt:lpstr>
      <vt:lpstr>F3_Grown_Calf_Weight_kg</vt:lpstr>
      <vt:lpstr>F3_Grown_Calf_Weight_lb</vt:lpstr>
      <vt:lpstr>F3_Grown_Calf_Weight_reported</vt:lpstr>
      <vt:lpstr>F3_Heifer_Breeding_Attempts</vt:lpstr>
      <vt:lpstr>F3_Heifer_Breeding_Attempts_default</vt:lpstr>
      <vt:lpstr>F3_Heifer_Breeding_Attempts_reported</vt:lpstr>
      <vt:lpstr>F3_Heifer_Calf</vt:lpstr>
      <vt:lpstr>F3_Heifer_Calf_Units</vt:lpstr>
      <vt:lpstr>F3_Heifer_Calves_in_Life</vt:lpstr>
      <vt:lpstr>F3_Heifer_Days_Between_Breeding_Attempts</vt:lpstr>
      <vt:lpstr>F3_Heifer_Days_between_Breeding_Attempts_default</vt:lpstr>
      <vt:lpstr>F3_Heifer_Days_between_Breeding_Attempts_projected</vt:lpstr>
      <vt:lpstr>F3_Heifer_Days_between_Breeding_Attempts_reported</vt:lpstr>
      <vt:lpstr>F3_Heifer_Failure_to_Breed_Rate</vt:lpstr>
      <vt:lpstr>F3_Heifer_Failure_to_Breed_Rate_default</vt:lpstr>
      <vt:lpstr>F3_Heifer_Failure_to_Breed_Rate_reported</vt:lpstr>
      <vt:lpstr>F3_Heifer_Units</vt:lpstr>
      <vt:lpstr>F3_Heifer_Weight_default</vt:lpstr>
      <vt:lpstr>F3_Heifer_Weight_kg</vt:lpstr>
      <vt:lpstr>F3_Heifer_Weight_lb</vt:lpstr>
      <vt:lpstr>F3_Heifer_Weight_reported</vt:lpstr>
      <vt:lpstr>F3_Heifers</vt:lpstr>
      <vt:lpstr>F3_Heifers_to_be_Born</vt:lpstr>
      <vt:lpstr>F3_Herbicide_per_Lactation_kg</vt:lpstr>
      <vt:lpstr>F3_Herbicide_per_Lactation_lb</vt:lpstr>
      <vt:lpstr>F3_Herbicides_Calf_day</vt:lpstr>
      <vt:lpstr>F3_Herbicides_Dry_Cow_day</vt:lpstr>
      <vt:lpstr>F3_Herbicides_Heifer_day</vt:lpstr>
      <vt:lpstr>F3_Herbicides_Lact_Cow_day</vt:lpstr>
      <vt:lpstr>F3_Insecticide_per_Lactation_kg</vt:lpstr>
      <vt:lpstr>F3_Insecticide_per_Lactation_lb</vt:lpstr>
      <vt:lpstr>F3_Insecticides_Calf_day</vt:lpstr>
      <vt:lpstr>F3_Insecticides_Dry_Cow_day</vt:lpstr>
      <vt:lpstr>F3_Insecticides_Heifer_day</vt:lpstr>
      <vt:lpstr>F3_Insecticides_Lact_Cow_day</vt:lpstr>
      <vt:lpstr>F3_KE_Calf_Day_kg</vt:lpstr>
      <vt:lpstr>F3_KE_Calf_projected_kg</vt:lpstr>
      <vt:lpstr>F3_KE_Calf_reported_kg</vt:lpstr>
      <vt:lpstr>F3_KE_Dry_Cow_Day_kg</vt:lpstr>
      <vt:lpstr>F3_KE_Dry_Cow_projected_kg</vt:lpstr>
      <vt:lpstr>F3_KE_Dry_Cow_reported_kg</vt:lpstr>
      <vt:lpstr>F3_KE_Heifer_Day_kg</vt:lpstr>
      <vt:lpstr>F3_KE_Heifer_projected_kg</vt:lpstr>
      <vt:lpstr>F3_KE_Heifer_reported_kg</vt:lpstr>
      <vt:lpstr>F3_KE_Lact_Cow_Day_kg</vt:lpstr>
      <vt:lpstr>F3_KE_Lact_Cow_Day_lb</vt:lpstr>
      <vt:lpstr>F3_KE_Lact_Cow_Life_kg</vt:lpstr>
      <vt:lpstr>F3_KE_Lact_Cow_Life_lb</vt:lpstr>
      <vt:lpstr>F3_KE_Lact_Cow_projected_kg</vt:lpstr>
      <vt:lpstr>F3_KE_Lact_Cow_reported_kg</vt:lpstr>
      <vt:lpstr>F3_Lact_Cow_Weight_default</vt:lpstr>
      <vt:lpstr>F3_Lact_Cow_Weight_kg</vt:lpstr>
      <vt:lpstr>F3_Lact_Cow_Weight_lb</vt:lpstr>
      <vt:lpstr>F3_Lact_Cow_Weight_reported</vt:lpstr>
      <vt:lpstr>F3_Lact_Cows</vt:lpstr>
      <vt:lpstr>F3_Lact_Cows_projected</vt:lpstr>
      <vt:lpstr>F3_Lact_Cows_reported</vt:lpstr>
      <vt:lpstr>F3_Length_of_Lactation</vt:lpstr>
      <vt:lpstr>F3_Length_of_Lactation_projected</vt:lpstr>
      <vt:lpstr>F3_Length_of_Lactation_reported</vt:lpstr>
      <vt:lpstr>F3_Market_Value_Bull_Calf</vt:lpstr>
      <vt:lpstr>F3_Market_Value_Bull_Calf_default</vt:lpstr>
      <vt:lpstr>F3_Market_Value_Bull_Calf_reported</vt:lpstr>
      <vt:lpstr>F3_Market_Value_Heifer_Calf</vt:lpstr>
      <vt:lpstr>F3_Market_Value_Heifer_Calf_default</vt:lpstr>
      <vt:lpstr>F3_Market_Value_Heifer_Calf_reported</vt:lpstr>
      <vt:lpstr>F3_MCF</vt:lpstr>
      <vt:lpstr>F3_MCF_projected</vt:lpstr>
      <vt:lpstr>F3_MCF_reported</vt:lpstr>
      <vt:lpstr>F3_Meat_Price_Calf</vt:lpstr>
      <vt:lpstr>F3_Meat_Price_Calf_default</vt:lpstr>
      <vt:lpstr>F3_Meat_Price_Calf_reported</vt:lpstr>
      <vt:lpstr>F3_Meat_Price_Cow</vt:lpstr>
      <vt:lpstr>F3_Meat_Price_Cow_default</vt:lpstr>
      <vt:lpstr>F3_Meat_Price_Cow_reported</vt:lpstr>
      <vt:lpstr>F3_Meat_Production_from_Calves</vt:lpstr>
      <vt:lpstr>F3_Meat_Production_from_Cow</vt:lpstr>
      <vt:lpstr>F3_Methane_Enteric_Calf_Day_kg</vt:lpstr>
      <vt:lpstr>F3_Methane_Enteric_Calf_Day_lb</vt:lpstr>
      <vt:lpstr>F3_Methane_Enteric_Dry_Cow_Day_kg</vt:lpstr>
      <vt:lpstr>F3_Methane_Enteric_Dry_Cow_Day_lb</vt:lpstr>
      <vt:lpstr>F3_Methane_Enteric_Heifer_Day_kg</vt:lpstr>
      <vt:lpstr>F3_Methane_Enteric_Heifer_Day_lb</vt:lpstr>
      <vt:lpstr>F3_Methane_Enteric_Lact_Cow_Day_kg</vt:lpstr>
      <vt:lpstr>F3_Methane_Enteric_Lact_Cow_Day_lb</vt:lpstr>
      <vt:lpstr>F3_Methane_Enteric_Lact_Cow_Life_kg</vt:lpstr>
      <vt:lpstr>F3_Methane_Enteric_Lact_Cow_Life_lb</vt:lpstr>
      <vt:lpstr>F3_Methane_Manure_Calf_Day_kg</vt:lpstr>
      <vt:lpstr>F3_Methane_Manure_Calf_Day_lb</vt:lpstr>
      <vt:lpstr>F3_Methane_Manure_Dry_Cow_Day_kg</vt:lpstr>
      <vt:lpstr>F3_Methane_Manure_Dry_Cow_Day_lb</vt:lpstr>
      <vt:lpstr>F3_Methane_Manure_Heifer_Day_kg</vt:lpstr>
      <vt:lpstr>F3_Methane_Manure_Heifer_Day_lb</vt:lpstr>
      <vt:lpstr>F3_Methane_Manure_Lact_Cow_Day_kg</vt:lpstr>
      <vt:lpstr>F3_Methane_Manure_Lact_Cow_Day_lb</vt:lpstr>
      <vt:lpstr>F3_Methane_Manure_Lact_Cow_Life_kg</vt:lpstr>
      <vt:lpstr>F3_Methane_Manure_Lact_Cow_Life_lb</vt:lpstr>
      <vt:lpstr>F3_Milk_Price</vt:lpstr>
      <vt:lpstr>F3_Milk_Price_default</vt:lpstr>
      <vt:lpstr>F3_Milk_Price_reported</vt:lpstr>
      <vt:lpstr>F3_NE_activity</vt:lpstr>
      <vt:lpstr>F3_NE_Calf_Day_kg</vt:lpstr>
      <vt:lpstr>F3_NE_Calf_projected_kg</vt:lpstr>
      <vt:lpstr>F3_NE_Calf_reported_kg</vt:lpstr>
      <vt:lpstr>F3_NE_Dry_Cow_Day_kg</vt:lpstr>
      <vt:lpstr>F3_NE_Dry_Cow_projected_kg</vt:lpstr>
      <vt:lpstr>F3_NE_Dry_Cow_reported_kg</vt:lpstr>
      <vt:lpstr>F3_NE_Heifer_Day_kg</vt:lpstr>
      <vt:lpstr>F3_NE_Heifer_projected_kg</vt:lpstr>
      <vt:lpstr>F3_NE_Heifer_reported_kg</vt:lpstr>
      <vt:lpstr>F3_NE_Lact_Cow_Day_kg</vt:lpstr>
      <vt:lpstr>F3_NE_Lact_Cow_Day_lb</vt:lpstr>
      <vt:lpstr>F3_NE_Lact_Cow_Life_kg</vt:lpstr>
      <vt:lpstr>F3_NE_Lact_Cow_Life_lb</vt:lpstr>
      <vt:lpstr>F3_NE_Lact_Cow_projected_DCP_kg</vt:lpstr>
      <vt:lpstr>F3_NE_Lact_Cow_projected_Milk_kg</vt:lpstr>
      <vt:lpstr>F3_NE_Lact_Cow_reported_kg</vt:lpstr>
      <vt:lpstr>F3_NE_lactation</vt:lpstr>
      <vt:lpstr>F3_NE_maintenance</vt:lpstr>
      <vt:lpstr>F3_NE_pregnancy</vt:lpstr>
      <vt:lpstr>F3_Nitrogen_Calf_day</vt:lpstr>
      <vt:lpstr>F3_Nitrogen_Dry_Cow_day</vt:lpstr>
      <vt:lpstr>F3_Nitrogen_Heifer_day</vt:lpstr>
      <vt:lpstr>F3_Nitrogen_Lact_Cow_day</vt:lpstr>
      <vt:lpstr>F3_Nitrogen_per_Lactation_kg</vt:lpstr>
      <vt:lpstr>F3_Nitrogen_per_Lactation_lb</vt:lpstr>
      <vt:lpstr>F3_Number_of_Bull_Calves_Born</vt:lpstr>
      <vt:lpstr>F3_Number_of_Heifer_Calves_Born</vt:lpstr>
      <vt:lpstr>F3_Number_of_Lactations</vt:lpstr>
      <vt:lpstr>F3_Number_of_Lactations_reported</vt:lpstr>
      <vt:lpstr>F3_Organic</vt:lpstr>
      <vt:lpstr>F3_PE_Calf_Day_kg</vt:lpstr>
      <vt:lpstr>F3_PE_Calf_projected_kg</vt:lpstr>
      <vt:lpstr>F3_PE_Calf_reported_kg</vt:lpstr>
      <vt:lpstr>F3_PE_Dry_Cow_Day_kg</vt:lpstr>
      <vt:lpstr>F3_PE_Dry_Cow_projected_kg</vt:lpstr>
      <vt:lpstr>F3_PE_Dry_Cow_reported_kg</vt:lpstr>
      <vt:lpstr>F3_PE_Heifer_Day_kg</vt:lpstr>
      <vt:lpstr>F3_PE_Heifer_projected_kg</vt:lpstr>
      <vt:lpstr>F3_PE_Heifer_reported_kg</vt:lpstr>
      <vt:lpstr>F3_PE_Lact_Cow_Day_kg</vt:lpstr>
      <vt:lpstr>F3_PE_Lact_Cow_Day_lb</vt:lpstr>
      <vt:lpstr>F3_PE_Lact_Cow_Life_kg</vt:lpstr>
      <vt:lpstr>F3_PE_Lact_Cow_Life_lb</vt:lpstr>
      <vt:lpstr>F3_PE_Lact_Cow_projected_DP_kg</vt:lpstr>
      <vt:lpstr>F3_PE_Lact_Cow_projected_Milk_kg</vt:lpstr>
      <vt:lpstr>F3_PE_Lact_Cow_reported_kg</vt:lpstr>
      <vt:lpstr>F3_Percent_Bull_Calves</vt:lpstr>
      <vt:lpstr>F3_Percent_Heifer_Calves</vt:lpstr>
      <vt:lpstr>F3_Percent_Live_Births</vt:lpstr>
      <vt:lpstr>F3_Percent_Milk_Fat</vt:lpstr>
      <vt:lpstr>F3_Percent_Milk_Protein</vt:lpstr>
      <vt:lpstr>F3_Pounds_Available_for_Slaughter</vt:lpstr>
      <vt:lpstr>F3_Protein_Content_kg</vt:lpstr>
      <vt:lpstr>F3_Protein_Content_lb</vt:lpstr>
      <vt:lpstr>F3_REM</vt:lpstr>
      <vt:lpstr>F3_Replacement_Heifers</vt:lpstr>
      <vt:lpstr>F3_Revenue_from_Calf_Sales_year_of_life</vt:lpstr>
      <vt:lpstr>F3_Revenue_from_ECM_Milk_year_of_life_lb</vt:lpstr>
      <vt:lpstr>F3_Revenue_from_Meat_year_of_life</vt:lpstr>
      <vt:lpstr>F3_Revenue_from_Unadjusted_Milk_year_of_life_lb</vt:lpstr>
      <vt:lpstr>F3_TME_Calf_Day_kg</vt:lpstr>
      <vt:lpstr>F3_TME_Calf_projected_kg</vt:lpstr>
      <vt:lpstr>F3_TME_Calf_reported_kg</vt:lpstr>
      <vt:lpstr>F3_TME_Dry_Cow_Day_kg</vt:lpstr>
      <vt:lpstr>F3_TME_Dry_Cow_projected_kg</vt:lpstr>
      <vt:lpstr>F3_TME_Dry_Cow_reported_kg</vt:lpstr>
      <vt:lpstr>F3_TME_Heifer_Day_kg</vt:lpstr>
      <vt:lpstr>F3_TME_Heifer_Projected_kg</vt:lpstr>
      <vt:lpstr>F3_TME_Heifer_reported_kg</vt:lpstr>
      <vt:lpstr>F3_TME_Lact_Cow_Day_kg</vt:lpstr>
      <vt:lpstr>F3_TME_Lact_Cow_Day_lb</vt:lpstr>
      <vt:lpstr>F3_TME_Lact_Cow_Life_kg</vt:lpstr>
      <vt:lpstr>F3_TME_Lact_Cow_Life_lb</vt:lpstr>
      <vt:lpstr>F3_TME_Lact_Cow_projected_kg</vt:lpstr>
      <vt:lpstr>F3_TME_Lact_Cow_reported_kg</vt:lpstr>
      <vt:lpstr>F3_Total_Calves_in_Life</vt:lpstr>
      <vt:lpstr>F3_Total_DME_kg_day</vt:lpstr>
      <vt:lpstr>F3_Total_KE_kg_day</vt:lpstr>
      <vt:lpstr>F3_Total_ME_kg_day</vt:lpstr>
      <vt:lpstr>F3_Total_Meat_Production</vt:lpstr>
      <vt:lpstr>F3_Total_Methane_Lact_Cow_Day_kg</vt:lpstr>
      <vt:lpstr>F3_Total_Methane_Lact_Cow_Day_lb</vt:lpstr>
      <vt:lpstr>F3_Total_Methane_Lact_Cow_Life_kg</vt:lpstr>
      <vt:lpstr>F3_Total_Methane_Lact_Cow_Life_lb</vt:lpstr>
      <vt:lpstr>F3_Total_NE_kg_day</vt:lpstr>
      <vt:lpstr>F3_Total_Net_Energy</vt:lpstr>
      <vt:lpstr>F3_Total_PE_kg_day</vt:lpstr>
      <vt:lpstr>F3_Unadjusted_Milk_Production_kg_day</vt:lpstr>
      <vt:lpstr>F3_Unadjusted_Milk_Production_kg_day_default</vt:lpstr>
      <vt:lpstr>F3_Unadjusted_Milk_Production_kg_day_reported</vt:lpstr>
      <vt:lpstr>F3_Unadjusted_Milk_Production_lb_day</vt:lpstr>
      <vt:lpstr>F3_Unadjusted_Milk_Production_lb_day_default</vt:lpstr>
      <vt:lpstr>F3_Unadjusted_Milk_Production_lb_day_reported</vt:lpstr>
      <vt:lpstr>F3_Unadjusted_Milk_Production_Life_lb</vt:lpstr>
      <vt:lpstr>F3_Unsuccessful_Breeding_Cows_Days</vt:lpstr>
      <vt:lpstr>F3_Unsuccessful_Breeding_Cows_Days_default</vt:lpstr>
      <vt:lpstr>F3_Unsuccessful_Breeding_Cows_Days_reported</vt:lpstr>
      <vt:lpstr>F3_Unsuccessful_Breeding_Cows_Percent</vt:lpstr>
      <vt:lpstr>F3_Unsuccessful_Breeding_Cows_Percent_default</vt:lpstr>
      <vt:lpstr>F3_Unsuccessful_Breeding_Cows_Percent_reported</vt:lpstr>
      <vt:lpstr>F3_Unsuccessful_Breeding_Heifers_Days</vt:lpstr>
      <vt:lpstr>F3_Unsuccessful_Breeding_Heifers_Days_default</vt:lpstr>
      <vt:lpstr>F3_Unsuccessful_Breeding_Heifers_Days_reported</vt:lpstr>
      <vt:lpstr>F3_Unsuccessful_Breeding_Heifers_Percent</vt:lpstr>
      <vt:lpstr>F3_Unsuccessful_Breeding_Heifers_Percent_default</vt:lpstr>
      <vt:lpstr>F3_Unsuccessful_Breeding_Heifers_Percent_reported</vt:lpstr>
      <vt:lpstr>F3_VSP</vt:lpstr>
      <vt:lpstr>F3_VSP_projected</vt:lpstr>
      <vt:lpstr>F3_VSP_reported</vt:lpstr>
      <vt:lpstr>F3_Years_of_Productive_Life</vt:lpstr>
      <vt:lpstr>F3_YM</vt:lpstr>
      <vt:lpstr>F4_Abortion_Days_Cows</vt:lpstr>
      <vt:lpstr>F4_Abortion_Days_Cows_default</vt:lpstr>
      <vt:lpstr>F4_Abortion_Days_Cows_reported</vt:lpstr>
      <vt:lpstr>F4_Abortion_Days_Heifers</vt:lpstr>
      <vt:lpstr>F4_Abortion_Days_Heifers_default</vt:lpstr>
      <vt:lpstr>F4_Abortion_Days_Heifers_reported</vt:lpstr>
      <vt:lpstr>F4_Abortion_Rate_Cows</vt:lpstr>
      <vt:lpstr>F4_Abortion_Rate_Cows_default</vt:lpstr>
      <vt:lpstr>F4_Abortion_Rate_Cows_reported</vt:lpstr>
      <vt:lpstr>F4_Abortion_Rate_Heifers</vt:lpstr>
      <vt:lpstr>F4_Abortion_Rate_Heifers_default</vt:lpstr>
      <vt:lpstr>F4_Abortion_Rate_Heifers_reported</vt:lpstr>
      <vt:lpstr>F4_Age_at_1st_Birthing</vt:lpstr>
      <vt:lpstr>F4_Age_at_1st_Birthing_default</vt:lpstr>
      <vt:lpstr>F4_Age_at_1st_Birthing_projected</vt:lpstr>
      <vt:lpstr>F4_Age_at_1st_Birthing_reported</vt:lpstr>
      <vt:lpstr>F4_Age_at_1st_Breeding</vt:lpstr>
      <vt:lpstr>F4_Age_at_1st_Breeding_default</vt:lpstr>
      <vt:lpstr>F4_Age_at_1st_Breeding_reported</vt:lpstr>
      <vt:lpstr>F4_Age_at_EOL</vt:lpstr>
      <vt:lpstr>F4_Age_at_EOL_projected</vt:lpstr>
      <vt:lpstr>F4_Age_at_EOL_reported</vt:lpstr>
      <vt:lpstr>F4_Annual_Bull_Calves</vt:lpstr>
      <vt:lpstr>F4_Annual_Heifer_Calves</vt:lpstr>
      <vt:lpstr>F4_Annual_Total_Calves</vt:lpstr>
      <vt:lpstr>F4_Avg_Annual_Milk_Production_ECM</vt:lpstr>
      <vt:lpstr>F4_Avg_Annual_Milk_Production_Unadjusted</vt:lpstr>
      <vt:lpstr>F4_Bo</vt:lpstr>
      <vt:lpstr>F4_Breeding_Method</vt:lpstr>
      <vt:lpstr>F4_Bull_Calves_in_Life</vt:lpstr>
      <vt:lpstr>F4_Bull_Can_Impregnate</vt:lpstr>
      <vt:lpstr>F4_Bull_Can_Impregnate_default</vt:lpstr>
      <vt:lpstr>F4_Bull_Can_Impregnate_reported</vt:lpstr>
      <vt:lpstr>F4_Bull_Units</vt:lpstr>
      <vt:lpstr>F4_Bulls</vt:lpstr>
      <vt:lpstr>F4_Calf_Dressing_Rate</vt:lpstr>
      <vt:lpstr>F4_Calf_Weight_default</vt:lpstr>
      <vt:lpstr>F4_Calf_Weight_kg</vt:lpstr>
      <vt:lpstr>F4_Calf_Weight_lb</vt:lpstr>
      <vt:lpstr>F4_Calf_Weight_reported</vt:lpstr>
      <vt:lpstr>F4_Calving_Interval</vt:lpstr>
      <vt:lpstr>F4_Calving_Interval_projected</vt:lpstr>
      <vt:lpstr>F4_Calving_Interval_reported</vt:lpstr>
      <vt:lpstr>F4_Calving_to_1st_Breeding_Attempt</vt:lpstr>
      <vt:lpstr>F4_Calving_to_1st_Breeding_Attempt_default</vt:lpstr>
      <vt:lpstr>F4_Calving_to_1st_Breeding_Attempt_reported</vt:lpstr>
      <vt:lpstr>F4_Climate</vt:lpstr>
      <vt:lpstr>F4_Cow_Breeding_Attempts</vt:lpstr>
      <vt:lpstr>F4_Cow_Breeding_Attempts_default</vt:lpstr>
      <vt:lpstr>F4_Cow_Breeding_Attempts_reported</vt:lpstr>
      <vt:lpstr>F4_Cow_Days_Between_Breeding_Attempts</vt:lpstr>
      <vt:lpstr>F4_Cow_Days_between_Breeding_Attempts_default</vt:lpstr>
      <vt:lpstr>F4_Cow_Days_between_Breeding_Attempts_projected</vt:lpstr>
      <vt:lpstr>F4_Cow_Days_between_Breeding_Attempts_reported</vt:lpstr>
      <vt:lpstr>F4_Cow_Dressing_Rate</vt:lpstr>
      <vt:lpstr>F4_Cow_Failure_to_Breed_Rate</vt:lpstr>
      <vt:lpstr>F4_Cow_Failure_to_Breed_Rate_default</vt:lpstr>
      <vt:lpstr>F4_Cow_Failure_to_Breed_Rate_reported</vt:lpstr>
      <vt:lpstr>F4_Cull_Rate_Dry_Cows</vt:lpstr>
      <vt:lpstr>F4_Cull_Rate_Dry_Cows_default</vt:lpstr>
      <vt:lpstr>F4_Cull_Rate_Dry_Cows_reported</vt:lpstr>
      <vt:lpstr>F4_Cull_Rate_Involuntary_Lact_Cows</vt:lpstr>
      <vt:lpstr>F4_Cull_Rate_Involuntary_Lact_Cows_default</vt:lpstr>
      <vt:lpstr>F4_Cull_Rate_Involuntary_Lact_Cows_reported</vt:lpstr>
      <vt:lpstr>F4_Cull_Rate_Voluntary_Lact_Cows</vt:lpstr>
      <vt:lpstr>F4_Cull_Rate_Voluntary_Lact_Cows_default</vt:lpstr>
      <vt:lpstr>F4_Cull_Rate_Voluntary_Lact_Cows_reported</vt:lpstr>
      <vt:lpstr>F4_Days_in_Diverted_Milk</vt:lpstr>
      <vt:lpstr>F4_Days_in_Diverted_Milk_default</vt:lpstr>
      <vt:lpstr>F4_Days_in_Diverted_Milk_reported</vt:lpstr>
      <vt:lpstr>F4_Death_Rate_Dry_Cows</vt:lpstr>
      <vt:lpstr>F4_Death_Rate_Dry_Cows_default</vt:lpstr>
      <vt:lpstr>F4_Death_Rate_Dry_Cows_reported</vt:lpstr>
      <vt:lpstr>F4_Death_Rate_Heifers</vt:lpstr>
      <vt:lpstr>F4_Death_Rate_Heifers_default</vt:lpstr>
      <vt:lpstr>F4_Death_Rate_Heifers_reported</vt:lpstr>
      <vt:lpstr>F4_Death_Rate_Lact_Cows</vt:lpstr>
      <vt:lpstr>F4_Death_Rate_Lact_Cows_default</vt:lpstr>
      <vt:lpstr>F4_Death_Rate_Lact_Cows_reported</vt:lpstr>
      <vt:lpstr>F4_Death_Rate_Unweaned_Heifers</vt:lpstr>
      <vt:lpstr>F4_Death_Rate_Unweaned_Heifers_default</vt:lpstr>
      <vt:lpstr>F4_Death_Rate_Unweaned_Heifers_reported</vt:lpstr>
      <vt:lpstr>F4_Death_Rate_Weaned_Heifers</vt:lpstr>
      <vt:lpstr>F4_Death_Rate_Weaned_Heifers_default</vt:lpstr>
      <vt:lpstr>F4_Death_Rate_Weaned_Heifers_reported</vt:lpstr>
      <vt:lpstr>F4_Diet_Digestibility</vt:lpstr>
      <vt:lpstr>F4_Diet_Digestibility_projected</vt:lpstr>
      <vt:lpstr>F4_Diet_Digestibility_reported</vt:lpstr>
      <vt:lpstr>F4_Dietary_CP_Calf</vt:lpstr>
      <vt:lpstr>F4_Dietary_CP_Calf_projected</vt:lpstr>
      <vt:lpstr>F4_Dietary_CP_Calf_reported</vt:lpstr>
      <vt:lpstr>F4_Dietary_CP_Dry_Cow</vt:lpstr>
      <vt:lpstr>F4_Dietary_CP_Dry_Cow_projected</vt:lpstr>
      <vt:lpstr>F4_Dietary_CP_Dry_Cow_reported</vt:lpstr>
      <vt:lpstr>F4_Dietary_CP_Heifer</vt:lpstr>
      <vt:lpstr>F4_Dietary_CP_Heifer_projected</vt:lpstr>
      <vt:lpstr>F4_Dietary_CP_Heifer_reported</vt:lpstr>
      <vt:lpstr>F4_Dietary_CP_Lact_Cow</vt:lpstr>
      <vt:lpstr>F4_Dietary_CP_Lact_Cow_projected</vt:lpstr>
      <vt:lpstr>F4_Dietary_CP_Lact_Cow_reported</vt:lpstr>
      <vt:lpstr>F4_Dietary_K_Calf</vt:lpstr>
      <vt:lpstr>F4_Dietary_K_Calf_projected</vt:lpstr>
      <vt:lpstr>F4_Dietary_K_Calf_reported</vt:lpstr>
      <vt:lpstr>F4_Dietary_K_Dry_Cow</vt:lpstr>
      <vt:lpstr>F4_Dietary_K_Dry_Cow_projected</vt:lpstr>
      <vt:lpstr>F4_Dietary_K_Dry_Cow_reported</vt:lpstr>
      <vt:lpstr>F4_Dietary_K_Heifer</vt:lpstr>
      <vt:lpstr>F4_Dietary_K_Heifer_projected</vt:lpstr>
      <vt:lpstr>F4_Dietary_K_Heifer_reported</vt:lpstr>
      <vt:lpstr>F4_Dietary_K_Lact_Cow</vt:lpstr>
      <vt:lpstr>F4_Dietary_K_Lact_Cow_projected</vt:lpstr>
      <vt:lpstr>F4_Dietary_K_Lact_Cow_reported</vt:lpstr>
      <vt:lpstr>F4_Dietary_P_Calf</vt:lpstr>
      <vt:lpstr>F4_Dietary_P_Calf_projected</vt:lpstr>
      <vt:lpstr>F4_Dietary_P_Calf_reported</vt:lpstr>
      <vt:lpstr>F4_Dietary_P_Dry_Cow</vt:lpstr>
      <vt:lpstr>F4_Dietary_P_Dry_Cow_projected</vt:lpstr>
      <vt:lpstr>F4_Dietary_P_Dry_Cow_reported</vt:lpstr>
      <vt:lpstr>F4_Dietary_P_Heifer</vt:lpstr>
      <vt:lpstr>F4_Dietary_P_Heifer_projected</vt:lpstr>
      <vt:lpstr>F4_Dietary_P_Heifer_reported</vt:lpstr>
      <vt:lpstr>F4_Dietary_P_Lact_Cow</vt:lpstr>
      <vt:lpstr>F4_Dietary_P_Lact_Cow_projected</vt:lpstr>
      <vt:lpstr>F4_Dietary_P_Lact_Cow_reported</vt:lpstr>
      <vt:lpstr>F4_Digestible_Energy</vt:lpstr>
      <vt:lpstr>F4_Digestible_Energy_projected</vt:lpstr>
      <vt:lpstr>F4_Digestible_Energy_reported</vt:lpstr>
      <vt:lpstr>F4_DIM</vt:lpstr>
      <vt:lpstr>F4_DME_Calf_Day_kg</vt:lpstr>
      <vt:lpstr>F4_DME_Calf_projected_kg</vt:lpstr>
      <vt:lpstr>F4_DME_Calf_reported_kg</vt:lpstr>
      <vt:lpstr>F4_DME_Dry_Cow_Day_kg</vt:lpstr>
      <vt:lpstr>F4_DME_Dry_Cow_projected_kg</vt:lpstr>
      <vt:lpstr>F4_DME_Dry_Cow_reported_kg</vt:lpstr>
      <vt:lpstr>F4_DME_Heifer_Day_kg</vt:lpstr>
      <vt:lpstr>F4_DME_Heifer_Projected_kg</vt:lpstr>
      <vt:lpstr>F4_DME_Heifer_reported_kg</vt:lpstr>
      <vt:lpstr>F4_DME_Lact_Cow_Day_kg</vt:lpstr>
      <vt:lpstr>F4_DME_Lact_Cow_Day_lb</vt:lpstr>
      <vt:lpstr>F4_DME_Lact_Cow_Life_kg</vt:lpstr>
      <vt:lpstr>F4_DME_Lact_Cow_Life_lb</vt:lpstr>
      <vt:lpstr>F4_DME_Lact_Cow_projected_kg</vt:lpstr>
      <vt:lpstr>F4_DME_Lact_Cow_reported_kg</vt:lpstr>
      <vt:lpstr>F4_DMI_Dry_Cow_kg</vt:lpstr>
      <vt:lpstr>F4_DMI_Dry_Cow_lb</vt:lpstr>
      <vt:lpstr>F4_DMI_Dry_Cow_projected_kg</vt:lpstr>
      <vt:lpstr>F4_DMI_Dry_Cow_reported_kg</vt:lpstr>
      <vt:lpstr>F4_DMI_Heifer_Calf_kg</vt:lpstr>
      <vt:lpstr>F4_DMI_Heifer_Calf_lb</vt:lpstr>
      <vt:lpstr>F4_DMI_Heifer_Calf_projected_kg</vt:lpstr>
      <vt:lpstr>F4_DMI_Heifer_Calf_reported_kg</vt:lpstr>
      <vt:lpstr>F4_DMI_Heifer_kg</vt:lpstr>
      <vt:lpstr>F4_DMI_Heifer_lb</vt:lpstr>
      <vt:lpstr>F4_DMI_Heifer_projected_kg</vt:lpstr>
      <vt:lpstr>F4_DMI_Heifer_reported_kg</vt:lpstr>
      <vt:lpstr>F4_DMI_Lact_Cow_at_Milk_Production_kg_default</vt:lpstr>
      <vt:lpstr>F4_DMI_Lact_Cow_at_Milk_Production_kg_reported</vt:lpstr>
      <vt:lpstr>F4_DMI_Lact_Cow_at_Milk_Production_lb_default</vt:lpstr>
      <vt:lpstr>F4_DMI_Lact_Cow_at_Milk_Production_lb_reported</vt:lpstr>
      <vt:lpstr>F4_DMI_Lact_Cow_kg</vt:lpstr>
      <vt:lpstr>F4_DMI_Lact_Cow_lb</vt:lpstr>
      <vt:lpstr>F4_Dry_Cow_Units</vt:lpstr>
      <vt:lpstr>F4_Dry_Cow_Weight_default</vt:lpstr>
      <vt:lpstr>F4_Dry_Cow_Weight_kg</vt:lpstr>
      <vt:lpstr>F4_Dry_Cow_Weight_lb</vt:lpstr>
      <vt:lpstr>F4_Dry_Cow_Weight_reported</vt:lpstr>
      <vt:lpstr>F4_Dry_Cows</vt:lpstr>
      <vt:lpstr>F4_Dryoff_Period</vt:lpstr>
      <vt:lpstr>F4_Dryoff_Period_default</vt:lpstr>
      <vt:lpstr>F4_Dryoff_Period_reported</vt:lpstr>
      <vt:lpstr>F4_ECM_Production_kg_day</vt:lpstr>
      <vt:lpstr>F4_ECM_Production_lb_day</vt:lpstr>
      <vt:lpstr>F4_ECM_Production_Life_lb</vt:lpstr>
      <vt:lpstr>F4_Embryonic_Loss_Days_Cows</vt:lpstr>
      <vt:lpstr>F4_Embryonic_Loss_Days_Cows_default</vt:lpstr>
      <vt:lpstr>F4_Embryonic_Loss_Days_Cows_reported</vt:lpstr>
      <vt:lpstr>F4_Embryonic_Loss_Days_Heifers</vt:lpstr>
      <vt:lpstr>F4_Embryonic_Loss_Days_Heifers_default</vt:lpstr>
      <vt:lpstr>F4_Embryonic_Loss_Days_Heifers_reported</vt:lpstr>
      <vt:lpstr>F4_Embryonic_Loss_Rate_Cows</vt:lpstr>
      <vt:lpstr>F4_Embryonic_Loss_Rate_Cows_default</vt:lpstr>
      <vt:lpstr>F4_Embryonic_Loss_Rate_Cows_reported</vt:lpstr>
      <vt:lpstr>F4_Embryonic_Loss_Rate_Heifers</vt:lpstr>
      <vt:lpstr>F4_Embryonic_Loss_Rate_Heifers_default</vt:lpstr>
      <vt:lpstr>F4_Embryonic_Loss_Rate_Heifers_reported</vt:lpstr>
      <vt:lpstr>F4_Fat_Content_kg</vt:lpstr>
      <vt:lpstr>F4_Fat_Content_lb</vt:lpstr>
      <vt:lpstr>F4_Gestation_Period</vt:lpstr>
      <vt:lpstr>F4_Gross_Energy</vt:lpstr>
      <vt:lpstr>F4_Gross_Energy_projected</vt:lpstr>
      <vt:lpstr>F4_Gross_Energy_reported</vt:lpstr>
      <vt:lpstr>F4_Grown_Calf_Weight_default</vt:lpstr>
      <vt:lpstr>F4_Grown_Calf_Weight_kg</vt:lpstr>
      <vt:lpstr>F4_Grown_Calf_Weight_lb</vt:lpstr>
      <vt:lpstr>F4_Grown_Calf_Weight_reported</vt:lpstr>
      <vt:lpstr>F4_Heifer_Breeding_Attempts</vt:lpstr>
      <vt:lpstr>F4_Heifer_Breeding_Attempts_default</vt:lpstr>
      <vt:lpstr>F4_Heifer_Breeding_Attempts_reported</vt:lpstr>
      <vt:lpstr>F4_Heifer_Calf</vt:lpstr>
      <vt:lpstr>F4_Heifer_Calf_Units</vt:lpstr>
      <vt:lpstr>F4_Heifer_Calves_in_Life</vt:lpstr>
      <vt:lpstr>F4_Heifer_Days_Between_Breeding_Attempts</vt:lpstr>
      <vt:lpstr>F4_Heifer_Days_between_Breeding_Attempts_default</vt:lpstr>
      <vt:lpstr>F4_Heifer_Days_between_Breeding_Attempts_projected</vt:lpstr>
      <vt:lpstr>F4_Heifer_Days_between_Breeding_Attempts_reported</vt:lpstr>
      <vt:lpstr>F4_Heifer_Failure_to_Breed_Rate</vt:lpstr>
      <vt:lpstr>F4_Heifer_Failure_to_Breed_Rate_default</vt:lpstr>
      <vt:lpstr>F4_Heifer_Failure_to_Breed_Rate_reported</vt:lpstr>
      <vt:lpstr>F4_Heifer_Units</vt:lpstr>
      <vt:lpstr>F4_Heifer_Weight_default</vt:lpstr>
      <vt:lpstr>F4_Heifer_Weight_kg</vt:lpstr>
      <vt:lpstr>F4_Heifer_Weight_lb</vt:lpstr>
      <vt:lpstr>F4_Heifer_Weight_reported</vt:lpstr>
      <vt:lpstr>F4_Heifers</vt:lpstr>
      <vt:lpstr>F4_Heifers_to_be_Born</vt:lpstr>
      <vt:lpstr>F4_Herbicide_per_Lactation_kg</vt:lpstr>
      <vt:lpstr>F4_Herbicide_per_Lactation_lb</vt:lpstr>
      <vt:lpstr>F4_Herbicides_Calf_day</vt:lpstr>
      <vt:lpstr>F4_Herbicides_Dry_Cow_day</vt:lpstr>
      <vt:lpstr>F4_Herbicides_Heifer_day</vt:lpstr>
      <vt:lpstr>F4_Herbicides_Lact_Cow_day</vt:lpstr>
      <vt:lpstr>F4_Insecticide_per_Lactation_kg</vt:lpstr>
      <vt:lpstr>F4_Insecticide_per_Lactation_lb</vt:lpstr>
      <vt:lpstr>F4_Insecticides_Calf_day</vt:lpstr>
      <vt:lpstr>F4_Insecticides_Dry_Cow_day</vt:lpstr>
      <vt:lpstr>F4_Insecticides_Heifer_day</vt:lpstr>
      <vt:lpstr>F4_Insecticides_Lact_Cow_day</vt:lpstr>
      <vt:lpstr>F4_KE_Calf_Day_kg</vt:lpstr>
      <vt:lpstr>F4_KE_Calf_projected_kg</vt:lpstr>
      <vt:lpstr>F4_KE_Calf_reported_kg</vt:lpstr>
      <vt:lpstr>F4_KE_Dry_Cow_Day_kg</vt:lpstr>
      <vt:lpstr>F4_KE_Dry_Cow_projected_kg</vt:lpstr>
      <vt:lpstr>F4_KE_Dry_Cow_reported_kg</vt:lpstr>
      <vt:lpstr>F4_KE_Heifer_Day_kg</vt:lpstr>
      <vt:lpstr>F4_KE_Heifer_projected_kg</vt:lpstr>
      <vt:lpstr>F4_KE_Heifer_reported_kg</vt:lpstr>
      <vt:lpstr>F4_KE_Lact_Cow_Day_kg</vt:lpstr>
      <vt:lpstr>F4_KE_Lact_Cow_Day_lb</vt:lpstr>
      <vt:lpstr>F4_KE_Lact_Cow_Life_kg</vt:lpstr>
      <vt:lpstr>F4_KE_Lact_Cow_Life_lb</vt:lpstr>
      <vt:lpstr>F4_KE_Lact_Cow_projected_kg</vt:lpstr>
      <vt:lpstr>F4_KE_Lact_Cow_reported_kg</vt:lpstr>
      <vt:lpstr>F4_Lact_Cow_Weight_default</vt:lpstr>
      <vt:lpstr>F4_Lact_Cow_Weight_kg</vt:lpstr>
      <vt:lpstr>F4_Lact_Cow_Weight_lb</vt:lpstr>
      <vt:lpstr>F4_Lact_Cow_Weight_reported</vt:lpstr>
      <vt:lpstr>F4_Lact_Cows</vt:lpstr>
      <vt:lpstr>F4_Lact_Cows_projected</vt:lpstr>
      <vt:lpstr>F4_Lact_Cows_reported</vt:lpstr>
      <vt:lpstr>F4_Length_of_Lactation</vt:lpstr>
      <vt:lpstr>F4_Length_of_Lactation_projected</vt:lpstr>
      <vt:lpstr>F4_Length_of_Lactation_reported</vt:lpstr>
      <vt:lpstr>F4_Market_Value_Bull_Calf</vt:lpstr>
      <vt:lpstr>F4_Market_Value_Bull_Calf_default</vt:lpstr>
      <vt:lpstr>F4_Market_Value_Bull_Calf_reported</vt:lpstr>
      <vt:lpstr>F4_Market_Value_Heifer_Calf</vt:lpstr>
      <vt:lpstr>F4_Market_Value_Heifer_Calf_default</vt:lpstr>
      <vt:lpstr>F4_Market_Value_Heifer_Calf_reported</vt:lpstr>
      <vt:lpstr>F4_MCF</vt:lpstr>
      <vt:lpstr>F4_MCF_projected</vt:lpstr>
      <vt:lpstr>F4_MCF_reported</vt:lpstr>
      <vt:lpstr>F4_Meat_Price_Calf</vt:lpstr>
      <vt:lpstr>F4_Meat_Price_Calf_default</vt:lpstr>
      <vt:lpstr>F4_Meat_Price_Calf_reported</vt:lpstr>
      <vt:lpstr>F4_Meat_Price_Cow</vt:lpstr>
      <vt:lpstr>F4_Meat_Price_Cow_default</vt:lpstr>
      <vt:lpstr>F4_Meat_Price_Cow_reported</vt:lpstr>
      <vt:lpstr>F4_Meat_Production_from_Calves</vt:lpstr>
      <vt:lpstr>F4_Meat_Production_from_Cow</vt:lpstr>
      <vt:lpstr>F4_Methane_Enteric_Calf_Day_kg</vt:lpstr>
      <vt:lpstr>F4_Methane_Enteric_Calf_Day_lb</vt:lpstr>
      <vt:lpstr>F4_Methane_Enteric_Dry_Cow_Day_kg</vt:lpstr>
      <vt:lpstr>F4_Methane_Enteric_Dry_Cow_Day_lb</vt:lpstr>
      <vt:lpstr>F4_Methane_Enteric_Heifer_Day_kg</vt:lpstr>
      <vt:lpstr>F4_Methane_Enteric_Heifer_Day_lb</vt:lpstr>
      <vt:lpstr>F4_Methane_Enteric_Lact_Cow_Day_kg</vt:lpstr>
      <vt:lpstr>F4_Methane_Enteric_Lact_Cow_Day_lb</vt:lpstr>
      <vt:lpstr>F4_Methane_Enteric_Lact_Cow_Life_kg</vt:lpstr>
      <vt:lpstr>F4_Methane_Enteric_Lact_Cow_Life_lb</vt:lpstr>
      <vt:lpstr>F4_Methane_Manure_Calf_Day_kg</vt:lpstr>
      <vt:lpstr>F4_Methane_Manure_Calf_Day_lb</vt:lpstr>
      <vt:lpstr>F4_Methane_Manure_Dry_Cow_Day_kg</vt:lpstr>
      <vt:lpstr>F4_Methane_Manure_Dry_Cow_Day_lb</vt:lpstr>
      <vt:lpstr>F4_Methane_Manure_Heifer_Day_kg</vt:lpstr>
      <vt:lpstr>F4_Methane_Manure_Heifer_Day_lb</vt:lpstr>
      <vt:lpstr>F4_Methane_Manure_Lact_Cow_Day_kg</vt:lpstr>
      <vt:lpstr>F4_Methane_Manure_Lact_Cow_Day_lb</vt:lpstr>
      <vt:lpstr>F4_Methane_Manure_Lact_Cow_Life_kg</vt:lpstr>
      <vt:lpstr>F4_Methane_Manure_Lact_Cow_Life_lb</vt:lpstr>
      <vt:lpstr>F4_Milk_Price</vt:lpstr>
      <vt:lpstr>F4_Milk_Price_default</vt:lpstr>
      <vt:lpstr>F4_Milk_Price_reported</vt:lpstr>
      <vt:lpstr>F4_NE_activity</vt:lpstr>
      <vt:lpstr>F4_NE_Calf_Day_kg</vt:lpstr>
      <vt:lpstr>F4_NE_Calf_projected_kg</vt:lpstr>
      <vt:lpstr>F4_NE_Calf_reported_kg</vt:lpstr>
      <vt:lpstr>F4_NE_Dry_Cow_Day_kg</vt:lpstr>
      <vt:lpstr>F4_NE_Dry_Cow_projected_kg</vt:lpstr>
      <vt:lpstr>F4_NE_Dry_Cow_reported_kg</vt:lpstr>
      <vt:lpstr>F4_NE_Heifer_Day_kg</vt:lpstr>
      <vt:lpstr>F4_NE_Heifer_projected_kg</vt:lpstr>
      <vt:lpstr>F4_NE_Heifer_reported_kg</vt:lpstr>
      <vt:lpstr>F4_NE_Lact_Cow_Day_kg</vt:lpstr>
      <vt:lpstr>F4_NE_Lact_Cow_Day_lb</vt:lpstr>
      <vt:lpstr>F4_NE_Lact_Cow_Life_kg</vt:lpstr>
      <vt:lpstr>F4_NE_Lact_Cow_Life_lb</vt:lpstr>
      <vt:lpstr>F4_NE_Lact_Cow_projected_DCP_kg</vt:lpstr>
      <vt:lpstr>F4_NE_Lact_Cow_projected_Milk_kg</vt:lpstr>
      <vt:lpstr>F4_NE_Lact_Cow_reported_kg</vt:lpstr>
      <vt:lpstr>F4_NE_lactation</vt:lpstr>
      <vt:lpstr>F4_NE_maintenance</vt:lpstr>
      <vt:lpstr>F4_NE_pregnancy</vt:lpstr>
      <vt:lpstr>F4_Nitrogen_Calf_day</vt:lpstr>
      <vt:lpstr>F4_Nitrogen_Dry_Cow_day</vt:lpstr>
      <vt:lpstr>F4_Nitrogen_Heifer_day</vt:lpstr>
      <vt:lpstr>F4_Nitrogen_Lact_Cow_day</vt:lpstr>
      <vt:lpstr>F4_Nitrogen_per_Lactation_kg</vt:lpstr>
      <vt:lpstr>F4_Nitrogen_per_Lactation_lb</vt:lpstr>
      <vt:lpstr>F4_Number_of_Bull_Calves_Born</vt:lpstr>
      <vt:lpstr>F4_Number_of_Heifer_Calves_Born</vt:lpstr>
      <vt:lpstr>F4_Number_of_Lactations</vt:lpstr>
      <vt:lpstr>F4_Number_of_Lactations_reported</vt:lpstr>
      <vt:lpstr>F4_Organic</vt:lpstr>
      <vt:lpstr>F4_PE_Calf_Day_kg</vt:lpstr>
      <vt:lpstr>F4_PE_Calf_projected_kg</vt:lpstr>
      <vt:lpstr>F4_PE_Calf_reported_kg</vt:lpstr>
      <vt:lpstr>F4_PE_Dry_Cow_Day_kg</vt:lpstr>
      <vt:lpstr>F4_PE_Dry_Cow_projected_kg</vt:lpstr>
      <vt:lpstr>F4_PE_Dry_Cow_reported_kg</vt:lpstr>
      <vt:lpstr>F4_PE_Heifer_Day_kg</vt:lpstr>
      <vt:lpstr>F4_PE_Heifer_projected_kg</vt:lpstr>
      <vt:lpstr>F4_PE_Heifer_reported_kg</vt:lpstr>
      <vt:lpstr>F4_PE_Lact_Cow_Day_kg</vt:lpstr>
      <vt:lpstr>F4_PE_Lact_Cow_Day_lb</vt:lpstr>
      <vt:lpstr>F4_PE_Lact_Cow_Life_kg</vt:lpstr>
      <vt:lpstr>F4_PE_Lact_Cow_Life_lb</vt:lpstr>
      <vt:lpstr>F4_PE_Lact_Cow_projected_DP_kg</vt:lpstr>
      <vt:lpstr>F4_PE_Lact_Cow_projected_Milk_kg</vt:lpstr>
      <vt:lpstr>F4_PE_Lact_Cow_reported_kg</vt:lpstr>
      <vt:lpstr>F4_Percent_Bull_Calves</vt:lpstr>
      <vt:lpstr>F4_Percent_Heifer_Calves</vt:lpstr>
      <vt:lpstr>F4_Percent_Live_Births</vt:lpstr>
      <vt:lpstr>F4_Percent_Milk_Fat</vt:lpstr>
      <vt:lpstr>F4_Percent_Milk_Protein</vt:lpstr>
      <vt:lpstr>F4_Pounds_Available_for_Slaughter</vt:lpstr>
      <vt:lpstr>F4_Protein_Content_kg</vt:lpstr>
      <vt:lpstr>F4_Protein_Content_lb</vt:lpstr>
      <vt:lpstr>F4_REM</vt:lpstr>
      <vt:lpstr>F4_Replacement_Heifers</vt:lpstr>
      <vt:lpstr>F4_Revenue_from_Calf_Sales_year_of_Life</vt:lpstr>
      <vt:lpstr>F4_Revenue_from_ECM_Milk_year_of_life_lb</vt:lpstr>
      <vt:lpstr>F4_Revenue_from_Meat_year_of_Life</vt:lpstr>
      <vt:lpstr>F4_Revenue_from_Unadjusted_Milk_year_of_life_lb</vt:lpstr>
      <vt:lpstr>F4_TME_Calf_Day_kg</vt:lpstr>
      <vt:lpstr>F4_TME_Calf_projected_kg</vt:lpstr>
      <vt:lpstr>F4_TME_Calf_reported_kg</vt:lpstr>
      <vt:lpstr>F4_TME_Dry_Cow_Day_kg</vt:lpstr>
      <vt:lpstr>F4_TME_Dry_Cow_projected_kg</vt:lpstr>
      <vt:lpstr>F4_TME_Dry_Cow_reported_kg</vt:lpstr>
      <vt:lpstr>F4_TME_Heifer_Day_kg</vt:lpstr>
      <vt:lpstr>F4_TME_Heifer_Projected_kg</vt:lpstr>
      <vt:lpstr>F4_TME_Heifer_reported_kg</vt:lpstr>
      <vt:lpstr>F4_TME_Lact_Cow_Day_kg</vt:lpstr>
      <vt:lpstr>F4_TME_Lact_Cow_Day_lb</vt:lpstr>
      <vt:lpstr>F4_TME_Lact_Cow_Life_kg</vt:lpstr>
      <vt:lpstr>F4_TME_Lact_Cow_Life_lb</vt:lpstr>
      <vt:lpstr>F4_TME_Lact_Cow_projected_kg</vt:lpstr>
      <vt:lpstr>F4_TME_Lact_Cow_reported_kg</vt:lpstr>
      <vt:lpstr>F4_Total_Calves_in_Life</vt:lpstr>
      <vt:lpstr>F4_Total_DME_kg_day</vt:lpstr>
      <vt:lpstr>F4_Total_KE_kg_day</vt:lpstr>
      <vt:lpstr>F4_Total_ME_kg_day</vt:lpstr>
      <vt:lpstr>F4_Total_Meat_Production</vt:lpstr>
      <vt:lpstr>F4_Total_Methane_Lact_Cow_Day_kg</vt:lpstr>
      <vt:lpstr>F4_Total_Methane_Lact_Cow_Day_lb</vt:lpstr>
      <vt:lpstr>F4_Total_Methane_Lact_Cow_Life_kg</vt:lpstr>
      <vt:lpstr>F4_Total_Methane_Lact_Cow_Life_lb</vt:lpstr>
      <vt:lpstr>F4_Total_NE_kg_day</vt:lpstr>
      <vt:lpstr>F4_Total_Net_Energy</vt:lpstr>
      <vt:lpstr>F4_Total_PE_kg_day</vt:lpstr>
      <vt:lpstr>F4_Unadjusted_Milk_Production_kg_day</vt:lpstr>
      <vt:lpstr>F4_Unadjusted_Milk_Production_kg_day_default</vt:lpstr>
      <vt:lpstr>F4_Unadjusted_Milk_Production_kg_day_reported</vt:lpstr>
      <vt:lpstr>F4_Unadjusted_Milk_Production_lb_day</vt:lpstr>
      <vt:lpstr>F4_Unadjusted_Milk_Production_lb_day_default</vt:lpstr>
      <vt:lpstr>F4_Unadjusted_Milk_Production_lb_day_reported</vt:lpstr>
      <vt:lpstr>F4_Unadjusted_Milk_Production_Life_lb</vt:lpstr>
      <vt:lpstr>F4_Unsuccessful_Breeding_Cows_Days</vt:lpstr>
      <vt:lpstr>F4_Unsuccessful_Breeding_Cows_Days_default</vt:lpstr>
      <vt:lpstr>F4_Unsuccessful_Breeding_Cows_Days_reported</vt:lpstr>
      <vt:lpstr>F4_Unsuccessful_Breeding_Cows_Percent</vt:lpstr>
      <vt:lpstr>F4_Unsuccessful_Breeding_Cows_Percent_default</vt:lpstr>
      <vt:lpstr>F4_Unsuccessful_Breeding_Cows_Percent_reported</vt:lpstr>
      <vt:lpstr>F4_Unsuccessful_Breeding_Heifers_Days</vt:lpstr>
      <vt:lpstr>F4_Unsuccessful_Breeding_Heifers_Days_default</vt:lpstr>
      <vt:lpstr>F4_Unsuccessful_Breeding_Heifers_Days_reported</vt:lpstr>
      <vt:lpstr>F4_Unsuccessful_Breeding_Heifers_Percent</vt:lpstr>
      <vt:lpstr>F4_Unsuccessful_Breeding_Heifers_Percent_default</vt:lpstr>
      <vt:lpstr>F4_Unsuccessful_Breeding_Heifers_Percent_reported</vt:lpstr>
      <vt:lpstr>F4_VSP</vt:lpstr>
      <vt:lpstr>F4_VSP_projected</vt:lpstr>
      <vt:lpstr>F4_VSP_reported</vt:lpstr>
      <vt:lpstr>F4_Years_of_Productive_Life</vt:lpstr>
      <vt:lpstr>F4_YM</vt:lpstr>
      <vt:lpstr>'App A-Formula Sources'!Print_Area</vt:lpstr>
      <vt:lpstr>'Application Setup'!Print_Area</vt:lpstr>
      <vt:lpstr>'Chosen Parameters-Part I'!Print_Area</vt:lpstr>
      <vt:lpstr>Defaults!Print_Area</vt:lpstr>
      <vt:lpstr>'Results Table-Part I'!Print_Area</vt:lpstr>
      <vt:lpstr>'Results Table-Part II'!Print_Area</vt:lpstr>
      <vt:lpstr>'Results Table-Part III'!Print_Area</vt:lpstr>
      <vt:lpstr>'Results Table-Part IV'!Print_Area</vt:lpstr>
      <vt:lpstr>'Step 1 -- Herd Profile'!Print_Area</vt:lpstr>
      <vt:lpstr>'Step 10a--Required Acres'!Print_Area</vt:lpstr>
      <vt:lpstr>'Step 10b--Required Acres'!Print_Area</vt:lpstr>
      <vt:lpstr>'Step 11a--Inputs'!Print_Area</vt:lpstr>
      <vt:lpstr>'Step 11a--Inputs Detail'!Print_Area</vt:lpstr>
      <vt:lpstr>'Step 11b--Inputs'!Print_Area</vt:lpstr>
      <vt:lpstr>'Step 11b--Inputs Detail'!Print_Area</vt:lpstr>
      <vt:lpstr>'Step 12--Dietary Intake'!Print_Area</vt:lpstr>
      <vt:lpstr>'Step 13a--Nutrient Excretions'!Print_Area</vt:lpstr>
      <vt:lpstr>'Step 13b--Nutrient Excretions'!Print_Area</vt:lpstr>
      <vt:lpstr>'Step 14a-Greenhouse Gas Factors'!Print_Area</vt:lpstr>
      <vt:lpstr>'Step 14b-Greenhouse Gas Factors'!Print_Area</vt:lpstr>
      <vt:lpstr>'Step 15a--CH4 Emissions'!Print_Area</vt:lpstr>
      <vt:lpstr>'Step 15b--CH4 Emissions'!Print_Area</vt:lpstr>
      <vt:lpstr>'Step 2--Cull Rates'!Print_Area</vt:lpstr>
      <vt:lpstr>'Step 3--Lactation Profile'!Print_Area</vt:lpstr>
      <vt:lpstr>'Step 4--Breeding &amp; Health'!Print_Area</vt:lpstr>
      <vt:lpstr>'Step 5--Total Production'!Print_Area</vt:lpstr>
      <vt:lpstr>'Step 6--DMI Required'!Print_Area</vt:lpstr>
      <vt:lpstr>'Step 7a--Feedstuff Required'!Print_Area</vt:lpstr>
      <vt:lpstr>'Step 7b--Feedstuff Required'!Print_Area</vt:lpstr>
      <vt:lpstr>'Step 8a--DMI Worksheet'!Print_Area</vt:lpstr>
      <vt:lpstr>'Step 8b--DMI Worksheet'!Print_Area</vt:lpstr>
      <vt:lpstr>'Step 9a--Daily DMI Rations'!Print_Area</vt:lpstr>
      <vt:lpstr>'Step 9b--Daily DMI Rations'!Print_Area</vt:lpstr>
      <vt:lpstr>'Title Page'!Print_Area</vt:lpstr>
    </vt:vector>
  </TitlesOfParts>
  <Company>Stonyfield Farm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SOG Dairy Calculator V1.1</dc:title>
  <dc:creator>Karie Knoke</dc:creator>
  <cp:lastModifiedBy>Karie Knoke</cp:lastModifiedBy>
  <cp:lastPrinted>2010-10-26T18:36:52Z</cp:lastPrinted>
  <dcterms:created xsi:type="dcterms:W3CDTF">2007-12-18T18:47:14Z</dcterms:created>
  <dcterms:modified xsi:type="dcterms:W3CDTF">2010-11-10T21:20:47Z</dcterms:modified>
</cp:coreProperties>
</file>