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3.xml" ContentType="application/vnd.openxmlformats-officedocument.drawingml.chart+xml"/>
  <Override PartName="/xl/drawings/drawing9.xml" ContentType="application/vnd.openxmlformats-officedocument.drawingml.chartshap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330" windowWidth="18915" windowHeight="11535" tabRatio="836"/>
  </bookViews>
  <sheets>
    <sheet name="Instructions" sheetId="7" r:id="rId1"/>
    <sheet name="Calculations" sheetId="1" r:id="rId2"/>
    <sheet name="Custom Table" sheetId="2" r:id="rId3"/>
    <sheet name="Weight Graph" sheetId="3" r:id="rId4"/>
    <sheet name="Height Graph" sheetId="6" r:id="rId5"/>
    <sheet name="% Mature Size Graph" sheetId="4" r:id="rId6"/>
    <sheet name="Input Heifer Data" sheetId="5" r:id="rId7"/>
  </sheets>
  <definedNames>
    <definedName name="_xlnm.Print_Area" localSheetId="2">'Custom Table'!$A$1:$F$34</definedName>
  </definedNames>
  <calcPr calcId="152511"/>
</workbook>
</file>

<file path=xl/calcChain.xml><?xml version="1.0" encoding="utf-8"?>
<calcChain xmlns="http://schemas.openxmlformats.org/spreadsheetml/2006/main">
  <c r="E6" i="2" l="1"/>
  <c r="E7" i="2"/>
  <c r="E8" i="2" s="1"/>
  <c r="E9" i="2" s="1"/>
  <c r="E10" i="2" s="1"/>
  <c r="E11" i="2" s="1"/>
  <c r="E12" i="2" s="1"/>
  <c r="E13" i="2" s="1"/>
  <c r="E14" i="2" s="1"/>
  <c r="E15" i="2" s="1"/>
  <c r="E16" i="2" s="1"/>
  <c r="E17" i="2" s="1"/>
  <c r="E18" i="2" s="1"/>
  <c r="E19" i="2" s="1"/>
  <c r="E20" i="2" s="1"/>
  <c r="E21" i="2" s="1"/>
  <c r="E22" i="2" s="1"/>
  <c r="E23" i="2" s="1"/>
  <c r="E24" i="2" s="1"/>
  <c r="E25" i="2" s="1"/>
  <c r="E26" i="2" s="1"/>
  <c r="E27" i="2" s="1"/>
  <c r="E28" i="2" s="1"/>
  <c r="E29" i="2" s="1"/>
  <c r="E30" i="2" s="1"/>
  <c r="E31" i="2" s="1"/>
  <c r="E32" i="2" s="1"/>
  <c r="E33" i="2" s="1"/>
  <c r="E34" i="2" s="1"/>
  <c r="C51" i="2"/>
  <c r="B45" i="2"/>
  <c r="B44" i="2"/>
  <c r="B46" i="2" l="1"/>
  <c r="C49" i="2" s="1"/>
  <c r="H27" i="5"/>
  <c r="I27" i="5"/>
  <c r="J27" i="5"/>
  <c r="H28" i="5"/>
  <c r="I28" i="5"/>
  <c r="J28" i="5"/>
  <c r="H29" i="5"/>
  <c r="I29" i="5"/>
  <c r="J29" i="5"/>
  <c r="H30" i="5"/>
  <c r="I30" i="5"/>
  <c r="J30" i="5"/>
  <c r="H31" i="5"/>
  <c r="I31" i="5"/>
  <c r="J31" i="5"/>
  <c r="H32" i="5"/>
  <c r="I32" i="5"/>
  <c r="J32" i="5"/>
  <c r="H33" i="5"/>
  <c r="I33" i="5"/>
  <c r="J33" i="5"/>
  <c r="H34" i="5"/>
  <c r="I34" i="5"/>
  <c r="J34" i="5"/>
  <c r="H35" i="5"/>
  <c r="I35" i="5"/>
  <c r="J35" i="5"/>
  <c r="H36" i="5"/>
  <c r="I36" i="5"/>
  <c r="J36" i="5"/>
  <c r="H37" i="5"/>
  <c r="I37" i="5"/>
  <c r="J37" i="5"/>
  <c r="H38" i="5"/>
  <c r="I38" i="5"/>
  <c r="J38" i="5"/>
  <c r="H39" i="5"/>
  <c r="I39" i="5"/>
  <c r="J39" i="5"/>
  <c r="H40" i="5"/>
  <c r="I40" i="5"/>
  <c r="J40" i="5"/>
  <c r="H41" i="5"/>
  <c r="I41" i="5"/>
  <c r="J41" i="5"/>
  <c r="H42" i="5"/>
  <c r="I42" i="5"/>
  <c r="J42" i="5"/>
  <c r="H43" i="5"/>
  <c r="I43" i="5"/>
  <c r="J43" i="5"/>
  <c r="H44" i="5"/>
  <c r="I44" i="5"/>
  <c r="J44" i="5"/>
  <c r="H45" i="5"/>
  <c r="I45" i="5"/>
  <c r="J45" i="5"/>
  <c r="H46" i="5"/>
  <c r="I46" i="5"/>
  <c r="J46" i="5"/>
  <c r="H47" i="5"/>
  <c r="I47" i="5"/>
  <c r="J47" i="5"/>
  <c r="H48" i="5"/>
  <c r="I48" i="5"/>
  <c r="J48" i="5"/>
  <c r="H49" i="5"/>
  <c r="I49" i="5"/>
  <c r="J49" i="5"/>
  <c r="H50" i="5"/>
  <c r="I50" i="5"/>
  <c r="J50" i="5"/>
  <c r="H51" i="5"/>
  <c r="I51" i="5"/>
  <c r="J51" i="5"/>
  <c r="H52" i="5"/>
  <c r="I52" i="5"/>
  <c r="J52" i="5"/>
  <c r="H53" i="5"/>
  <c r="I53" i="5"/>
  <c r="J53" i="5"/>
  <c r="H54" i="5"/>
  <c r="I54" i="5"/>
  <c r="J54" i="5"/>
  <c r="H55" i="5"/>
  <c r="I55" i="5"/>
  <c r="J55" i="5"/>
  <c r="H56" i="5"/>
  <c r="I56" i="5"/>
  <c r="J56" i="5"/>
  <c r="B47" i="2" l="1"/>
  <c r="H2" i="5"/>
  <c r="I2" i="5"/>
  <c r="J2" i="5"/>
  <c r="C50" i="2" l="1"/>
  <c r="G20" i="1"/>
  <c r="E38" i="2"/>
  <c r="J3" i="5"/>
  <c r="J4" i="5"/>
  <c r="J5" i="5"/>
  <c r="J6" i="5"/>
  <c r="J7" i="5"/>
  <c r="J8" i="5"/>
  <c r="J9" i="5"/>
  <c r="J10" i="5"/>
  <c r="J11" i="5"/>
  <c r="J12" i="5"/>
  <c r="J13" i="5"/>
  <c r="J14" i="5"/>
  <c r="J15" i="5"/>
  <c r="J16" i="5"/>
  <c r="J17" i="5"/>
  <c r="J18" i="5"/>
  <c r="J19" i="5"/>
  <c r="J20" i="5"/>
  <c r="J21" i="5"/>
  <c r="J22" i="5"/>
  <c r="J23" i="5"/>
  <c r="J24" i="5"/>
  <c r="J25" i="5"/>
  <c r="J26" i="5"/>
  <c r="F38" i="2"/>
  <c r="H8" i="1"/>
  <c r="I36" i="1"/>
  <c r="I32" i="1"/>
  <c r="F41" i="2" l="1"/>
  <c r="F6" i="2"/>
  <c r="I3" i="5"/>
  <c r="I4" i="5"/>
  <c r="I5" i="5"/>
  <c r="I6" i="5"/>
  <c r="I7" i="5"/>
  <c r="I8" i="5"/>
  <c r="I9" i="5"/>
  <c r="I10" i="5"/>
  <c r="I11" i="5"/>
  <c r="I12" i="5"/>
  <c r="I13" i="5"/>
  <c r="I14" i="5"/>
  <c r="I15" i="5"/>
  <c r="I16" i="5"/>
  <c r="I17" i="5"/>
  <c r="I18" i="5"/>
  <c r="I19" i="5"/>
  <c r="I20" i="5"/>
  <c r="I21" i="5"/>
  <c r="I22" i="5"/>
  <c r="I23" i="5"/>
  <c r="I24" i="5"/>
  <c r="I25" i="5"/>
  <c r="I26" i="5"/>
  <c r="H3" i="5"/>
  <c r="H4" i="5"/>
  <c r="H5" i="5"/>
  <c r="H6" i="5"/>
  <c r="H7" i="5"/>
  <c r="H8" i="5"/>
  <c r="H9" i="5"/>
  <c r="H10" i="5"/>
  <c r="H11" i="5"/>
  <c r="H12" i="5"/>
  <c r="H13" i="5"/>
  <c r="H14" i="5"/>
  <c r="H15" i="5"/>
  <c r="H16" i="5"/>
  <c r="H17" i="5"/>
  <c r="H18" i="5"/>
  <c r="H19" i="5"/>
  <c r="H20" i="5"/>
  <c r="H21" i="5"/>
  <c r="H22" i="5"/>
  <c r="H23" i="5"/>
  <c r="H24" i="5"/>
  <c r="H25" i="5"/>
  <c r="H26" i="5"/>
  <c r="B33" i="2"/>
  <c r="B34" i="2"/>
  <c r="E37" i="2"/>
  <c r="E39" i="2"/>
  <c r="B6" i="2" l="1"/>
  <c r="B25" i="2"/>
  <c r="B26" i="2"/>
  <c r="B27" i="2"/>
  <c r="B28" i="2"/>
  <c r="B29" i="2"/>
  <c r="B30" i="2"/>
  <c r="B31" i="2"/>
  <c r="B32" i="2"/>
  <c r="B24" i="2"/>
  <c r="G36" i="1"/>
  <c r="G35" i="1" s="1"/>
  <c r="G32" i="1"/>
  <c r="C6" i="2"/>
  <c r="D6" i="2" s="1"/>
  <c r="B23" i="2"/>
  <c r="B22" i="2"/>
  <c r="B21" i="2"/>
  <c r="B20" i="2"/>
  <c r="B19" i="2"/>
  <c r="B18" i="2"/>
  <c r="B17" i="2"/>
  <c r="B16" i="2"/>
  <c r="B15" i="2"/>
  <c r="B14" i="2"/>
  <c r="B13" i="2"/>
  <c r="B12" i="2"/>
  <c r="B11" i="2"/>
  <c r="B10" i="2"/>
  <c r="B9" i="2"/>
  <c r="B8" i="2"/>
  <c r="B7" i="2"/>
  <c r="G31" i="1"/>
  <c r="G21" i="1"/>
  <c r="E41" i="2" l="1"/>
  <c r="C34" i="2" s="1"/>
  <c r="G30" i="1"/>
  <c r="I33" i="1"/>
  <c r="I37" i="1"/>
  <c r="G33" i="1"/>
  <c r="G37" i="1"/>
  <c r="G24" i="1"/>
  <c r="G23" i="1" s="1"/>
  <c r="G25" i="1"/>
  <c r="C7" i="2"/>
  <c r="C33" i="2" l="1"/>
  <c r="F7" i="2"/>
  <c r="D7" i="2"/>
  <c r="C8" i="2"/>
  <c r="F8" i="2" l="1"/>
  <c r="C9" i="2"/>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D34" i="2"/>
  <c r="D33" i="2"/>
  <c r="D8" i="2"/>
  <c r="F9" i="2" l="1"/>
  <c r="D9" i="2"/>
  <c r="F10" i="2" l="1"/>
  <c r="D10" i="2"/>
  <c r="F11" i="2" l="1"/>
  <c r="D11" i="2"/>
  <c r="F12" i="2" l="1"/>
  <c r="D12" i="2"/>
  <c r="F13" i="2" l="1"/>
  <c r="D13" i="2"/>
  <c r="F14" i="2" l="1"/>
  <c r="D14" i="2"/>
  <c r="F15" i="2" l="1"/>
  <c r="D15" i="2"/>
  <c r="F16" i="2" l="1"/>
  <c r="D16" i="2"/>
  <c r="F17" i="2" l="1"/>
  <c r="D17" i="2"/>
  <c r="F18" i="2" l="1"/>
  <c r="D18" i="2"/>
  <c r="F19" i="2" l="1"/>
  <c r="D19" i="2"/>
  <c r="F20" i="2" l="1"/>
  <c r="D20" i="2"/>
  <c r="F21" i="2" l="1"/>
  <c r="D21" i="2"/>
  <c r="F22" i="2" l="1"/>
  <c r="D22" i="2"/>
  <c r="F23" i="2" l="1"/>
  <c r="D23" i="2"/>
  <c r="F24" i="2" l="1"/>
  <c r="D24" i="2"/>
  <c r="F25" i="2" l="1"/>
  <c r="D25" i="2"/>
  <c r="F26" i="2" l="1"/>
  <c r="D26" i="2"/>
  <c r="F27" i="2" l="1"/>
  <c r="D27" i="2"/>
  <c r="F28" i="2" l="1"/>
  <c r="D28" i="2"/>
  <c r="F29" i="2" l="1"/>
  <c r="D29" i="2"/>
  <c r="F30" i="2" l="1"/>
  <c r="D30" i="2"/>
  <c r="F31" i="2" l="1"/>
  <c r="D32" i="2"/>
  <c r="D31" i="2"/>
  <c r="F32" i="2" l="1"/>
  <c r="F33" i="2" l="1"/>
  <c r="F34" i="2"/>
</calcChain>
</file>

<file path=xl/comments1.xml><?xml version="1.0" encoding="utf-8"?>
<comments xmlns="http://schemas.openxmlformats.org/spreadsheetml/2006/main">
  <authors>
    <author>Coleen</author>
  </authors>
  <commentList>
    <comment ref="G6" authorId="0">
      <text>
        <r>
          <rPr>
            <b/>
            <sz val="9"/>
            <color indexed="81"/>
            <rFont val="Tahoma"/>
            <family val="2"/>
          </rPr>
          <t>Coleen:</t>
        </r>
        <r>
          <rPr>
            <sz val="9"/>
            <color indexed="81"/>
            <rFont val="Tahoma"/>
            <family val="2"/>
          </rPr>
          <t xml:space="preserve">
Use either withers or hip height; just be sure to use the same measurement for heifers and mature cows</t>
        </r>
      </text>
    </comment>
    <comment ref="A35" authorId="0">
      <text>
        <r>
          <rPr>
            <sz val="9"/>
            <color indexed="81"/>
            <rFont val="Tahoma"/>
            <family val="2"/>
          </rPr>
          <t>Calculated based on NRC 2001 Equation 11-16.
Post-calving BW + Conceptus weight 7 d before calving</t>
        </r>
      </text>
    </comment>
  </commentList>
</comments>
</file>

<file path=xl/comments2.xml><?xml version="1.0" encoding="utf-8"?>
<comments xmlns="http://schemas.openxmlformats.org/spreadsheetml/2006/main">
  <authors>
    <author>Coleen</author>
  </authors>
  <commentList>
    <comment ref="E1" authorId="0">
      <text>
        <r>
          <rPr>
            <sz val="9"/>
            <color indexed="81"/>
            <rFont val="Tahoma"/>
            <family val="2"/>
          </rPr>
          <t>Enter average mature weight of cows in their 3rd lactation or enter mature weight of each heifer's dam.</t>
        </r>
      </text>
    </comment>
  </commentList>
</comments>
</file>

<file path=xl/sharedStrings.xml><?xml version="1.0" encoding="utf-8"?>
<sst xmlns="http://schemas.openxmlformats.org/spreadsheetml/2006/main" count="103" uniqueCount="85">
  <si>
    <t>Age, mo</t>
  </si>
  <si>
    <t>Age, d</t>
  </si>
  <si>
    <t>BW, lb</t>
  </si>
  <si>
    <t>% MBW</t>
  </si>
  <si>
    <t>INPUT</t>
  </si>
  <si>
    <t>Average Birth Weight of Calves (lb):</t>
  </si>
  <si>
    <t>Preweaning Growth Goal:</t>
  </si>
  <si>
    <t>Default is to double birth weight by 2 months of age</t>
  </si>
  <si>
    <t>OUTPUT</t>
  </si>
  <si>
    <t>ADG = Average Daily Gain</t>
  </si>
  <si>
    <t>BW = Body Weight</t>
  </si>
  <si>
    <t>AFC = Age at First Calving</t>
  </si>
  <si>
    <t>Calf BW at 2 months of age (lb):</t>
  </si>
  <si>
    <t>MBW = Mature Body Weight</t>
  </si>
  <si>
    <t>Average services per conception for heifers:</t>
  </si>
  <si>
    <t>ADG from birth to 2 mo (lb/d):</t>
  </si>
  <si>
    <t>ADG required from 2 mo to conception (lb/d):</t>
  </si>
  <si>
    <t>ADG required from conception to calving (lb/d):</t>
  </si>
  <si>
    <t>OR Enter desired ADG (lb/d):</t>
  </si>
  <si>
    <t>Goal for AFC (mo):</t>
  </si>
  <si>
    <t>Age to begin breeding heifers (mo):</t>
  </si>
  <si>
    <t>Age to begin breeding heifers (d):</t>
  </si>
  <si>
    <t>BW to begin breeding (lb):</t>
  </si>
  <si>
    <t>Age of heifers at first conception (mo):</t>
  </si>
  <si>
    <t>Age of heifers at first conception (d):</t>
  </si>
  <si>
    <t>BW 1 week before calving (lb):</t>
  </si>
  <si>
    <t>If heifers reach breeding BW well before targeted breeding age, consider reducing AFC</t>
  </si>
  <si>
    <t>If heifers do not reach breeding BW by breeding age, increase ADG before breeding</t>
  </si>
  <si>
    <t>BW post 2nd calving (lb):</t>
  </si>
  <si>
    <t>BW 7 d before 2nd calving (lb):</t>
  </si>
  <si>
    <t>Calving interval (mo):</t>
  </si>
  <si>
    <t>ADG required during 1st lacation (lb/d):</t>
  </si>
  <si>
    <t>AFC (d):</t>
  </si>
  <si>
    <t>Birth Date</t>
  </si>
  <si>
    <t>Heifer ID</t>
  </si>
  <si>
    <t>Date Measured</t>
  </si>
  <si>
    <t>Weight (lb)</t>
  </si>
  <si>
    <t>Age (mo)</t>
  </si>
  <si>
    <t>Mature Weight (lb)</t>
  </si>
  <si>
    <t>BW (lb):</t>
  </si>
  <si>
    <r>
      <t>Average Size of 3</t>
    </r>
    <r>
      <rPr>
        <vertAlign val="superscript"/>
        <sz val="11"/>
        <color theme="1"/>
        <rFont val="Calibri"/>
        <family val="2"/>
        <scheme val="minor"/>
      </rPr>
      <t>rd</t>
    </r>
    <r>
      <rPr>
        <sz val="11"/>
        <color theme="1"/>
        <rFont val="Calibri"/>
        <family val="2"/>
        <scheme val="minor"/>
      </rPr>
      <t xml:space="preserve"> Lactation Cows:</t>
    </r>
  </si>
  <si>
    <t>Size of heifers at first conception:</t>
  </si>
  <si>
    <t>Size after calving:</t>
  </si>
  <si>
    <t>Based on Mature Size and Goal for Age at First Calving</t>
  </si>
  <si>
    <t>Customized Heifer Growth Chart</t>
  </si>
  <si>
    <t>Customized Dairy Heifer Growth Chart</t>
  </si>
  <si>
    <t>This spreadsheet is a tool designed to allow you to develop a growth curve for your heifers that is based on your goals for age at first calving. Calculations are based off of the mature size of animals in your herd and use the target growth system described in the 2001 Nutrient Requirements of Dairy Cattle.</t>
  </si>
  <si>
    <t>INTRODUCTION</t>
  </si>
  <si>
    <t>Average birth weight of calves.</t>
  </si>
  <si>
    <t>Average services per conception for heifers</t>
  </si>
  <si>
    <t>Goal for age at first calving</t>
  </si>
  <si>
    <t>Required Input (ENTER ON CALCULATIONS WORKSHEET)</t>
  </si>
  <si>
    <t>From this information the spreadsheet calculates the following:</t>
  </si>
  <si>
    <t>The source data for each graph can be updated to include fewer or more cells as needed to accommodate the number of heifers you would like to plot.</t>
  </si>
  <si>
    <t>Alternatively, you may copy the data from the "Custom Table" worksheet into the "Recommendations" worksheet of any other Penn State growth spreadsheet if you wish to take advantage of the data summary features of those spreadsheets.</t>
  </si>
  <si>
    <t>If you need assistance with either method, please contact Coleen Jones at cmj11@psu.edu.</t>
  </si>
  <si>
    <t>based on mature size and goal for age at first calving</t>
  </si>
  <si>
    <t>Goal for average daily gain before weaning; if no value is entered the spreadsheet's default is to double birth weight by 60 days of age.</t>
  </si>
  <si>
    <t>Ht (in):</t>
  </si>
  <si>
    <t>Ht = Height, use withers or hip, just use the same one for heifers and mature cows</t>
  </si>
  <si>
    <t>MHt = Mature Height</t>
  </si>
  <si>
    <t>Breeding Holstein heifers before 10 months of age is NOT RECOMMENDED</t>
  </si>
  <si>
    <t>Average body weight and height of cows in third lactation in your herd. Do not include cull cows in this average, as they often have poor body condition that is not representative of average cows in the herd. Either withers or hip height can be used.</t>
  </si>
  <si>
    <t>The OUTPUT section of the Calculations Worksheet, including the age and body weight at which heifer breeding should begin; age and size of heifers at conception and the average daily gain required from 2 months of age to conception; and size at calving and the average daily gain required from conception to calving.</t>
  </si>
  <si>
    <t>A customized growth table, found on the Custom Table worksheet, that provides benchmarks for each month of age. This table is used as the basis for graphs of customized body weight and height growth curves, as well as a graph that provides growth curves on a percentage of mature size.</t>
  </si>
  <si>
    <t>Ht, in</t>
  </si>
  <si>
    <t>% MHt</t>
  </si>
  <si>
    <t>Height</t>
  </si>
  <si>
    <t>Height (in)</t>
  </si>
  <si>
    <t>Mature Height (in)</t>
  </si>
  <si>
    <t>%MHt</t>
  </si>
  <si>
    <t>To plot growth data from your heifers on these graphs, enter information on the final worksheet, "Input Heifer Data." Mature size of cows can be entered as a herd average or individually for each heifer's dam. Pat Hoffman proposed a system for adjusting mature body weight based on weight and lactation number for purebred and crossbred animals (Proceedings of Western Dairy Management Conf., 2007) to reduce the impact of genetics on growth evaluation. If the Hoffman method is preferred, the %MBW calculation should be modified by adjusting mature body weights for lactation number.</t>
  </si>
  <si>
    <t>a</t>
  </si>
  <si>
    <t>b</t>
  </si>
  <si>
    <t>c</t>
  </si>
  <si>
    <t>Height Targets</t>
  </si>
  <si>
    <t>At calving</t>
  </si>
  <si>
    <t>At birth</t>
  </si>
  <si>
    <t>At 6 mo</t>
  </si>
  <si>
    <t>At 12 mo</t>
  </si>
  <si>
    <t>birth to 6 mo</t>
  </si>
  <si>
    <t>6 to 12 mo</t>
  </si>
  <si>
    <t>12 mo to calving</t>
  </si>
  <si>
    <r>
      <rPr>
        <i/>
        <sz val="10"/>
        <color theme="1"/>
        <rFont val="Calibri"/>
        <family val="2"/>
        <scheme val="minor"/>
      </rPr>
      <t xml:space="preserve">Developed by Coleen Jones and Jud Heinrichs  </t>
    </r>
    <r>
      <rPr>
        <sz val="10"/>
        <color theme="1"/>
        <rFont val="Calibri"/>
        <family val="2"/>
        <scheme val="minor"/>
      </rPr>
      <t xml:space="preserve">                                                          last updated 8/27/13</t>
    </r>
  </si>
  <si>
    <t>Assumptions for body weight targets are 55% of mature weight at first conception and 85% of mature weight after first calving, as cited in the 2001 Dairy NRC. Height targets are assumed to be 55% of mature height at birth and 96% of mature height at first calving; 50%  of height growth from birth to calving is assumed to occur between birth and 6 months with an additional 25% between 6 and 12 months and the final 25% between 12 months and calving. These targets were derived from a comparison of heifer growth data from all breeds to mature heights calculated by assuming mature body weight and using the relationship between withers height and body weight determined by Heinrichs et al., 1992 (J Dairy Sci 75:3576-3581) and from Kertz et al., 1998 (J Dairy Sci 81:1479-1482). Withers and hip height are assumed to change at the same rate throughout the growing period, meaning either one can be used to monitor growth as long as the same measurement is used for heifers and mature cows.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</si>
</sst>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7" x14ac:knownFonts="1">
    <font>
      <sz val="11"/>
      <color theme="1"/>
      <name val="Calibri"/>
      <family val="2"/>
      <scheme val="minor"/>
    </font>
    <font>
      <vertAlign val="superscript"/>
      <sz val="11"/>
      <color theme="1"/>
      <name val="Calibri"/>
      <family val="2"/>
      <scheme val="minor"/>
    </font>
    <font>
      <b/>
      <sz val="14"/>
      <color theme="1"/>
      <name val="Calibri"/>
      <family val="2"/>
      <scheme val="minor"/>
    </font>
    <font>
      <sz val="11"/>
      <color rgb="FF0070C0"/>
      <name val="Calibri"/>
      <family val="2"/>
      <scheme val="minor"/>
    </font>
    <font>
      <i/>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sz val="11"/>
      <color theme="0"/>
      <name val="Calibri"/>
      <family val="2"/>
      <scheme val="minor"/>
    </font>
    <font>
      <b/>
      <sz val="16"/>
      <color theme="1"/>
      <name val="Calibri"/>
      <family val="2"/>
      <scheme val="minor"/>
    </font>
    <font>
      <sz val="12"/>
      <color theme="1"/>
      <name val="Calibri"/>
      <family val="2"/>
      <scheme val="minor"/>
    </font>
    <font>
      <sz val="20"/>
      <color theme="1"/>
      <name val="Calibri"/>
      <family val="2"/>
      <scheme val="minor"/>
    </font>
    <font>
      <b/>
      <sz val="21"/>
      <color theme="1"/>
      <name val="Calibri"/>
      <family val="2"/>
      <scheme val="minor"/>
    </font>
    <font>
      <sz val="10"/>
      <color theme="1"/>
      <name val="Calibri"/>
      <family val="2"/>
      <scheme val="minor"/>
    </font>
    <font>
      <i/>
      <sz val="10"/>
      <color theme="1"/>
      <name val="Calibri"/>
      <family val="2"/>
      <scheme val="minor"/>
    </font>
    <font>
      <b/>
      <sz val="12"/>
      <color theme="1"/>
      <name val="Calibri"/>
      <family val="2"/>
      <scheme val="minor"/>
    </font>
    <font>
      <b/>
      <sz val="9"/>
      <color indexed="81"/>
      <name val="Tahoma"/>
      <family val="2"/>
    </font>
  </fonts>
  <fills count="4">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s>
  <borders count="12">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63">
    <xf numFmtId="0" fontId="0" fillId="0" borderId="0" xfId="0"/>
    <xf numFmtId="164" fontId="0" fillId="0" borderId="0" xfId="0" applyNumberFormat="1"/>
    <xf numFmtId="1" fontId="0" fillId="0" borderId="0" xfId="0" applyNumberFormat="1"/>
    <xf numFmtId="2" fontId="0" fillId="0" borderId="0" xfId="0" applyNumberFormat="1"/>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2" borderId="7" xfId="0" applyFill="1" applyBorder="1"/>
    <xf numFmtId="0" fontId="0" fillId="2" borderId="8" xfId="0" applyFill="1" applyBorder="1"/>
    <xf numFmtId="0" fontId="0" fillId="3" borderId="7" xfId="0" applyFill="1" applyBorder="1"/>
    <xf numFmtId="0" fontId="0" fillId="3" borderId="8" xfId="0" applyFill="1" applyBorder="1"/>
    <xf numFmtId="2" fontId="0" fillId="0" borderId="0" xfId="0" applyNumberFormat="1" applyBorder="1"/>
    <xf numFmtId="164" fontId="0" fillId="0" borderId="0" xfId="0" applyNumberFormat="1" applyBorder="1"/>
    <xf numFmtId="1" fontId="0" fillId="0" borderId="0" xfId="0" applyNumberFormat="1" applyBorder="1"/>
    <xf numFmtId="2" fontId="0" fillId="0" borderId="4" xfId="0" applyNumberFormat="1" applyBorder="1"/>
    <xf numFmtId="0" fontId="4" fillId="0" borderId="1" xfId="0" applyFont="1" applyBorder="1"/>
    <xf numFmtId="0" fontId="2" fillId="2" borderId="6" xfId="0" applyFont="1" applyFill="1" applyBorder="1" applyAlignment="1">
      <alignment vertical="center"/>
    </xf>
    <xf numFmtId="0" fontId="2" fillId="3" borderId="6" xfId="0" applyFont="1" applyFill="1" applyBorder="1" applyAlignment="1">
      <alignment vertical="center"/>
    </xf>
    <xf numFmtId="0" fontId="3" fillId="0" borderId="0" xfId="0" applyFont="1"/>
    <xf numFmtId="0" fontId="6"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3" fillId="0" borderId="0" xfId="0" applyFont="1" applyAlignment="1">
      <alignment horizontal="center"/>
    </xf>
    <xf numFmtId="14" fontId="3" fillId="0" borderId="0" xfId="0" applyNumberFormat="1" applyFont="1" applyAlignment="1">
      <alignment horizontal="center"/>
    </xf>
    <xf numFmtId="0" fontId="0" fillId="0" borderId="0" xfId="0" applyBorder="1" applyAlignment="1">
      <alignment horizontal="right"/>
    </xf>
    <xf numFmtId="0" fontId="0" fillId="0" borderId="0" xfId="0" applyBorder="1" applyAlignment="1">
      <alignment horizontal="center"/>
    </xf>
    <xf numFmtId="0" fontId="0" fillId="0" borderId="2" xfId="0" applyBorder="1" applyAlignment="1">
      <alignment horizontal="center"/>
    </xf>
    <xf numFmtId="165" fontId="0" fillId="0" borderId="0" xfId="0" applyNumberFormat="1"/>
    <xf numFmtId="0" fontId="8" fillId="0" borderId="2" xfId="0" applyFont="1" applyBorder="1"/>
    <xf numFmtId="0" fontId="8" fillId="0" borderId="5" xfId="0" applyFont="1" applyBorder="1"/>
    <xf numFmtId="0" fontId="8" fillId="0" borderId="0" xfId="0" applyFont="1" applyBorder="1" applyAlignment="1">
      <alignment horizontal="center"/>
    </xf>
    <xf numFmtId="0" fontId="3" fillId="0" borderId="0" xfId="0" applyFont="1" applyBorder="1" applyAlignment="1" applyProtection="1">
      <alignment horizontal="center"/>
      <protection locked="0"/>
    </xf>
    <xf numFmtId="2" fontId="3" fillId="0" borderId="0" xfId="0" applyNumberFormat="1" applyFont="1" applyBorder="1" applyAlignment="1" applyProtection="1">
      <alignment horizontal="center"/>
      <protection locked="0"/>
    </xf>
    <xf numFmtId="0" fontId="3" fillId="0" borderId="4" xfId="0" applyFont="1" applyBorder="1" applyAlignment="1" applyProtection="1">
      <alignment horizontal="center"/>
      <protection locked="0"/>
    </xf>
    <xf numFmtId="0" fontId="3" fillId="0" borderId="0" xfId="0" applyFont="1" applyAlignment="1" applyProtection="1">
      <alignment horizontal="center"/>
      <protection locked="0"/>
    </xf>
    <xf numFmtId="0" fontId="5" fillId="0" borderId="1" xfId="0" applyFont="1" applyBorder="1" applyAlignment="1">
      <alignment horizontal="left" indent="1"/>
    </xf>
    <xf numFmtId="0" fontId="0" fillId="0" borderId="0" xfId="0" applyAlignment="1">
      <alignment wrapText="1"/>
    </xf>
    <xf numFmtId="0" fontId="11" fillId="0" borderId="0" xfId="0" applyFont="1"/>
    <xf numFmtId="0" fontId="12" fillId="0" borderId="0" xfId="0" applyFont="1" applyAlignment="1">
      <alignment horizontal="center" vertical="center" wrapText="1"/>
    </xf>
    <xf numFmtId="0" fontId="6" fillId="0" borderId="0" xfId="0" applyFont="1" applyAlignment="1">
      <alignment wrapText="1"/>
    </xf>
    <xf numFmtId="0" fontId="13" fillId="0" borderId="0" xfId="0" applyFont="1" applyAlignment="1">
      <alignment horizontal="right" wrapText="1"/>
    </xf>
    <xf numFmtId="0" fontId="0" fillId="0" borderId="0" xfId="0" applyAlignment="1">
      <alignment horizontal="left" wrapText="1" indent="1"/>
    </xf>
    <xf numFmtId="0" fontId="0" fillId="0" borderId="1" xfId="0" applyBorder="1" applyAlignment="1">
      <alignment horizontal="center"/>
    </xf>
    <xf numFmtId="164" fontId="0" fillId="0" borderId="0" xfId="0" applyNumberFormat="1" applyBorder="1" applyAlignment="1">
      <alignment horizontal="center"/>
    </xf>
    <xf numFmtId="1" fontId="0" fillId="0" borderId="0" xfId="0" applyNumberFormat="1" applyBorder="1" applyAlignment="1">
      <alignment horizontal="center"/>
    </xf>
    <xf numFmtId="2" fontId="0" fillId="0" borderId="0" xfId="0" applyNumberFormat="1" applyBorder="1" applyAlignment="1">
      <alignment horizontal="center"/>
    </xf>
    <xf numFmtId="164" fontId="0" fillId="0" borderId="2" xfId="0" applyNumberFormat="1" applyBorder="1" applyAlignment="1">
      <alignment horizontal="center"/>
    </xf>
    <xf numFmtId="0" fontId="0" fillId="0" borderId="3" xfId="0" applyBorder="1" applyAlignment="1">
      <alignment horizontal="center"/>
    </xf>
    <xf numFmtId="164" fontId="0" fillId="0" borderId="4" xfId="0" applyNumberForma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4" fontId="0" fillId="0" borderId="5" xfId="0" applyNumberFormat="1" applyBorder="1" applyAlignment="1">
      <alignment horizontal="center"/>
    </xf>
    <xf numFmtId="0" fontId="6" fillId="2" borderId="9" xfId="0" applyFont="1" applyFill="1" applyBorder="1" applyAlignment="1">
      <alignment horizontal="center"/>
    </xf>
    <xf numFmtId="0" fontId="6" fillId="2" borderId="10" xfId="0" applyFont="1" applyFill="1" applyBorder="1" applyAlignment="1">
      <alignment horizontal="center"/>
    </xf>
    <xf numFmtId="0" fontId="6" fillId="2" borderId="11" xfId="0" applyFont="1" applyFill="1" applyBorder="1" applyAlignment="1">
      <alignment horizontal="center"/>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calcChain" Target="calcChain.xml"/><Relationship Id="rId5" Type="http://schemas.openxmlformats.org/officeDocument/2006/relationships/chartsheet" Target="chartsheets/sheet2.xml"/><Relationship Id="rId10"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Customized</a:t>
            </a:r>
            <a:r>
              <a:rPr lang="en-US" sz="2400" baseline="0"/>
              <a:t> Heifer Growth Chart</a:t>
            </a:r>
          </a:p>
          <a:p>
            <a:pPr>
              <a:defRPr sz="2400"/>
            </a:pPr>
            <a:r>
              <a:rPr lang="en-US" sz="1800" baseline="0"/>
              <a:t>Based on Mature BW and Goal for Age at Calving</a:t>
            </a:r>
          </a:p>
        </c:rich>
      </c:tx>
      <c:layout>
        <c:manualLayout>
          <c:xMode val="edge"/>
          <c:yMode val="edge"/>
          <c:x val="0.30579513354462684"/>
          <c:y val="6.0574417181893719E-3"/>
        </c:manualLayout>
      </c:layout>
      <c:overlay val="0"/>
    </c:title>
    <c:autoTitleDeleted val="0"/>
    <c:plotArea>
      <c:layout>
        <c:manualLayout>
          <c:layoutTarget val="inner"/>
          <c:xMode val="edge"/>
          <c:yMode val="edge"/>
          <c:x val="0.13638177407677102"/>
          <c:y val="0.1297453139885249"/>
          <c:w val="0.83414584696588756"/>
          <c:h val="0.73837066582890609"/>
        </c:manualLayout>
      </c:layout>
      <c:scatterChart>
        <c:scatterStyle val="lineMarker"/>
        <c:varyColors val="0"/>
        <c:ser>
          <c:idx val="1"/>
          <c:order val="0"/>
          <c:tx>
            <c:v>Your Heifers</c:v>
          </c:tx>
          <c:spPr>
            <a:ln>
              <a:noFill/>
            </a:ln>
          </c:spPr>
          <c:xVal>
            <c:numRef>
              <c:f>'Input Heifer Data'!$H$2:$H$56</c:f>
              <c:numCache>
                <c:formatCode>0.0</c:formatCode>
                <c:ptCount val="55"/>
                <c:pt idx="0">
                  <c:v>23.097040424748986</c:v>
                </c:pt>
                <c:pt idx="1">
                  <c:v>22.01282657835252</c:v>
                </c:pt>
                <c:pt idx="2">
                  <c:v>21.585712032802395</c:v>
                </c:pt>
                <c:pt idx="3">
                  <c:v>20.731482941702151</c:v>
                </c:pt>
                <c:pt idx="4">
                  <c:v>20.501498186405929</c:v>
                </c:pt>
                <c:pt idx="5">
                  <c:v>19.712979025390315</c:v>
                </c:pt>
                <c:pt idx="6">
                  <c:v>19.253009514797874</c:v>
                </c:pt>
                <c:pt idx="7">
                  <c:v>18.760185039163119</c:v>
                </c:pt>
                <c:pt idx="8">
                  <c:v>18.563055248909215</c:v>
                </c:pt>
                <c:pt idx="9">
                  <c:v>18.300215528570675</c:v>
                </c:pt>
                <c:pt idx="10">
                  <c:v>17.873100983020553</c:v>
                </c:pt>
                <c:pt idx="11">
                  <c:v>17.741681122851283</c:v>
                </c:pt>
                <c:pt idx="12">
                  <c:v>17.478841402512746</c:v>
                </c:pt>
                <c:pt idx="13">
                  <c:v>19.253009514797874</c:v>
                </c:pt>
                <c:pt idx="14">
                  <c:v>8.5094359459601527</c:v>
                </c:pt>
                <c:pt idx="15">
                  <c:v>8.9694054565525931</c:v>
                </c:pt>
                <c:pt idx="16">
                  <c:v>9.13368028176418</c:v>
                </c:pt>
                <c:pt idx="17">
                  <c:v>9.7579246175682055</c:v>
                </c:pt>
                <c:pt idx="18">
                  <c:v>10.54644377858382</c:v>
                </c:pt>
                <c:pt idx="19">
                  <c:v>11.23639804447248</c:v>
                </c:pt>
                <c:pt idx="20">
                  <c:v>10.907848394049308</c:v>
                </c:pt>
                <c:pt idx="21">
                  <c:v>11.269253009514797</c:v>
                </c:pt>
                <c:pt idx="22">
                  <c:v>11.696367555064921</c:v>
                </c:pt>
                <c:pt idx="23">
                  <c:v>12.287756925826629</c:v>
                </c:pt>
                <c:pt idx="24">
                  <c:v>12.747726436419072</c:v>
                </c:pt>
                <c:pt idx="25">
                  <c:v>13.601955527519317</c:v>
                </c:pt>
                <c:pt idx="26">
                  <c:v>13.864795247857856</c:v>
                </c:pt>
                <c:pt idx="27">
                  <c:v>13.963360142984808</c:v>
                </c:pt>
                <c:pt idx="28">
                  <c:v>14.587604478788833</c:v>
                </c:pt>
                <c:pt idx="29">
                  <c:v>14.653314408873468</c:v>
                </c:pt>
                <c:pt idx="30">
                  <c:v>14.686169373915785</c:v>
                </c:pt>
                <c:pt idx="31">
                  <c:v>14.817589234085053</c:v>
                </c:pt>
                <c:pt idx="32">
                  <c:v>14.883299164169689</c:v>
                </c:pt>
                <c:pt idx="33">
                  <c:v>15.244703779635177</c:v>
                </c:pt>
                <c:pt idx="34">
                  <c:v>15.376123639804446</c:v>
                </c:pt>
                <c:pt idx="35">
                  <c:v>15.408978604846764</c:v>
                </c:pt>
                <c:pt idx="36">
                  <c:v>17.248856647216527</c:v>
                </c:pt>
                <c:pt idx="37">
                  <c:v>8.8708405614256414</c:v>
                </c:pt>
                <c:pt idx="38">
                  <c:v>9.462229932187352</c:v>
                </c:pt>
                <c:pt idx="39">
                  <c:v>9.8893444777374757</c:v>
                </c:pt>
                <c:pt idx="40">
                  <c:v>10.119329233033696</c:v>
                </c:pt>
                <c:pt idx="41">
                  <c:v>10.415023918414549</c:v>
                </c:pt>
                <c:pt idx="42">
                  <c:v>10.480733848499185</c:v>
                </c:pt>
                <c:pt idx="43">
                  <c:v>10.612153708668453</c:v>
                </c:pt>
                <c:pt idx="44">
                  <c:v>10.809283498922357</c:v>
                </c:pt>
                <c:pt idx="45">
                  <c:v>11.302107974557114</c:v>
                </c:pt>
                <c:pt idx="46">
                  <c:v>11.729222520107237</c:v>
                </c:pt>
                <c:pt idx="47">
                  <c:v>12.024917205488093</c:v>
                </c:pt>
                <c:pt idx="48">
                  <c:v>12.156337065657361</c:v>
                </c:pt>
                <c:pt idx="49">
                  <c:v>12.156337065657361</c:v>
                </c:pt>
                <c:pt idx="50">
                  <c:v>12.189192030699679</c:v>
                </c:pt>
                <c:pt idx="51">
                  <c:v>12.4191767859959</c:v>
                </c:pt>
                <c:pt idx="52">
                  <c:v>13.207695947011512</c:v>
                </c:pt>
                <c:pt idx="53">
                  <c:v>13.601955527519317</c:v>
                </c:pt>
                <c:pt idx="54">
                  <c:v>14.587604478788833</c:v>
                </c:pt>
              </c:numCache>
            </c:numRef>
          </c:xVal>
          <c:yVal>
            <c:numRef>
              <c:f>'Input Heifer Data'!$D$2:$D$56</c:f>
              <c:numCache>
                <c:formatCode>General</c:formatCode>
                <c:ptCount val="55"/>
                <c:pt idx="0">
                  <c:v>966</c:v>
                </c:pt>
                <c:pt idx="1">
                  <c:v>1200</c:v>
                </c:pt>
                <c:pt idx="2">
                  <c:v>968</c:v>
                </c:pt>
                <c:pt idx="3">
                  <c:v>904</c:v>
                </c:pt>
                <c:pt idx="4">
                  <c:v>942</c:v>
                </c:pt>
                <c:pt idx="5">
                  <c:v>892</c:v>
                </c:pt>
                <c:pt idx="6">
                  <c:v>1000</c:v>
                </c:pt>
                <c:pt idx="7">
                  <c:v>994</c:v>
                </c:pt>
                <c:pt idx="8">
                  <c:v>990</c:v>
                </c:pt>
                <c:pt idx="9">
                  <c:v>872</c:v>
                </c:pt>
                <c:pt idx="10">
                  <c:v>1040</c:v>
                </c:pt>
                <c:pt idx="11">
                  <c:v>996</c:v>
                </c:pt>
                <c:pt idx="12">
                  <c:v>980</c:v>
                </c:pt>
                <c:pt idx="13">
                  <c:v>995</c:v>
                </c:pt>
                <c:pt idx="14">
                  <c:v>468</c:v>
                </c:pt>
                <c:pt idx="15">
                  <c:v>490</c:v>
                </c:pt>
                <c:pt idx="16">
                  <c:v>490</c:v>
                </c:pt>
                <c:pt idx="17">
                  <c:v>540</c:v>
                </c:pt>
                <c:pt idx="18">
                  <c:v>495</c:v>
                </c:pt>
                <c:pt idx="19">
                  <c:v>630</c:v>
                </c:pt>
                <c:pt idx="20">
                  <c:v>625</c:v>
                </c:pt>
                <c:pt idx="21">
                  <c:v>630</c:v>
                </c:pt>
                <c:pt idx="22">
                  <c:v>640</c:v>
                </c:pt>
                <c:pt idx="23">
                  <c:v>670</c:v>
                </c:pt>
                <c:pt idx="24">
                  <c:v>690</c:v>
                </c:pt>
                <c:pt idx="25">
                  <c:v>720</c:v>
                </c:pt>
                <c:pt idx="26">
                  <c:v>670</c:v>
                </c:pt>
                <c:pt idx="27">
                  <c:v>630</c:v>
                </c:pt>
                <c:pt idx="28">
                  <c:v>720</c:v>
                </c:pt>
                <c:pt idx="29">
                  <c:v>650</c:v>
                </c:pt>
                <c:pt idx="30">
                  <c:v>740</c:v>
                </c:pt>
                <c:pt idx="31">
                  <c:v>720</c:v>
                </c:pt>
                <c:pt idx="32">
                  <c:v>640</c:v>
                </c:pt>
                <c:pt idx="33">
                  <c:v>775</c:v>
                </c:pt>
                <c:pt idx="34">
                  <c:v>775</c:v>
                </c:pt>
                <c:pt idx="35">
                  <c:v>760</c:v>
                </c:pt>
                <c:pt idx="36">
                  <c:v>775</c:v>
                </c:pt>
                <c:pt idx="37">
                  <c:v>600</c:v>
                </c:pt>
                <c:pt idx="38">
                  <c:v>550</c:v>
                </c:pt>
                <c:pt idx="39">
                  <c:v>660</c:v>
                </c:pt>
                <c:pt idx="40">
                  <c:v>600</c:v>
                </c:pt>
                <c:pt idx="41">
                  <c:v>690</c:v>
                </c:pt>
                <c:pt idx="42">
                  <c:v>625</c:v>
                </c:pt>
                <c:pt idx="43">
                  <c:v>775</c:v>
                </c:pt>
                <c:pt idx="44">
                  <c:v>690</c:v>
                </c:pt>
                <c:pt idx="45">
                  <c:v>690</c:v>
                </c:pt>
                <c:pt idx="46">
                  <c:v>721</c:v>
                </c:pt>
                <c:pt idx="47">
                  <c:v>700</c:v>
                </c:pt>
                <c:pt idx="48">
                  <c:v>690</c:v>
                </c:pt>
                <c:pt idx="49">
                  <c:v>780</c:v>
                </c:pt>
                <c:pt idx="50">
                  <c:v>820</c:v>
                </c:pt>
                <c:pt idx="51">
                  <c:v>775</c:v>
                </c:pt>
                <c:pt idx="52">
                  <c:v>775</c:v>
                </c:pt>
                <c:pt idx="53">
                  <c:v>835</c:v>
                </c:pt>
                <c:pt idx="54">
                  <c:v>850</c:v>
                </c:pt>
              </c:numCache>
            </c:numRef>
          </c:yVal>
          <c:smooth val="0"/>
        </c:ser>
        <c:ser>
          <c:idx val="0"/>
          <c:order val="1"/>
          <c:tx>
            <c:v>Body Weight Goal, lb</c:v>
          </c:tx>
          <c:spPr>
            <a:ln w="101600">
              <a:solidFill>
                <a:schemeClr val="accent1">
                  <a:lumMod val="60000"/>
                  <a:lumOff val="40000"/>
                </a:schemeClr>
              </a:solidFill>
            </a:ln>
            <a:effectLst>
              <a:outerShdw blurRad="50800" dist="38100" dir="2700000" algn="tl" rotWithShape="0">
                <a:prstClr val="black">
                  <a:alpha val="40000"/>
                </a:prstClr>
              </a:outerShdw>
            </a:effectLst>
          </c:spPr>
          <c:marker>
            <c:symbol val="none"/>
          </c:marker>
          <c:xVal>
            <c:numRef>
              <c:f>'Custom Table'!$A$6:$A$34</c:f>
              <c:numCache>
                <c:formatCode>General</c:formatCode>
                <c:ptCount val="2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numCache>
            </c:numRef>
          </c:xVal>
          <c:yVal>
            <c:numRef>
              <c:f>'Custom Table'!$C$6:$C$34</c:f>
              <c:numCache>
                <c:formatCode>0</c:formatCode>
                <c:ptCount val="29"/>
                <c:pt idx="0">
                  <c:v>90</c:v>
                </c:pt>
                <c:pt idx="1">
                  <c:v>150.87360000000001</c:v>
                </c:pt>
                <c:pt idx="2">
                  <c:v>211.74720000000002</c:v>
                </c:pt>
                <c:pt idx="3">
                  <c:v>263.71509072847391</c:v>
                </c:pt>
                <c:pt idx="4">
                  <c:v>315.6829814569478</c:v>
                </c:pt>
                <c:pt idx="5">
                  <c:v>367.65087218542169</c:v>
                </c:pt>
                <c:pt idx="6">
                  <c:v>419.61876291389558</c:v>
                </c:pt>
                <c:pt idx="7">
                  <c:v>471.58665364236947</c:v>
                </c:pt>
                <c:pt idx="8">
                  <c:v>523.55454437084336</c:v>
                </c:pt>
                <c:pt idx="9">
                  <c:v>575.52243509931725</c:v>
                </c:pt>
                <c:pt idx="10">
                  <c:v>627.49032582779114</c:v>
                </c:pt>
                <c:pt idx="11">
                  <c:v>679.45821655626503</c:v>
                </c:pt>
                <c:pt idx="12">
                  <c:v>731.42610728473892</c:v>
                </c:pt>
                <c:pt idx="13">
                  <c:v>783.39399801321281</c:v>
                </c:pt>
                <c:pt idx="14">
                  <c:v>848.22329498464137</c:v>
                </c:pt>
                <c:pt idx="15">
                  <c:v>913.05259195606993</c:v>
                </c:pt>
                <c:pt idx="16">
                  <c:v>977.88188892749849</c:v>
                </c:pt>
                <c:pt idx="17">
                  <c:v>1042.7111858989269</c:v>
                </c:pt>
                <c:pt idx="18">
                  <c:v>1107.5404828703554</c:v>
                </c:pt>
                <c:pt idx="19">
                  <c:v>1172.3697798417838</c:v>
                </c:pt>
                <c:pt idx="20">
                  <c:v>1237.1990768132123</c:v>
                </c:pt>
                <c:pt idx="21">
                  <c:v>1302.0283737846407</c:v>
                </c:pt>
                <c:pt idx="22">
                  <c:v>1366.8576707560692</c:v>
                </c:pt>
                <c:pt idx="23">
                  <c:v>1431.6869677274976</c:v>
                </c:pt>
                <c:pt idx="24">
                  <c:v>1293.9442133535101</c:v>
                </c:pt>
                <c:pt idx="25">
                  <c:v>1312.8884267070202</c:v>
                </c:pt>
                <c:pt idx="26">
                  <c:v>1331.8326400605304</c:v>
                </c:pt>
                <c:pt idx="27">
                  <c:v>1350.7768534140405</c:v>
                </c:pt>
                <c:pt idx="28">
                  <c:v>1369.7210667675504</c:v>
                </c:pt>
              </c:numCache>
            </c:numRef>
          </c:yVal>
          <c:smooth val="0"/>
        </c:ser>
        <c:dLbls>
          <c:showLegendKey val="0"/>
          <c:showVal val="0"/>
          <c:showCatName val="0"/>
          <c:showSerName val="0"/>
          <c:showPercent val="0"/>
          <c:showBubbleSize val="0"/>
        </c:dLbls>
        <c:axId val="55403648"/>
        <c:axId val="55405568"/>
      </c:scatterChart>
      <c:valAx>
        <c:axId val="55403648"/>
        <c:scaling>
          <c:orientation val="minMax"/>
          <c:max val="28"/>
        </c:scaling>
        <c:delete val="0"/>
        <c:axPos val="b"/>
        <c:title>
          <c:tx>
            <c:rich>
              <a:bodyPr/>
              <a:lstStyle/>
              <a:p>
                <a:pPr>
                  <a:defRPr sz="2000"/>
                </a:pPr>
                <a:r>
                  <a:rPr lang="en-US" sz="2000"/>
                  <a:t>Age, months</a:t>
                </a:r>
              </a:p>
            </c:rich>
          </c:tx>
          <c:layout>
            <c:manualLayout>
              <c:xMode val="edge"/>
              <c:yMode val="edge"/>
              <c:x val="0.47265008994313712"/>
              <c:y val="0.94060670445916761"/>
            </c:manualLayout>
          </c:layout>
          <c:overlay val="0"/>
        </c:title>
        <c:numFmt formatCode="0" sourceLinked="0"/>
        <c:majorTickMark val="out"/>
        <c:minorTickMark val="none"/>
        <c:tickLblPos val="nextTo"/>
        <c:txPr>
          <a:bodyPr/>
          <a:lstStyle/>
          <a:p>
            <a:pPr>
              <a:defRPr sz="1800"/>
            </a:pPr>
            <a:endParaRPr lang="en-US"/>
          </a:p>
        </c:txPr>
        <c:crossAx val="55405568"/>
        <c:crosses val="autoZero"/>
        <c:crossBetween val="midCat"/>
        <c:majorUnit val="2"/>
      </c:valAx>
      <c:valAx>
        <c:axId val="55405568"/>
        <c:scaling>
          <c:orientation val="minMax"/>
        </c:scaling>
        <c:delete val="0"/>
        <c:axPos val="l"/>
        <c:majorGridlines/>
        <c:title>
          <c:tx>
            <c:rich>
              <a:bodyPr rot="-5400000" vert="horz"/>
              <a:lstStyle/>
              <a:p>
                <a:pPr>
                  <a:defRPr sz="2000"/>
                </a:pPr>
                <a:r>
                  <a:rPr lang="en-US" sz="2000"/>
                  <a:t>Body weight, lb</a:t>
                </a:r>
              </a:p>
            </c:rich>
          </c:tx>
          <c:layout>
            <c:manualLayout>
              <c:xMode val="edge"/>
              <c:yMode val="edge"/>
              <c:x val="4.3939396385713628E-3"/>
              <c:y val="0.36069982689389651"/>
            </c:manualLayout>
          </c:layout>
          <c:overlay val="0"/>
        </c:title>
        <c:numFmt formatCode="General" sourceLinked="1"/>
        <c:majorTickMark val="out"/>
        <c:minorTickMark val="none"/>
        <c:tickLblPos val="nextTo"/>
        <c:txPr>
          <a:bodyPr/>
          <a:lstStyle/>
          <a:p>
            <a:pPr>
              <a:defRPr sz="1800"/>
            </a:pPr>
            <a:endParaRPr lang="en-US"/>
          </a:p>
        </c:txPr>
        <c:crossAx val="55403648"/>
        <c:crosses val="autoZero"/>
        <c:crossBetween val="midCat"/>
      </c:valAx>
      <c:spPr>
        <a:ln>
          <a:solidFill>
            <a:schemeClr val="tx1">
              <a:lumMod val="50000"/>
              <a:lumOff val="50000"/>
            </a:schemeClr>
          </a:solidFill>
        </a:ln>
      </c:spPr>
    </c:plotArea>
    <c:legend>
      <c:legendPos val="r"/>
      <c:layout>
        <c:manualLayout>
          <c:xMode val="edge"/>
          <c:yMode val="edge"/>
          <c:x val="0.14812570219422513"/>
          <c:y val="0.13745416376778599"/>
          <c:w val="0.25789496385321542"/>
          <c:h val="8.7158159962249945E-2"/>
        </c:manualLayout>
      </c:layout>
      <c:overlay val="1"/>
      <c:txPr>
        <a:bodyPr/>
        <a:lstStyle/>
        <a:p>
          <a:pPr>
            <a:defRPr sz="1200"/>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Customized</a:t>
            </a:r>
            <a:r>
              <a:rPr lang="en-US" sz="2400" baseline="0"/>
              <a:t> Heifer Growth Chart</a:t>
            </a:r>
          </a:p>
          <a:p>
            <a:pPr>
              <a:defRPr sz="2400"/>
            </a:pPr>
            <a:r>
              <a:rPr lang="en-US" sz="1800" baseline="0"/>
              <a:t>Based on Mature Height and Goal for Age at Calving</a:t>
            </a:r>
          </a:p>
        </c:rich>
      </c:tx>
      <c:layout>
        <c:manualLayout>
          <c:xMode val="edge"/>
          <c:yMode val="edge"/>
          <c:x val="0.30579513354462684"/>
          <c:y val="6.0574417181893728E-3"/>
        </c:manualLayout>
      </c:layout>
      <c:overlay val="0"/>
    </c:title>
    <c:autoTitleDeleted val="0"/>
    <c:plotArea>
      <c:layout>
        <c:manualLayout>
          <c:layoutTarget val="inner"/>
          <c:xMode val="edge"/>
          <c:yMode val="edge"/>
          <c:x val="0.13638177407677102"/>
          <c:y val="0.1297453139885249"/>
          <c:w val="0.83414584696588789"/>
          <c:h val="0.73837066582890609"/>
        </c:manualLayout>
      </c:layout>
      <c:scatterChart>
        <c:scatterStyle val="lineMarker"/>
        <c:varyColors val="0"/>
        <c:ser>
          <c:idx val="0"/>
          <c:order val="0"/>
          <c:tx>
            <c:v>Height Goal, in</c:v>
          </c:tx>
          <c:spPr>
            <a:ln w="101600">
              <a:noFill/>
            </a:ln>
          </c:spPr>
          <c:marker>
            <c:symbol val="none"/>
          </c:marker>
          <c:trendline>
            <c:name>Height Goal, in</c:name>
            <c:spPr>
              <a:ln w="101600">
                <a:solidFill>
                  <a:schemeClr val="accent1">
                    <a:lumMod val="60000"/>
                    <a:lumOff val="40000"/>
                    <a:alpha val="85000"/>
                  </a:schemeClr>
                </a:solidFill>
              </a:ln>
              <a:effectLst>
                <a:outerShdw blurRad="50800" dist="38100" dir="2700000" algn="tl" rotWithShape="0">
                  <a:prstClr val="black">
                    <a:alpha val="40000"/>
                  </a:prstClr>
                </a:outerShdw>
              </a:effectLst>
            </c:spPr>
            <c:trendlineType val="poly"/>
            <c:order val="2"/>
            <c:dispRSqr val="0"/>
            <c:dispEq val="0"/>
          </c:trendline>
          <c:xVal>
            <c:numRef>
              <c:f>'Custom Table'!$A$6:$A$34</c:f>
              <c:numCache>
                <c:formatCode>General</c:formatCode>
                <c:ptCount val="2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numCache>
            </c:numRef>
          </c:xVal>
          <c:yVal>
            <c:numRef>
              <c:f>'Custom Table'!$E$6:$E$34</c:f>
              <c:numCache>
                <c:formatCode>0.0</c:formatCode>
                <c:ptCount val="29"/>
                <c:pt idx="0">
                  <c:v>31.900000000000002</c:v>
                </c:pt>
                <c:pt idx="1">
                  <c:v>33.881666666666668</c:v>
                </c:pt>
                <c:pt idx="2">
                  <c:v>35.863333333333337</c:v>
                </c:pt>
                <c:pt idx="3">
                  <c:v>37.845000000000006</c:v>
                </c:pt>
                <c:pt idx="4">
                  <c:v>39.826666666666675</c:v>
                </c:pt>
                <c:pt idx="5">
                  <c:v>41.808333333333344</c:v>
                </c:pt>
                <c:pt idx="6">
                  <c:v>43.790000000000013</c:v>
                </c:pt>
                <c:pt idx="7">
                  <c:v>44.780833333333348</c:v>
                </c:pt>
                <c:pt idx="8">
                  <c:v>45.771666666666682</c:v>
                </c:pt>
                <c:pt idx="9">
                  <c:v>46.762500000000017</c:v>
                </c:pt>
                <c:pt idx="10">
                  <c:v>47.753333333333352</c:v>
                </c:pt>
                <c:pt idx="11">
                  <c:v>48.744166666666686</c:v>
                </c:pt>
                <c:pt idx="12">
                  <c:v>49.735000000000021</c:v>
                </c:pt>
                <c:pt idx="13">
                  <c:v>50.275454545454565</c:v>
                </c:pt>
                <c:pt idx="14">
                  <c:v>50.815909090909109</c:v>
                </c:pt>
                <c:pt idx="15">
                  <c:v>51.356363636363653</c:v>
                </c:pt>
                <c:pt idx="16">
                  <c:v>51.896818181818198</c:v>
                </c:pt>
                <c:pt idx="17">
                  <c:v>52.437272727272742</c:v>
                </c:pt>
                <c:pt idx="18">
                  <c:v>52.977727272727286</c:v>
                </c:pt>
                <c:pt idx="19">
                  <c:v>53.51818181818183</c:v>
                </c:pt>
                <c:pt idx="20">
                  <c:v>54.058636363636374</c:v>
                </c:pt>
                <c:pt idx="21">
                  <c:v>54.599090909090918</c:v>
                </c:pt>
                <c:pt idx="22">
                  <c:v>55.139545454545463</c:v>
                </c:pt>
                <c:pt idx="23">
                  <c:v>55.680000000000007</c:v>
                </c:pt>
                <c:pt idx="24">
                  <c:v>55.722962962962967</c:v>
                </c:pt>
                <c:pt idx="25">
                  <c:v>55.765925925925927</c:v>
                </c:pt>
                <c:pt idx="26">
                  <c:v>55.808888888888887</c:v>
                </c:pt>
                <c:pt idx="27">
                  <c:v>55.851851851851848</c:v>
                </c:pt>
                <c:pt idx="28">
                  <c:v>55.894814814814808</c:v>
                </c:pt>
              </c:numCache>
            </c:numRef>
          </c:yVal>
          <c:smooth val="0"/>
        </c:ser>
        <c:ser>
          <c:idx val="1"/>
          <c:order val="1"/>
          <c:tx>
            <c:v>Your Heifers</c:v>
          </c:tx>
          <c:spPr>
            <a:ln w="28575">
              <a:noFill/>
            </a:ln>
          </c:spPr>
          <c:marker>
            <c:symbol val="square"/>
            <c:size val="7"/>
            <c:spPr>
              <a:solidFill>
                <a:schemeClr val="accent2"/>
              </a:solidFill>
            </c:spPr>
          </c:marker>
          <c:xVal>
            <c:numRef>
              <c:f>'Input Heifer Data'!$H$2:$H$56</c:f>
              <c:numCache>
                <c:formatCode>0.0</c:formatCode>
                <c:ptCount val="55"/>
                <c:pt idx="0">
                  <c:v>23.097040424748986</c:v>
                </c:pt>
                <c:pt idx="1">
                  <c:v>22.01282657835252</c:v>
                </c:pt>
                <c:pt idx="2">
                  <c:v>21.585712032802395</c:v>
                </c:pt>
                <c:pt idx="3">
                  <c:v>20.731482941702151</c:v>
                </c:pt>
                <c:pt idx="4">
                  <c:v>20.501498186405929</c:v>
                </c:pt>
                <c:pt idx="5">
                  <c:v>19.712979025390315</c:v>
                </c:pt>
                <c:pt idx="6">
                  <c:v>19.253009514797874</c:v>
                </c:pt>
                <c:pt idx="7">
                  <c:v>18.760185039163119</c:v>
                </c:pt>
                <c:pt idx="8">
                  <c:v>18.563055248909215</c:v>
                </c:pt>
                <c:pt idx="9">
                  <c:v>18.300215528570675</c:v>
                </c:pt>
                <c:pt idx="10">
                  <c:v>17.873100983020553</c:v>
                </c:pt>
                <c:pt idx="11">
                  <c:v>17.741681122851283</c:v>
                </c:pt>
                <c:pt idx="12">
                  <c:v>17.478841402512746</c:v>
                </c:pt>
                <c:pt idx="13">
                  <c:v>19.253009514797874</c:v>
                </c:pt>
                <c:pt idx="14">
                  <c:v>8.5094359459601527</c:v>
                </c:pt>
                <c:pt idx="15">
                  <c:v>8.9694054565525931</c:v>
                </c:pt>
                <c:pt idx="16">
                  <c:v>9.13368028176418</c:v>
                </c:pt>
                <c:pt idx="17">
                  <c:v>9.7579246175682055</c:v>
                </c:pt>
                <c:pt idx="18">
                  <c:v>10.54644377858382</c:v>
                </c:pt>
                <c:pt idx="19">
                  <c:v>11.23639804447248</c:v>
                </c:pt>
                <c:pt idx="20">
                  <c:v>10.907848394049308</c:v>
                </c:pt>
                <c:pt idx="21">
                  <c:v>11.269253009514797</c:v>
                </c:pt>
                <c:pt idx="22">
                  <c:v>11.696367555064921</c:v>
                </c:pt>
                <c:pt idx="23">
                  <c:v>12.287756925826629</c:v>
                </c:pt>
                <c:pt idx="24">
                  <c:v>12.747726436419072</c:v>
                </c:pt>
                <c:pt idx="25">
                  <c:v>13.601955527519317</c:v>
                </c:pt>
                <c:pt idx="26">
                  <c:v>13.864795247857856</c:v>
                </c:pt>
                <c:pt idx="27">
                  <c:v>13.963360142984808</c:v>
                </c:pt>
                <c:pt idx="28">
                  <c:v>14.587604478788833</c:v>
                </c:pt>
                <c:pt idx="29">
                  <c:v>14.653314408873468</c:v>
                </c:pt>
                <c:pt idx="30">
                  <c:v>14.686169373915785</c:v>
                </c:pt>
                <c:pt idx="31">
                  <c:v>14.817589234085053</c:v>
                </c:pt>
                <c:pt idx="32">
                  <c:v>14.883299164169689</c:v>
                </c:pt>
                <c:pt idx="33">
                  <c:v>15.244703779635177</c:v>
                </c:pt>
                <c:pt idx="34">
                  <c:v>15.376123639804446</c:v>
                </c:pt>
                <c:pt idx="35">
                  <c:v>15.408978604846764</c:v>
                </c:pt>
                <c:pt idx="36">
                  <c:v>17.248856647216527</c:v>
                </c:pt>
                <c:pt idx="37">
                  <c:v>8.8708405614256414</c:v>
                </c:pt>
                <c:pt idx="38">
                  <c:v>9.462229932187352</c:v>
                </c:pt>
                <c:pt idx="39">
                  <c:v>9.8893444777374757</c:v>
                </c:pt>
                <c:pt idx="40">
                  <c:v>10.119329233033696</c:v>
                </c:pt>
                <c:pt idx="41">
                  <c:v>10.415023918414549</c:v>
                </c:pt>
                <c:pt idx="42">
                  <c:v>10.480733848499185</c:v>
                </c:pt>
                <c:pt idx="43">
                  <c:v>10.612153708668453</c:v>
                </c:pt>
                <c:pt idx="44">
                  <c:v>10.809283498922357</c:v>
                </c:pt>
                <c:pt idx="45">
                  <c:v>11.302107974557114</c:v>
                </c:pt>
                <c:pt idx="46">
                  <c:v>11.729222520107237</c:v>
                </c:pt>
                <c:pt idx="47">
                  <c:v>12.024917205488093</c:v>
                </c:pt>
                <c:pt idx="48">
                  <c:v>12.156337065657361</c:v>
                </c:pt>
                <c:pt idx="49">
                  <c:v>12.156337065657361</c:v>
                </c:pt>
                <c:pt idx="50">
                  <c:v>12.189192030699679</c:v>
                </c:pt>
                <c:pt idx="51">
                  <c:v>12.4191767859959</c:v>
                </c:pt>
                <c:pt idx="52">
                  <c:v>13.207695947011512</c:v>
                </c:pt>
                <c:pt idx="53">
                  <c:v>13.601955527519317</c:v>
                </c:pt>
                <c:pt idx="54">
                  <c:v>14.587604478788833</c:v>
                </c:pt>
              </c:numCache>
            </c:numRef>
          </c:xVal>
          <c:yVal>
            <c:numRef>
              <c:f>'Input Heifer Data'!$F$2:$F$56</c:f>
              <c:numCache>
                <c:formatCode>General</c:formatCode>
                <c:ptCount val="55"/>
                <c:pt idx="0">
                  <c:v>51.5</c:v>
                </c:pt>
                <c:pt idx="1">
                  <c:v>50.25</c:v>
                </c:pt>
                <c:pt idx="2">
                  <c:v>53.25</c:v>
                </c:pt>
                <c:pt idx="3">
                  <c:v>52.25</c:v>
                </c:pt>
                <c:pt idx="4">
                  <c:v>52.75</c:v>
                </c:pt>
                <c:pt idx="5">
                  <c:v>51.75</c:v>
                </c:pt>
                <c:pt idx="6">
                  <c:v>52</c:v>
                </c:pt>
                <c:pt idx="7">
                  <c:v>52</c:v>
                </c:pt>
                <c:pt idx="8">
                  <c:v>52</c:v>
                </c:pt>
                <c:pt idx="9">
                  <c:v>50.75</c:v>
                </c:pt>
                <c:pt idx="10">
                  <c:v>53.25</c:v>
                </c:pt>
                <c:pt idx="11">
                  <c:v>52.5</c:v>
                </c:pt>
                <c:pt idx="12">
                  <c:v>55</c:v>
                </c:pt>
                <c:pt idx="13">
                  <c:v>52.5</c:v>
                </c:pt>
                <c:pt idx="14">
                  <c:v>46</c:v>
                </c:pt>
                <c:pt idx="15">
                  <c:v>48</c:v>
                </c:pt>
                <c:pt idx="16">
                  <c:v>48</c:v>
                </c:pt>
                <c:pt idx="17">
                  <c:v>47</c:v>
                </c:pt>
                <c:pt idx="18">
                  <c:v>47</c:v>
                </c:pt>
                <c:pt idx="19">
                  <c:v>47</c:v>
                </c:pt>
                <c:pt idx="20">
                  <c:v>49</c:v>
                </c:pt>
                <c:pt idx="21">
                  <c:v>51.5</c:v>
                </c:pt>
                <c:pt idx="22">
                  <c:v>52</c:v>
                </c:pt>
                <c:pt idx="23">
                  <c:v>50.5</c:v>
                </c:pt>
                <c:pt idx="24">
                  <c:v>52</c:v>
                </c:pt>
                <c:pt idx="25">
                  <c:v>50</c:v>
                </c:pt>
                <c:pt idx="26">
                  <c:v>51</c:v>
                </c:pt>
                <c:pt idx="27">
                  <c:v>50</c:v>
                </c:pt>
                <c:pt idx="28">
                  <c:v>49</c:v>
                </c:pt>
                <c:pt idx="29">
                  <c:v>49</c:v>
                </c:pt>
                <c:pt idx="30">
                  <c:v>51.5</c:v>
                </c:pt>
                <c:pt idx="31">
                  <c:v>50</c:v>
                </c:pt>
                <c:pt idx="32">
                  <c:v>48</c:v>
                </c:pt>
                <c:pt idx="33">
                  <c:v>53</c:v>
                </c:pt>
                <c:pt idx="34">
                  <c:v>49</c:v>
                </c:pt>
                <c:pt idx="35">
                  <c:v>49.5</c:v>
                </c:pt>
                <c:pt idx="36">
                  <c:v>50.5</c:v>
                </c:pt>
                <c:pt idx="37">
                  <c:v>47</c:v>
                </c:pt>
                <c:pt idx="38">
                  <c:v>46.5</c:v>
                </c:pt>
                <c:pt idx="39">
                  <c:v>48</c:v>
                </c:pt>
                <c:pt idx="40">
                  <c:v>50</c:v>
                </c:pt>
                <c:pt idx="41">
                  <c:v>50</c:v>
                </c:pt>
                <c:pt idx="42">
                  <c:v>49</c:v>
                </c:pt>
                <c:pt idx="43">
                  <c:v>50</c:v>
                </c:pt>
                <c:pt idx="44">
                  <c:v>50</c:v>
                </c:pt>
                <c:pt idx="45">
                  <c:v>49</c:v>
                </c:pt>
                <c:pt idx="46">
                  <c:v>49</c:v>
                </c:pt>
                <c:pt idx="47">
                  <c:v>48</c:v>
                </c:pt>
                <c:pt idx="48">
                  <c:v>51</c:v>
                </c:pt>
                <c:pt idx="49">
                  <c:v>49</c:v>
                </c:pt>
                <c:pt idx="50">
                  <c:v>51.5</c:v>
                </c:pt>
                <c:pt idx="51">
                  <c:v>51</c:v>
                </c:pt>
                <c:pt idx="52">
                  <c:v>52</c:v>
                </c:pt>
                <c:pt idx="53">
                  <c:v>51</c:v>
                </c:pt>
                <c:pt idx="54">
                  <c:v>53.5</c:v>
                </c:pt>
              </c:numCache>
            </c:numRef>
          </c:yVal>
          <c:smooth val="0"/>
        </c:ser>
        <c:dLbls>
          <c:showLegendKey val="0"/>
          <c:showVal val="0"/>
          <c:showCatName val="0"/>
          <c:showSerName val="0"/>
          <c:showPercent val="0"/>
          <c:showBubbleSize val="0"/>
        </c:dLbls>
        <c:axId val="95692288"/>
        <c:axId val="95703040"/>
      </c:scatterChart>
      <c:valAx>
        <c:axId val="95692288"/>
        <c:scaling>
          <c:orientation val="minMax"/>
          <c:max val="28"/>
        </c:scaling>
        <c:delete val="0"/>
        <c:axPos val="b"/>
        <c:title>
          <c:tx>
            <c:rich>
              <a:bodyPr/>
              <a:lstStyle/>
              <a:p>
                <a:pPr>
                  <a:defRPr sz="2000"/>
                </a:pPr>
                <a:r>
                  <a:rPr lang="en-US" sz="2000"/>
                  <a:t>Age, months</a:t>
                </a:r>
              </a:p>
            </c:rich>
          </c:tx>
          <c:layout>
            <c:manualLayout>
              <c:xMode val="edge"/>
              <c:yMode val="edge"/>
              <c:x val="0.47265008994313712"/>
              <c:y val="0.94060670445916761"/>
            </c:manualLayout>
          </c:layout>
          <c:overlay val="0"/>
        </c:title>
        <c:numFmt formatCode="General" sourceLinked="1"/>
        <c:majorTickMark val="out"/>
        <c:minorTickMark val="none"/>
        <c:tickLblPos val="nextTo"/>
        <c:txPr>
          <a:bodyPr/>
          <a:lstStyle/>
          <a:p>
            <a:pPr>
              <a:defRPr sz="1800"/>
            </a:pPr>
            <a:endParaRPr lang="en-US"/>
          </a:p>
        </c:txPr>
        <c:crossAx val="95703040"/>
        <c:crosses val="autoZero"/>
        <c:crossBetween val="midCat"/>
        <c:majorUnit val="2"/>
      </c:valAx>
      <c:valAx>
        <c:axId val="95703040"/>
        <c:scaling>
          <c:orientation val="minMax"/>
          <c:min val="20"/>
        </c:scaling>
        <c:delete val="0"/>
        <c:axPos val="l"/>
        <c:majorGridlines/>
        <c:title>
          <c:tx>
            <c:rich>
              <a:bodyPr rot="-5400000" vert="horz"/>
              <a:lstStyle/>
              <a:p>
                <a:pPr>
                  <a:defRPr sz="2000"/>
                </a:pPr>
                <a:r>
                  <a:rPr lang="en-US" sz="2000"/>
                  <a:t>Height, inches</a:t>
                </a:r>
              </a:p>
            </c:rich>
          </c:tx>
          <c:layout>
            <c:manualLayout>
              <c:xMode val="edge"/>
              <c:yMode val="edge"/>
              <c:x val="4.3939396385713628E-3"/>
              <c:y val="0.31022114590898525"/>
            </c:manualLayout>
          </c:layout>
          <c:overlay val="0"/>
        </c:title>
        <c:numFmt formatCode="0.0" sourceLinked="1"/>
        <c:majorTickMark val="out"/>
        <c:minorTickMark val="none"/>
        <c:tickLblPos val="nextTo"/>
        <c:txPr>
          <a:bodyPr/>
          <a:lstStyle/>
          <a:p>
            <a:pPr>
              <a:defRPr sz="1800"/>
            </a:pPr>
            <a:endParaRPr lang="en-US"/>
          </a:p>
        </c:txPr>
        <c:crossAx val="95692288"/>
        <c:crosses val="autoZero"/>
        <c:crossBetween val="midCat"/>
      </c:valAx>
      <c:spPr>
        <a:ln>
          <a:solidFill>
            <a:schemeClr val="tx1">
              <a:lumMod val="50000"/>
              <a:lumOff val="50000"/>
            </a:schemeClr>
          </a:solidFill>
        </a:ln>
      </c:spPr>
    </c:plotArea>
    <c:legend>
      <c:legendPos val="r"/>
      <c:legendEntry>
        <c:idx val="0"/>
        <c:delete val="1"/>
      </c:legendEntry>
      <c:layout>
        <c:manualLayout>
          <c:xMode val="edge"/>
          <c:yMode val="edge"/>
          <c:x val="0.15105499528660596"/>
          <c:y val="0.13745416376778599"/>
          <c:w val="0.1496958514467627"/>
          <c:h val="8.2842599220551982E-2"/>
        </c:manualLayout>
      </c:layout>
      <c:overlay val="1"/>
      <c:txPr>
        <a:bodyPr/>
        <a:lstStyle/>
        <a:p>
          <a:pPr>
            <a:defRPr sz="1200"/>
          </a:pPr>
          <a:endParaRPr lang="en-US"/>
        </a:p>
      </c:txPr>
    </c:legend>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2400"/>
            </a:pPr>
            <a:r>
              <a:rPr lang="en-US" sz="2400" b="1" i="0" baseline="0">
                <a:latin typeface="+mn-lt"/>
              </a:rPr>
              <a:t>Customized Heifer Growth Chart</a:t>
            </a:r>
            <a:endParaRPr lang="en-US" sz="2400">
              <a:latin typeface="+mn-lt"/>
            </a:endParaRPr>
          </a:p>
          <a:p>
            <a:pPr algn="ctr">
              <a:defRPr sz="2400"/>
            </a:pPr>
            <a:r>
              <a:rPr lang="en-US" sz="1800" b="1" i="0" baseline="0">
                <a:latin typeface="+mn-lt"/>
              </a:rPr>
              <a:t>Based on Mature Size and Goal for Age at Calving</a:t>
            </a:r>
            <a:endParaRPr lang="en-US" sz="2400">
              <a:latin typeface="+mn-lt"/>
            </a:endParaRPr>
          </a:p>
        </c:rich>
      </c:tx>
      <c:layout>
        <c:manualLayout>
          <c:xMode val="edge"/>
          <c:yMode val="edge"/>
          <c:x val="0.12124966872462963"/>
          <c:y val="4.0382944787929129E-3"/>
        </c:manualLayout>
      </c:layout>
      <c:overlay val="0"/>
    </c:title>
    <c:autoTitleDeleted val="0"/>
    <c:plotArea>
      <c:layout>
        <c:manualLayout>
          <c:layoutTarget val="inner"/>
          <c:xMode val="edge"/>
          <c:yMode val="edge"/>
          <c:x val="0.12301681667953325"/>
          <c:y val="0.12570701950973198"/>
          <c:w val="0.84751080436312465"/>
          <c:h val="0.74038981306830343"/>
        </c:manualLayout>
      </c:layout>
      <c:scatterChart>
        <c:scatterStyle val="lineMarker"/>
        <c:varyColors val="0"/>
        <c:ser>
          <c:idx val="1"/>
          <c:order val="0"/>
          <c:tx>
            <c:v>Your Heifers BW</c:v>
          </c:tx>
          <c:spPr>
            <a:ln>
              <a:noFill/>
            </a:ln>
          </c:spPr>
          <c:marker>
            <c:symbol val="square"/>
            <c:size val="7"/>
            <c:spPr>
              <a:solidFill>
                <a:schemeClr val="accent3">
                  <a:lumMod val="50000"/>
                </a:schemeClr>
              </a:solidFill>
              <a:ln>
                <a:solidFill>
                  <a:schemeClr val="accent3">
                    <a:lumMod val="50000"/>
                  </a:schemeClr>
                </a:solidFill>
              </a:ln>
            </c:spPr>
          </c:marker>
          <c:xVal>
            <c:numRef>
              <c:f>'Input Heifer Data'!$H$2:$H$56</c:f>
              <c:numCache>
                <c:formatCode>0.0</c:formatCode>
                <c:ptCount val="55"/>
                <c:pt idx="0">
                  <c:v>23.097040424748986</c:v>
                </c:pt>
                <c:pt idx="1">
                  <c:v>22.01282657835252</c:v>
                </c:pt>
                <c:pt idx="2">
                  <c:v>21.585712032802395</c:v>
                </c:pt>
                <c:pt idx="3">
                  <c:v>20.731482941702151</c:v>
                </c:pt>
                <c:pt idx="4">
                  <c:v>20.501498186405929</c:v>
                </c:pt>
                <c:pt idx="5">
                  <c:v>19.712979025390315</c:v>
                </c:pt>
                <c:pt idx="6">
                  <c:v>19.253009514797874</c:v>
                </c:pt>
                <c:pt idx="7">
                  <c:v>18.760185039163119</c:v>
                </c:pt>
                <c:pt idx="8">
                  <c:v>18.563055248909215</c:v>
                </c:pt>
                <c:pt idx="9">
                  <c:v>18.300215528570675</c:v>
                </c:pt>
                <c:pt idx="10">
                  <c:v>17.873100983020553</c:v>
                </c:pt>
                <c:pt idx="11">
                  <c:v>17.741681122851283</c:v>
                </c:pt>
                <c:pt idx="12">
                  <c:v>17.478841402512746</c:v>
                </c:pt>
                <c:pt idx="13">
                  <c:v>19.253009514797874</c:v>
                </c:pt>
                <c:pt idx="14">
                  <c:v>8.5094359459601527</c:v>
                </c:pt>
                <c:pt idx="15">
                  <c:v>8.9694054565525931</c:v>
                </c:pt>
                <c:pt idx="16">
                  <c:v>9.13368028176418</c:v>
                </c:pt>
                <c:pt idx="17">
                  <c:v>9.7579246175682055</c:v>
                </c:pt>
                <c:pt idx="18">
                  <c:v>10.54644377858382</c:v>
                </c:pt>
                <c:pt idx="19">
                  <c:v>11.23639804447248</c:v>
                </c:pt>
                <c:pt idx="20">
                  <c:v>10.907848394049308</c:v>
                </c:pt>
                <c:pt idx="21">
                  <c:v>11.269253009514797</c:v>
                </c:pt>
                <c:pt idx="22">
                  <c:v>11.696367555064921</c:v>
                </c:pt>
                <c:pt idx="23">
                  <c:v>12.287756925826629</c:v>
                </c:pt>
                <c:pt idx="24">
                  <c:v>12.747726436419072</c:v>
                </c:pt>
                <c:pt idx="25">
                  <c:v>13.601955527519317</c:v>
                </c:pt>
                <c:pt idx="26">
                  <c:v>13.864795247857856</c:v>
                </c:pt>
                <c:pt idx="27">
                  <c:v>13.963360142984808</c:v>
                </c:pt>
                <c:pt idx="28">
                  <c:v>14.587604478788833</c:v>
                </c:pt>
                <c:pt idx="29">
                  <c:v>14.653314408873468</c:v>
                </c:pt>
                <c:pt idx="30">
                  <c:v>14.686169373915785</c:v>
                </c:pt>
                <c:pt idx="31">
                  <c:v>14.817589234085053</c:v>
                </c:pt>
                <c:pt idx="32">
                  <c:v>14.883299164169689</c:v>
                </c:pt>
                <c:pt idx="33">
                  <c:v>15.244703779635177</c:v>
                </c:pt>
                <c:pt idx="34">
                  <c:v>15.376123639804446</c:v>
                </c:pt>
                <c:pt idx="35">
                  <c:v>15.408978604846764</c:v>
                </c:pt>
                <c:pt idx="36">
                  <c:v>17.248856647216527</c:v>
                </c:pt>
                <c:pt idx="37">
                  <c:v>8.8708405614256414</c:v>
                </c:pt>
                <c:pt idx="38">
                  <c:v>9.462229932187352</c:v>
                </c:pt>
                <c:pt idx="39">
                  <c:v>9.8893444777374757</c:v>
                </c:pt>
                <c:pt idx="40">
                  <c:v>10.119329233033696</c:v>
                </c:pt>
                <c:pt idx="41">
                  <c:v>10.415023918414549</c:v>
                </c:pt>
                <c:pt idx="42">
                  <c:v>10.480733848499185</c:v>
                </c:pt>
                <c:pt idx="43">
                  <c:v>10.612153708668453</c:v>
                </c:pt>
                <c:pt idx="44">
                  <c:v>10.809283498922357</c:v>
                </c:pt>
                <c:pt idx="45">
                  <c:v>11.302107974557114</c:v>
                </c:pt>
                <c:pt idx="46">
                  <c:v>11.729222520107237</c:v>
                </c:pt>
                <c:pt idx="47">
                  <c:v>12.024917205488093</c:v>
                </c:pt>
                <c:pt idx="48">
                  <c:v>12.156337065657361</c:v>
                </c:pt>
                <c:pt idx="49">
                  <c:v>12.156337065657361</c:v>
                </c:pt>
                <c:pt idx="50">
                  <c:v>12.189192030699679</c:v>
                </c:pt>
                <c:pt idx="51">
                  <c:v>12.4191767859959</c:v>
                </c:pt>
                <c:pt idx="52">
                  <c:v>13.207695947011512</c:v>
                </c:pt>
                <c:pt idx="53">
                  <c:v>13.601955527519317</c:v>
                </c:pt>
                <c:pt idx="54">
                  <c:v>14.587604478788833</c:v>
                </c:pt>
              </c:numCache>
            </c:numRef>
          </c:xVal>
          <c:yVal>
            <c:numRef>
              <c:f>'Input Heifer Data'!$I$2:$I$56</c:f>
              <c:numCache>
                <c:formatCode>0.0</c:formatCode>
                <c:ptCount val="55"/>
                <c:pt idx="0">
                  <c:v>64.400000000000006</c:v>
                </c:pt>
                <c:pt idx="1">
                  <c:v>80</c:v>
                </c:pt>
                <c:pt idx="2">
                  <c:v>64.533333333333331</c:v>
                </c:pt>
                <c:pt idx="3">
                  <c:v>60.266666666666666</c:v>
                </c:pt>
                <c:pt idx="4">
                  <c:v>62.8</c:v>
                </c:pt>
                <c:pt idx="5">
                  <c:v>59.466666666666669</c:v>
                </c:pt>
                <c:pt idx="6">
                  <c:v>66.666666666666657</c:v>
                </c:pt>
                <c:pt idx="7">
                  <c:v>66.266666666666666</c:v>
                </c:pt>
                <c:pt idx="8">
                  <c:v>66</c:v>
                </c:pt>
                <c:pt idx="9">
                  <c:v>58.13333333333334</c:v>
                </c:pt>
                <c:pt idx="10">
                  <c:v>69.333333333333343</c:v>
                </c:pt>
                <c:pt idx="11">
                  <c:v>66.400000000000006</c:v>
                </c:pt>
                <c:pt idx="12">
                  <c:v>65.333333333333329</c:v>
                </c:pt>
                <c:pt idx="13">
                  <c:v>66.333333333333329</c:v>
                </c:pt>
                <c:pt idx="14">
                  <c:v>31.2</c:v>
                </c:pt>
                <c:pt idx="15">
                  <c:v>32.666666666666664</c:v>
                </c:pt>
                <c:pt idx="16">
                  <c:v>32.666666666666664</c:v>
                </c:pt>
                <c:pt idx="17">
                  <c:v>36</c:v>
                </c:pt>
                <c:pt idx="18">
                  <c:v>33</c:v>
                </c:pt>
                <c:pt idx="19">
                  <c:v>42</c:v>
                </c:pt>
                <c:pt idx="20">
                  <c:v>41.666666666666671</c:v>
                </c:pt>
                <c:pt idx="21">
                  <c:v>42</c:v>
                </c:pt>
                <c:pt idx="22">
                  <c:v>42.666666666666671</c:v>
                </c:pt>
                <c:pt idx="23">
                  <c:v>44.666666666666664</c:v>
                </c:pt>
                <c:pt idx="24">
                  <c:v>46</c:v>
                </c:pt>
                <c:pt idx="25">
                  <c:v>48</c:v>
                </c:pt>
                <c:pt idx="26">
                  <c:v>44.666666666666664</c:v>
                </c:pt>
                <c:pt idx="27">
                  <c:v>42</c:v>
                </c:pt>
                <c:pt idx="28">
                  <c:v>48</c:v>
                </c:pt>
                <c:pt idx="29">
                  <c:v>43.333333333333336</c:v>
                </c:pt>
                <c:pt idx="30">
                  <c:v>49.333333333333336</c:v>
                </c:pt>
                <c:pt idx="31">
                  <c:v>48</c:v>
                </c:pt>
                <c:pt idx="32">
                  <c:v>42.666666666666671</c:v>
                </c:pt>
                <c:pt idx="33">
                  <c:v>51.666666666666671</c:v>
                </c:pt>
                <c:pt idx="34">
                  <c:v>51.666666666666671</c:v>
                </c:pt>
                <c:pt idx="35">
                  <c:v>50.666666666666671</c:v>
                </c:pt>
                <c:pt idx="36">
                  <c:v>51.666666666666671</c:v>
                </c:pt>
                <c:pt idx="37">
                  <c:v>40</c:v>
                </c:pt>
                <c:pt idx="38">
                  <c:v>36.666666666666664</c:v>
                </c:pt>
                <c:pt idx="39">
                  <c:v>44</c:v>
                </c:pt>
                <c:pt idx="40">
                  <c:v>40</c:v>
                </c:pt>
                <c:pt idx="41">
                  <c:v>46</c:v>
                </c:pt>
                <c:pt idx="42">
                  <c:v>41.666666666666671</c:v>
                </c:pt>
                <c:pt idx="43">
                  <c:v>51.666666666666671</c:v>
                </c:pt>
                <c:pt idx="44">
                  <c:v>46</c:v>
                </c:pt>
                <c:pt idx="45">
                  <c:v>46</c:v>
                </c:pt>
                <c:pt idx="46">
                  <c:v>48.06666666666667</c:v>
                </c:pt>
                <c:pt idx="47">
                  <c:v>46.666666666666664</c:v>
                </c:pt>
                <c:pt idx="48">
                  <c:v>46</c:v>
                </c:pt>
                <c:pt idx="49">
                  <c:v>52</c:v>
                </c:pt>
                <c:pt idx="50">
                  <c:v>54.666666666666664</c:v>
                </c:pt>
                <c:pt idx="51">
                  <c:v>51.666666666666671</c:v>
                </c:pt>
                <c:pt idx="52">
                  <c:v>51.666666666666671</c:v>
                </c:pt>
                <c:pt idx="53">
                  <c:v>55.666666666666664</c:v>
                </c:pt>
                <c:pt idx="54">
                  <c:v>56.666666666666664</c:v>
                </c:pt>
              </c:numCache>
            </c:numRef>
          </c:yVal>
          <c:smooth val="0"/>
        </c:ser>
        <c:ser>
          <c:idx val="0"/>
          <c:order val="1"/>
          <c:tx>
            <c:v>Target % of MBW</c:v>
          </c:tx>
          <c:spPr>
            <a:ln w="101600">
              <a:solidFill>
                <a:schemeClr val="accent3">
                  <a:lumMod val="60000"/>
                  <a:lumOff val="40000"/>
                </a:schemeClr>
              </a:solidFill>
            </a:ln>
            <a:effectLst>
              <a:outerShdw blurRad="50800" dist="38100" dir="2700000" algn="tl" rotWithShape="0">
                <a:prstClr val="black">
                  <a:alpha val="40000"/>
                </a:prstClr>
              </a:outerShdw>
            </a:effectLst>
          </c:spPr>
          <c:marker>
            <c:symbol val="none"/>
          </c:marker>
          <c:xVal>
            <c:numRef>
              <c:f>'Custom Table'!$A$6:$A$34</c:f>
              <c:numCache>
                <c:formatCode>General</c:formatCode>
                <c:ptCount val="2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numCache>
            </c:numRef>
          </c:xVal>
          <c:yVal>
            <c:numRef>
              <c:f>'Custom Table'!$D$6:$D$34</c:f>
              <c:numCache>
                <c:formatCode>0.00</c:formatCode>
                <c:ptCount val="29"/>
                <c:pt idx="0">
                  <c:v>6</c:v>
                </c:pt>
                <c:pt idx="1">
                  <c:v>10.05824</c:v>
                </c:pt>
                <c:pt idx="2">
                  <c:v>14.116480000000001</c:v>
                </c:pt>
                <c:pt idx="3">
                  <c:v>17.581006048564927</c:v>
                </c:pt>
                <c:pt idx="4">
                  <c:v>21.045532097129854</c:v>
                </c:pt>
                <c:pt idx="5">
                  <c:v>24.510058145694778</c:v>
                </c:pt>
                <c:pt idx="6">
                  <c:v>27.974584194259705</c:v>
                </c:pt>
                <c:pt idx="7">
                  <c:v>31.439110242824629</c:v>
                </c:pt>
                <c:pt idx="8">
                  <c:v>34.903636291389553</c:v>
                </c:pt>
                <c:pt idx="9">
                  <c:v>38.36816233995448</c:v>
                </c:pt>
                <c:pt idx="10">
                  <c:v>41.832688388519408</c:v>
                </c:pt>
                <c:pt idx="11">
                  <c:v>45.297214437084335</c:v>
                </c:pt>
                <c:pt idx="12">
                  <c:v>48.761740485649263</c:v>
                </c:pt>
                <c:pt idx="13">
                  <c:v>52.226266534214183</c:v>
                </c:pt>
                <c:pt idx="14">
                  <c:v>56.548219665642762</c:v>
                </c:pt>
                <c:pt idx="15">
                  <c:v>60.870172797071334</c:v>
                </c:pt>
                <c:pt idx="16">
                  <c:v>65.192125928499905</c:v>
                </c:pt>
                <c:pt idx="17">
                  <c:v>69.514079059928463</c:v>
                </c:pt>
                <c:pt idx="18">
                  <c:v>73.83603219135702</c:v>
                </c:pt>
                <c:pt idx="19">
                  <c:v>78.157985322785592</c:v>
                </c:pt>
                <c:pt idx="20">
                  <c:v>82.47993845421415</c:v>
                </c:pt>
                <c:pt idx="21">
                  <c:v>86.801891585642721</c:v>
                </c:pt>
                <c:pt idx="22">
                  <c:v>91.123844717071279</c:v>
                </c:pt>
                <c:pt idx="23">
                  <c:v>95.445797848499851</c:v>
                </c:pt>
                <c:pt idx="24">
                  <c:v>86.26294755690067</c:v>
                </c:pt>
                <c:pt idx="25">
                  <c:v>87.52589511380134</c:v>
                </c:pt>
                <c:pt idx="26">
                  <c:v>88.788842670702024</c:v>
                </c:pt>
                <c:pt idx="27">
                  <c:v>90.051790227602709</c:v>
                </c:pt>
                <c:pt idx="28">
                  <c:v>91.314737784503365</c:v>
                </c:pt>
              </c:numCache>
            </c:numRef>
          </c:yVal>
          <c:smooth val="0"/>
        </c:ser>
        <c:ser>
          <c:idx val="4"/>
          <c:order val="2"/>
          <c:tx>
            <c:v>Target % of MHt</c:v>
          </c:tx>
          <c:spPr>
            <a:ln>
              <a:noFill/>
            </a:ln>
          </c:spPr>
          <c:marker>
            <c:symbol val="none"/>
          </c:marker>
          <c:trendline>
            <c:name>Target % of MHt</c:name>
            <c:spPr>
              <a:ln w="101600">
                <a:solidFill>
                  <a:srgbClr val="4F81BD">
                    <a:alpha val="50000"/>
                  </a:srgbClr>
                </a:solidFill>
              </a:ln>
              <a:effectLst>
                <a:outerShdw blurRad="50800" dist="38100" dir="2700000" algn="tl" rotWithShape="0">
                  <a:prstClr val="black">
                    <a:alpha val="40000"/>
                  </a:prstClr>
                </a:outerShdw>
              </a:effectLst>
            </c:spPr>
            <c:trendlineType val="poly"/>
            <c:order val="2"/>
            <c:dispRSqr val="0"/>
            <c:dispEq val="0"/>
          </c:trendline>
          <c:xVal>
            <c:numRef>
              <c:f>'Custom Table'!$A$6:$A$34</c:f>
              <c:numCache>
                <c:formatCode>General</c:formatCode>
                <c:ptCount val="2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numCache>
            </c:numRef>
          </c:xVal>
          <c:yVal>
            <c:numRef>
              <c:f>'Custom Table'!$F$6:$F$34</c:f>
              <c:numCache>
                <c:formatCode>0.0</c:formatCode>
                <c:ptCount val="29"/>
                <c:pt idx="0">
                  <c:v>55.000000000000007</c:v>
                </c:pt>
                <c:pt idx="1">
                  <c:v>58.416666666666671</c:v>
                </c:pt>
                <c:pt idx="2">
                  <c:v>61.833333333333343</c:v>
                </c:pt>
                <c:pt idx="3">
                  <c:v>65.250000000000014</c:v>
                </c:pt>
                <c:pt idx="4">
                  <c:v>68.666666666666671</c:v>
                </c:pt>
                <c:pt idx="5">
                  <c:v>72.083333333333357</c:v>
                </c:pt>
                <c:pt idx="6">
                  <c:v>75.500000000000028</c:v>
                </c:pt>
                <c:pt idx="7">
                  <c:v>77.208333333333357</c:v>
                </c:pt>
                <c:pt idx="8">
                  <c:v>78.916666666666686</c:v>
                </c:pt>
                <c:pt idx="9">
                  <c:v>80.625000000000028</c:v>
                </c:pt>
                <c:pt idx="10">
                  <c:v>82.333333333333371</c:v>
                </c:pt>
                <c:pt idx="11">
                  <c:v>84.0416666666667</c:v>
                </c:pt>
                <c:pt idx="12">
                  <c:v>85.750000000000043</c:v>
                </c:pt>
                <c:pt idx="13">
                  <c:v>86.681818181818215</c:v>
                </c:pt>
                <c:pt idx="14">
                  <c:v>87.613636363636388</c:v>
                </c:pt>
                <c:pt idx="15">
                  <c:v>88.545454545454575</c:v>
                </c:pt>
                <c:pt idx="16">
                  <c:v>89.477272727272748</c:v>
                </c:pt>
                <c:pt idx="17">
                  <c:v>90.409090909090935</c:v>
                </c:pt>
                <c:pt idx="18">
                  <c:v>91.340909090909122</c:v>
                </c:pt>
                <c:pt idx="19">
                  <c:v>92.272727272727295</c:v>
                </c:pt>
                <c:pt idx="20">
                  <c:v>93.204545454545467</c:v>
                </c:pt>
                <c:pt idx="21">
                  <c:v>94.136363636363654</c:v>
                </c:pt>
                <c:pt idx="22">
                  <c:v>95.068181818181827</c:v>
                </c:pt>
                <c:pt idx="23">
                  <c:v>96.000000000000014</c:v>
                </c:pt>
                <c:pt idx="24">
                  <c:v>96.074074074074076</c:v>
                </c:pt>
                <c:pt idx="25">
                  <c:v>96.148148148148152</c:v>
                </c:pt>
                <c:pt idx="26">
                  <c:v>96.222222222222214</c:v>
                </c:pt>
                <c:pt idx="27">
                  <c:v>96.296296296296291</c:v>
                </c:pt>
                <c:pt idx="28">
                  <c:v>96.370370370370367</c:v>
                </c:pt>
              </c:numCache>
            </c:numRef>
          </c:yVal>
          <c:smooth val="0"/>
        </c:ser>
        <c:ser>
          <c:idx val="5"/>
          <c:order val="3"/>
          <c:tx>
            <c:v>Your Heifers Ht</c:v>
          </c:tx>
          <c:spPr>
            <a:ln>
              <a:noFill/>
            </a:ln>
          </c:spPr>
          <c:marker>
            <c:symbol val="circle"/>
            <c:size val="8"/>
            <c:spPr>
              <a:solidFill>
                <a:schemeClr val="accent1">
                  <a:lumMod val="75000"/>
                </a:schemeClr>
              </a:solidFill>
              <a:ln>
                <a:solidFill>
                  <a:schemeClr val="accent1">
                    <a:lumMod val="75000"/>
                  </a:schemeClr>
                </a:solidFill>
              </a:ln>
            </c:spPr>
          </c:marker>
          <c:xVal>
            <c:numRef>
              <c:f>'Input Heifer Data'!$H$2:$H$26</c:f>
              <c:numCache>
                <c:formatCode>0.0</c:formatCode>
                <c:ptCount val="25"/>
                <c:pt idx="0">
                  <c:v>23.097040424748986</c:v>
                </c:pt>
                <c:pt idx="1">
                  <c:v>22.01282657835252</c:v>
                </c:pt>
                <c:pt idx="2">
                  <c:v>21.585712032802395</c:v>
                </c:pt>
                <c:pt idx="3">
                  <c:v>20.731482941702151</c:v>
                </c:pt>
                <c:pt idx="4">
                  <c:v>20.501498186405929</c:v>
                </c:pt>
                <c:pt idx="5">
                  <c:v>19.712979025390315</c:v>
                </c:pt>
                <c:pt idx="6">
                  <c:v>19.253009514797874</c:v>
                </c:pt>
                <c:pt idx="7">
                  <c:v>18.760185039163119</c:v>
                </c:pt>
                <c:pt idx="8">
                  <c:v>18.563055248909215</c:v>
                </c:pt>
                <c:pt idx="9">
                  <c:v>18.300215528570675</c:v>
                </c:pt>
                <c:pt idx="10">
                  <c:v>17.873100983020553</c:v>
                </c:pt>
                <c:pt idx="11">
                  <c:v>17.741681122851283</c:v>
                </c:pt>
                <c:pt idx="12">
                  <c:v>17.478841402512746</c:v>
                </c:pt>
                <c:pt idx="13">
                  <c:v>19.253009514797874</c:v>
                </c:pt>
                <c:pt idx="14">
                  <c:v>8.5094359459601527</c:v>
                </c:pt>
                <c:pt idx="15">
                  <c:v>8.9694054565525931</c:v>
                </c:pt>
                <c:pt idx="16">
                  <c:v>9.13368028176418</c:v>
                </c:pt>
                <c:pt idx="17">
                  <c:v>9.7579246175682055</c:v>
                </c:pt>
                <c:pt idx="18">
                  <c:v>10.54644377858382</c:v>
                </c:pt>
                <c:pt idx="19">
                  <c:v>11.23639804447248</c:v>
                </c:pt>
                <c:pt idx="20">
                  <c:v>10.907848394049308</c:v>
                </c:pt>
                <c:pt idx="21">
                  <c:v>11.269253009514797</c:v>
                </c:pt>
                <c:pt idx="22">
                  <c:v>11.696367555064921</c:v>
                </c:pt>
                <c:pt idx="23">
                  <c:v>12.287756925826629</c:v>
                </c:pt>
                <c:pt idx="24">
                  <c:v>12.747726436419072</c:v>
                </c:pt>
              </c:numCache>
            </c:numRef>
          </c:xVal>
          <c:yVal>
            <c:numRef>
              <c:f>'Input Heifer Data'!$J$2:$J$26</c:f>
              <c:numCache>
                <c:formatCode>0.0</c:formatCode>
                <c:ptCount val="25"/>
                <c:pt idx="0">
                  <c:v>88.793103448275872</c:v>
                </c:pt>
                <c:pt idx="1">
                  <c:v>86.637931034482762</c:v>
                </c:pt>
                <c:pt idx="2">
                  <c:v>91.810344827586206</c:v>
                </c:pt>
                <c:pt idx="3">
                  <c:v>90.08620689655173</c:v>
                </c:pt>
                <c:pt idx="4">
                  <c:v>90.948275862068968</c:v>
                </c:pt>
                <c:pt idx="5">
                  <c:v>89.224137931034491</c:v>
                </c:pt>
                <c:pt idx="6">
                  <c:v>89.65517241379311</c:v>
                </c:pt>
                <c:pt idx="7">
                  <c:v>89.65517241379311</c:v>
                </c:pt>
                <c:pt idx="8">
                  <c:v>89.65517241379311</c:v>
                </c:pt>
                <c:pt idx="9">
                  <c:v>87.5</c:v>
                </c:pt>
                <c:pt idx="10">
                  <c:v>91.810344827586206</c:v>
                </c:pt>
                <c:pt idx="11">
                  <c:v>90.517241379310349</c:v>
                </c:pt>
                <c:pt idx="12">
                  <c:v>94.827586206896555</c:v>
                </c:pt>
                <c:pt idx="13">
                  <c:v>90.517241379310349</c:v>
                </c:pt>
                <c:pt idx="14">
                  <c:v>76.666666666666671</c:v>
                </c:pt>
                <c:pt idx="15">
                  <c:v>80</c:v>
                </c:pt>
                <c:pt idx="16">
                  <c:v>80</c:v>
                </c:pt>
                <c:pt idx="17">
                  <c:v>78.333333333333329</c:v>
                </c:pt>
                <c:pt idx="18">
                  <c:v>78.333333333333329</c:v>
                </c:pt>
                <c:pt idx="19">
                  <c:v>78.333333333333329</c:v>
                </c:pt>
                <c:pt idx="20">
                  <c:v>81.666666666666671</c:v>
                </c:pt>
                <c:pt idx="21">
                  <c:v>85.833333333333329</c:v>
                </c:pt>
                <c:pt idx="22">
                  <c:v>86.666666666666671</c:v>
                </c:pt>
                <c:pt idx="23">
                  <c:v>84.166666666666671</c:v>
                </c:pt>
                <c:pt idx="24">
                  <c:v>86.666666666666671</c:v>
                </c:pt>
              </c:numCache>
            </c:numRef>
          </c:yVal>
          <c:smooth val="0"/>
        </c:ser>
        <c:dLbls>
          <c:showLegendKey val="0"/>
          <c:showVal val="0"/>
          <c:showCatName val="0"/>
          <c:showSerName val="0"/>
          <c:showPercent val="0"/>
          <c:showBubbleSize val="0"/>
        </c:dLbls>
        <c:axId val="95788416"/>
        <c:axId val="95795072"/>
      </c:scatterChart>
      <c:valAx>
        <c:axId val="95788416"/>
        <c:scaling>
          <c:orientation val="minMax"/>
          <c:max val="28"/>
        </c:scaling>
        <c:delete val="0"/>
        <c:axPos val="b"/>
        <c:title>
          <c:tx>
            <c:rich>
              <a:bodyPr/>
              <a:lstStyle/>
              <a:p>
                <a:pPr>
                  <a:defRPr sz="2000"/>
                </a:pPr>
                <a:r>
                  <a:rPr lang="en-US" sz="2000"/>
                  <a:t>Age, months</a:t>
                </a:r>
              </a:p>
            </c:rich>
          </c:tx>
          <c:layout>
            <c:manualLayout>
              <c:xMode val="edge"/>
              <c:yMode val="edge"/>
              <c:x val="0.46532685721218514"/>
              <c:y val="0.94464499893796039"/>
            </c:manualLayout>
          </c:layout>
          <c:overlay val="0"/>
        </c:title>
        <c:numFmt formatCode="0" sourceLinked="0"/>
        <c:majorTickMark val="out"/>
        <c:minorTickMark val="none"/>
        <c:tickLblPos val="nextTo"/>
        <c:txPr>
          <a:bodyPr/>
          <a:lstStyle/>
          <a:p>
            <a:pPr>
              <a:defRPr sz="1800"/>
            </a:pPr>
            <a:endParaRPr lang="en-US"/>
          </a:p>
        </c:txPr>
        <c:crossAx val="95795072"/>
        <c:crosses val="autoZero"/>
        <c:crossBetween val="midCat"/>
        <c:majorUnit val="2"/>
      </c:valAx>
      <c:valAx>
        <c:axId val="95795072"/>
        <c:scaling>
          <c:orientation val="minMax"/>
          <c:max val="100"/>
        </c:scaling>
        <c:delete val="0"/>
        <c:axPos val="l"/>
        <c:majorGridlines/>
        <c:title>
          <c:tx>
            <c:rich>
              <a:bodyPr rot="-5400000" vert="horz"/>
              <a:lstStyle/>
              <a:p>
                <a:pPr>
                  <a:defRPr sz="2000"/>
                </a:pPr>
                <a:r>
                  <a:rPr lang="en-US" sz="2000"/>
                  <a:t>Percent of Mature Size</a:t>
                </a:r>
              </a:p>
            </c:rich>
          </c:tx>
          <c:layout>
            <c:manualLayout>
              <c:xMode val="edge"/>
              <c:yMode val="edge"/>
              <c:x val="0"/>
              <c:y val="0.21532122565735171"/>
            </c:manualLayout>
          </c:layout>
          <c:overlay val="0"/>
        </c:title>
        <c:numFmt formatCode="0" sourceLinked="0"/>
        <c:majorTickMark val="out"/>
        <c:minorTickMark val="none"/>
        <c:tickLblPos val="nextTo"/>
        <c:txPr>
          <a:bodyPr/>
          <a:lstStyle/>
          <a:p>
            <a:pPr>
              <a:defRPr sz="1800"/>
            </a:pPr>
            <a:endParaRPr lang="en-US"/>
          </a:p>
        </c:txPr>
        <c:crossAx val="95788416"/>
        <c:crosses val="autoZero"/>
        <c:crossBetween val="midCat"/>
      </c:valAx>
      <c:spPr>
        <a:ln>
          <a:solidFill>
            <a:schemeClr val="tx1">
              <a:lumMod val="50000"/>
              <a:lumOff val="50000"/>
            </a:schemeClr>
          </a:solidFill>
        </a:ln>
      </c:spPr>
    </c:plotArea>
    <c:legend>
      <c:legendPos val="r"/>
      <c:legendEntry>
        <c:idx val="2"/>
        <c:delete val="1"/>
      </c:legendEntry>
      <c:layout>
        <c:manualLayout>
          <c:xMode val="edge"/>
          <c:yMode val="edge"/>
          <c:x val="0.6783277519151697"/>
          <c:y val="2.0343623882791532E-2"/>
          <c:w val="0.31066617891245768"/>
          <c:h val="8.5808670059258005E-2"/>
        </c:manualLayout>
      </c:layout>
      <c:overlay val="1"/>
      <c:spPr>
        <a:solidFill>
          <a:schemeClr val="bg1"/>
        </a:solidFill>
      </c:sp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sheetViews>
    <sheetView zoomScale="11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10"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1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647700</xdr:colOff>
      <xdr:row>0</xdr:row>
      <xdr:rowOff>47625</xdr:rowOff>
    </xdr:from>
    <xdr:to>
      <xdr:col>0</xdr:col>
      <xdr:colOff>4863318</xdr:colOff>
      <xdr:row>0</xdr:row>
      <xdr:rowOff>352425</xdr:rowOff>
    </xdr:to>
    <xdr:pic>
      <xdr:nvPicPr>
        <xdr:cNvPr id="2" name="Picture 1" descr="penn-state-extension-word-mark-blue.jpg"/>
        <xdr:cNvPicPr>
          <a:picLocks noChangeAspect="1"/>
        </xdr:cNvPicPr>
      </xdr:nvPicPr>
      <xdr:blipFill>
        <a:blip xmlns:r="http://schemas.openxmlformats.org/officeDocument/2006/relationships" r:embed="rId1" cstate="print"/>
        <a:stretch>
          <a:fillRect/>
        </a:stretch>
      </xdr:blipFill>
      <xdr:spPr>
        <a:xfrm>
          <a:off x="647700" y="47625"/>
          <a:ext cx="4215618" cy="304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600075</xdr:colOff>
      <xdr:row>0</xdr:row>
      <xdr:rowOff>0</xdr:rowOff>
    </xdr:from>
    <xdr:to>
      <xdr:col>7</xdr:col>
      <xdr:colOff>548493</xdr:colOff>
      <xdr:row>0</xdr:row>
      <xdr:rowOff>304800</xdr:rowOff>
    </xdr:to>
    <xdr:pic>
      <xdr:nvPicPr>
        <xdr:cNvPr id="2" name="Picture 1" descr="penn-state-extension-word-mark-blue.jpg"/>
        <xdr:cNvPicPr>
          <a:picLocks noChangeAspect="1"/>
        </xdr:cNvPicPr>
      </xdr:nvPicPr>
      <xdr:blipFill>
        <a:blip xmlns:r="http://schemas.openxmlformats.org/officeDocument/2006/relationships" r:embed="rId1" cstate="print"/>
        <a:stretch>
          <a:fillRect/>
        </a:stretch>
      </xdr:blipFill>
      <xdr:spPr>
        <a:xfrm>
          <a:off x="600075" y="0"/>
          <a:ext cx="4215618" cy="30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276225</xdr:colOff>
      <xdr:row>0</xdr:row>
      <xdr:rowOff>1</xdr:rowOff>
    </xdr:from>
    <xdr:to>
      <xdr:col>5</xdr:col>
      <xdr:colOff>438150</xdr:colOff>
      <xdr:row>0</xdr:row>
      <xdr:rowOff>232087</xdr:rowOff>
    </xdr:to>
    <xdr:pic>
      <xdr:nvPicPr>
        <xdr:cNvPr id="2" name="Picture 1" descr="penn-state-extension-word-mark-blue.jpg"/>
        <xdr:cNvPicPr>
          <a:picLocks noChangeAspect="1"/>
        </xdr:cNvPicPr>
      </xdr:nvPicPr>
      <xdr:blipFill>
        <a:blip xmlns:r="http://schemas.openxmlformats.org/officeDocument/2006/relationships" r:embed="rId1" cstate="print"/>
        <a:stretch>
          <a:fillRect/>
        </a:stretch>
      </xdr:blipFill>
      <xdr:spPr>
        <a:xfrm>
          <a:off x="276225" y="1"/>
          <a:ext cx="3209925" cy="2320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8633114"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0.84783</cdr:x>
      <cdr:y>0.97817</cdr:y>
    </cdr:from>
    <cdr:to>
      <cdr:x>0.99368</cdr:x>
      <cdr:y>0.9927</cdr:y>
    </cdr:to>
    <cdr:pic>
      <cdr:nvPicPr>
        <cdr:cNvPr id="2" name="Picture 1" descr="penn-state-extension-word-mark-blue.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7351569" y="6152453"/>
          <a:ext cx="1264690" cy="91440"/>
        </a:xfrm>
        <a:prstGeom xmlns:a="http://schemas.openxmlformats.org/drawingml/2006/main" prst="rect">
          <a:avLst/>
        </a:prstGeom>
      </cdr:spPr>
    </cdr:pic>
  </cdr:relSizeAnchor>
  <cdr:relSizeAnchor xmlns:cdr="http://schemas.openxmlformats.org/drawingml/2006/chartDrawing">
    <cdr:from>
      <cdr:x>0.00899</cdr:x>
      <cdr:y>0.01084</cdr:y>
    </cdr:from>
    <cdr:to>
      <cdr:x>0.146</cdr:x>
      <cdr:y>0.09499</cdr:y>
    </cdr:to>
    <cdr:pic>
      <cdr:nvPicPr>
        <cdr:cNvPr id="3" name="Picture 2" descr="psu-shield-blue-short.jpg"/>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7930" y="68158"/>
          <a:ext cx="1188031" cy="52932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absoluteAnchor>
    <xdr:pos x="0" y="0"/>
    <xdr:ext cx="8633114"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0.84783</cdr:x>
      <cdr:y>0.97069</cdr:y>
    </cdr:from>
    <cdr:to>
      <cdr:x>0.99368</cdr:x>
      <cdr:y>0.98523</cdr:y>
    </cdr:to>
    <cdr:pic>
      <cdr:nvPicPr>
        <cdr:cNvPr id="3" name="Picture 2" descr="penn-state-extension-word-mark-blue.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7351568" y="6105459"/>
          <a:ext cx="1264696" cy="91440"/>
        </a:xfrm>
        <a:prstGeom xmlns:a="http://schemas.openxmlformats.org/drawingml/2006/main" prst="rect">
          <a:avLst/>
        </a:prstGeom>
      </cdr:spPr>
    </cdr:pic>
  </cdr:relSizeAnchor>
  <cdr:relSizeAnchor xmlns:cdr="http://schemas.openxmlformats.org/drawingml/2006/chartDrawing">
    <cdr:from>
      <cdr:x>0.00799</cdr:x>
      <cdr:y>0.01239</cdr:y>
    </cdr:from>
    <cdr:to>
      <cdr:x>0.14508</cdr:x>
      <cdr:y>0.09659</cdr:y>
    </cdr:to>
    <cdr:pic>
      <cdr:nvPicPr>
        <cdr:cNvPr id="5" name="Picture 4" descr="psu-shield-blue-short.jpg"/>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69274" y="77932"/>
          <a:ext cx="1188720" cy="529628"/>
        </a:xfrm>
        <a:prstGeom xmlns:a="http://schemas.openxmlformats.org/drawingml/2006/main" prst="rect">
          <a:avLst/>
        </a:prstGeom>
        <a:noFill xmlns:a="http://schemas.openxmlformats.org/drawingml/2006/main"/>
        <a:ln xmlns:a="http://schemas.openxmlformats.org/drawingml/2006/main">
          <a:noFill/>
        </a:ln>
      </cdr:spPr>
    </cdr:pic>
  </cdr:relSizeAnchor>
</c:userShapes>
</file>

<file path=xl/drawings/drawing8.xml><?xml version="1.0" encoding="utf-8"?>
<xdr:wsDr xmlns:xdr="http://schemas.openxmlformats.org/drawingml/2006/spreadsheetDrawing" xmlns:a="http://schemas.openxmlformats.org/drawingml/2006/main">
  <xdr:absoluteAnchor>
    <xdr:pos x="0" y="0"/>
    <xdr:ext cx="8659091"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0.00499</cdr:x>
      <cdr:y>0.01239</cdr:y>
    </cdr:from>
    <cdr:to>
      <cdr:x>0.12383</cdr:x>
      <cdr:y>0.09659</cdr:y>
    </cdr:to>
    <cdr:pic>
      <cdr:nvPicPr>
        <cdr:cNvPr id="3" name="Picture 2" descr="psu-shield-blue-short.jpg"/>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r="13316"/>
        <a:stretch xmlns:a="http://schemas.openxmlformats.org/drawingml/2006/main">
          <a:fillRect/>
        </a:stretch>
      </cdr:blipFill>
      <cdr:spPr>
        <a:xfrm xmlns:a="http://schemas.openxmlformats.org/drawingml/2006/main">
          <a:off x="43295" y="77931"/>
          <a:ext cx="1030432" cy="529628"/>
        </a:xfrm>
        <a:prstGeom xmlns:a="http://schemas.openxmlformats.org/drawingml/2006/main" prst="rect">
          <a:avLst/>
        </a:prstGeom>
        <a:noFill xmlns:a="http://schemas.openxmlformats.org/drawingml/2006/main"/>
        <a:ln xmlns:a="http://schemas.openxmlformats.org/drawingml/2006/main">
          <a:noFill/>
        </a:ln>
      </cdr:spPr>
    </cdr:pic>
  </cdr:relSizeAnchor>
  <cdr:relSizeAnchor xmlns:cdr="http://schemas.openxmlformats.org/drawingml/2006/chartDrawing">
    <cdr:from>
      <cdr:x>0.84084</cdr:x>
      <cdr:y>0.97332</cdr:y>
    </cdr:from>
    <cdr:to>
      <cdr:x>0.98949</cdr:x>
      <cdr:y>0.98846</cdr:y>
    </cdr:to>
    <cdr:pic>
      <cdr:nvPicPr>
        <cdr:cNvPr id="2" name="Picture 1" descr="penn-state-extension-word-mark-blue.jpg"/>
        <cdr:cNvPicPr>
          <a:picLocks xmlns:a="http://schemas.openxmlformats.org/drawingml/2006/main" noChangeAspect="1"/>
        </cdr:cNvPicPr>
      </cdr:nvPicPr>
      <cdr:blipFill>
        <a:blip xmlns:a="http://schemas.openxmlformats.org/drawingml/2006/main" xmlns:r="http://schemas.openxmlformats.org/officeDocument/2006/relationships" r:embed="rId2" cstate="print"/>
        <a:stretch xmlns:a="http://schemas.openxmlformats.org/drawingml/2006/main">
          <a:fillRect/>
        </a:stretch>
      </cdr:blipFill>
      <cdr:spPr>
        <a:xfrm xmlns:a="http://schemas.openxmlformats.org/drawingml/2006/main">
          <a:off x="7290954" y="6121978"/>
          <a:ext cx="1288939" cy="95250"/>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24"/>
  <sheetViews>
    <sheetView tabSelected="1" topLeftCell="A19" workbookViewId="0">
      <selection activeCell="A24" sqref="A24"/>
    </sheetView>
  </sheetViews>
  <sheetFormatPr defaultRowHeight="15" x14ac:dyDescent="0.25"/>
  <cols>
    <col min="1" max="1" width="82.140625" customWidth="1"/>
  </cols>
  <sheetData>
    <row r="1" spans="1:1" ht="30.75" customHeight="1" x14ac:dyDescent="0.25"/>
    <row r="2" spans="1:1" s="40" customFormat="1" ht="27.75" x14ac:dyDescent="0.4">
      <c r="A2" s="41" t="s">
        <v>45</v>
      </c>
    </row>
    <row r="3" spans="1:1" x14ac:dyDescent="0.25">
      <c r="A3" s="39"/>
    </row>
    <row r="4" spans="1:1" x14ac:dyDescent="0.25">
      <c r="A4" s="42" t="s">
        <v>47</v>
      </c>
    </row>
    <row r="5" spans="1:1" ht="60" x14ac:dyDescent="0.25">
      <c r="A5" s="39" t="s">
        <v>46</v>
      </c>
    </row>
    <row r="6" spans="1:1" x14ac:dyDescent="0.25">
      <c r="A6" s="39"/>
    </row>
    <row r="7" spans="1:1" x14ac:dyDescent="0.25">
      <c r="A7" s="42" t="s">
        <v>51</v>
      </c>
    </row>
    <row r="8" spans="1:1" ht="45" x14ac:dyDescent="0.25">
      <c r="A8" s="39" t="s">
        <v>62</v>
      </c>
    </row>
    <row r="9" spans="1:1" x14ac:dyDescent="0.25">
      <c r="A9" s="39" t="s">
        <v>48</v>
      </c>
    </row>
    <row r="10" spans="1:1" ht="30" x14ac:dyDescent="0.25">
      <c r="A10" s="39" t="s">
        <v>57</v>
      </c>
    </row>
    <row r="11" spans="1:1" x14ac:dyDescent="0.25">
      <c r="A11" s="39" t="s">
        <v>49</v>
      </c>
    </row>
    <row r="12" spans="1:1" x14ac:dyDescent="0.25">
      <c r="A12" s="39" t="s">
        <v>50</v>
      </c>
    </row>
    <row r="13" spans="1:1" x14ac:dyDescent="0.25">
      <c r="A13" s="39"/>
    </row>
    <row r="14" spans="1:1" x14ac:dyDescent="0.25">
      <c r="A14" s="42" t="s">
        <v>52</v>
      </c>
    </row>
    <row r="15" spans="1:1" ht="60" x14ac:dyDescent="0.25">
      <c r="A15" s="39" t="s">
        <v>63</v>
      </c>
    </row>
    <row r="16" spans="1:1" ht="184.5" customHeight="1" x14ac:dyDescent="0.25">
      <c r="A16" s="44" t="s">
        <v>84</v>
      </c>
    </row>
    <row r="17" spans="1:1" ht="60" x14ac:dyDescent="0.25">
      <c r="A17" s="39" t="s">
        <v>64</v>
      </c>
    </row>
    <row r="18" spans="1:1" x14ac:dyDescent="0.25">
      <c r="A18" s="39"/>
    </row>
    <row r="19" spans="1:1" ht="105" x14ac:dyDescent="0.25">
      <c r="A19" s="39" t="s">
        <v>71</v>
      </c>
    </row>
    <row r="20" spans="1:1" ht="30" x14ac:dyDescent="0.25">
      <c r="A20" s="39" t="s">
        <v>53</v>
      </c>
    </row>
    <row r="21" spans="1:1" ht="45" x14ac:dyDescent="0.25">
      <c r="A21" s="39" t="s">
        <v>54</v>
      </c>
    </row>
    <row r="22" spans="1:1" ht="30" x14ac:dyDescent="0.25">
      <c r="A22" s="39" t="s">
        <v>55</v>
      </c>
    </row>
    <row r="24" spans="1:1" x14ac:dyDescent="0.25">
      <c r="A24" s="43" t="s">
        <v>83</v>
      </c>
    </row>
  </sheetData>
  <printOptions horizontalCentered="1"/>
  <pageMargins left="0.7" right="0.7" top="0.75" bottom="0.75" header="0.3" footer="0.3"/>
  <pageSetup scale="7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5"/>
  <sheetViews>
    <sheetView workbookViewId="0">
      <selection activeCell="F17" sqref="F17"/>
    </sheetView>
  </sheetViews>
  <sheetFormatPr defaultRowHeight="15" x14ac:dyDescent="0.25"/>
  <sheetData>
    <row r="1" spans="1:9" ht="31.5" customHeight="1" x14ac:dyDescent="0.25"/>
    <row r="2" spans="1:9" ht="27.75" x14ac:dyDescent="0.45">
      <c r="A2" s="58" t="s">
        <v>45</v>
      </c>
      <c r="B2" s="59"/>
      <c r="C2" s="59"/>
      <c r="D2" s="59"/>
      <c r="E2" s="59"/>
      <c r="F2" s="59"/>
      <c r="G2" s="59"/>
      <c r="H2" s="59"/>
      <c r="I2" s="59"/>
    </row>
    <row r="3" spans="1:9" ht="15.75" x14ac:dyDescent="0.25">
      <c r="A3" s="60" t="s">
        <v>56</v>
      </c>
      <c r="B3" s="60"/>
      <c r="C3" s="60"/>
      <c r="D3" s="60"/>
      <c r="E3" s="60"/>
      <c r="F3" s="60"/>
      <c r="G3" s="60"/>
      <c r="H3" s="60"/>
      <c r="I3" s="60"/>
    </row>
    <row r="4" spans="1:9" ht="15.75" thickBot="1" x14ac:dyDescent="0.3"/>
    <row r="5" spans="1:9" ht="19.5" thickBot="1" x14ac:dyDescent="0.3">
      <c r="A5" s="19" t="s">
        <v>4</v>
      </c>
      <c r="B5" s="10"/>
      <c r="C5" s="10"/>
      <c r="D5" s="10"/>
      <c r="E5" s="10"/>
      <c r="F5" s="10"/>
      <c r="G5" s="10"/>
      <c r="H5" s="10"/>
      <c r="I5" s="11"/>
    </row>
    <row r="6" spans="1:9" ht="17.25" x14ac:dyDescent="0.25">
      <c r="A6" s="4" t="s">
        <v>40</v>
      </c>
      <c r="B6" s="5"/>
      <c r="C6" s="5"/>
      <c r="D6" s="5"/>
      <c r="E6" s="27" t="s">
        <v>39</v>
      </c>
      <c r="F6" s="34">
        <v>1500</v>
      </c>
      <c r="G6" s="27" t="s">
        <v>58</v>
      </c>
      <c r="H6" s="37">
        <v>58</v>
      </c>
      <c r="I6" s="6"/>
    </row>
    <row r="7" spans="1:9" x14ac:dyDescent="0.25">
      <c r="A7" s="4"/>
      <c r="B7" s="5"/>
      <c r="C7" s="5"/>
      <c r="D7" s="5"/>
      <c r="E7" s="5"/>
      <c r="F7" s="28"/>
      <c r="G7" s="5"/>
      <c r="H7" s="5"/>
      <c r="I7" s="6"/>
    </row>
    <row r="8" spans="1:9" x14ac:dyDescent="0.25">
      <c r="A8" s="4" t="s">
        <v>5</v>
      </c>
      <c r="B8" s="5"/>
      <c r="C8" s="5"/>
      <c r="D8" s="5"/>
      <c r="E8" s="5"/>
      <c r="F8" s="34">
        <v>90</v>
      </c>
      <c r="G8" s="5"/>
      <c r="H8" s="33">
        <f>H6*0.55</f>
        <v>31.900000000000002</v>
      </c>
      <c r="I8" s="6"/>
    </row>
    <row r="9" spans="1:9" x14ac:dyDescent="0.25">
      <c r="A9" s="4"/>
      <c r="B9" s="5"/>
      <c r="C9" s="5"/>
      <c r="D9" s="5"/>
      <c r="E9" s="5"/>
      <c r="F9" s="28"/>
      <c r="G9" s="5"/>
      <c r="H9" s="5"/>
      <c r="I9" s="6"/>
    </row>
    <row r="10" spans="1:9" x14ac:dyDescent="0.25">
      <c r="A10" s="4" t="s">
        <v>6</v>
      </c>
      <c r="B10" s="5"/>
      <c r="C10" s="5"/>
      <c r="D10" s="5"/>
      <c r="E10" s="5"/>
      <c r="F10" s="28"/>
      <c r="G10" s="5"/>
      <c r="H10" s="5"/>
      <c r="I10" s="6"/>
    </row>
    <row r="11" spans="1:9" x14ac:dyDescent="0.25">
      <c r="A11" s="18" t="s">
        <v>7</v>
      </c>
      <c r="B11" s="5"/>
      <c r="C11" s="5"/>
      <c r="D11" s="5"/>
      <c r="E11" s="5"/>
      <c r="F11" s="28"/>
      <c r="G11" s="5"/>
      <c r="H11" s="5"/>
      <c r="I11" s="6"/>
    </row>
    <row r="12" spans="1:9" x14ac:dyDescent="0.25">
      <c r="A12" s="4" t="s">
        <v>18</v>
      </c>
      <c r="B12" s="5"/>
      <c r="C12" s="5"/>
      <c r="D12" s="5"/>
      <c r="E12" s="5"/>
      <c r="F12" s="35">
        <v>2</v>
      </c>
      <c r="G12" s="5"/>
      <c r="H12" s="5"/>
      <c r="I12" s="6"/>
    </row>
    <row r="13" spans="1:9" x14ac:dyDescent="0.25">
      <c r="A13" s="4"/>
      <c r="B13" s="5"/>
      <c r="C13" s="5"/>
      <c r="D13" s="5"/>
      <c r="E13" s="5"/>
      <c r="F13" s="28"/>
      <c r="G13" s="5"/>
      <c r="H13" s="5"/>
      <c r="I13" s="6"/>
    </row>
    <row r="14" spans="1:9" x14ac:dyDescent="0.25">
      <c r="A14" s="4" t="s">
        <v>14</v>
      </c>
      <c r="B14" s="5"/>
      <c r="C14" s="5"/>
      <c r="D14" s="5"/>
      <c r="E14" s="5"/>
      <c r="F14" s="34">
        <v>1.5</v>
      </c>
      <c r="G14" s="5"/>
      <c r="H14" s="5"/>
      <c r="I14" s="6"/>
    </row>
    <row r="15" spans="1:9" x14ac:dyDescent="0.25">
      <c r="A15" s="4"/>
      <c r="B15" s="5"/>
      <c r="C15" s="5"/>
      <c r="D15" s="5"/>
      <c r="E15" s="5"/>
      <c r="F15" s="28"/>
      <c r="G15" s="5"/>
      <c r="H15" s="5"/>
      <c r="I15" s="6"/>
    </row>
    <row r="16" spans="1:9" ht="15.75" thickBot="1" x14ac:dyDescent="0.3">
      <c r="A16" s="7" t="s">
        <v>19</v>
      </c>
      <c r="B16" s="8"/>
      <c r="C16" s="8"/>
      <c r="D16" s="8"/>
      <c r="E16" s="8"/>
      <c r="F16" s="36">
        <v>23</v>
      </c>
      <c r="G16" s="8"/>
      <c r="H16" s="8"/>
      <c r="I16" s="9"/>
    </row>
    <row r="18" spans="1:9" ht="15.75" thickBot="1" x14ac:dyDescent="0.3"/>
    <row r="19" spans="1:9" ht="19.5" thickBot="1" x14ac:dyDescent="0.3">
      <c r="A19" s="20" t="s">
        <v>8</v>
      </c>
      <c r="B19" s="12"/>
      <c r="C19" s="12"/>
      <c r="D19" s="12"/>
      <c r="E19" s="12"/>
      <c r="F19" s="12"/>
      <c r="G19" s="12"/>
      <c r="H19" s="12"/>
      <c r="I19" s="13"/>
    </row>
    <row r="20" spans="1:9" x14ac:dyDescent="0.25">
      <c r="A20" s="4" t="s">
        <v>12</v>
      </c>
      <c r="B20" s="5"/>
      <c r="C20" s="5"/>
      <c r="D20" s="5"/>
      <c r="E20" s="5"/>
      <c r="F20" s="5"/>
      <c r="G20" s="16">
        <f>IF(F12&gt;0,(F12*60.8736)+F8,F8*2)</f>
        <v>211.74720000000002</v>
      </c>
      <c r="H20" s="5"/>
      <c r="I20" s="6"/>
    </row>
    <row r="21" spans="1:9" x14ac:dyDescent="0.25">
      <c r="A21" s="4" t="s">
        <v>15</v>
      </c>
      <c r="B21" s="5"/>
      <c r="C21" s="5"/>
      <c r="D21" s="5"/>
      <c r="E21" s="5"/>
      <c r="F21" s="5"/>
      <c r="G21" s="14">
        <f>(G20-F8)/60.8736</f>
        <v>2.0000000000000004</v>
      </c>
      <c r="H21" s="5"/>
      <c r="I21" s="6"/>
    </row>
    <row r="22" spans="1:9" x14ac:dyDescent="0.25">
      <c r="A22" s="4"/>
      <c r="B22" s="5"/>
      <c r="C22" s="5"/>
      <c r="D22" s="5"/>
      <c r="E22" s="5"/>
      <c r="F22" s="5"/>
      <c r="G22" s="5"/>
      <c r="H22" s="5"/>
      <c r="I22" s="6"/>
    </row>
    <row r="23" spans="1:9" x14ac:dyDescent="0.25">
      <c r="A23" s="4" t="s">
        <v>20</v>
      </c>
      <c r="B23" s="5"/>
      <c r="C23" s="5"/>
      <c r="D23" s="5"/>
      <c r="E23" s="5"/>
      <c r="F23" s="5"/>
      <c r="G23" s="15">
        <f>G24/30.4368</f>
        <v>12.765678389318195</v>
      </c>
      <c r="H23" s="5"/>
      <c r="I23" s="6"/>
    </row>
    <row r="24" spans="1:9" x14ac:dyDescent="0.25">
      <c r="A24" s="4" t="s">
        <v>21</v>
      </c>
      <c r="B24" s="5"/>
      <c r="C24" s="5"/>
      <c r="D24" s="5"/>
      <c r="E24" s="5"/>
      <c r="F24" s="5"/>
      <c r="G24" s="16">
        <f>G31-(21*F14)</f>
        <v>388.54640000000006</v>
      </c>
      <c r="H24" s="5"/>
      <c r="I24" s="6"/>
    </row>
    <row r="25" spans="1:9" x14ac:dyDescent="0.25">
      <c r="A25" s="4" t="s">
        <v>22</v>
      </c>
      <c r="B25" s="5"/>
      <c r="C25" s="5"/>
      <c r="D25" s="5"/>
      <c r="E25" s="5"/>
      <c r="F25" s="5"/>
      <c r="G25" s="16">
        <f>G32-(G33*(21*F14))</f>
        <v>771.21679815398056</v>
      </c>
      <c r="H25" s="5"/>
      <c r="I25" s="6"/>
    </row>
    <row r="26" spans="1:9" x14ac:dyDescent="0.25">
      <c r="A26" s="38" t="s">
        <v>27</v>
      </c>
      <c r="B26" s="5"/>
      <c r="C26" s="5"/>
      <c r="D26" s="5"/>
      <c r="E26" s="5"/>
      <c r="F26" s="5"/>
      <c r="G26" s="16"/>
      <c r="H26" s="5"/>
      <c r="I26" s="6"/>
    </row>
    <row r="27" spans="1:9" x14ac:dyDescent="0.25">
      <c r="A27" s="38" t="s">
        <v>26</v>
      </c>
      <c r="B27" s="5"/>
      <c r="C27" s="5"/>
      <c r="D27" s="5"/>
      <c r="E27" s="5"/>
      <c r="F27" s="5"/>
      <c r="G27" s="16"/>
      <c r="H27" s="5"/>
      <c r="I27" s="6"/>
    </row>
    <row r="28" spans="1:9" x14ac:dyDescent="0.25">
      <c r="A28" s="38" t="s">
        <v>61</v>
      </c>
      <c r="B28" s="5"/>
      <c r="C28" s="5"/>
      <c r="D28" s="5"/>
      <c r="E28" s="5"/>
      <c r="F28" s="5"/>
      <c r="G28" s="16"/>
      <c r="H28" s="5"/>
      <c r="I28" s="6"/>
    </row>
    <row r="29" spans="1:9" x14ac:dyDescent="0.25">
      <c r="A29" s="4"/>
      <c r="B29" s="5"/>
      <c r="C29" s="5"/>
      <c r="D29" s="5"/>
      <c r="E29" s="5"/>
      <c r="F29" s="5"/>
      <c r="G29" s="5"/>
      <c r="H29" s="5"/>
      <c r="I29" s="6"/>
    </row>
    <row r="30" spans="1:9" x14ac:dyDescent="0.25">
      <c r="A30" s="4" t="s">
        <v>23</v>
      </c>
      <c r="B30" s="5"/>
      <c r="C30" s="5"/>
      <c r="D30" s="5"/>
      <c r="E30" s="5"/>
      <c r="F30" s="5"/>
      <c r="G30" s="15">
        <f>G31/30.4368</f>
        <v>13.800609788151187</v>
      </c>
      <c r="H30" s="5"/>
      <c r="I30" s="6"/>
    </row>
    <row r="31" spans="1:9" x14ac:dyDescent="0.25">
      <c r="A31" s="4" t="s">
        <v>24</v>
      </c>
      <c r="B31" s="5"/>
      <c r="C31" s="5"/>
      <c r="D31" s="5"/>
      <c r="E31" s="5"/>
      <c r="F31" s="5"/>
      <c r="G31" s="16">
        <f>(F16*30.4368)-280</f>
        <v>420.04640000000006</v>
      </c>
      <c r="H31" s="5"/>
      <c r="I31" s="6"/>
    </row>
    <row r="32" spans="1:9" x14ac:dyDescent="0.25">
      <c r="A32" s="4" t="s">
        <v>41</v>
      </c>
      <c r="B32" s="5"/>
      <c r="C32" s="5"/>
      <c r="D32" s="5"/>
      <c r="E32" s="5"/>
      <c r="F32" s="27" t="s">
        <v>39</v>
      </c>
      <c r="G32" s="16">
        <f>F6*0.55</f>
        <v>825.00000000000011</v>
      </c>
      <c r="H32" s="27" t="s">
        <v>58</v>
      </c>
      <c r="I32" s="29">
        <f>0.85*H6</f>
        <v>49.3</v>
      </c>
    </row>
    <row r="33" spans="1:9" x14ac:dyDescent="0.25">
      <c r="A33" s="4" t="s">
        <v>16</v>
      </c>
      <c r="B33" s="5"/>
      <c r="C33" s="5"/>
      <c r="D33" s="5"/>
      <c r="E33" s="5"/>
      <c r="F33" s="5"/>
      <c r="G33" s="14">
        <f>(G32-G20)/(G31-60.8736)</f>
        <v>1.7074032332069689</v>
      </c>
      <c r="H33" s="5"/>
      <c r="I33" s="31">
        <f>(I32-H8)/G31</f>
        <v>4.1423995063402504E-2</v>
      </c>
    </row>
    <row r="34" spans="1:9" x14ac:dyDescent="0.25">
      <c r="A34" s="4"/>
      <c r="B34" s="5"/>
      <c r="C34" s="5"/>
      <c r="D34" s="5"/>
      <c r="E34" s="5"/>
      <c r="F34" s="5"/>
      <c r="G34" s="5"/>
      <c r="H34" s="5"/>
      <c r="I34" s="6"/>
    </row>
    <row r="35" spans="1:9" x14ac:dyDescent="0.25">
      <c r="A35" s="4" t="s">
        <v>25</v>
      </c>
      <c r="B35" s="5"/>
      <c r="C35" s="5"/>
      <c r="D35" s="5"/>
      <c r="E35" s="5"/>
      <c r="F35" s="5"/>
      <c r="G35" s="16">
        <f>((73.195*((F8*0.45359)/45))/0.45359)+G36</f>
        <v>1421.3899999999999</v>
      </c>
      <c r="H35" s="5"/>
      <c r="I35" s="6"/>
    </row>
    <row r="36" spans="1:9" x14ac:dyDescent="0.25">
      <c r="A36" s="4" t="s">
        <v>42</v>
      </c>
      <c r="B36" s="5"/>
      <c r="C36" s="5"/>
      <c r="D36" s="5"/>
      <c r="E36" s="5"/>
      <c r="F36" s="27" t="s">
        <v>39</v>
      </c>
      <c r="G36" s="5">
        <f>0.85*F6</f>
        <v>1275</v>
      </c>
      <c r="H36" s="27" t="s">
        <v>58</v>
      </c>
      <c r="I36" s="29">
        <f>0.96*H6</f>
        <v>55.68</v>
      </c>
    </row>
    <row r="37" spans="1:9" ht="15.75" thickBot="1" x14ac:dyDescent="0.3">
      <c r="A37" s="7" t="s">
        <v>17</v>
      </c>
      <c r="B37" s="8"/>
      <c r="C37" s="8"/>
      <c r="D37" s="8"/>
      <c r="E37" s="8"/>
      <c r="F37" s="8"/>
      <c r="G37" s="17">
        <f>(G35-G32)/((F16*30.4368)-G31)</f>
        <v>2.1299642857142849</v>
      </c>
      <c r="H37" s="8"/>
      <c r="I37" s="32">
        <f>(I36-I32)/((F16*30.4368)-G31)</f>
        <v>2.2785714285714295E-2</v>
      </c>
    </row>
    <row r="39" spans="1:9" x14ac:dyDescent="0.25">
      <c r="A39" t="s">
        <v>9</v>
      </c>
    </row>
    <row r="40" spans="1:9" x14ac:dyDescent="0.25">
      <c r="A40" t="s">
        <v>11</v>
      </c>
    </row>
    <row r="41" spans="1:9" x14ac:dyDescent="0.25">
      <c r="A41" t="s">
        <v>10</v>
      </c>
    </row>
    <row r="42" spans="1:9" x14ac:dyDescent="0.25">
      <c r="A42" t="s">
        <v>13</v>
      </c>
    </row>
    <row r="43" spans="1:9" x14ac:dyDescent="0.25">
      <c r="A43" t="s">
        <v>59</v>
      </c>
    </row>
    <row r="44" spans="1:9" x14ac:dyDescent="0.25">
      <c r="A44" t="s">
        <v>60</v>
      </c>
      <c r="C44" s="1"/>
      <c r="D44" s="1"/>
    </row>
    <row r="45" spans="1:9" x14ac:dyDescent="0.25">
      <c r="C45" s="1"/>
      <c r="D45" s="1"/>
    </row>
  </sheetData>
  <sheetProtection sheet="1" objects="1" scenarios="1"/>
  <mergeCells count="2">
    <mergeCell ref="A2:I2"/>
    <mergeCell ref="A3:I3"/>
  </mergeCells>
  <printOptions horizontalCentered="1"/>
  <pageMargins left="0.7" right="0.7" top="0.75" bottom="0.75" header="0.3" footer="0.3"/>
  <pageSetup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election activeCell="E35" sqref="E35"/>
    </sheetView>
  </sheetViews>
  <sheetFormatPr defaultRowHeight="15" x14ac:dyDescent="0.25"/>
  <sheetData>
    <row r="1" spans="1:11" ht="19.5" customHeight="1" x14ac:dyDescent="0.25"/>
    <row r="2" spans="1:11" ht="21" x14ac:dyDescent="0.35">
      <c r="A2" s="61" t="s">
        <v>44</v>
      </c>
      <c r="B2" s="61"/>
      <c r="C2" s="61"/>
      <c r="D2" s="61"/>
      <c r="E2" s="61"/>
      <c r="F2" s="61"/>
    </row>
    <row r="3" spans="1:11" ht="15.75" x14ac:dyDescent="0.25">
      <c r="A3" s="62" t="s">
        <v>43</v>
      </c>
      <c r="B3" s="62"/>
      <c r="C3" s="62"/>
      <c r="D3" s="62"/>
      <c r="E3" s="62"/>
      <c r="F3" s="62"/>
    </row>
    <row r="4" spans="1:11" ht="15.75" thickBot="1" x14ac:dyDescent="0.3"/>
    <row r="5" spans="1:11" x14ac:dyDescent="0.25">
      <c r="A5" s="55" t="s">
        <v>0</v>
      </c>
      <c r="B5" s="56" t="s">
        <v>1</v>
      </c>
      <c r="C5" s="56" t="s">
        <v>2</v>
      </c>
      <c r="D5" s="56" t="s">
        <v>3</v>
      </c>
      <c r="E5" s="56" t="s">
        <v>65</v>
      </c>
      <c r="F5" s="57" t="s">
        <v>66</v>
      </c>
    </row>
    <row r="6" spans="1:11" x14ac:dyDescent="0.25">
      <c r="A6" s="45">
        <v>0</v>
      </c>
      <c r="B6" s="46">
        <f t="shared" ref="B6:B24" si="0">A6*30.4368</f>
        <v>0</v>
      </c>
      <c r="C6" s="47">
        <f>Calculations!F8</f>
        <v>90</v>
      </c>
      <c r="D6" s="48">
        <f>C6/Calculations!$F$6*100</f>
        <v>6</v>
      </c>
      <c r="E6" s="46">
        <f>Calculations!H8</f>
        <v>31.900000000000002</v>
      </c>
      <c r="F6" s="49">
        <f>E6/Calculations!$H$6*100</f>
        <v>55.000000000000007</v>
      </c>
      <c r="J6" s="2"/>
      <c r="K6" s="3"/>
    </row>
    <row r="7" spans="1:11" x14ac:dyDescent="0.25">
      <c r="A7" s="45">
        <v>1</v>
      </c>
      <c r="B7" s="46">
        <f t="shared" si="0"/>
        <v>30.436800000000002</v>
      </c>
      <c r="C7" s="47">
        <f>C6+(Calculations!G21*30.4368)</f>
        <v>150.87360000000001</v>
      </c>
      <c r="D7" s="48">
        <f>C7/Calculations!$F$6*100</f>
        <v>10.05824</v>
      </c>
      <c r="E7" s="46">
        <f>E6+($C$49*30.4368)</f>
        <v>33.881666666666668</v>
      </c>
      <c r="F7" s="49">
        <f>E7/Calculations!$H$6*100</f>
        <v>58.416666666666671</v>
      </c>
      <c r="J7" s="2"/>
      <c r="K7" s="3"/>
    </row>
    <row r="8" spans="1:11" x14ac:dyDescent="0.25">
      <c r="A8" s="45">
        <v>2</v>
      </c>
      <c r="B8" s="46">
        <f t="shared" si="0"/>
        <v>60.873600000000003</v>
      </c>
      <c r="C8" s="47">
        <f>C7+(Calculations!G21*30.4368)</f>
        <v>211.74720000000002</v>
      </c>
      <c r="D8" s="48">
        <f>C8/Calculations!$F$6*100</f>
        <v>14.116480000000001</v>
      </c>
      <c r="E8" s="46">
        <f t="shared" ref="E8:E12" si="1">E7+($C$49*30.4368)</f>
        <v>35.863333333333337</v>
      </c>
      <c r="F8" s="49">
        <f>E8/Calculations!$H$6*100</f>
        <v>61.833333333333343</v>
      </c>
      <c r="J8" s="2"/>
      <c r="K8" s="3"/>
    </row>
    <row r="9" spans="1:11" x14ac:dyDescent="0.25">
      <c r="A9" s="45">
        <v>3</v>
      </c>
      <c r="B9" s="46">
        <f t="shared" si="0"/>
        <v>91.310400000000001</v>
      </c>
      <c r="C9" s="47">
        <f>IF(B9&gt;Calculations!$G$31,(C8+(Calculations!$G$37*30.4368)),(C8+(Calculations!$G$33*30.4368)))</f>
        <v>263.71509072847391</v>
      </c>
      <c r="D9" s="48">
        <f>C9/Calculations!$F$6*100</f>
        <v>17.581006048564927</v>
      </c>
      <c r="E9" s="46">
        <f t="shared" si="1"/>
        <v>37.845000000000006</v>
      </c>
      <c r="F9" s="49">
        <f>E9/Calculations!$H$6*100</f>
        <v>65.250000000000014</v>
      </c>
      <c r="J9" s="2"/>
      <c r="K9" s="3"/>
    </row>
    <row r="10" spans="1:11" x14ac:dyDescent="0.25">
      <c r="A10" s="45">
        <v>4</v>
      </c>
      <c r="B10" s="46">
        <f t="shared" si="0"/>
        <v>121.74720000000001</v>
      </c>
      <c r="C10" s="47">
        <f>IF(B10&gt;Calculations!$G$31,(C9+(Calculations!$G$37*30.4368)),(C9+(Calculations!$G$33*30.4368)))</f>
        <v>315.6829814569478</v>
      </c>
      <c r="D10" s="48">
        <f>C10/Calculations!$F$6*100</f>
        <v>21.045532097129854</v>
      </c>
      <c r="E10" s="46">
        <f t="shared" si="1"/>
        <v>39.826666666666675</v>
      </c>
      <c r="F10" s="49">
        <f>E10/Calculations!$H$6*100</f>
        <v>68.666666666666671</v>
      </c>
      <c r="J10" s="2"/>
      <c r="K10" s="3"/>
    </row>
    <row r="11" spans="1:11" x14ac:dyDescent="0.25">
      <c r="A11" s="45">
        <v>5</v>
      </c>
      <c r="B11" s="46">
        <f t="shared" si="0"/>
        <v>152.184</v>
      </c>
      <c r="C11" s="47">
        <f>IF(B11&gt;Calculations!$G$31,(C10+(Calculations!$G$37*30.4368)),(C10+(Calculations!$G$33*30.4368)))</f>
        <v>367.65087218542169</v>
      </c>
      <c r="D11" s="48">
        <f>C11/Calculations!$F$6*100</f>
        <v>24.510058145694778</v>
      </c>
      <c r="E11" s="46">
        <f t="shared" si="1"/>
        <v>41.808333333333344</v>
      </c>
      <c r="F11" s="49">
        <f>E11/Calculations!$H$6*100</f>
        <v>72.083333333333357</v>
      </c>
      <c r="J11" s="2"/>
      <c r="K11" s="3"/>
    </row>
    <row r="12" spans="1:11" x14ac:dyDescent="0.25">
      <c r="A12" s="45">
        <v>6</v>
      </c>
      <c r="B12" s="46">
        <f t="shared" si="0"/>
        <v>182.6208</v>
      </c>
      <c r="C12" s="47">
        <f>IF(B12&gt;Calculations!$G$31,(C11+(Calculations!$G$37*30.4368)),(C11+(Calculations!$G$33*30.4368)))</f>
        <v>419.61876291389558</v>
      </c>
      <c r="D12" s="48">
        <f>C12/Calculations!$F$6*100</f>
        <v>27.974584194259705</v>
      </c>
      <c r="E12" s="46">
        <f t="shared" si="1"/>
        <v>43.790000000000013</v>
      </c>
      <c r="F12" s="49">
        <f>E12/Calculations!$H$6*100</f>
        <v>75.500000000000028</v>
      </c>
      <c r="J12" s="2"/>
      <c r="K12" s="3"/>
    </row>
    <row r="13" spans="1:11" x14ac:dyDescent="0.25">
      <c r="A13" s="45">
        <v>7</v>
      </c>
      <c r="B13" s="46">
        <f t="shared" si="0"/>
        <v>213.05760000000001</v>
      </c>
      <c r="C13" s="47">
        <f>IF(B13&gt;Calculations!$G$31,(C12+(Calculations!$G$37*30.4368)),(C12+(Calculations!$G$33*30.4368)))</f>
        <v>471.58665364236947</v>
      </c>
      <c r="D13" s="48">
        <f>C13/Calculations!$F$6*100</f>
        <v>31.439110242824629</v>
      </c>
      <c r="E13" s="46">
        <f>E12+($C$50*30.4368)</f>
        <v>44.780833333333348</v>
      </c>
      <c r="F13" s="49">
        <f>E13/Calculations!$H$6*100</f>
        <v>77.208333333333357</v>
      </c>
      <c r="J13" s="2"/>
      <c r="K13" s="3"/>
    </row>
    <row r="14" spans="1:11" x14ac:dyDescent="0.25">
      <c r="A14" s="45">
        <v>8</v>
      </c>
      <c r="B14" s="46">
        <f t="shared" si="0"/>
        <v>243.49440000000001</v>
      </c>
      <c r="C14" s="47">
        <f>IF(B14&gt;Calculations!$G$31,(C13+(Calculations!$G$37*30.4368)),(C13+(Calculations!$G$33*30.4368)))</f>
        <v>523.55454437084336</v>
      </c>
      <c r="D14" s="48">
        <f>C14/Calculations!$F$6*100</f>
        <v>34.903636291389553</v>
      </c>
      <c r="E14" s="46">
        <f t="shared" ref="E14:E17" si="2">E13+($C$50*30.4368)</f>
        <v>45.771666666666682</v>
      </c>
      <c r="F14" s="49">
        <f>E14/Calculations!$H$6*100</f>
        <v>78.916666666666686</v>
      </c>
      <c r="J14" s="2"/>
      <c r="K14" s="3"/>
    </row>
    <row r="15" spans="1:11" x14ac:dyDescent="0.25">
      <c r="A15" s="45">
        <v>9</v>
      </c>
      <c r="B15" s="46">
        <f t="shared" si="0"/>
        <v>273.93119999999999</v>
      </c>
      <c r="C15" s="47">
        <f>IF(B15&gt;Calculations!$G$31,(C14+(Calculations!$G$37*30.4368)),(C14+(Calculations!$G$33*30.4368)))</f>
        <v>575.52243509931725</v>
      </c>
      <c r="D15" s="48">
        <f>C15/Calculations!$F$6*100</f>
        <v>38.36816233995448</v>
      </c>
      <c r="E15" s="46">
        <f t="shared" si="2"/>
        <v>46.762500000000017</v>
      </c>
      <c r="F15" s="49">
        <f>E15/Calculations!$H$6*100</f>
        <v>80.625000000000028</v>
      </c>
      <c r="J15" s="2"/>
      <c r="K15" s="3"/>
    </row>
    <row r="16" spans="1:11" x14ac:dyDescent="0.25">
      <c r="A16" s="45">
        <v>10</v>
      </c>
      <c r="B16" s="46">
        <f t="shared" si="0"/>
        <v>304.36799999999999</v>
      </c>
      <c r="C16" s="47">
        <f>IF(B16&gt;Calculations!$G$31,(C15+(Calculations!$G$37*30.4368)),(C15+(Calculations!$G$33*30.4368)))</f>
        <v>627.49032582779114</v>
      </c>
      <c r="D16" s="48">
        <f>C16/Calculations!$F$6*100</f>
        <v>41.832688388519408</v>
      </c>
      <c r="E16" s="46">
        <f t="shared" si="2"/>
        <v>47.753333333333352</v>
      </c>
      <c r="F16" s="49">
        <f>E16/Calculations!$H$6*100</f>
        <v>82.333333333333371</v>
      </c>
      <c r="J16" s="2"/>
      <c r="K16" s="3"/>
    </row>
    <row r="17" spans="1:11" x14ac:dyDescent="0.25">
      <c r="A17" s="45">
        <v>11</v>
      </c>
      <c r="B17" s="46">
        <f t="shared" si="0"/>
        <v>334.8048</v>
      </c>
      <c r="C17" s="47">
        <f>IF(B17&gt;Calculations!$G$31,(C16+(Calculations!$G$37*30.4368)),(C16+(Calculations!$G$33*30.4368)))</f>
        <v>679.45821655626503</v>
      </c>
      <c r="D17" s="48">
        <f>C17/Calculations!$F$6*100</f>
        <v>45.297214437084335</v>
      </c>
      <c r="E17" s="46">
        <f t="shared" si="2"/>
        <v>48.744166666666686</v>
      </c>
      <c r="F17" s="49">
        <f>E17/Calculations!$H$6*100</f>
        <v>84.0416666666667</v>
      </c>
      <c r="J17" s="2"/>
      <c r="K17" s="3"/>
    </row>
    <row r="18" spans="1:11" x14ac:dyDescent="0.25">
      <c r="A18" s="45">
        <v>12</v>
      </c>
      <c r="B18" s="46">
        <f t="shared" si="0"/>
        <v>365.24160000000001</v>
      </c>
      <c r="C18" s="47">
        <f>IF(B18&gt;Calculations!$G$31,(C17+(Calculations!$G$37*30.4368)),(C17+(Calculations!$G$33*30.4368)))</f>
        <v>731.42610728473892</v>
      </c>
      <c r="D18" s="48">
        <f>C18/Calculations!$F$6*100</f>
        <v>48.761740485649263</v>
      </c>
      <c r="E18" s="46">
        <f>E17+($C$50*30.4368)</f>
        <v>49.735000000000021</v>
      </c>
      <c r="F18" s="49">
        <f>E18/Calculations!$H$6*100</f>
        <v>85.750000000000043</v>
      </c>
      <c r="J18" s="2"/>
      <c r="K18" s="3"/>
    </row>
    <row r="19" spans="1:11" x14ac:dyDescent="0.25">
      <c r="A19" s="45">
        <v>13</v>
      </c>
      <c r="B19" s="46">
        <f t="shared" si="0"/>
        <v>395.67840000000001</v>
      </c>
      <c r="C19" s="47">
        <f>IF(B19&gt;Calculations!$G$31,(C18+(Calculations!$G$37*30.4368)),(C18+(Calculations!$G$33*30.4368)))</f>
        <v>783.39399801321281</v>
      </c>
      <c r="D19" s="48">
        <f>C19/Calculations!$F$6*100</f>
        <v>52.226266534214183</v>
      </c>
      <c r="E19" s="46">
        <f>E18+($C$51*30.4368)</f>
        <v>50.275454545454565</v>
      </c>
      <c r="F19" s="49">
        <f>E19/Calculations!$H$6*100</f>
        <v>86.681818181818215</v>
      </c>
      <c r="J19" s="2"/>
      <c r="K19" s="3"/>
    </row>
    <row r="20" spans="1:11" x14ac:dyDescent="0.25">
      <c r="A20" s="45">
        <v>14</v>
      </c>
      <c r="B20" s="46">
        <f t="shared" si="0"/>
        <v>426.11520000000002</v>
      </c>
      <c r="C20" s="47">
        <f>IF(B20&gt;Calculations!$G$31,(C19+(Calculations!$G$37*30.4368)),(C19+(Calculations!$G$33*30.4368)))</f>
        <v>848.22329498464137</v>
      </c>
      <c r="D20" s="48">
        <f>C20/Calculations!$F$6*100</f>
        <v>56.548219665642762</v>
      </c>
      <c r="E20" s="46">
        <f t="shared" ref="E20:E23" si="3">E19+($C$51*30.4368)</f>
        <v>50.815909090909109</v>
      </c>
      <c r="F20" s="49">
        <f>E20/Calculations!$H$6*100</f>
        <v>87.613636363636388</v>
      </c>
      <c r="J20" s="2"/>
      <c r="K20" s="3"/>
    </row>
    <row r="21" spans="1:11" x14ac:dyDescent="0.25">
      <c r="A21" s="45">
        <v>15</v>
      </c>
      <c r="B21" s="46">
        <f t="shared" si="0"/>
        <v>456.55200000000002</v>
      </c>
      <c r="C21" s="47">
        <f>IF(B21&gt;Calculations!$G$31,(C20+(Calculations!$G$37*30.4368)),(C20+(Calculations!$G$33*30.4368)))</f>
        <v>913.05259195606993</v>
      </c>
      <c r="D21" s="48">
        <f>C21/Calculations!$F$6*100</f>
        <v>60.870172797071334</v>
      </c>
      <c r="E21" s="46">
        <f t="shared" si="3"/>
        <v>51.356363636363653</v>
      </c>
      <c r="F21" s="49">
        <f>E21/Calculations!$H$6*100</f>
        <v>88.545454545454575</v>
      </c>
      <c r="J21" s="2"/>
      <c r="K21" s="3"/>
    </row>
    <row r="22" spans="1:11" x14ac:dyDescent="0.25">
      <c r="A22" s="45">
        <v>16</v>
      </c>
      <c r="B22" s="46">
        <f t="shared" si="0"/>
        <v>486.98880000000003</v>
      </c>
      <c r="C22" s="47">
        <f>IF(B22&gt;Calculations!$G$31,(C21+(Calculations!$G$37*30.4368)),(C21+(Calculations!$G$33*30.4368)))</f>
        <v>977.88188892749849</v>
      </c>
      <c r="D22" s="48">
        <f>C22/Calculations!$F$6*100</f>
        <v>65.192125928499905</v>
      </c>
      <c r="E22" s="46">
        <f t="shared" si="3"/>
        <v>51.896818181818198</v>
      </c>
      <c r="F22" s="49">
        <f>E22/Calculations!$H$6*100</f>
        <v>89.477272727272748</v>
      </c>
      <c r="J22" s="2"/>
      <c r="K22" s="3"/>
    </row>
    <row r="23" spans="1:11" x14ac:dyDescent="0.25">
      <c r="A23" s="45">
        <v>17</v>
      </c>
      <c r="B23" s="46">
        <f t="shared" si="0"/>
        <v>517.42560000000003</v>
      </c>
      <c r="C23" s="47">
        <f>IF(B23&gt;Calculations!$G$31,(C22+(Calculations!$G$37*30.4368)),(C22+(Calculations!$G$33*30.4368)))</f>
        <v>1042.7111858989269</v>
      </c>
      <c r="D23" s="48">
        <f>C23/Calculations!$F$6*100</f>
        <v>69.514079059928463</v>
      </c>
      <c r="E23" s="46">
        <f t="shared" si="3"/>
        <v>52.437272727272742</v>
      </c>
      <c r="F23" s="49">
        <f>E23/Calculations!$H$6*100</f>
        <v>90.409090909090935</v>
      </c>
      <c r="J23" s="2"/>
      <c r="K23" s="3"/>
    </row>
    <row r="24" spans="1:11" x14ac:dyDescent="0.25">
      <c r="A24" s="45">
        <v>18</v>
      </c>
      <c r="B24" s="46">
        <f t="shared" si="0"/>
        <v>547.86239999999998</v>
      </c>
      <c r="C24" s="47">
        <f>IF(B24&gt;$E$37,(Calculations!$G$36+($E$41*(B24-$E$37))),(C23+(Calculations!$G$37*30.4368)))</f>
        <v>1107.5404828703554</v>
      </c>
      <c r="D24" s="48">
        <f>C24/Calculations!$F$6*100</f>
        <v>73.83603219135702</v>
      </c>
      <c r="E24" s="46">
        <f>IF(B24&gt;$E$37,(E23+($F$41*30.4368)),(E23+($C$51*30.4368)))</f>
        <v>52.977727272727286</v>
      </c>
      <c r="F24" s="49">
        <f>E24/Calculations!$H$6*100</f>
        <v>91.340909090909122</v>
      </c>
      <c r="J24" s="2"/>
      <c r="K24" s="3"/>
    </row>
    <row r="25" spans="1:11" x14ac:dyDescent="0.25">
      <c r="A25" s="45">
        <v>19</v>
      </c>
      <c r="B25" s="46">
        <f t="shared" ref="B25:B34" si="4">A25*30.4368</f>
        <v>578.29920000000004</v>
      </c>
      <c r="C25" s="47">
        <f>IF(B25&gt;$E$37,(Calculations!$G$36+($E$41*(B25-$E$37))),(C24+(Calculations!$G$37*30.4368)))</f>
        <v>1172.3697798417838</v>
      </c>
      <c r="D25" s="48">
        <f>C25/Calculations!$F$6*100</f>
        <v>78.157985322785592</v>
      </c>
      <c r="E25" s="46">
        <f t="shared" ref="E25:E34" si="5">IF(B25&gt;$E$37,(E24+($F$41*30.4368)),(E24+($C$51*30.4368)))</f>
        <v>53.51818181818183</v>
      </c>
      <c r="F25" s="49">
        <f>E25/Calculations!$H$6*100</f>
        <v>92.272727272727295</v>
      </c>
      <c r="J25" s="2"/>
      <c r="K25" s="3"/>
    </row>
    <row r="26" spans="1:11" x14ac:dyDescent="0.25">
      <c r="A26" s="45">
        <v>20</v>
      </c>
      <c r="B26" s="46">
        <f t="shared" si="4"/>
        <v>608.73599999999999</v>
      </c>
      <c r="C26" s="47">
        <f>IF(B26&gt;$E$37,(Calculations!$G$36+($E$41*(B26-$E$37))),(C25+(Calculations!$G$37*30.4368)))</f>
        <v>1237.1990768132123</v>
      </c>
      <c r="D26" s="48">
        <f>C26/Calculations!$F$6*100</f>
        <v>82.47993845421415</v>
      </c>
      <c r="E26" s="46">
        <f t="shared" si="5"/>
        <v>54.058636363636374</v>
      </c>
      <c r="F26" s="49">
        <f>E26/Calculations!$H$6*100</f>
        <v>93.204545454545467</v>
      </c>
      <c r="J26" s="2"/>
      <c r="K26" s="3"/>
    </row>
    <row r="27" spans="1:11" x14ac:dyDescent="0.25">
      <c r="A27" s="45">
        <v>21</v>
      </c>
      <c r="B27" s="46">
        <f t="shared" si="4"/>
        <v>639.17280000000005</v>
      </c>
      <c r="C27" s="47">
        <f>IF(B27&gt;$E$37,(Calculations!$G$36+($E$41*(B27-$E$37))),(C26+(Calculations!$G$37*30.4368)))</f>
        <v>1302.0283737846407</v>
      </c>
      <c r="D27" s="48">
        <f>C27/Calculations!$F$6*100</f>
        <v>86.801891585642721</v>
      </c>
      <c r="E27" s="46">
        <f t="shared" si="5"/>
        <v>54.599090909090918</v>
      </c>
      <c r="F27" s="49">
        <f>E27/Calculations!$H$6*100</f>
        <v>94.136363636363654</v>
      </c>
      <c r="J27" s="2"/>
      <c r="K27" s="3"/>
    </row>
    <row r="28" spans="1:11" x14ac:dyDescent="0.25">
      <c r="A28" s="45">
        <v>22</v>
      </c>
      <c r="B28" s="46">
        <f t="shared" si="4"/>
        <v>669.6096</v>
      </c>
      <c r="C28" s="47">
        <f>IF(B28&gt;$E$37,(Calculations!$G$36+($E$41*(B28-$E$37))),(C27+(Calculations!$G$37*30.4368)))</f>
        <v>1366.8576707560692</v>
      </c>
      <c r="D28" s="48">
        <f>C28/Calculations!$F$6*100</f>
        <v>91.123844717071279</v>
      </c>
      <c r="E28" s="46">
        <f t="shared" si="5"/>
        <v>55.139545454545463</v>
      </c>
      <c r="F28" s="49">
        <f>E28/Calculations!$H$6*100</f>
        <v>95.068181818181827</v>
      </c>
      <c r="J28" s="2"/>
      <c r="K28" s="3"/>
    </row>
    <row r="29" spans="1:11" x14ac:dyDescent="0.25">
      <c r="A29" s="45">
        <v>23</v>
      </c>
      <c r="B29" s="46">
        <f t="shared" si="4"/>
        <v>700.04640000000006</v>
      </c>
      <c r="C29" s="47">
        <f>IF(B29&gt;$E$37,(Calculations!$G$36+($E$41*(B29-$E$37))),(C28+(Calculations!$G$37*30.4368)))</f>
        <v>1431.6869677274976</v>
      </c>
      <c r="D29" s="48">
        <f>C29/Calculations!$F$6*100</f>
        <v>95.445797848499851</v>
      </c>
      <c r="E29" s="46">
        <f t="shared" si="5"/>
        <v>55.680000000000007</v>
      </c>
      <c r="F29" s="49">
        <f>E29/Calculations!$H$6*100</f>
        <v>96.000000000000014</v>
      </c>
      <c r="J29" s="2"/>
      <c r="K29" s="3"/>
    </row>
    <row r="30" spans="1:11" x14ac:dyDescent="0.25">
      <c r="A30" s="45">
        <v>24</v>
      </c>
      <c r="B30" s="46">
        <f t="shared" si="4"/>
        <v>730.48320000000001</v>
      </c>
      <c r="C30" s="47">
        <f>IF(B30&gt;$E$37,(Calculations!$G$36+($E$41*(B30-$E$37))),(C29+(Calculations!$G$37*30.4368)))</f>
        <v>1293.9442133535101</v>
      </c>
      <c r="D30" s="48">
        <f>C30/Calculations!$F$6*100</f>
        <v>86.26294755690067</v>
      </c>
      <c r="E30" s="46">
        <f t="shared" si="5"/>
        <v>55.722962962962967</v>
      </c>
      <c r="F30" s="49">
        <f>E30/Calculations!$H$6*100</f>
        <v>96.074074074074076</v>
      </c>
      <c r="J30" s="2"/>
      <c r="K30" s="3"/>
    </row>
    <row r="31" spans="1:11" x14ac:dyDescent="0.25">
      <c r="A31" s="45">
        <v>25</v>
      </c>
      <c r="B31" s="46">
        <f t="shared" si="4"/>
        <v>760.92000000000007</v>
      </c>
      <c r="C31" s="47">
        <f>IF(B31&gt;$E$37,(Calculations!$G$36+($E$41*(B31-$E$37))),(C30+(Calculations!$G$37*30.4368)))</f>
        <v>1312.8884267070202</v>
      </c>
      <c r="D31" s="48">
        <f>C31/Calculations!$F$6*100</f>
        <v>87.52589511380134</v>
      </c>
      <c r="E31" s="46">
        <f t="shared" si="5"/>
        <v>55.765925925925927</v>
      </c>
      <c r="F31" s="49">
        <f>E31/Calculations!$H$6*100</f>
        <v>96.148148148148152</v>
      </c>
      <c r="J31" s="2"/>
      <c r="K31" s="3"/>
    </row>
    <row r="32" spans="1:11" x14ac:dyDescent="0.25">
      <c r="A32" s="45">
        <v>26</v>
      </c>
      <c r="B32" s="46">
        <f t="shared" si="4"/>
        <v>791.35680000000002</v>
      </c>
      <c r="C32" s="47">
        <f>IF(B32&gt;$E$37,(Calculations!$G$36+($E$41*(B32-$E$37))),(C31+(Calculations!$G$37*30.4368)))</f>
        <v>1331.8326400605304</v>
      </c>
      <c r="D32" s="48">
        <f>C32/Calculations!$F$6*100</f>
        <v>88.788842670702024</v>
      </c>
      <c r="E32" s="46">
        <f t="shared" si="5"/>
        <v>55.808888888888887</v>
      </c>
      <c r="F32" s="49">
        <f>E32/Calculations!$H$6*100</f>
        <v>96.222222222222214</v>
      </c>
      <c r="J32" s="2"/>
      <c r="K32" s="3"/>
    </row>
    <row r="33" spans="1:11" x14ac:dyDescent="0.25">
      <c r="A33" s="45">
        <v>27</v>
      </c>
      <c r="B33" s="46">
        <f t="shared" si="4"/>
        <v>821.79360000000008</v>
      </c>
      <c r="C33" s="47">
        <f>IF(B33&gt;$E$37,(Calculations!$G$36+($E$41*(B33-$E$37))),(C32+(Calculations!$G$37*30.4368)))</f>
        <v>1350.7768534140405</v>
      </c>
      <c r="D33" s="48">
        <f>C33/Calculations!$F$6*100</f>
        <v>90.051790227602709</v>
      </c>
      <c r="E33" s="46">
        <f t="shared" si="5"/>
        <v>55.851851851851848</v>
      </c>
      <c r="F33" s="49">
        <f>E33/Calculations!$H$6*100</f>
        <v>96.296296296296291</v>
      </c>
      <c r="J33" s="2"/>
      <c r="K33" s="3"/>
    </row>
    <row r="34" spans="1:11" ht="15.75" thickBot="1" x14ac:dyDescent="0.3">
      <c r="A34" s="50">
        <v>28</v>
      </c>
      <c r="B34" s="51">
        <f t="shared" si="4"/>
        <v>852.23040000000003</v>
      </c>
      <c r="C34" s="52">
        <f>IF(B34&gt;$E$37,(Calculations!$G$36+($E$41*(B34-$E$37))),(C33+(Calculations!$G$37*30.4368)))</f>
        <v>1369.7210667675504</v>
      </c>
      <c r="D34" s="53">
        <f>C34/Calculations!$F$6*100</f>
        <v>91.314737784503365</v>
      </c>
      <c r="E34" s="51">
        <f t="shared" si="5"/>
        <v>55.894814814814808</v>
      </c>
      <c r="F34" s="54">
        <f>E34/Calculations!$H$6*100</f>
        <v>96.370370370370367</v>
      </c>
      <c r="J34" s="2"/>
      <c r="K34" s="3"/>
    </row>
    <row r="37" spans="1:11" x14ac:dyDescent="0.25">
      <c r="A37" t="s">
        <v>32</v>
      </c>
      <c r="E37" s="2">
        <f>Calculations!F16*30.4368</f>
        <v>700.04640000000006</v>
      </c>
    </row>
    <row r="38" spans="1:11" x14ac:dyDescent="0.25">
      <c r="A38" t="s">
        <v>28</v>
      </c>
      <c r="E38">
        <f>Calculations!F6*0.92</f>
        <v>1380</v>
      </c>
      <c r="F38">
        <f>0.97*Calculations!H6</f>
        <v>56.26</v>
      </c>
      <c r="G38" t="s">
        <v>67</v>
      </c>
    </row>
    <row r="39" spans="1:11" x14ac:dyDescent="0.25">
      <c r="A39" t="s">
        <v>29</v>
      </c>
      <c r="E39" s="2">
        <f>((73.195*((Calculations!F8*0.45359)/45))/0.45359)+E38</f>
        <v>1526.3899999999999</v>
      </c>
    </row>
    <row r="40" spans="1:11" x14ac:dyDescent="0.25">
      <c r="A40" t="s">
        <v>30</v>
      </c>
      <c r="E40" s="21">
        <v>13.5</v>
      </c>
    </row>
    <row r="41" spans="1:11" x14ac:dyDescent="0.25">
      <c r="A41" t="s">
        <v>31</v>
      </c>
      <c r="E41" s="3">
        <f>('Custom Table'!E39-Calculations!G36)/(('Custom Table'!E40*30.4368)-7)</f>
        <v>0.62241146748377274</v>
      </c>
      <c r="F41" s="30">
        <f>('Custom Table'!F38-Calculations!I36)/('Custom Table'!E40*30.4368)</f>
        <v>1.4115466462625123E-3</v>
      </c>
      <c r="G41" t="s">
        <v>67</v>
      </c>
    </row>
    <row r="43" spans="1:11" x14ac:dyDescent="0.25">
      <c r="A43" t="s">
        <v>75</v>
      </c>
    </row>
    <row r="44" spans="1:11" x14ac:dyDescent="0.25">
      <c r="A44" t="s">
        <v>76</v>
      </c>
      <c r="B44">
        <f>Calculations!I36</f>
        <v>55.68</v>
      </c>
    </row>
    <row r="45" spans="1:11" x14ac:dyDescent="0.25">
      <c r="A45" t="s">
        <v>77</v>
      </c>
      <c r="B45">
        <f>Calculations!H8</f>
        <v>31.900000000000002</v>
      </c>
    </row>
    <row r="46" spans="1:11" x14ac:dyDescent="0.25">
      <c r="A46" t="s">
        <v>78</v>
      </c>
      <c r="B46">
        <f>((B44-B45)/2)+B45</f>
        <v>43.79</v>
      </c>
    </row>
    <row r="47" spans="1:11" x14ac:dyDescent="0.25">
      <c r="A47" t="s">
        <v>79</v>
      </c>
      <c r="B47">
        <f>((B44-B45)/4)+B46</f>
        <v>49.734999999999999</v>
      </c>
    </row>
    <row r="49" spans="1:3" x14ac:dyDescent="0.25">
      <c r="A49" t="s">
        <v>80</v>
      </c>
      <c r="C49">
        <f>(B46-B45)/182.6208</f>
        <v>6.5107589058858564E-2</v>
      </c>
    </row>
    <row r="50" spans="1:3" x14ac:dyDescent="0.25">
      <c r="A50" t="s">
        <v>81</v>
      </c>
      <c r="C50">
        <f>(B47-B46)/182.6208</f>
        <v>3.2553794529429289E-2</v>
      </c>
    </row>
    <row r="51" spans="1:3" x14ac:dyDescent="0.25">
      <c r="A51" t="s">
        <v>82</v>
      </c>
      <c r="C51">
        <f>(B44-B47)/(E37-365.2416)</f>
        <v>1.7756615197870518E-2</v>
      </c>
    </row>
  </sheetData>
  <mergeCells count="2">
    <mergeCell ref="A2:F2"/>
    <mergeCell ref="A3:F3"/>
  </mergeCells>
  <printOptions horizontalCentered="1"/>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6"/>
  <sheetViews>
    <sheetView workbookViewId="0">
      <selection activeCell="H2" sqref="H2"/>
    </sheetView>
  </sheetViews>
  <sheetFormatPr defaultRowHeight="15" x14ac:dyDescent="0.25"/>
  <cols>
    <col min="1" max="1" width="9.140625" style="23"/>
    <col min="2" max="2" width="10.7109375" style="23" bestFit="1" customWidth="1"/>
    <col min="3" max="3" width="14.5703125" style="23" bestFit="1" customWidth="1"/>
    <col min="4" max="4" width="11" style="23" bestFit="1" customWidth="1"/>
    <col min="5" max="5" width="18.42578125" style="23" bestFit="1" customWidth="1"/>
    <col min="6" max="6" width="14.28515625" style="23" customWidth="1"/>
    <col min="7" max="7" width="18.42578125" style="23" customWidth="1"/>
    <col min="8" max="8" width="9.140625" style="23"/>
    <col min="9" max="9" width="10.5703125" style="23" bestFit="1" customWidth="1"/>
  </cols>
  <sheetData>
    <row r="1" spans="1:10" x14ac:dyDescent="0.25">
      <c r="A1" s="22" t="s">
        <v>34</v>
      </c>
      <c r="B1" s="22" t="s">
        <v>33</v>
      </c>
      <c r="C1" s="22" t="s">
        <v>35</v>
      </c>
      <c r="D1" s="22" t="s">
        <v>36</v>
      </c>
      <c r="E1" s="22" t="s">
        <v>38</v>
      </c>
      <c r="F1" s="22" t="s">
        <v>68</v>
      </c>
      <c r="G1" s="22" t="s">
        <v>69</v>
      </c>
      <c r="H1" s="22" t="s">
        <v>37</v>
      </c>
      <c r="I1" s="22" t="s">
        <v>3</v>
      </c>
      <c r="J1" s="22" t="s">
        <v>70</v>
      </c>
    </row>
    <row r="2" spans="1:10" x14ac:dyDescent="0.25">
      <c r="A2" s="25" t="s">
        <v>72</v>
      </c>
      <c r="B2" s="26">
        <v>40638</v>
      </c>
      <c r="C2" s="26">
        <v>41341</v>
      </c>
      <c r="D2" s="25">
        <v>966</v>
      </c>
      <c r="E2" s="25">
        <v>1500</v>
      </c>
      <c r="F2" s="25">
        <v>51.5</v>
      </c>
      <c r="G2" s="25">
        <v>58</v>
      </c>
      <c r="H2" s="24">
        <f>(C2-B2)/30.4368</f>
        <v>23.097040424748986</v>
      </c>
      <c r="I2" s="24">
        <f>D2/E2*100</f>
        <v>64.400000000000006</v>
      </c>
      <c r="J2" s="24">
        <f>F2/G2*100</f>
        <v>88.793103448275872</v>
      </c>
    </row>
    <row r="3" spans="1:10" x14ac:dyDescent="0.25">
      <c r="A3" s="25" t="s">
        <v>73</v>
      </c>
      <c r="B3" s="26">
        <v>40671</v>
      </c>
      <c r="C3" s="26">
        <v>41341</v>
      </c>
      <c r="D3" s="25">
        <v>1200</v>
      </c>
      <c r="E3" s="25">
        <v>1500</v>
      </c>
      <c r="F3" s="25">
        <v>50.25</v>
      </c>
      <c r="G3" s="25">
        <v>58</v>
      </c>
      <c r="H3" s="24">
        <f t="shared" ref="H3:H26" si="0">(C3-B3)/30.4368</f>
        <v>22.01282657835252</v>
      </c>
      <c r="I3" s="24">
        <f t="shared" ref="I3:I26" si="1">D3/E3*100</f>
        <v>80</v>
      </c>
      <c r="J3" s="24">
        <f t="shared" ref="J3:J26" si="2">F3/G3*100</f>
        <v>86.637931034482762</v>
      </c>
    </row>
    <row r="4" spans="1:10" x14ac:dyDescent="0.25">
      <c r="A4" s="25" t="s">
        <v>74</v>
      </c>
      <c r="B4" s="26">
        <v>40684</v>
      </c>
      <c r="C4" s="26">
        <v>41341</v>
      </c>
      <c r="D4" s="25">
        <v>968</v>
      </c>
      <c r="E4" s="25">
        <v>1500</v>
      </c>
      <c r="F4" s="25">
        <v>53.25</v>
      </c>
      <c r="G4" s="25">
        <v>58</v>
      </c>
      <c r="H4" s="24">
        <f t="shared" si="0"/>
        <v>21.585712032802395</v>
      </c>
      <c r="I4" s="24">
        <f t="shared" si="1"/>
        <v>64.533333333333331</v>
      </c>
      <c r="J4" s="24">
        <f t="shared" si="2"/>
        <v>91.810344827586206</v>
      </c>
    </row>
    <row r="5" spans="1:10" x14ac:dyDescent="0.25">
      <c r="A5" s="25" t="s">
        <v>72</v>
      </c>
      <c r="B5" s="26">
        <v>40710</v>
      </c>
      <c r="C5" s="26">
        <v>41341</v>
      </c>
      <c r="D5" s="25">
        <v>904</v>
      </c>
      <c r="E5" s="25">
        <v>1500</v>
      </c>
      <c r="F5" s="25">
        <v>52.25</v>
      </c>
      <c r="G5" s="25">
        <v>58</v>
      </c>
      <c r="H5" s="24">
        <f t="shared" si="0"/>
        <v>20.731482941702151</v>
      </c>
      <c r="I5" s="24">
        <f t="shared" si="1"/>
        <v>60.266666666666666</v>
      </c>
      <c r="J5" s="24">
        <f t="shared" si="2"/>
        <v>90.08620689655173</v>
      </c>
    </row>
    <row r="6" spans="1:10" x14ac:dyDescent="0.25">
      <c r="A6" s="25" t="s">
        <v>73</v>
      </c>
      <c r="B6" s="26">
        <v>40717</v>
      </c>
      <c r="C6" s="26">
        <v>41341</v>
      </c>
      <c r="D6" s="25">
        <v>942</v>
      </c>
      <c r="E6" s="25">
        <v>1500</v>
      </c>
      <c r="F6" s="25">
        <v>52.75</v>
      </c>
      <c r="G6" s="25">
        <v>58</v>
      </c>
      <c r="H6" s="24">
        <f t="shared" si="0"/>
        <v>20.501498186405929</v>
      </c>
      <c r="I6" s="24">
        <f t="shared" si="1"/>
        <v>62.8</v>
      </c>
      <c r="J6" s="24">
        <f t="shared" si="2"/>
        <v>90.948275862068968</v>
      </c>
    </row>
    <row r="7" spans="1:10" x14ac:dyDescent="0.25">
      <c r="A7" s="25" t="s">
        <v>74</v>
      </c>
      <c r="B7" s="26">
        <v>40741</v>
      </c>
      <c r="C7" s="26">
        <v>41341</v>
      </c>
      <c r="D7" s="25">
        <v>892</v>
      </c>
      <c r="E7" s="25">
        <v>1500</v>
      </c>
      <c r="F7" s="25">
        <v>51.75</v>
      </c>
      <c r="G7" s="25">
        <v>58</v>
      </c>
      <c r="H7" s="24">
        <f t="shared" si="0"/>
        <v>19.712979025390315</v>
      </c>
      <c r="I7" s="24">
        <f t="shared" si="1"/>
        <v>59.466666666666669</v>
      </c>
      <c r="J7" s="24">
        <f t="shared" si="2"/>
        <v>89.224137931034491</v>
      </c>
    </row>
    <row r="8" spans="1:10" x14ac:dyDescent="0.25">
      <c r="A8" s="25" t="s">
        <v>72</v>
      </c>
      <c r="B8" s="26">
        <v>40755</v>
      </c>
      <c r="C8" s="26">
        <v>41341</v>
      </c>
      <c r="D8" s="25">
        <v>1000</v>
      </c>
      <c r="E8" s="25">
        <v>1500</v>
      </c>
      <c r="F8" s="25">
        <v>52</v>
      </c>
      <c r="G8" s="25">
        <v>58</v>
      </c>
      <c r="H8" s="24">
        <f t="shared" si="0"/>
        <v>19.253009514797874</v>
      </c>
      <c r="I8" s="24">
        <f t="shared" si="1"/>
        <v>66.666666666666657</v>
      </c>
      <c r="J8" s="24">
        <f t="shared" si="2"/>
        <v>89.65517241379311</v>
      </c>
    </row>
    <row r="9" spans="1:10" x14ac:dyDescent="0.25">
      <c r="A9" s="25" t="s">
        <v>73</v>
      </c>
      <c r="B9" s="26">
        <v>40770</v>
      </c>
      <c r="C9" s="26">
        <v>41341</v>
      </c>
      <c r="D9" s="25">
        <v>994</v>
      </c>
      <c r="E9" s="25">
        <v>1500</v>
      </c>
      <c r="F9" s="25">
        <v>52</v>
      </c>
      <c r="G9" s="25">
        <v>58</v>
      </c>
      <c r="H9" s="24">
        <f t="shared" si="0"/>
        <v>18.760185039163119</v>
      </c>
      <c r="I9" s="24">
        <f t="shared" si="1"/>
        <v>66.266666666666666</v>
      </c>
      <c r="J9" s="24">
        <f t="shared" si="2"/>
        <v>89.65517241379311</v>
      </c>
    </row>
    <row r="10" spans="1:10" x14ac:dyDescent="0.25">
      <c r="A10" s="25" t="s">
        <v>74</v>
      </c>
      <c r="B10" s="26">
        <v>40776</v>
      </c>
      <c r="C10" s="26">
        <v>41341</v>
      </c>
      <c r="D10" s="25">
        <v>990</v>
      </c>
      <c r="E10" s="25">
        <v>1500</v>
      </c>
      <c r="F10" s="25">
        <v>52</v>
      </c>
      <c r="G10" s="25">
        <v>58</v>
      </c>
      <c r="H10" s="24">
        <f t="shared" si="0"/>
        <v>18.563055248909215</v>
      </c>
      <c r="I10" s="24">
        <f t="shared" si="1"/>
        <v>66</v>
      </c>
      <c r="J10" s="24">
        <f t="shared" si="2"/>
        <v>89.65517241379311</v>
      </c>
    </row>
    <row r="11" spans="1:10" x14ac:dyDescent="0.25">
      <c r="A11" s="25" t="s">
        <v>72</v>
      </c>
      <c r="B11" s="26">
        <v>40784</v>
      </c>
      <c r="C11" s="26">
        <v>41341</v>
      </c>
      <c r="D11" s="25">
        <v>872</v>
      </c>
      <c r="E11" s="25">
        <v>1500</v>
      </c>
      <c r="F11" s="25">
        <v>50.75</v>
      </c>
      <c r="G11" s="25">
        <v>58</v>
      </c>
      <c r="H11" s="24">
        <f t="shared" si="0"/>
        <v>18.300215528570675</v>
      </c>
      <c r="I11" s="24">
        <f t="shared" si="1"/>
        <v>58.13333333333334</v>
      </c>
      <c r="J11" s="24">
        <f t="shared" si="2"/>
        <v>87.5</v>
      </c>
    </row>
    <row r="12" spans="1:10" x14ac:dyDescent="0.25">
      <c r="A12" s="25" t="s">
        <v>73</v>
      </c>
      <c r="B12" s="26">
        <v>40797</v>
      </c>
      <c r="C12" s="26">
        <v>41341</v>
      </c>
      <c r="D12" s="25">
        <v>1040</v>
      </c>
      <c r="E12" s="25">
        <v>1500</v>
      </c>
      <c r="F12" s="25">
        <v>53.25</v>
      </c>
      <c r="G12" s="25">
        <v>58</v>
      </c>
      <c r="H12" s="24">
        <f t="shared" si="0"/>
        <v>17.873100983020553</v>
      </c>
      <c r="I12" s="24">
        <f t="shared" si="1"/>
        <v>69.333333333333343</v>
      </c>
      <c r="J12" s="24">
        <f t="shared" si="2"/>
        <v>91.810344827586206</v>
      </c>
    </row>
    <row r="13" spans="1:10" x14ac:dyDescent="0.25">
      <c r="A13" s="25" t="s">
        <v>74</v>
      </c>
      <c r="B13" s="26">
        <v>40801</v>
      </c>
      <c r="C13" s="26">
        <v>41341</v>
      </c>
      <c r="D13" s="25">
        <v>996</v>
      </c>
      <c r="E13" s="25">
        <v>1500</v>
      </c>
      <c r="F13" s="25">
        <v>52.5</v>
      </c>
      <c r="G13" s="25">
        <v>58</v>
      </c>
      <c r="H13" s="24">
        <f t="shared" si="0"/>
        <v>17.741681122851283</v>
      </c>
      <c r="I13" s="24">
        <f t="shared" si="1"/>
        <v>66.400000000000006</v>
      </c>
      <c r="J13" s="24">
        <f t="shared" si="2"/>
        <v>90.517241379310349</v>
      </c>
    </row>
    <row r="14" spans="1:10" x14ac:dyDescent="0.25">
      <c r="A14" s="25" t="s">
        <v>72</v>
      </c>
      <c r="B14" s="26">
        <v>40809</v>
      </c>
      <c r="C14" s="26">
        <v>41341</v>
      </c>
      <c r="D14" s="25">
        <v>980</v>
      </c>
      <c r="E14" s="25">
        <v>1500</v>
      </c>
      <c r="F14" s="25">
        <v>55</v>
      </c>
      <c r="G14" s="25">
        <v>58</v>
      </c>
      <c r="H14" s="24">
        <f t="shared" si="0"/>
        <v>17.478841402512746</v>
      </c>
      <c r="I14" s="24">
        <f t="shared" si="1"/>
        <v>65.333333333333329</v>
      </c>
      <c r="J14" s="24">
        <f t="shared" si="2"/>
        <v>94.827586206896555</v>
      </c>
    </row>
    <row r="15" spans="1:10" x14ac:dyDescent="0.25">
      <c r="A15" s="25" t="s">
        <v>73</v>
      </c>
      <c r="B15" s="26">
        <v>40755</v>
      </c>
      <c r="C15" s="26">
        <v>41341</v>
      </c>
      <c r="D15" s="25">
        <v>995</v>
      </c>
      <c r="E15" s="25">
        <v>1500</v>
      </c>
      <c r="F15" s="25">
        <v>52.5</v>
      </c>
      <c r="G15" s="25">
        <v>58</v>
      </c>
      <c r="H15" s="24">
        <f t="shared" si="0"/>
        <v>19.253009514797874</v>
      </c>
      <c r="I15" s="24">
        <f t="shared" si="1"/>
        <v>66.333333333333329</v>
      </c>
      <c r="J15" s="24">
        <f t="shared" si="2"/>
        <v>90.517241379310349</v>
      </c>
    </row>
    <row r="16" spans="1:10" x14ac:dyDescent="0.25">
      <c r="A16" s="25">
        <v>1</v>
      </c>
      <c r="B16" s="26">
        <v>40956</v>
      </c>
      <c r="C16" s="26">
        <v>41215</v>
      </c>
      <c r="D16" s="25">
        <v>468</v>
      </c>
      <c r="E16" s="25">
        <v>1500</v>
      </c>
      <c r="F16" s="25">
        <v>46</v>
      </c>
      <c r="G16" s="25">
        <v>60</v>
      </c>
      <c r="H16" s="24">
        <f t="shared" si="0"/>
        <v>8.5094359459601527</v>
      </c>
      <c r="I16" s="24">
        <f t="shared" si="1"/>
        <v>31.2</v>
      </c>
      <c r="J16" s="24">
        <f t="shared" si="2"/>
        <v>76.666666666666671</v>
      </c>
    </row>
    <row r="17" spans="1:10" x14ac:dyDescent="0.25">
      <c r="A17" s="25">
        <v>2</v>
      </c>
      <c r="B17" s="26">
        <v>40942</v>
      </c>
      <c r="C17" s="26">
        <v>41215</v>
      </c>
      <c r="D17" s="25">
        <v>490</v>
      </c>
      <c r="E17" s="25">
        <v>1500</v>
      </c>
      <c r="F17" s="25">
        <v>48</v>
      </c>
      <c r="G17" s="25">
        <v>60</v>
      </c>
      <c r="H17" s="24">
        <f t="shared" si="0"/>
        <v>8.9694054565525931</v>
      </c>
      <c r="I17" s="24">
        <f t="shared" si="1"/>
        <v>32.666666666666664</v>
      </c>
      <c r="J17" s="24">
        <f t="shared" si="2"/>
        <v>80</v>
      </c>
    </row>
    <row r="18" spans="1:10" x14ac:dyDescent="0.25">
      <c r="A18" s="25">
        <v>3</v>
      </c>
      <c r="B18" s="26">
        <v>40937</v>
      </c>
      <c r="C18" s="26">
        <v>41215</v>
      </c>
      <c r="D18" s="25">
        <v>490</v>
      </c>
      <c r="E18" s="25">
        <v>1500</v>
      </c>
      <c r="F18" s="25">
        <v>48</v>
      </c>
      <c r="G18" s="25">
        <v>60</v>
      </c>
      <c r="H18" s="24">
        <f t="shared" si="0"/>
        <v>9.13368028176418</v>
      </c>
      <c r="I18" s="24">
        <f t="shared" si="1"/>
        <v>32.666666666666664</v>
      </c>
      <c r="J18" s="24">
        <f t="shared" si="2"/>
        <v>80</v>
      </c>
    </row>
    <row r="19" spans="1:10" x14ac:dyDescent="0.25">
      <c r="A19" s="25">
        <v>4</v>
      </c>
      <c r="B19" s="26">
        <v>40918</v>
      </c>
      <c r="C19" s="26">
        <v>41215</v>
      </c>
      <c r="D19" s="25">
        <v>540</v>
      </c>
      <c r="E19" s="25">
        <v>1500</v>
      </c>
      <c r="F19" s="25">
        <v>47</v>
      </c>
      <c r="G19" s="25">
        <v>60</v>
      </c>
      <c r="H19" s="24">
        <f t="shared" si="0"/>
        <v>9.7579246175682055</v>
      </c>
      <c r="I19" s="24">
        <f t="shared" si="1"/>
        <v>36</v>
      </c>
      <c r="J19" s="24">
        <f t="shared" si="2"/>
        <v>78.333333333333329</v>
      </c>
    </row>
    <row r="20" spans="1:10" x14ac:dyDescent="0.25">
      <c r="A20" s="25">
        <v>5</v>
      </c>
      <c r="B20" s="26">
        <v>40894</v>
      </c>
      <c r="C20" s="26">
        <v>41215</v>
      </c>
      <c r="D20" s="25">
        <v>495</v>
      </c>
      <c r="E20" s="25">
        <v>1500</v>
      </c>
      <c r="F20" s="25">
        <v>47</v>
      </c>
      <c r="G20" s="25">
        <v>60</v>
      </c>
      <c r="H20" s="24">
        <f t="shared" si="0"/>
        <v>10.54644377858382</v>
      </c>
      <c r="I20" s="24">
        <f t="shared" si="1"/>
        <v>33</v>
      </c>
      <c r="J20" s="24">
        <f t="shared" si="2"/>
        <v>78.333333333333329</v>
      </c>
    </row>
    <row r="21" spans="1:10" x14ac:dyDescent="0.25">
      <c r="A21" s="25">
        <v>6</v>
      </c>
      <c r="B21" s="26">
        <v>40873</v>
      </c>
      <c r="C21" s="26">
        <v>41215</v>
      </c>
      <c r="D21" s="25">
        <v>630</v>
      </c>
      <c r="E21" s="25">
        <v>1500</v>
      </c>
      <c r="F21" s="25">
        <v>47</v>
      </c>
      <c r="G21" s="25">
        <v>60</v>
      </c>
      <c r="H21" s="24">
        <f t="shared" si="0"/>
        <v>11.23639804447248</v>
      </c>
      <c r="I21" s="24">
        <f t="shared" si="1"/>
        <v>42</v>
      </c>
      <c r="J21" s="24">
        <f t="shared" si="2"/>
        <v>78.333333333333329</v>
      </c>
    </row>
    <row r="22" spans="1:10" x14ac:dyDescent="0.25">
      <c r="A22" s="25">
        <v>7</v>
      </c>
      <c r="B22" s="26">
        <v>40883</v>
      </c>
      <c r="C22" s="26">
        <v>41215</v>
      </c>
      <c r="D22" s="25">
        <v>625</v>
      </c>
      <c r="E22" s="25">
        <v>1500</v>
      </c>
      <c r="F22" s="25">
        <v>49</v>
      </c>
      <c r="G22" s="25">
        <v>60</v>
      </c>
      <c r="H22" s="24">
        <f t="shared" si="0"/>
        <v>10.907848394049308</v>
      </c>
      <c r="I22" s="24">
        <f t="shared" si="1"/>
        <v>41.666666666666671</v>
      </c>
      <c r="J22" s="24">
        <f t="shared" si="2"/>
        <v>81.666666666666671</v>
      </c>
    </row>
    <row r="23" spans="1:10" x14ac:dyDescent="0.25">
      <c r="A23" s="25">
        <v>8</v>
      </c>
      <c r="B23" s="26">
        <v>40872</v>
      </c>
      <c r="C23" s="26">
        <v>41215</v>
      </c>
      <c r="D23" s="25">
        <v>630</v>
      </c>
      <c r="E23" s="25">
        <v>1500</v>
      </c>
      <c r="F23" s="25">
        <v>51.5</v>
      </c>
      <c r="G23" s="25">
        <v>60</v>
      </c>
      <c r="H23" s="24">
        <f t="shared" si="0"/>
        <v>11.269253009514797</v>
      </c>
      <c r="I23" s="24">
        <f t="shared" si="1"/>
        <v>42</v>
      </c>
      <c r="J23" s="24">
        <f t="shared" si="2"/>
        <v>85.833333333333329</v>
      </c>
    </row>
    <row r="24" spans="1:10" x14ac:dyDescent="0.25">
      <c r="A24" s="25">
        <v>9</v>
      </c>
      <c r="B24" s="26">
        <v>40859</v>
      </c>
      <c r="C24" s="26">
        <v>41215</v>
      </c>
      <c r="D24" s="25">
        <v>640</v>
      </c>
      <c r="E24" s="25">
        <v>1500</v>
      </c>
      <c r="F24" s="25">
        <v>52</v>
      </c>
      <c r="G24" s="25">
        <v>60</v>
      </c>
      <c r="H24" s="24">
        <f t="shared" si="0"/>
        <v>11.696367555064921</v>
      </c>
      <c r="I24" s="24">
        <f t="shared" si="1"/>
        <v>42.666666666666671</v>
      </c>
      <c r="J24" s="24">
        <f t="shared" si="2"/>
        <v>86.666666666666671</v>
      </c>
    </row>
    <row r="25" spans="1:10" x14ac:dyDescent="0.25">
      <c r="A25" s="25">
        <v>10</v>
      </c>
      <c r="B25" s="26">
        <v>40841</v>
      </c>
      <c r="C25" s="26">
        <v>41215</v>
      </c>
      <c r="D25" s="25">
        <v>670</v>
      </c>
      <c r="E25" s="25">
        <v>1500</v>
      </c>
      <c r="F25" s="25">
        <v>50.5</v>
      </c>
      <c r="G25" s="25">
        <v>60</v>
      </c>
      <c r="H25" s="24">
        <f t="shared" si="0"/>
        <v>12.287756925826629</v>
      </c>
      <c r="I25" s="24">
        <f t="shared" si="1"/>
        <v>44.666666666666664</v>
      </c>
      <c r="J25" s="24">
        <f t="shared" si="2"/>
        <v>84.166666666666671</v>
      </c>
    </row>
    <row r="26" spans="1:10" x14ac:dyDescent="0.25">
      <c r="A26" s="25">
        <v>11</v>
      </c>
      <c r="B26" s="26">
        <v>40827</v>
      </c>
      <c r="C26" s="26">
        <v>41215</v>
      </c>
      <c r="D26" s="25">
        <v>690</v>
      </c>
      <c r="E26" s="25">
        <v>1500</v>
      </c>
      <c r="F26" s="25">
        <v>52</v>
      </c>
      <c r="G26" s="25">
        <v>60</v>
      </c>
      <c r="H26" s="24">
        <f t="shared" si="0"/>
        <v>12.747726436419072</v>
      </c>
      <c r="I26" s="24">
        <f t="shared" si="1"/>
        <v>46</v>
      </c>
      <c r="J26" s="24">
        <f t="shared" si="2"/>
        <v>86.666666666666671</v>
      </c>
    </row>
    <row r="27" spans="1:10" x14ac:dyDescent="0.25">
      <c r="A27" s="25">
        <v>12</v>
      </c>
      <c r="B27" s="26">
        <v>40801</v>
      </c>
      <c r="C27" s="26">
        <v>41215</v>
      </c>
      <c r="D27" s="25">
        <v>720</v>
      </c>
      <c r="E27" s="25">
        <v>1500</v>
      </c>
      <c r="F27" s="25">
        <v>50</v>
      </c>
      <c r="G27" s="25">
        <v>60</v>
      </c>
      <c r="H27" s="24">
        <f t="shared" ref="H27:H56" si="3">(C27-B27)/30.4368</f>
        <v>13.601955527519317</v>
      </c>
      <c r="I27" s="24">
        <f t="shared" ref="I27:I56" si="4">D27/E27*100</f>
        <v>48</v>
      </c>
      <c r="J27" s="24">
        <f t="shared" ref="J27:J56" si="5">F27/G27*100</f>
        <v>83.333333333333343</v>
      </c>
    </row>
    <row r="28" spans="1:10" x14ac:dyDescent="0.25">
      <c r="A28" s="25">
        <v>13</v>
      </c>
      <c r="B28" s="26">
        <v>40793</v>
      </c>
      <c r="C28" s="26">
        <v>41215</v>
      </c>
      <c r="D28" s="25">
        <v>670</v>
      </c>
      <c r="E28" s="25">
        <v>1500</v>
      </c>
      <c r="F28" s="25">
        <v>51</v>
      </c>
      <c r="G28" s="25">
        <v>60</v>
      </c>
      <c r="H28" s="24">
        <f t="shared" si="3"/>
        <v>13.864795247857856</v>
      </c>
      <c r="I28" s="24">
        <f t="shared" si="4"/>
        <v>44.666666666666664</v>
      </c>
      <c r="J28" s="24">
        <f t="shared" si="5"/>
        <v>85</v>
      </c>
    </row>
    <row r="29" spans="1:10" x14ac:dyDescent="0.25">
      <c r="A29" s="25">
        <v>14</v>
      </c>
      <c r="B29" s="26">
        <v>40790</v>
      </c>
      <c r="C29" s="26">
        <v>41215</v>
      </c>
      <c r="D29" s="25">
        <v>630</v>
      </c>
      <c r="E29" s="25">
        <v>1500</v>
      </c>
      <c r="F29" s="25">
        <v>50</v>
      </c>
      <c r="G29" s="25">
        <v>60</v>
      </c>
      <c r="H29" s="24">
        <f t="shared" si="3"/>
        <v>13.963360142984808</v>
      </c>
      <c r="I29" s="24">
        <f t="shared" si="4"/>
        <v>42</v>
      </c>
      <c r="J29" s="24">
        <f t="shared" si="5"/>
        <v>83.333333333333343</v>
      </c>
    </row>
    <row r="30" spans="1:10" x14ac:dyDescent="0.25">
      <c r="A30" s="25">
        <v>15</v>
      </c>
      <c r="B30" s="26">
        <v>40771</v>
      </c>
      <c r="C30" s="26">
        <v>41215</v>
      </c>
      <c r="D30" s="25">
        <v>720</v>
      </c>
      <c r="E30" s="25">
        <v>1500</v>
      </c>
      <c r="F30" s="25">
        <v>49</v>
      </c>
      <c r="G30" s="25">
        <v>60</v>
      </c>
      <c r="H30" s="24">
        <f t="shared" si="3"/>
        <v>14.587604478788833</v>
      </c>
      <c r="I30" s="24">
        <f t="shared" si="4"/>
        <v>48</v>
      </c>
      <c r="J30" s="24">
        <f t="shared" si="5"/>
        <v>81.666666666666671</v>
      </c>
    </row>
    <row r="31" spans="1:10" x14ac:dyDescent="0.25">
      <c r="A31" s="25">
        <v>16</v>
      </c>
      <c r="B31" s="26">
        <v>40769</v>
      </c>
      <c r="C31" s="26">
        <v>41215</v>
      </c>
      <c r="D31" s="25">
        <v>650</v>
      </c>
      <c r="E31" s="25">
        <v>1500</v>
      </c>
      <c r="F31" s="25">
        <v>49</v>
      </c>
      <c r="G31" s="25">
        <v>60</v>
      </c>
      <c r="H31" s="24">
        <f t="shared" si="3"/>
        <v>14.653314408873468</v>
      </c>
      <c r="I31" s="24">
        <f t="shared" si="4"/>
        <v>43.333333333333336</v>
      </c>
      <c r="J31" s="24">
        <f t="shared" si="5"/>
        <v>81.666666666666671</v>
      </c>
    </row>
    <row r="32" spans="1:10" x14ac:dyDescent="0.25">
      <c r="A32" s="25">
        <v>17</v>
      </c>
      <c r="B32" s="26">
        <v>40768</v>
      </c>
      <c r="C32" s="26">
        <v>41215</v>
      </c>
      <c r="D32" s="25">
        <v>740</v>
      </c>
      <c r="E32" s="25">
        <v>1500</v>
      </c>
      <c r="F32" s="25">
        <v>51.5</v>
      </c>
      <c r="G32" s="25">
        <v>60</v>
      </c>
      <c r="H32" s="24">
        <f t="shared" si="3"/>
        <v>14.686169373915785</v>
      </c>
      <c r="I32" s="24">
        <f t="shared" si="4"/>
        <v>49.333333333333336</v>
      </c>
      <c r="J32" s="24">
        <f t="shared" si="5"/>
        <v>85.833333333333329</v>
      </c>
    </row>
    <row r="33" spans="1:10" x14ac:dyDescent="0.25">
      <c r="A33" s="25">
        <v>18</v>
      </c>
      <c r="B33" s="26">
        <v>40764</v>
      </c>
      <c r="C33" s="26">
        <v>41215</v>
      </c>
      <c r="D33" s="25">
        <v>720</v>
      </c>
      <c r="E33" s="25">
        <v>1500</v>
      </c>
      <c r="F33" s="25">
        <v>50</v>
      </c>
      <c r="G33" s="25">
        <v>60</v>
      </c>
      <c r="H33" s="24">
        <f t="shared" si="3"/>
        <v>14.817589234085053</v>
      </c>
      <c r="I33" s="24">
        <f t="shared" si="4"/>
        <v>48</v>
      </c>
      <c r="J33" s="24">
        <f t="shared" si="5"/>
        <v>83.333333333333343</v>
      </c>
    </row>
    <row r="34" spans="1:10" x14ac:dyDescent="0.25">
      <c r="A34" s="25">
        <v>19</v>
      </c>
      <c r="B34" s="26">
        <v>40762</v>
      </c>
      <c r="C34" s="26">
        <v>41215</v>
      </c>
      <c r="D34" s="25">
        <v>640</v>
      </c>
      <c r="E34" s="25">
        <v>1500</v>
      </c>
      <c r="F34" s="25">
        <v>48</v>
      </c>
      <c r="G34" s="25">
        <v>60</v>
      </c>
      <c r="H34" s="24">
        <f t="shared" si="3"/>
        <v>14.883299164169689</v>
      </c>
      <c r="I34" s="24">
        <f t="shared" si="4"/>
        <v>42.666666666666671</v>
      </c>
      <c r="J34" s="24">
        <f t="shared" si="5"/>
        <v>80</v>
      </c>
    </row>
    <row r="35" spans="1:10" x14ac:dyDescent="0.25">
      <c r="A35" s="25">
        <v>20</v>
      </c>
      <c r="B35" s="26">
        <v>40751</v>
      </c>
      <c r="C35" s="26">
        <v>41215</v>
      </c>
      <c r="D35" s="25">
        <v>775</v>
      </c>
      <c r="E35" s="25">
        <v>1500</v>
      </c>
      <c r="F35" s="25">
        <v>53</v>
      </c>
      <c r="G35" s="25">
        <v>60</v>
      </c>
      <c r="H35" s="24">
        <f t="shared" si="3"/>
        <v>15.244703779635177</v>
      </c>
      <c r="I35" s="24">
        <f t="shared" si="4"/>
        <v>51.666666666666671</v>
      </c>
      <c r="J35" s="24">
        <f t="shared" si="5"/>
        <v>88.333333333333329</v>
      </c>
    </row>
    <row r="36" spans="1:10" x14ac:dyDescent="0.25">
      <c r="A36" s="25">
        <v>21</v>
      </c>
      <c r="B36" s="26">
        <v>40747</v>
      </c>
      <c r="C36" s="26">
        <v>41215</v>
      </c>
      <c r="D36" s="25">
        <v>775</v>
      </c>
      <c r="E36" s="25">
        <v>1500</v>
      </c>
      <c r="F36" s="25">
        <v>49</v>
      </c>
      <c r="G36" s="25">
        <v>60</v>
      </c>
      <c r="H36" s="24">
        <f t="shared" si="3"/>
        <v>15.376123639804446</v>
      </c>
      <c r="I36" s="24">
        <f t="shared" si="4"/>
        <v>51.666666666666671</v>
      </c>
      <c r="J36" s="24">
        <f t="shared" si="5"/>
        <v>81.666666666666671</v>
      </c>
    </row>
    <row r="37" spans="1:10" x14ac:dyDescent="0.25">
      <c r="A37" s="25">
        <v>22</v>
      </c>
      <c r="B37" s="26">
        <v>40746</v>
      </c>
      <c r="C37" s="26">
        <v>41215</v>
      </c>
      <c r="D37" s="25">
        <v>760</v>
      </c>
      <c r="E37" s="25">
        <v>1500</v>
      </c>
      <c r="F37" s="25">
        <v>49.5</v>
      </c>
      <c r="G37" s="25">
        <v>60</v>
      </c>
      <c r="H37" s="24">
        <f t="shared" si="3"/>
        <v>15.408978604846764</v>
      </c>
      <c r="I37" s="24">
        <f t="shared" si="4"/>
        <v>50.666666666666671</v>
      </c>
      <c r="J37" s="24">
        <f t="shared" si="5"/>
        <v>82.5</v>
      </c>
    </row>
    <row r="38" spans="1:10" x14ac:dyDescent="0.25">
      <c r="A38" s="25">
        <v>23</v>
      </c>
      <c r="B38" s="26">
        <v>40690</v>
      </c>
      <c r="C38" s="26">
        <v>41215</v>
      </c>
      <c r="D38" s="25">
        <v>775</v>
      </c>
      <c r="E38" s="25">
        <v>1500</v>
      </c>
      <c r="F38" s="25">
        <v>50.5</v>
      </c>
      <c r="G38" s="25">
        <v>60</v>
      </c>
      <c r="H38" s="24">
        <f t="shared" si="3"/>
        <v>17.248856647216527</v>
      </c>
      <c r="I38" s="24">
        <f t="shared" si="4"/>
        <v>51.666666666666671</v>
      </c>
      <c r="J38" s="24">
        <f t="shared" si="5"/>
        <v>84.166666666666671</v>
      </c>
    </row>
    <row r="39" spans="1:10" x14ac:dyDescent="0.25">
      <c r="A39" s="25">
        <v>24</v>
      </c>
      <c r="B39" s="26">
        <v>40945</v>
      </c>
      <c r="C39" s="26">
        <v>41215</v>
      </c>
      <c r="D39" s="25">
        <v>600</v>
      </c>
      <c r="E39" s="25">
        <v>1500</v>
      </c>
      <c r="F39" s="25">
        <v>47</v>
      </c>
      <c r="G39" s="25">
        <v>60</v>
      </c>
      <c r="H39" s="24">
        <f t="shared" si="3"/>
        <v>8.8708405614256414</v>
      </c>
      <c r="I39" s="24">
        <f t="shared" si="4"/>
        <v>40</v>
      </c>
      <c r="J39" s="24">
        <f t="shared" si="5"/>
        <v>78.333333333333329</v>
      </c>
    </row>
    <row r="40" spans="1:10" x14ac:dyDescent="0.25">
      <c r="A40" s="25">
        <v>25</v>
      </c>
      <c r="B40" s="26">
        <v>40927</v>
      </c>
      <c r="C40" s="26">
        <v>41215</v>
      </c>
      <c r="D40" s="25">
        <v>550</v>
      </c>
      <c r="E40" s="25">
        <v>1500</v>
      </c>
      <c r="F40" s="25">
        <v>46.5</v>
      </c>
      <c r="G40" s="25">
        <v>60</v>
      </c>
      <c r="H40" s="24">
        <f t="shared" si="3"/>
        <v>9.462229932187352</v>
      </c>
      <c r="I40" s="24">
        <f t="shared" si="4"/>
        <v>36.666666666666664</v>
      </c>
      <c r="J40" s="24">
        <f t="shared" si="5"/>
        <v>77.5</v>
      </c>
    </row>
    <row r="41" spans="1:10" x14ac:dyDescent="0.25">
      <c r="A41" s="25">
        <v>26</v>
      </c>
      <c r="B41" s="26">
        <v>40914</v>
      </c>
      <c r="C41" s="26">
        <v>41215</v>
      </c>
      <c r="D41" s="25">
        <v>660</v>
      </c>
      <c r="E41" s="25">
        <v>1500</v>
      </c>
      <c r="F41" s="25">
        <v>48</v>
      </c>
      <c r="G41" s="25">
        <v>60</v>
      </c>
      <c r="H41" s="24">
        <f t="shared" si="3"/>
        <v>9.8893444777374757</v>
      </c>
      <c r="I41" s="24">
        <f t="shared" si="4"/>
        <v>44</v>
      </c>
      <c r="J41" s="24">
        <f t="shared" si="5"/>
        <v>80</v>
      </c>
    </row>
    <row r="42" spans="1:10" x14ac:dyDescent="0.25">
      <c r="A42" s="25">
        <v>27</v>
      </c>
      <c r="B42" s="26">
        <v>40907</v>
      </c>
      <c r="C42" s="26">
        <v>41215</v>
      </c>
      <c r="D42" s="25">
        <v>600</v>
      </c>
      <c r="E42" s="25">
        <v>1500</v>
      </c>
      <c r="F42" s="25">
        <v>50</v>
      </c>
      <c r="G42" s="25">
        <v>60</v>
      </c>
      <c r="H42" s="24">
        <f t="shared" si="3"/>
        <v>10.119329233033696</v>
      </c>
      <c r="I42" s="24">
        <f t="shared" si="4"/>
        <v>40</v>
      </c>
      <c r="J42" s="24">
        <f t="shared" si="5"/>
        <v>83.333333333333343</v>
      </c>
    </row>
    <row r="43" spans="1:10" x14ac:dyDescent="0.25">
      <c r="A43" s="25">
        <v>28</v>
      </c>
      <c r="B43" s="26">
        <v>40898</v>
      </c>
      <c r="C43" s="26">
        <v>41215</v>
      </c>
      <c r="D43" s="25">
        <v>690</v>
      </c>
      <c r="E43" s="25">
        <v>1500</v>
      </c>
      <c r="F43" s="25">
        <v>50</v>
      </c>
      <c r="G43" s="25">
        <v>60</v>
      </c>
      <c r="H43" s="24">
        <f t="shared" si="3"/>
        <v>10.415023918414549</v>
      </c>
      <c r="I43" s="24">
        <f t="shared" si="4"/>
        <v>46</v>
      </c>
      <c r="J43" s="24">
        <f t="shared" si="5"/>
        <v>83.333333333333343</v>
      </c>
    </row>
    <row r="44" spans="1:10" x14ac:dyDescent="0.25">
      <c r="A44" s="25">
        <v>29</v>
      </c>
      <c r="B44" s="26">
        <v>40896</v>
      </c>
      <c r="C44" s="26">
        <v>41215</v>
      </c>
      <c r="D44" s="25">
        <v>625</v>
      </c>
      <c r="E44" s="25">
        <v>1500</v>
      </c>
      <c r="F44" s="25">
        <v>49</v>
      </c>
      <c r="G44" s="25">
        <v>60</v>
      </c>
      <c r="H44" s="24">
        <f t="shared" si="3"/>
        <v>10.480733848499185</v>
      </c>
      <c r="I44" s="24">
        <f t="shared" si="4"/>
        <v>41.666666666666671</v>
      </c>
      <c r="J44" s="24">
        <f t="shared" si="5"/>
        <v>81.666666666666671</v>
      </c>
    </row>
    <row r="45" spans="1:10" x14ac:dyDescent="0.25">
      <c r="A45" s="25">
        <v>30</v>
      </c>
      <c r="B45" s="26">
        <v>40892</v>
      </c>
      <c r="C45" s="26">
        <v>41215</v>
      </c>
      <c r="D45" s="25">
        <v>775</v>
      </c>
      <c r="E45" s="25">
        <v>1500</v>
      </c>
      <c r="F45" s="25">
        <v>50</v>
      </c>
      <c r="G45" s="25">
        <v>60</v>
      </c>
      <c r="H45" s="24">
        <f t="shared" si="3"/>
        <v>10.612153708668453</v>
      </c>
      <c r="I45" s="24">
        <f t="shared" si="4"/>
        <v>51.666666666666671</v>
      </c>
      <c r="J45" s="24">
        <f t="shared" si="5"/>
        <v>83.333333333333343</v>
      </c>
    </row>
    <row r="46" spans="1:10" x14ac:dyDescent="0.25">
      <c r="A46" s="25">
        <v>31</v>
      </c>
      <c r="B46" s="26">
        <v>40886</v>
      </c>
      <c r="C46" s="26">
        <v>41215</v>
      </c>
      <c r="D46" s="25">
        <v>690</v>
      </c>
      <c r="E46" s="25">
        <v>1500</v>
      </c>
      <c r="F46" s="25">
        <v>50</v>
      </c>
      <c r="G46" s="25">
        <v>60</v>
      </c>
      <c r="H46" s="24">
        <f t="shared" si="3"/>
        <v>10.809283498922357</v>
      </c>
      <c r="I46" s="24">
        <f t="shared" si="4"/>
        <v>46</v>
      </c>
      <c r="J46" s="24">
        <f t="shared" si="5"/>
        <v>83.333333333333343</v>
      </c>
    </row>
    <row r="47" spans="1:10" x14ac:dyDescent="0.25">
      <c r="A47" s="25">
        <v>32</v>
      </c>
      <c r="B47" s="26">
        <v>40871</v>
      </c>
      <c r="C47" s="26">
        <v>41215</v>
      </c>
      <c r="D47" s="25">
        <v>690</v>
      </c>
      <c r="E47" s="25">
        <v>1500</v>
      </c>
      <c r="F47" s="25">
        <v>49</v>
      </c>
      <c r="G47" s="25">
        <v>60</v>
      </c>
      <c r="H47" s="24">
        <f t="shared" si="3"/>
        <v>11.302107974557114</v>
      </c>
      <c r="I47" s="24">
        <f t="shared" si="4"/>
        <v>46</v>
      </c>
      <c r="J47" s="24">
        <f t="shared" si="5"/>
        <v>81.666666666666671</v>
      </c>
    </row>
    <row r="48" spans="1:10" x14ac:dyDescent="0.25">
      <c r="A48" s="25">
        <v>33</v>
      </c>
      <c r="B48" s="26">
        <v>40858</v>
      </c>
      <c r="C48" s="26">
        <v>41215</v>
      </c>
      <c r="D48" s="25">
        <v>721</v>
      </c>
      <c r="E48" s="25">
        <v>1500</v>
      </c>
      <c r="F48" s="25">
        <v>49</v>
      </c>
      <c r="G48" s="25">
        <v>60</v>
      </c>
      <c r="H48" s="24">
        <f t="shared" si="3"/>
        <v>11.729222520107237</v>
      </c>
      <c r="I48" s="24">
        <f t="shared" si="4"/>
        <v>48.06666666666667</v>
      </c>
      <c r="J48" s="24">
        <f t="shared" si="5"/>
        <v>81.666666666666671</v>
      </c>
    </row>
    <row r="49" spans="1:10" x14ac:dyDescent="0.25">
      <c r="A49" s="25">
        <v>34</v>
      </c>
      <c r="B49" s="26">
        <v>40849</v>
      </c>
      <c r="C49" s="26">
        <v>41215</v>
      </c>
      <c r="D49" s="25">
        <v>700</v>
      </c>
      <c r="E49" s="25">
        <v>1500</v>
      </c>
      <c r="F49" s="25">
        <v>48</v>
      </c>
      <c r="G49" s="25">
        <v>60</v>
      </c>
      <c r="H49" s="24">
        <f t="shared" si="3"/>
        <v>12.024917205488093</v>
      </c>
      <c r="I49" s="24">
        <f t="shared" si="4"/>
        <v>46.666666666666664</v>
      </c>
      <c r="J49" s="24">
        <f t="shared" si="5"/>
        <v>80</v>
      </c>
    </row>
    <row r="50" spans="1:10" x14ac:dyDescent="0.25">
      <c r="A50" s="25">
        <v>35</v>
      </c>
      <c r="B50" s="26">
        <v>40845</v>
      </c>
      <c r="C50" s="26">
        <v>41215</v>
      </c>
      <c r="D50" s="25">
        <v>690</v>
      </c>
      <c r="E50" s="25">
        <v>1500</v>
      </c>
      <c r="F50" s="25">
        <v>51</v>
      </c>
      <c r="G50" s="25">
        <v>60</v>
      </c>
      <c r="H50" s="24">
        <f t="shared" si="3"/>
        <v>12.156337065657361</v>
      </c>
      <c r="I50" s="24">
        <f t="shared" si="4"/>
        <v>46</v>
      </c>
      <c r="J50" s="24">
        <f t="shared" si="5"/>
        <v>85</v>
      </c>
    </row>
    <row r="51" spans="1:10" x14ac:dyDescent="0.25">
      <c r="A51" s="25">
        <v>36</v>
      </c>
      <c r="B51" s="26">
        <v>40845</v>
      </c>
      <c r="C51" s="26">
        <v>41215</v>
      </c>
      <c r="D51" s="25">
        <v>780</v>
      </c>
      <c r="E51" s="25">
        <v>1500</v>
      </c>
      <c r="F51" s="25">
        <v>49</v>
      </c>
      <c r="G51" s="25">
        <v>60</v>
      </c>
      <c r="H51" s="24">
        <f t="shared" si="3"/>
        <v>12.156337065657361</v>
      </c>
      <c r="I51" s="24">
        <f t="shared" si="4"/>
        <v>52</v>
      </c>
      <c r="J51" s="24">
        <f t="shared" si="5"/>
        <v>81.666666666666671</v>
      </c>
    </row>
    <row r="52" spans="1:10" x14ac:dyDescent="0.25">
      <c r="A52" s="25">
        <v>37</v>
      </c>
      <c r="B52" s="26">
        <v>40844</v>
      </c>
      <c r="C52" s="26">
        <v>41215</v>
      </c>
      <c r="D52" s="25">
        <v>820</v>
      </c>
      <c r="E52" s="25">
        <v>1500</v>
      </c>
      <c r="F52" s="25">
        <v>51.5</v>
      </c>
      <c r="G52" s="25">
        <v>60</v>
      </c>
      <c r="H52" s="24">
        <f t="shared" si="3"/>
        <v>12.189192030699679</v>
      </c>
      <c r="I52" s="24">
        <f t="shared" si="4"/>
        <v>54.666666666666664</v>
      </c>
      <c r="J52" s="24">
        <f t="shared" si="5"/>
        <v>85.833333333333329</v>
      </c>
    </row>
    <row r="53" spans="1:10" x14ac:dyDescent="0.25">
      <c r="A53" s="25">
        <v>38</v>
      </c>
      <c r="B53" s="26">
        <v>40837</v>
      </c>
      <c r="C53" s="26">
        <v>41215</v>
      </c>
      <c r="D53" s="25">
        <v>775</v>
      </c>
      <c r="E53" s="25">
        <v>1500</v>
      </c>
      <c r="F53" s="25">
        <v>51</v>
      </c>
      <c r="G53" s="25">
        <v>60</v>
      </c>
      <c r="H53" s="24">
        <f t="shared" si="3"/>
        <v>12.4191767859959</v>
      </c>
      <c r="I53" s="24">
        <f t="shared" si="4"/>
        <v>51.666666666666671</v>
      </c>
      <c r="J53" s="24">
        <f t="shared" si="5"/>
        <v>85</v>
      </c>
    </row>
    <row r="54" spans="1:10" x14ac:dyDescent="0.25">
      <c r="A54" s="25">
        <v>39</v>
      </c>
      <c r="B54" s="26">
        <v>40813</v>
      </c>
      <c r="C54" s="26">
        <v>41215</v>
      </c>
      <c r="D54" s="25">
        <v>775</v>
      </c>
      <c r="E54" s="25">
        <v>1500</v>
      </c>
      <c r="F54" s="25">
        <v>52</v>
      </c>
      <c r="G54" s="25">
        <v>60</v>
      </c>
      <c r="H54" s="24">
        <f t="shared" si="3"/>
        <v>13.207695947011512</v>
      </c>
      <c r="I54" s="24">
        <f t="shared" si="4"/>
        <v>51.666666666666671</v>
      </c>
      <c r="J54" s="24">
        <f t="shared" si="5"/>
        <v>86.666666666666671</v>
      </c>
    </row>
    <row r="55" spans="1:10" x14ac:dyDescent="0.25">
      <c r="A55" s="25">
        <v>40</v>
      </c>
      <c r="B55" s="26">
        <v>40801</v>
      </c>
      <c r="C55" s="26">
        <v>41215</v>
      </c>
      <c r="D55" s="25">
        <v>835</v>
      </c>
      <c r="E55" s="25">
        <v>1500</v>
      </c>
      <c r="F55" s="25">
        <v>51</v>
      </c>
      <c r="G55" s="25">
        <v>60</v>
      </c>
      <c r="H55" s="24">
        <f t="shared" si="3"/>
        <v>13.601955527519317</v>
      </c>
      <c r="I55" s="24">
        <f t="shared" si="4"/>
        <v>55.666666666666664</v>
      </c>
      <c r="J55" s="24">
        <f t="shared" si="5"/>
        <v>85</v>
      </c>
    </row>
    <row r="56" spans="1:10" x14ac:dyDescent="0.25">
      <c r="A56" s="25">
        <v>41</v>
      </c>
      <c r="B56" s="26">
        <v>40771</v>
      </c>
      <c r="C56" s="26">
        <v>41215</v>
      </c>
      <c r="D56" s="25">
        <v>850</v>
      </c>
      <c r="E56" s="25">
        <v>1500</v>
      </c>
      <c r="F56" s="25">
        <v>53.5</v>
      </c>
      <c r="G56" s="25">
        <v>60</v>
      </c>
      <c r="H56" s="24">
        <f t="shared" si="3"/>
        <v>14.587604478788833</v>
      </c>
      <c r="I56" s="24">
        <f t="shared" si="4"/>
        <v>56.666666666666664</v>
      </c>
      <c r="J56" s="24">
        <f t="shared" si="5"/>
        <v>89.166666666666671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4</vt:i4>
      </vt:variant>
      <vt:variant>
        <vt:lpstr>Charts</vt:lpstr>
      </vt:variant>
      <vt:variant>
        <vt:i4>3</vt:i4>
      </vt:variant>
      <vt:variant>
        <vt:lpstr>Named Ranges</vt:lpstr>
      </vt:variant>
      <vt:variant>
        <vt:i4>1</vt:i4>
      </vt:variant>
    </vt:vector>
  </HeadingPairs>
  <TitlesOfParts>
    <vt:vector size="8" baseType="lpstr">
      <vt:lpstr>Instructions</vt:lpstr>
      <vt:lpstr>Calculations</vt:lpstr>
      <vt:lpstr>Custom Table</vt:lpstr>
      <vt:lpstr>Input Heifer Data</vt:lpstr>
      <vt:lpstr>Weight Graph</vt:lpstr>
      <vt:lpstr>Height Graph</vt:lpstr>
      <vt:lpstr>% Mature Size Graph</vt:lpstr>
      <vt:lpstr>'Custom Table'!Print_Area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Coleen</dc:creator>
  <cp:lastModifiedBy>admin</cp:lastModifiedBy>
  <cp:lastPrinted>2013-08-27T20:16:12Z</cp:lastPrinted>
  <dcterms:created xsi:type="dcterms:W3CDTF">2013-03-13T12:49:36Z</dcterms:created>
  <dcterms:modified xsi:type="dcterms:W3CDTF">2013-12-09T19:23:18Z</dcterms:modified>
</cp:coreProperties>
</file>