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3615" windowHeight="7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12" i="1" l="1"/>
  <c r="D211" i="1"/>
  <c r="D210" i="1"/>
  <c r="B210" i="1"/>
  <c r="D208" i="1"/>
  <c r="D207" i="1"/>
  <c r="B207" i="1"/>
  <c r="D209" i="1"/>
  <c r="D205" i="1"/>
  <c r="E207" i="1" s="1"/>
  <c r="F207" i="1" s="1"/>
  <c r="G207" i="1" s="1"/>
  <c r="D206" i="1"/>
  <c r="E208" i="1" s="1"/>
  <c r="D204" i="1"/>
  <c r="B204" i="1"/>
  <c r="C204" i="1"/>
  <c r="D203" i="1"/>
  <c r="C201" i="1"/>
  <c r="D201" i="1"/>
  <c r="B201" i="1"/>
  <c r="E205" i="1" l="1"/>
  <c r="E210" i="1"/>
  <c r="F210" i="1" s="1"/>
  <c r="G210" i="1" s="1"/>
  <c r="E211" i="1"/>
  <c r="F211" i="1" s="1"/>
  <c r="G211" i="1" s="1"/>
  <c r="F208" i="1"/>
  <c r="G208" i="1" s="1"/>
  <c r="D200" i="1"/>
  <c r="D202" i="1"/>
  <c r="E201" i="1"/>
  <c r="F201" i="1" s="1"/>
  <c r="G201" i="1" s="1"/>
  <c r="D199" i="1"/>
  <c r="D197" i="1"/>
  <c r="E199" i="1" s="1"/>
  <c r="D198" i="1"/>
  <c r="B198" i="1"/>
  <c r="C198" i="1"/>
  <c r="D196" i="1"/>
  <c r="E198" i="1" s="1"/>
  <c r="F198" i="1" s="1"/>
  <c r="G198" i="1" s="1"/>
  <c r="D195" i="1"/>
  <c r="C195" i="1"/>
  <c r="B195" i="1"/>
  <c r="D194" i="1"/>
  <c r="E196" i="1" s="1"/>
  <c r="D193" i="1"/>
  <c r="E195" i="1" s="1"/>
  <c r="F195" i="1" s="1"/>
  <c r="G195" i="1" s="1"/>
  <c r="D192" i="1"/>
  <c r="D191" i="1"/>
  <c r="B192" i="1"/>
  <c r="E192" i="1"/>
  <c r="F192" i="1" s="1"/>
  <c r="C192" i="1"/>
  <c r="D190" i="1"/>
  <c r="B189" i="1"/>
  <c r="D189" i="1"/>
  <c r="D188" i="1"/>
  <c r="E190" i="1" s="1"/>
  <c r="C189" i="1"/>
  <c r="D187" i="1"/>
  <c r="E189" i="1" s="1"/>
  <c r="F189" i="1" s="1"/>
  <c r="G189" i="1" s="1"/>
  <c r="B186" i="1"/>
  <c r="D186" i="1"/>
  <c r="C186" i="1"/>
  <c r="D185" i="1"/>
  <c r="E187" i="1" s="1"/>
  <c r="D184" i="1"/>
  <c r="E186" i="1" s="1"/>
  <c r="F186" i="1" s="1"/>
  <c r="G186" i="1" s="1"/>
  <c r="C183" i="1"/>
  <c r="B183" i="1"/>
  <c r="D183" i="1"/>
  <c r="D182" i="1"/>
  <c r="E184" i="1" s="1"/>
  <c r="F184" i="1" s="1"/>
  <c r="D181" i="1"/>
  <c r="E183" i="1" s="1"/>
  <c r="F183" i="1" s="1"/>
  <c r="G183" i="1" s="1"/>
  <c r="D180" i="1"/>
  <c r="C180" i="1"/>
  <c r="B180" i="1"/>
  <c r="E180" i="1"/>
  <c r="F180" i="1" s="1"/>
  <c r="G180" i="1" s="1"/>
  <c r="F178" i="1"/>
  <c r="D178" i="1"/>
  <c r="E181" i="1" s="1"/>
  <c r="D177" i="1"/>
  <c r="C177" i="1"/>
  <c r="B177" i="1"/>
  <c r="E178" i="1"/>
  <c r="E177" i="1"/>
  <c r="F177" i="1" s="1"/>
  <c r="G177" i="1" s="1"/>
  <c r="D176" i="1"/>
  <c r="D175" i="1"/>
  <c r="B174" i="1"/>
  <c r="C174" i="1"/>
  <c r="D174" i="1"/>
  <c r="D173" i="1"/>
  <c r="E175" i="1" s="1"/>
  <c r="D172" i="1"/>
  <c r="E174" i="1" s="1"/>
  <c r="F174" i="1" s="1"/>
  <c r="G174" i="1" s="1"/>
  <c r="D171" i="1"/>
  <c r="C171" i="1"/>
  <c r="B171" i="1"/>
  <c r="D169" i="1"/>
  <c r="E172" i="1" s="1"/>
  <c r="F172" i="1" s="1"/>
  <c r="D168" i="1"/>
  <c r="E168" i="1" s="1"/>
  <c r="F168" i="1" s="1"/>
  <c r="G168" i="1" s="1"/>
  <c r="D167" i="1"/>
  <c r="E169" i="1" s="1"/>
  <c r="B168" i="1"/>
  <c r="C168" i="1"/>
  <c r="D166" i="1"/>
  <c r="C165" i="1"/>
  <c r="D165" i="1"/>
  <c r="B165" i="1"/>
  <c r="E165" i="1"/>
  <c r="F165" i="1" s="1"/>
  <c r="G165" i="1" s="1"/>
  <c r="D163" i="1"/>
  <c r="D162" i="1"/>
  <c r="C162" i="1"/>
  <c r="D164" i="1"/>
  <c r="E166" i="1" s="1"/>
  <c r="F166" i="1" s="1"/>
  <c r="D160" i="1"/>
  <c r="E163" i="1" s="1"/>
  <c r="D159" i="1"/>
  <c r="B159" i="1"/>
  <c r="E159" i="1"/>
  <c r="F159" i="1" s="1"/>
  <c r="G159" i="1" s="1"/>
  <c r="C159" i="1"/>
  <c r="D157" i="1"/>
  <c r="D156" i="1"/>
  <c r="D155" i="1"/>
  <c r="E157" i="1" s="1"/>
  <c r="F157" i="1" s="1"/>
  <c r="C156" i="1"/>
  <c r="B156" i="1"/>
  <c r="D158" i="1"/>
  <c r="D154" i="1"/>
  <c r="E154" i="1" s="1"/>
  <c r="C153" i="1"/>
  <c r="B153" i="1"/>
  <c r="D153" i="1"/>
  <c r="D152" i="1"/>
  <c r="E153" i="1"/>
  <c r="F153" i="1" s="1"/>
  <c r="G153" i="1" s="1"/>
  <c r="D151" i="1"/>
  <c r="D150" i="1"/>
  <c r="C150" i="1"/>
  <c r="E151" i="1"/>
  <c r="E150" i="1"/>
  <c r="F150" i="1" s="1"/>
  <c r="G150" i="1" s="1"/>
  <c r="D149" i="1"/>
  <c r="D148" i="1"/>
  <c r="D147" i="1"/>
  <c r="B147" i="1"/>
  <c r="C147" i="1"/>
  <c r="D145" i="1"/>
  <c r="E148" i="1" s="1"/>
  <c r="D144" i="1"/>
  <c r="B144" i="1"/>
  <c r="F148" i="1" l="1"/>
  <c r="G148" i="1" s="1"/>
  <c r="F196" i="1"/>
  <c r="G196" i="1" s="1"/>
  <c r="F187" i="1"/>
  <c r="G187" i="1" s="1"/>
  <c r="F190" i="1"/>
  <c r="G190" i="1" s="1"/>
  <c r="F199" i="1"/>
  <c r="G199" i="1" s="1"/>
  <c r="F169" i="1"/>
  <c r="G169" i="1" s="1"/>
  <c r="F154" i="1"/>
  <c r="G154" i="1" s="1"/>
  <c r="E156" i="1"/>
  <c r="F156" i="1" s="1"/>
  <c r="G156" i="1" s="1"/>
  <c r="G192" i="1"/>
  <c r="E202" i="1"/>
  <c r="F202" i="1" s="1"/>
  <c r="G202" i="1" s="1"/>
  <c r="E204" i="1"/>
  <c r="F204" i="1" s="1"/>
  <c r="G204" i="1" s="1"/>
  <c r="E193" i="1"/>
  <c r="E160" i="1"/>
  <c r="F160" i="1" s="1"/>
  <c r="G160" i="1" s="1"/>
  <c r="E171" i="1"/>
  <c r="F171" i="1" s="1"/>
  <c r="G171" i="1" s="1"/>
  <c r="E147" i="1"/>
  <c r="F147" i="1" s="1"/>
  <c r="G147" i="1" s="1"/>
  <c r="E162" i="1"/>
  <c r="F162" i="1" s="1"/>
  <c r="G162" i="1" s="1"/>
  <c r="G178" i="1"/>
  <c r="F151" i="1"/>
  <c r="G151" i="1" s="1"/>
  <c r="F205" i="1"/>
  <c r="G205" i="1" s="1"/>
  <c r="G184" i="1"/>
  <c r="F181" i="1"/>
  <c r="G181" i="1" s="1"/>
  <c r="F175" i="1"/>
  <c r="G175" i="1" s="1"/>
  <c r="G172" i="1"/>
  <c r="G166" i="1"/>
  <c r="F163" i="1"/>
  <c r="G163" i="1" s="1"/>
  <c r="G157" i="1"/>
  <c r="C144" i="1"/>
  <c r="D143" i="1"/>
  <c r="E145" i="1" s="1"/>
  <c r="D142" i="1"/>
  <c r="E144" i="1" s="1"/>
  <c r="F144" i="1" s="1"/>
  <c r="G144" i="1" s="1"/>
  <c r="D141" i="1"/>
  <c r="B141" i="1"/>
  <c r="C141" i="1"/>
  <c r="D140" i="1"/>
  <c r="E142" i="1" s="1"/>
  <c r="D139" i="1"/>
  <c r="E139" i="1" s="1"/>
  <c r="D138" i="1"/>
  <c r="D137" i="1"/>
  <c r="C138" i="1"/>
  <c r="E138" i="1"/>
  <c r="F138" i="1" s="1"/>
  <c r="G138" i="1" s="1"/>
  <c r="F136" i="1"/>
  <c r="D136" i="1"/>
  <c r="D135" i="1"/>
  <c r="B135" i="1"/>
  <c r="C135" i="1"/>
  <c r="E136" i="1"/>
  <c r="E135" i="1"/>
  <c r="F135" i="1" s="1"/>
  <c r="G135" i="1" s="1"/>
  <c r="D134" i="1"/>
  <c r="D133" i="1"/>
  <c r="D132" i="1"/>
  <c r="C132" i="1"/>
  <c r="E133" i="1"/>
  <c r="F133" i="1" s="1"/>
  <c r="D131" i="1"/>
  <c r="D130" i="1"/>
  <c r="E132" i="1" s="1"/>
  <c r="F132" i="1" s="1"/>
  <c r="G132" i="1" s="1"/>
  <c r="F142" i="1" l="1"/>
  <c r="G142" i="1" s="1"/>
  <c r="F139" i="1"/>
  <c r="G139" i="1" s="1"/>
  <c r="E141" i="1"/>
  <c r="F141" i="1" s="1"/>
  <c r="G141" i="1" s="1"/>
  <c r="G193" i="1"/>
  <c r="F193" i="1"/>
  <c r="G136" i="1"/>
  <c r="F145" i="1"/>
  <c r="G145" i="1" s="1"/>
  <c r="G133" i="1"/>
  <c r="D129" i="1" l="1"/>
  <c r="D128" i="1"/>
  <c r="C129" i="1"/>
  <c r="D127" i="1"/>
  <c r="E130" i="1" s="1"/>
  <c r="E129" i="1" l="1"/>
  <c r="F129" i="1" s="1"/>
  <c r="G129" i="1" s="1"/>
  <c r="F130" i="1"/>
  <c r="G130" i="1" s="1"/>
  <c r="D126" i="1"/>
  <c r="C126" i="1"/>
  <c r="D125" i="1"/>
  <c r="E127" i="1" s="1"/>
  <c r="D124" i="1"/>
  <c r="E124" i="1" s="1"/>
  <c r="D123" i="1"/>
  <c r="D122" i="1"/>
  <c r="D121" i="1"/>
  <c r="C123" i="1"/>
  <c r="E123" i="1"/>
  <c r="F123" i="1" s="1"/>
  <c r="G123" i="1" s="1"/>
  <c r="C120" i="1"/>
  <c r="D120" i="1"/>
  <c r="D119" i="1"/>
  <c r="D118" i="1"/>
  <c r="E121" i="1"/>
  <c r="E120" i="1"/>
  <c r="F120" i="1" s="1"/>
  <c r="G120" i="1" s="1"/>
  <c r="D117" i="1"/>
  <c r="C117" i="1"/>
  <c r="D116" i="1"/>
  <c r="E117" i="1" s="1"/>
  <c r="F117" i="1" s="1"/>
  <c r="G117" i="1" s="1"/>
  <c r="C114" i="1"/>
  <c r="D115" i="1"/>
  <c r="E118" i="1" l="1"/>
  <c r="F118" i="1" s="1"/>
  <c r="G118" i="1" s="1"/>
  <c r="E126" i="1"/>
  <c r="F126" i="1" s="1"/>
  <c r="G126" i="1" s="1"/>
  <c r="F127" i="1"/>
  <c r="G127" i="1" s="1"/>
  <c r="F124" i="1"/>
  <c r="G124" i="1" s="1"/>
  <c r="F121" i="1"/>
  <c r="G121" i="1" s="1"/>
  <c r="D114" i="1"/>
  <c r="E115" i="1"/>
  <c r="D113" i="1"/>
  <c r="D112" i="1"/>
  <c r="E114" i="1" s="1"/>
  <c r="F114" i="1" s="1"/>
  <c r="G114" i="1" s="1"/>
  <c r="D111" i="1"/>
  <c r="C111" i="1"/>
  <c r="D110" i="1"/>
  <c r="D108" i="1"/>
  <c r="C108" i="1"/>
  <c r="G115" i="1" l="1"/>
  <c r="F115" i="1"/>
  <c r="D107" i="1"/>
  <c r="C105" i="1"/>
  <c r="D106" i="1"/>
  <c r="D109" i="1"/>
  <c r="E108" i="1"/>
  <c r="F108" i="1" s="1"/>
  <c r="G108" i="1" s="1"/>
  <c r="D105" i="1"/>
  <c r="D102" i="1"/>
  <c r="C102" i="1"/>
  <c r="D101" i="1"/>
  <c r="D104" i="1"/>
  <c r="E106" i="1" s="1"/>
  <c r="F106" i="1" s="1"/>
  <c r="G106" i="1" s="1"/>
  <c r="D103" i="1"/>
  <c r="D99" i="1"/>
  <c r="D100" i="1"/>
  <c r="E102" i="1" s="1"/>
  <c r="F102" i="1" s="1"/>
  <c r="G102" i="1" s="1"/>
  <c r="E109" i="1" l="1"/>
  <c r="F109" i="1" s="1"/>
  <c r="G109" i="1" s="1"/>
  <c r="E111" i="1"/>
  <c r="F111" i="1" s="1"/>
  <c r="G111" i="1" s="1"/>
  <c r="E105" i="1"/>
  <c r="F105" i="1" s="1"/>
  <c r="G105" i="1" s="1"/>
  <c r="E103" i="1"/>
  <c r="F103" i="1" s="1"/>
  <c r="G103" i="1" s="1"/>
  <c r="E112" i="1"/>
  <c r="F112" i="1" s="1"/>
  <c r="G112" i="1" s="1"/>
  <c r="D98" i="1"/>
  <c r="D97" i="1"/>
  <c r="E99" i="1" s="1"/>
  <c r="F99" i="1" s="1"/>
  <c r="G99" i="1" s="1"/>
  <c r="E100" i="1"/>
  <c r="C99" i="1"/>
  <c r="D96" i="1"/>
  <c r="C96" i="1"/>
  <c r="E97" i="1"/>
  <c r="B93" i="1"/>
  <c r="D95" i="1"/>
  <c r="D94" i="1"/>
  <c r="E94" i="1" s="1"/>
  <c r="F94" i="1" s="1"/>
  <c r="D93" i="1"/>
  <c r="E93" i="1" s="1"/>
  <c r="F93" i="1" s="1"/>
  <c r="C93" i="1"/>
  <c r="D92" i="1"/>
  <c r="D91" i="1"/>
  <c r="D90" i="1"/>
  <c r="C90" i="1"/>
  <c r="D89" i="1"/>
  <c r="G94" i="1" l="1"/>
  <c r="G93" i="1"/>
  <c r="E96" i="1"/>
  <c r="F96" i="1" s="1"/>
  <c r="G96" i="1" s="1"/>
  <c r="F100" i="1"/>
  <c r="G100" i="1" s="1"/>
  <c r="F97" i="1"/>
  <c r="G97" i="1" s="1"/>
  <c r="D88" i="1"/>
  <c r="D87" i="1"/>
  <c r="C87" i="1"/>
  <c r="E90" i="1" l="1"/>
  <c r="F90" i="1" s="1"/>
  <c r="G90" i="1" s="1"/>
  <c r="E91" i="1"/>
  <c r="D86" i="1"/>
  <c r="E88" i="1" s="1"/>
  <c r="D85" i="1"/>
  <c r="E87" i="1" s="1"/>
  <c r="F87" i="1" s="1"/>
  <c r="G87" i="1" s="1"/>
  <c r="D84" i="1"/>
  <c r="C84" i="1"/>
  <c r="D83" i="1"/>
  <c r="E85" i="1" s="1"/>
  <c r="D82" i="1"/>
  <c r="E84" i="1" s="1"/>
  <c r="F84" i="1" s="1"/>
  <c r="G84" i="1" s="1"/>
  <c r="D81" i="1"/>
  <c r="C81" i="1"/>
  <c r="D80" i="1"/>
  <c r="E82" i="1" s="1"/>
  <c r="F82" i="1" s="1"/>
  <c r="G82" i="1" s="1"/>
  <c r="D79" i="1"/>
  <c r="E81" i="1" s="1"/>
  <c r="F81" i="1" s="1"/>
  <c r="G81" i="1" s="1"/>
  <c r="D78" i="1"/>
  <c r="C78" i="1"/>
  <c r="D76" i="1"/>
  <c r="E78" i="1" s="1"/>
  <c r="F78" i="1" s="1"/>
  <c r="G78" i="1" s="1"/>
  <c r="D77" i="1"/>
  <c r="E79" i="1" s="1"/>
  <c r="D75" i="1"/>
  <c r="C75" i="1"/>
  <c r="D74" i="1"/>
  <c r="G88" i="1" l="1"/>
  <c r="F88" i="1"/>
  <c r="F79" i="1"/>
  <c r="G79" i="1" s="1"/>
  <c r="F91" i="1"/>
  <c r="G91" i="1" s="1"/>
  <c r="F85" i="1"/>
  <c r="G85" i="1" s="1"/>
  <c r="D73" i="1" l="1"/>
  <c r="E76" i="1" l="1"/>
  <c r="F76" i="1" s="1"/>
  <c r="G76" i="1" s="1"/>
  <c r="E75" i="1"/>
  <c r="F75" i="1" s="1"/>
  <c r="G75" i="1" s="1"/>
  <c r="D72" i="1"/>
  <c r="C72" i="1"/>
  <c r="E73" i="1"/>
  <c r="E72" i="1"/>
  <c r="F72" i="1" s="1"/>
  <c r="G72" i="1" s="1"/>
  <c r="D71" i="1"/>
  <c r="D70" i="1"/>
  <c r="D69" i="1"/>
  <c r="C69" i="1"/>
  <c r="G73" i="1" l="1"/>
  <c r="F73" i="1"/>
  <c r="D67" i="1"/>
  <c r="C66" i="1"/>
  <c r="D66" i="1"/>
  <c r="D68" i="1"/>
  <c r="E70" i="1" s="1"/>
  <c r="D65" i="1"/>
  <c r="E67" i="1" s="1"/>
  <c r="D64" i="1"/>
  <c r="E66" i="1" s="1"/>
  <c r="F66" i="1" s="1"/>
  <c r="G66" i="1" s="1"/>
  <c r="D63" i="1"/>
  <c r="G67" i="1" l="1"/>
  <c r="F67" i="1"/>
  <c r="F70" i="1"/>
  <c r="G70" i="1" s="1"/>
  <c r="E69" i="1"/>
  <c r="F69" i="1" s="1"/>
  <c r="G69" i="1" s="1"/>
  <c r="C63" i="1"/>
  <c r="E64" i="1"/>
  <c r="D62" i="1"/>
  <c r="D61" i="1"/>
  <c r="E63" i="1" s="1"/>
  <c r="F63" i="1" s="1"/>
  <c r="G63" i="1" s="1"/>
  <c r="D60" i="1"/>
  <c r="C60" i="1"/>
  <c r="D59" i="1"/>
  <c r="D58" i="1"/>
  <c r="E61" i="1" s="1"/>
  <c r="D57" i="1"/>
  <c r="C57" i="1"/>
  <c r="D56" i="1"/>
  <c r="E58" i="1" s="1"/>
  <c r="D55" i="1"/>
  <c r="E57" i="1" s="1"/>
  <c r="F57" i="1" s="1"/>
  <c r="G57" i="1" s="1"/>
  <c r="F61" i="1" l="1"/>
  <c r="G61" i="1" s="1"/>
  <c r="F58" i="1"/>
  <c r="G58" i="1" s="1"/>
  <c r="F64" i="1"/>
  <c r="G64" i="1" s="1"/>
  <c r="E60" i="1"/>
  <c r="F60" i="1" s="1"/>
  <c r="G60" i="1" s="1"/>
  <c r="D54" i="1"/>
  <c r="D53" i="1"/>
  <c r="D52" i="1"/>
  <c r="C54" i="1" l="1"/>
  <c r="E55" i="1"/>
  <c r="E54" i="1"/>
  <c r="F54" i="1" s="1"/>
  <c r="D51" i="1"/>
  <c r="E52" i="1"/>
  <c r="E51" i="1"/>
  <c r="F51" i="1" s="1"/>
  <c r="G51" i="1" s="1"/>
  <c r="C51" i="1"/>
  <c r="D50" i="1"/>
  <c r="D49" i="1"/>
  <c r="D48" i="1"/>
  <c r="F52" i="1" l="1"/>
  <c r="G52" i="1" s="1"/>
  <c r="G54" i="1"/>
  <c r="F55" i="1"/>
  <c r="G55" i="1" s="1"/>
  <c r="D47" i="1"/>
  <c r="C48" i="1" l="1"/>
  <c r="D46" i="1"/>
  <c r="E49" i="1" s="1"/>
  <c r="F49" i="1" s="1"/>
  <c r="G49" i="1" s="1"/>
  <c r="D45" i="1"/>
  <c r="C45" i="1"/>
  <c r="C42" i="1"/>
  <c r="D44" i="1"/>
  <c r="E46" i="1" s="1"/>
  <c r="D43" i="1"/>
  <c r="C39" i="1"/>
  <c r="D42" i="1"/>
  <c r="D41" i="1"/>
  <c r="E42" i="1" s="1"/>
  <c r="F42" i="1" s="1"/>
  <c r="G42" i="1" s="1"/>
  <c r="D40" i="1"/>
  <c r="D39" i="1"/>
  <c r="D38" i="1"/>
  <c r="E40" i="1" s="1"/>
  <c r="D37" i="1"/>
  <c r="E39" i="1" s="1"/>
  <c r="F39" i="1" s="1"/>
  <c r="G39" i="1" s="1"/>
  <c r="C36" i="1"/>
  <c r="D36" i="1"/>
  <c r="D33" i="1"/>
  <c r="E36" i="1"/>
  <c r="F36" i="1" s="1"/>
  <c r="G36" i="1" s="1"/>
  <c r="D34" i="1"/>
  <c r="D35" i="1"/>
  <c r="C33" i="1"/>
  <c r="D32" i="1"/>
  <c r="E34" i="1" s="1"/>
  <c r="F34" i="1" s="1"/>
  <c r="D31" i="1"/>
  <c r="C30" i="1"/>
  <c r="B30" i="1"/>
  <c r="D30" i="1"/>
  <c r="E31" i="1"/>
  <c r="D28" i="1"/>
  <c r="E30" i="1" s="1"/>
  <c r="F30" i="1" s="1"/>
  <c r="G30" i="1" s="1"/>
  <c r="D29" i="1"/>
  <c r="D27" i="1"/>
  <c r="C27" i="1"/>
  <c r="D26" i="1"/>
  <c r="E28" i="1" s="1"/>
  <c r="F28" i="1" s="1"/>
  <c r="G28" i="1" s="1"/>
  <c r="D25" i="1"/>
  <c r="E27" i="1" s="1"/>
  <c r="F27" i="1" s="1"/>
  <c r="G27" i="1" s="1"/>
  <c r="C24" i="1"/>
  <c r="D24" i="1"/>
  <c r="D22" i="1"/>
  <c r="E24" i="1" s="1"/>
  <c r="F24" i="1" s="1"/>
  <c r="G24" i="1" s="1"/>
  <c r="D23" i="1"/>
  <c r="E25" i="1" s="1"/>
  <c r="F25" i="1" s="1"/>
  <c r="G25" i="1" s="1"/>
  <c r="C21" i="1"/>
  <c r="D21" i="1"/>
  <c r="D20" i="1"/>
  <c r="E22" i="1" s="1"/>
  <c r="F22" i="1" s="1"/>
  <c r="G22" i="1" s="1"/>
  <c r="E21" i="1"/>
  <c r="F21" i="1" s="1"/>
  <c r="G21" i="1" s="1"/>
  <c r="D19" i="1"/>
  <c r="D18" i="1"/>
  <c r="E18" i="1"/>
  <c r="F18" i="1" s="1"/>
  <c r="C18" i="1"/>
  <c r="D17" i="1"/>
  <c r="D16" i="1"/>
  <c r="E19" i="1" s="1"/>
  <c r="F19" i="1" s="1"/>
  <c r="G19" i="1" s="1"/>
  <c r="D15" i="1"/>
  <c r="C15" i="1"/>
  <c r="D13" i="1"/>
  <c r="E16" i="1" s="1"/>
  <c r="F16" i="1" s="1"/>
  <c r="G16" i="1" s="1"/>
  <c r="D14" i="1"/>
  <c r="D12" i="1"/>
  <c r="C12" i="1"/>
  <c r="D11" i="1"/>
  <c r="E12" i="1" s="1"/>
  <c r="F12" i="1" s="1"/>
  <c r="G12" i="1" s="1"/>
  <c r="C11" i="1"/>
  <c r="D10" i="1"/>
  <c r="E13" i="1" s="1"/>
  <c r="F13" i="1" s="1"/>
  <c r="G13" i="1" s="1"/>
  <c r="D7" i="1"/>
  <c r="D8" i="1"/>
  <c r="E8" i="1"/>
  <c r="F8" i="1"/>
  <c r="G8" i="1" s="1"/>
  <c r="D6" i="1"/>
  <c r="E7" i="1" s="1"/>
  <c r="F7" i="1" s="1"/>
  <c r="G7" i="1" s="1"/>
  <c r="G46" i="1" l="1"/>
  <c r="F46" i="1"/>
  <c r="G18" i="1"/>
  <c r="E33" i="1"/>
  <c r="F33" i="1" s="1"/>
  <c r="G33" i="1" s="1"/>
  <c r="E37" i="1"/>
  <c r="F37" i="1" s="1"/>
  <c r="G37" i="1" s="1"/>
  <c r="E43" i="1"/>
  <c r="E11" i="1"/>
  <c r="F11" i="1" s="1"/>
  <c r="G11" i="1" s="1"/>
  <c r="E45" i="1"/>
  <c r="F45" i="1" s="1"/>
  <c r="G45" i="1" s="1"/>
  <c r="E48" i="1"/>
  <c r="F48" i="1" s="1"/>
  <c r="G48" i="1" s="1"/>
  <c r="E15" i="1"/>
  <c r="F31" i="1"/>
  <c r="G31" i="1" s="1"/>
  <c r="F40" i="1"/>
  <c r="G40" i="1" s="1"/>
  <c r="G34" i="1"/>
  <c r="E9" i="1"/>
  <c r="F9" i="1" s="1"/>
  <c r="G9" i="1" s="1"/>
  <c r="F15" i="1"/>
  <c r="G15" i="1" s="1"/>
  <c r="G43" i="1" l="1"/>
  <c r="F43" i="1"/>
</calcChain>
</file>

<file path=xl/sharedStrings.xml><?xml version="1.0" encoding="utf-8"?>
<sst xmlns="http://schemas.openxmlformats.org/spreadsheetml/2006/main" count="103" uniqueCount="15">
  <si>
    <t># of Days</t>
  </si>
  <si>
    <t># of cows</t>
  </si>
  <si>
    <t>Date</t>
  </si>
  <si>
    <t>Tons in tanks</t>
  </si>
  <si>
    <t>Tons used</t>
  </si>
  <si>
    <t>Grain per cow during period</t>
  </si>
  <si>
    <t xml:space="preserve">    Grain truck</t>
  </si>
  <si>
    <t>Grain per day</t>
  </si>
  <si>
    <t xml:space="preserve"> Average for load</t>
  </si>
  <si>
    <t>12/?/2012</t>
  </si>
  <si>
    <t>Grain disaster July 1.2013</t>
  </si>
  <si>
    <t xml:space="preserve">           Adjust feed stations!!!!</t>
  </si>
  <si>
    <t>Start calf mix</t>
  </si>
  <si>
    <t xml:space="preserve"> wheather they eat or not</t>
  </si>
  <si>
    <t xml:space="preserve">Now figuring all cows,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</si>
</sst>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12"/>
  <sheetViews>
    <sheetView tabSelected="1" topLeftCell="A194" workbookViewId="0">
      <selection activeCell="A210" sqref="A210"/>
    </sheetView>
  </sheetViews>
  <sheetFormatPr defaultRowHeight="18.75" x14ac:dyDescent="0.3"/>
  <cols>
    <col min="1" max="1" width="14.85546875" style="1" bestFit="1" customWidth="1"/>
    <col min="2" max="2" width="11.28515625" style="1" customWidth="1"/>
    <col min="3" max="3" width="11.140625" style="1" customWidth="1"/>
    <col min="4" max="4" width="15.28515625" style="1" customWidth="1"/>
    <col min="5" max="5" width="12" style="1" customWidth="1"/>
    <col min="6" max="6" width="15.5703125" style="1" customWidth="1"/>
    <col min="7" max="13" width="9.140625" style="1"/>
  </cols>
  <sheetData>
    <row r="3" spans="1:7" x14ac:dyDescent="0.3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7</v>
      </c>
      <c r="G3" s="1" t="s">
        <v>5</v>
      </c>
    </row>
    <row r="5" spans="1:7" x14ac:dyDescent="0.3">
      <c r="A5" s="2">
        <v>40515</v>
      </c>
      <c r="D5" s="1">
        <v>7.5</v>
      </c>
    </row>
    <row r="6" spans="1:7" x14ac:dyDescent="0.3">
      <c r="A6" s="2">
        <v>40515</v>
      </c>
      <c r="B6" s="1" t="s">
        <v>6</v>
      </c>
      <c r="D6" s="1">
        <f>11.5+8</f>
        <v>19.5</v>
      </c>
    </row>
    <row r="7" spans="1:7" x14ac:dyDescent="0.3">
      <c r="A7" s="2">
        <v>40530</v>
      </c>
      <c r="B7" s="1">
        <v>15</v>
      </c>
      <c r="C7" s="1">
        <v>100</v>
      </c>
      <c r="D7" s="1">
        <f>3+3+4</f>
        <v>10</v>
      </c>
      <c r="E7" s="1">
        <f>(D5+D6)-D7</f>
        <v>17</v>
      </c>
      <c r="F7" s="1">
        <f>(E7*2000)/B7</f>
        <v>2266.6666666666665</v>
      </c>
      <c r="G7" s="1">
        <f>F7/C7</f>
        <v>22.666666666666664</v>
      </c>
    </row>
    <row r="8" spans="1:7" x14ac:dyDescent="0.3">
      <c r="A8" s="2">
        <v>40539</v>
      </c>
      <c r="B8" s="1">
        <v>9</v>
      </c>
      <c r="C8" s="1">
        <v>100</v>
      </c>
      <c r="D8" s="1">
        <f>1+1+2</f>
        <v>4</v>
      </c>
      <c r="E8" s="1">
        <f>(D7)-D8</f>
        <v>6</v>
      </c>
      <c r="F8" s="1">
        <f>(E8*2000)/B8</f>
        <v>1333.3333333333333</v>
      </c>
      <c r="G8" s="1">
        <f>F8/C8</f>
        <v>13.333333333333332</v>
      </c>
    </row>
    <row r="9" spans="1:7" x14ac:dyDescent="0.3">
      <c r="A9" s="2">
        <v>40539</v>
      </c>
      <c r="B9" s="1" t="s">
        <v>8</v>
      </c>
      <c r="D9" s="1">
        <v>6</v>
      </c>
      <c r="E9" s="1">
        <f>(D5+D6)-D8</f>
        <v>23</v>
      </c>
      <c r="F9" s="1">
        <f>E9*2000</f>
        <v>46000</v>
      </c>
      <c r="G9" s="1">
        <f>(F9/24)/100</f>
        <v>19.166666666666668</v>
      </c>
    </row>
    <row r="10" spans="1:7" x14ac:dyDescent="0.3">
      <c r="A10" s="2">
        <v>40539</v>
      </c>
      <c r="B10" s="1" t="s">
        <v>6</v>
      </c>
      <c r="D10" s="5">
        <f>12+8.25+(-1.5)</f>
        <v>18.75</v>
      </c>
    </row>
    <row r="11" spans="1:7" x14ac:dyDescent="0.3">
      <c r="A11" s="6">
        <v>40554</v>
      </c>
      <c r="B11" s="5">
        <v>14</v>
      </c>
      <c r="C11" s="5">
        <f>121-12</f>
        <v>109</v>
      </c>
      <c r="D11" s="5">
        <f>4+(5+3)</f>
        <v>12</v>
      </c>
      <c r="E11" s="5">
        <f>(D8+D10)-D11</f>
        <v>10.75</v>
      </c>
      <c r="F11" s="5">
        <f>(E11*2000)/B11</f>
        <v>1535.7142857142858</v>
      </c>
      <c r="G11" s="5">
        <f>F11/C11</f>
        <v>14.089121887287025</v>
      </c>
    </row>
    <row r="12" spans="1:7" x14ac:dyDescent="0.3">
      <c r="A12" s="6">
        <v>40557</v>
      </c>
      <c r="B12" s="5">
        <v>3</v>
      </c>
      <c r="C12" s="5">
        <f>110-12</f>
        <v>98</v>
      </c>
      <c r="D12" s="5">
        <f>3+(4.25+2)</f>
        <v>9.25</v>
      </c>
      <c r="E12" s="5">
        <f>(D11)-D12</f>
        <v>2.75</v>
      </c>
      <c r="F12" s="5">
        <f>(E12*2000)/B12</f>
        <v>1833.3333333333333</v>
      </c>
      <c r="G12" s="5">
        <f>F12/C12</f>
        <v>18.707482993197278</v>
      </c>
    </row>
    <row r="13" spans="1:7" x14ac:dyDescent="0.3">
      <c r="A13" s="6">
        <v>40564</v>
      </c>
      <c r="B13" s="5" t="s">
        <v>8</v>
      </c>
      <c r="C13" s="5"/>
      <c r="D13" s="5">
        <f>1.5+2+1.5</f>
        <v>5</v>
      </c>
      <c r="E13" s="5">
        <f>(D10+D9)-D13</f>
        <v>19.75</v>
      </c>
      <c r="F13" s="5">
        <f>(E13*2000)+800</f>
        <v>40300</v>
      </c>
      <c r="G13" s="5">
        <f>(F13/25)/100</f>
        <v>16.12</v>
      </c>
    </row>
    <row r="14" spans="1:7" ht="17.25" customHeight="1" x14ac:dyDescent="0.3">
      <c r="A14" s="6">
        <v>40564</v>
      </c>
      <c r="B14" s="5" t="s">
        <v>6</v>
      </c>
      <c r="C14" s="5"/>
      <c r="D14" s="5">
        <f>12+8.25+(-1.5)</f>
        <v>18.75</v>
      </c>
      <c r="E14" s="5"/>
      <c r="F14" s="3"/>
      <c r="G14" s="3"/>
    </row>
    <row r="15" spans="1:7" x14ac:dyDescent="0.3">
      <c r="A15" s="6">
        <v>40583</v>
      </c>
      <c r="B15" s="5">
        <v>19</v>
      </c>
      <c r="C15" s="5">
        <f>125-12</f>
        <v>113</v>
      </c>
      <c r="D15" s="5">
        <f>6+(4.5+3.5)</f>
        <v>14</v>
      </c>
      <c r="E15" s="5">
        <f>(D13+D14)-D15</f>
        <v>9.75</v>
      </c>
      <c r="F15" s="5">
        <f>(E15*2000)/B15</f>
        <v>1026.3157894736842</v>
      </c>
      <c r="G15" s="5">
        <f>F15/C15</f>
        <v>9.0824406148113646</v>
      </c>
    </row>
    <row r="16" spans="1:7" x14ac:dyDescent="0.3">
      <c r="A16" s="6">
        <v>40589</v>
      </c>
      <c r="B16" s="5" t="s">
        <v>8</v>
      </c>
      <c r="C16" s="5"/>
      <c r="D16" s="5">
        <f>2.25+2+3.5</f>
        <v>7.75</v>
      </c>
      <c r="E16" s="5">
        <f>(D14+D13)-D16</f>
        <v>16</v>
      </c>
      <c r="F16" s="5">
        <f>(E16*2000)</f>
        <v>32000</v>
      </c>
      <c r="G16" s="5">
        <f>(F16/25)/100</f>
        <v>12.8</v>
      </c>
    </row>
    <row r="17" spans="1:7" x14ac:dyDescent="0.3">
      <c r="A17" s="6">
        <v>40589</v>
      </c>
      <c r="B17" s="5" t="s">
        <v>6</v>
      </c>
      <c r="C17" s="5"/>
      <c r="D17" s="5">
        <f>11.75+8.25+(-1.5)</f>
        <v>18.5</v>
      </c>
      <c r="E17" s="5"/>
      <c r="F17" s="5"/>
      <c r="G17" s="5"/>
    </row>
    <row r="18" spans="1:7" x14ac:dyDescent="0.3">
      <c r="A18" s="6">
        <v>40603</v>
      </c>
      <c r="B18" s="5">
        <v>14</v>
      </c>
      <c r="C18" s="5">
        <f>125-12</f>
        <v>113</v>
      </c>
      <c r="D18" s="5">
        <f>3+5+7</f>
        <v>15</v>
      </c>
      <c r="E18" s="5">
        <f>(D16+D17)-D18</f>
        <v>11.25</v>
      </c>
      <c r="F18" s="5">
        <f>(E18*2000)/B18</f>
        <v>1607.1428571428571</v>
      </c>
      <c r="G18" s="5">
        <f>F18/C18</f>
        <v>14.222503160556258</v>
      </c>
    </row>
    <row r="19" spans="1:7" x14ac:dyDescent="0.3">
      <c r="A19" s="6">
        <v>40613</v>
      </c>
      <c r="B19" s="5" t="s">
        <v>8</v>
      </c>
      <c r="C19" s="5"/>
      <c r="D19" s="5">
        <f>1.5+2.5+3.5</f>
        <v>7.5</v>
      </c>
      <c r="E19" s="5">
        <f>(D17+D16)-D19</f>
        <v>18.75</v>
      </c>
      <c r="F19" s="5">
        <f>(E19*2000)</f>
        <v>37500</v>
      </c>
      <c r="G19" s="5">
        <f>(F19/25)/110</f>
        <v>13.636363636363637</v>
      </c>
    </row>
    <row r="20" spans="1:7" x14ac:dyDescent="0.3">
      <c r="A20" s="6">
        <v>40613</v>
      </c>
      <c r="B20" s="5" t="s">
        <v>6</v>
      </c>
      <c r="C20" s="5"/>
      <c r="D20" s="5">
        <f>12.5+8.5+(-1.5)</f>
        <v>19.5</v>
      </c>
      <c r="E20" s="3"/>
      <c r="F20" s="3"/>
      <c r="G20" s="3"/>
    </row>
    <row r="21" spans="1:7" x14ac:dyDescent="0.3">
      <c r="A21" s="6">
        <v>40625</v>
      </c>
      <c r="B21" s="5">
        <v>12</v>
      </c>
      <c r="C21" s="5">
        <f>115-12</f>
        <v>103</v>
      </c>
      <c r="D21" s="5">
        <f>2+6.5+8</f>
        <v>16.5</v>
      </c>
      <c r="E21" s="5">
        <f>(D19+D20)-D21</f>
        <v>10.5</v>
      </c>
      <c r="F21" s="5">
        <f>(E21*2000)/B21</f>
        <v>1750</v>
      </c>
      <c r="G21" s="5">
        <f>F21/C21</f>
        <v>16.990291262135923</v>
      </c>
    </row>
    <row r="22" spans="1:7" x14ac:dyDescent="0.3">
      <c r="A22" s="6">
        <v>40634</v>
      </c>
      <c r="B22" s="5" t="s">
        <v>8</v>
      </c>
      <c r="C22" s="5"/>
      <c r="D22" s="5">
        <f>1+2.5+3</f>
        <v>6.5</v>
      </c>
      <c r="E22" s="5">
        <f>(D20+D19)-D22</f>
        <v>20.5</v>
      </c>
      <c r="F22" s="5">
        <f>(E22*2000)</f>
        <v>41000</v>
      </c>
      <c r="G22" s="5">
        <f>(F22/20)/105</f>
        <v>19.523809523809526</v>
      </c>
    </row>
    <row r="23" spans="1:7" x14ac:dyDescent="0.3">
      <c r="A23" s="6">
        <v>40634</v>
      </c>
      <c r="B23" s="5" t="s">
        <v>6</v>
      </c>
      <c r="C23" s="5"/>
      <c r="D23" s="5">
        <f>10+7.75+(-1)</f>
        <v>16.75</v>
      </c>
      <c r="E23" s="5"/>
      <c r="F23" s="5"/>
      <c r="G23" s="5"/>
    </row>
    <row r="24" spans="1:7" x14ac:dyDescent="0.3">
      <c r="A24" s="6">
        <v>40644</v>
      </c>
      <c r="B24" s="5">
        <v>9</v>
      </c>
      <c r="C24" s="5">
        <f>122-8</f>
        <v>114</v>
      </c>
      <c r="D24" s="5">
        <f>2.5+8+4.5</f>
        <v>15</v>
      </c>
      <c r="E24" s="5">
        <f>(D22+D23)-D24</f>
        <v>8.25</v>
      </c>
      <c r="F24" s="5">
        <f>(E24*2000)/B24</f>
        <v>1833.3333333333333</v>
      </c>
      <c r="G24" s="5">
        <f>F24/C24</f>
        <v>16.081871345029239</v>
      </c>
    </row>
    <row r="25" spans="1:7" x14ac:dyDescent="0.3">
      <c r="A25" s="6">
        <v>40651</v>
      </c>
      <c r="B25" s="5" t="s">
        <v>8</v>
      </c>
      <c r="C25" s="5"/>
      <c r="D25" s="5">
        <f>1.5+5.5+0</f>
        <v>7</v>
      </c>
      <c r="E25" s="5">
        <f>(D23+D22)-D25</f>
        <v>16.25</v>
      </c>
      <c r="F25" s="5">
        <f>(E25*2000)</f>
        <v>32500</v>
      </c>
      <c r="G25" s="5">
        <f>(F25/17)/C24</f>
        <v>16.769865841073273</v>
      </c>
    </row>
    <row r="26" spans="1:7" x14ac:dyDescent="0.3">
      <c r="A26" s="6">
        <v>40651</v>
      </c>
      <c r="B26" s="5" t="s">
        <v>6</v>
      </c>
      <c r="C26" s="5"/>
      <c r="D26" s="5">
        <f>12+10+(-1.5)</f>
        <v>20.5</v>
      </c>
      <c r="E26" s="5"/>
      <c r="F26" s="5"/>
      <c r="G26" s="5"/>
    </row>
    <row r="27" spans="1:7" x14ac:dyDescent="0.3">
      <c r="A27" s="6">
        <v>40669</v>
      </c>
      <c r="B27" s="5">
        <v>18</v>
      </c>
      <c r="C27" s="5">
        <f>140-11</f>
        <v>129</v>
      </c>
      <c r="D27" s="5">
        <f>3+5+1</f>
        <v>9</v>
      </c>
      <c r="E27" s="5">
        <f>(D25+D26)-D27</f>
        <v>18.5</v>
      </c>
      <c r="F27" s="5">
        <f>(E27*2000)/B27</f>
        <v>2055.5555555555557</v>
      </c>
      <c r="G27" s="5">
        <f>F27/C27</f>
        <v>15.934539190353144</v>
      </c>
    </row>
    <row r="28" spans="1:7" x14ac:dyDescent="0.3">
      <c r="A28" s="6">
        <v>40672</v>
      </c>
      <c r="B28" s="5" t="s">
        <v>8</v>
      </c>
      <c r="C28" s="3"/>
      <c r="D28" s="5">
        <f>3+4.5+0</f>
        <v>7.5</v>
      </c>
      <c r="E28" s="5">
        <f>(D26+D25)-D28</f>
        <v>20</v>
      </c>
      <c r="F28" s="5">
        <f>(E28*2000)/21</f>
        <v>1904.7619047619048</v>
      </c>
      <c r="G28" s="5">
        <f>(F28)/C27</f>
        <v>14.765596160944998</v>
      </c>
    </row>
    <row r="29" spans="1:7" x14ac:dyDescent="0.3">
      <c r="A29" s="6">
        <v>40672</v>
      </c>
      <c r="B29" s="5" t="s">
        <v>6</v>
      </c>
      <c r="C29" s="5"/>
      <c r="D29" s="5">
        <f>9+13+(-1.5)</f>
        <v>20.5</v>
      </c>
      <c r="E29" s="3"/>
      <c r="F29" s="3"/>
      <c r="G29" s="3"/>
    </row>
    <row r="30" spans="1:7" x14ac:dyDescent="0.3">
      <c r="A30" s="6">
        <v>40684</v>
      </c>
      <c r="B30" s="5">
        <f>26-9</f>
        <v>17</v>
      </c>
      <c r="C30" s="5">
        <f>150-13</f>
        <v>137</v>
      </c>
      <c r="D30" s="5">
        <f>3+3+3</f>
        <v>9</v>
      </c>
      <c r="E30" s="5">
        <f>(D28+D29)-D30</f>
        <v>19</v>
      </c>
      <c r="F30" s="5">
        <f>(E30*2000)/B30</f>
        <v>2235.294117647059</v>
      </c>
      <c r="G30" s="5">
        <f>F30/C30</f>
        <v>16.316015457277803</v>
      </c>
    </row>
    <row r="31" spans="1:7" x14ac:dyDescent="0.3">
      <c r="A31" s="6">
        <v>40695</v>
      </c>
      <c r="B31" s="5" t="s">
        <v>8</v>
      </c>
      <c r="C31" s="5"/>
      <c r="D31" s="5">
        <f>1.5+2+0</f>
        <v>3.5</v>
      </c>
      <c r="E31" s="5">
        <f>(D29+D28)-D31</f>
        <v>24.5</v>
      </c>
      <c r="F31" s="5">
        <f>(E31*2000)/23</f>
        <v>2130.4347826086955</v>
      </c>
      <c r="G31" s="5">
        <f>(F31)/C30</f>
        <v>15.550618851158362</v>
      </c>
    </row>
    <row r="32" spans="1:7" x14ac:dyDescent="0.3">
      <c r="A32" s="6">
        <v>40695</v>
      </c>
      <c r="B32" s="5" t="s">
        <v>6</v>
      </c>
      <c r="C32" s="5"/>
      <c r="D32" s="5">
        <f>10+12+(-1.5)</f>
        <v>20.5</v>
      </c>
      <c r="E32" s="5"/>
      <c r="F32" s="5"/>
      <c r="G32" s="5"/>
    </row>
    <row r="33" spans="1:7" x14ac:dyDescent="0.3">
      <c r="A33" s="6">
        <v>40707</v>
      </c>
      <c r="B33" s="5">
        <v>12</v>
      </c>
      <c r="C33" s="5">
        <f>145-12</f>
        <v>133</v>
      </c>
      <c r="D33" s="5">
        <f>1+2+4.5</f>
        <v>7.5</v>
      </c>
      <c r="E33" s="5">
        <f>(D31+D32)-D33</f>
        <v>16.5</v>
      </c>
      <c r="F33" s="5">
        <f>(E33*2000)/B33</f>
        <v>2750</v>
      </c>
      <c r="G33" s="5">
        <f>F33/C33</f>
        <v>20.676691729323309</v>
      </c>
    </row>
    <row r="34" spans="1:7" x14ac:dyDescent="0.3">
      <c r="A34" s="6">
        <v>40710</v>
      </c>
      <c r="B34" s="5" t="s">
        <v>8</v>
      </c>
      <c r="C34" s="5"/>
      <c r="D34" s="5">
        <f>1+1+4</f>
        <v>6</v>
      </c>
      <c r="E34" s="5">
        <f>(D32+D31)-D34</f>
        <v>18</v>
      </c>
      <c r="F34" s="5">
        <f>(E34*2000)/15</f>
        <v>2400</v>
      </c>
      <c r="G34" s="5">
        <f>(F34)/C33</f>
        <v>18.045112781954888</v>
      </c>
    </row>
    <row r="35" spans="1:7" x14ac:dyDescent="0.3">
      <c r="A35" s="6">
        <v>40711</v>
      </c>
      <c r="B35" s="5" t="s">
        <v>6</v>
      </c>
      <c r="C35" s="5"/>
      <c r="D35" s="5">
        <f>12+10+(-1.5)</f>
        <v>20.5</v>
      </c>
      <c r="E35" s="3"/>
      <c r="F35" s="3"/>
      <c r="G35" s="3"/>
    </row>
    <row r="36" spans="1:7" x14ac:dyDescent="0.3">
      <c r="A36" s="6">
        <v>40723</v>
      </c>
      <c r="B36" s="5">
        <v>12</v>
      </c>
      <c r="C36" s="5">
        <f>145-12</f>
        <v>133</v>
      </c>
      <c r="D36" s="5">
        <f>2+3+4</f>
        <v>9</v>
      </c>
      <c r="E36" s="5">
        <f>(D34+D35)-D36</f>
        <v>17.5</v>
      </c>
      <c r="F36" s="5">
        <f>(E36*2000)/B36</f>
        <v>2916.6666666666665</v>
      </c>
      <c r="G36" s="5">
        <f>F36/C36</f>
        <v>21.929824561403507</v>
      </c>
    </row>
    <row r="37" spans="1:7" x14ac:dyDescent="0.3">
      <c r="A37" s="6">
        <v>40731</v>
      </c>
      <c r="B37" s="5" t="s">
        <v>8</v>
      </c>
      <c r="C37" s="5"/>
      <c r="D37" s="5">
        <f>1+1+1</f>
        <v>3</v>
      </c>
      <c r="E37" s="5">
        <f>(D35+D34)-D37</f>
        <v>23.5</v>
      </c>
      <c r="F37" s="5">
        <f>(E37*2000)/15</f>
        <v>3133.3333333333335</v>
      </c>
      <c r="G37" s="5">
        <f>(F37)/C36</f>
        <v>23.558897243107772</v>
      </c>
    </row>
    <row r="38" spans="1:7" x14ac:dyDescent="0.3">
      <c r="A38" s="6">
        <v>40731</v>
      </c>
      <c r="B38" s="5" t="s">
        <v>6</v>
      </c>
      <c r="C38" s="5"/>
      <c r="D38" s="5">
        <f>12+10+(-1.15)</f>
        <v>20.85</v>
      </c>
      <c r="E38" s="5"/>
      <c r="F38" s="5"/>
      <c r="G38" s="5"/>
    </row>
    <row r="39" spans="1:7" x14ac:dyDescent="0.3">
      <c r="A39" s="6">
        <v>40744</v>
      </c>
      <c r="B39" s="5">
        <v>13</v>
      </c>
      <c r="C39" s="5">
        <f>143-12</f>
        <v>131</v>
      </c>
      <c r="D39" s="5">
        <f>1.5+2.25+3.5</f>
        <v>7.25</v>
      </c>
      <c r="E39" s="5">
        <f>(D37+D38)-D39</f>
        <v>16.600000000000001</v>
      </c>
      <c r="F39" s="5">
        <f>(E39*2000)/B39</f>
        <v>2553.8461538461538</v>
      </c>
      <c r="G39" s="5">
        <f>F39/C39</f>
        <v>19.495008807985908</v>
      </c>
    </row>
    <row r="40" spans="1:7" x14ac:dyDescent="0.3">
      <c r="A40" s="6">
        <v>40749</v>
      </c>
      <c r="B40" s="5" t="s">
        <v>8</v>
      </c>
      <c r="C40" s="5"/>
      <c r="D40" s="5">
        <f>0.25+0.5+0.75</f>
        <v>1.5</v>
      </c>
      <c r="E40" s="5">
        <f>(D38+D37)-D40</f>
        <v>22.35</v>
      </c>
      <c r="F40" s="5">
        <f>(E40*2000)/18</f>
        <v>2483.3333333333335</v>
      </c>
      <c r="G40" s="5">
        <f>(F40)/C39</f>
        <v>18.956743002544531</v>
      </c>
    </row>
    <row r="41" spans="1:7" x14ac:dyDescent="0.3">
      <c r="A41" s="6">
        <v>40749</v>
      </c>
      <c r="B41" s="5" t="s">
        <v>6</v>
      </c>
      <c r="C41" s="5"/>
      <c r="D41" s="5">
        <f>10+10.25+(-1)</f>
        <v>19.25</v>
      </c>
      <c r="E41" s="3"/>
      <c r="F41" s="3"/>
      <c r="G41" s="3"/>
    </row>
    <row r="42" spans="1:7" x14ac:dyDescent="0.3">
      <c r="A42" s="6">
        <v>40762</v>
      </c>
      <c r="B42" s="5">
        <v>13</v>
      </c>
      <c r="C42" s="5">
        <f>146-15</f>
        <v>131</v>
      </c>
      <c r="D42" s="5">
        <f>1+1.5+2.5</f>
        <v>5</v>
      </c>
      <c r="E42" s="5">
        <f>(D40+D41)-D42</f>
        <v>15.75</v>
      </c>
      <c r="F42" s="5">
        <f>(E42*2000)/B42</f>
        <v>2423.0769230769229</v>
      </c>
      <c r="G42" s="5">
        <f>F42/C42</f>
        <v>18.49677040516735</v>
      </c>
    </row>
    <row r="43" spans="1:7" x14ac:dyDescent="0.3">
      <c r="A43" s="6">
        <v>40765</v>
      </c>
      <c r="B43" s="5" t="s">
        <v>8</v>
      </c>
      <c r="C43" s="5"/>
      <c r="D43" s="5">
        <f>0.35+1.5+0.25</f>
        <v>2.1</v>
      </c>
      <c r="E43" s="5">
        <f>(D41+D40)-D43</f>
        <v>18.649999999999999</v>
      </c>
      <c r="F43" s="5">
        <f>(E43*2000)/16</f>
        <v>2331.25</v>
      </c>
      <c r="G43" s="5">
        <f>(F43)/C42</f>
        <v>17.795801526717558</v>
      </c>
    </row>
    <row r="44" spans="1:7" x14ac:dyDescent="0.3">
      <c r="A44" s="6">
        <v>40765</v>
      </c>
      <c r="B44" s="5" t="s">
        <v>6</v>
      </c>
      <c r="C44" s="5"/>
      <c r="D44" s="5">
        <f>9.75+9.25+(-1.75)</f>
        <v>17.25</v>
      </c>
      <c r="E44" s="5"/>
      <c r="F44" s="5"/>
      <c r="G44" s="5"/>
    </row>
    <row r="45" spans="1:7" x14ac:dyDescent="0.3">
      <c r="A45" s="6">
        <v>40777</v>
      </c>
      <c r="B45" s="5">
        <v>12</v>
      </c>
      <c r="C45" s="5">
        <f>136-12</f>
        <v>124</v>
      </c>
      <c r="D45" s="5">
        <f>2+2.5+7.5</f>
        <v>12</v>
      </c>
      <c r="E45" s="5">
        <f>(D43+D44)-D45</f>
        <v>7.3500000000000014</v>
      </c>
      <c r="F45" s="5">
        <f>(E45*2000)/B45</f>
        <v>1225.0000000000002</v>
      </c>
      <c r="G45" s="5">
        <f>F45/C45</f>
        <v>9.8790322580645178</v>
      </c>
    </row>
    <row r="46" spans="1:7" x14ac:dyDescent="0.3">
      <c r="A46" s="6">
        <v>40787</v>
      </c>
      <c r="B46" s="5" t="s">
        <v>8</v>
      </c>
      <c r="C46" s="5"/>
      <c r="D46" s="5">
        <f>1+2+0.1</f>
        <v>3.1</v>
      </c>
      <c r="E46" s="5">
        <f>(D44+D43)-D46</f>
        <v>16.25</v>
      </c>
      <c r="F46" s="5">
        <f>(E46*2000)/21</f>
        <v>1547.6190476190477</v>
      </c>
      <c r="G46" s="5">
        <f>(F46)/C45</f>
        <v>12.480798771121352</v>
      </c>
    </row>
    <row r="47" spans="1:7" x14ac:dyDescent="0.3">
      <c r="A47" s="6">
        <v>40787</v>
      </c>
      <c r="B47" s="5" t="s">
        <v>6</v>
      </c>
      <c r="C47" s="5"/>
      <c r="D47" s="3">
        <f>11+11+(-1.75)</f>
        <v>20.25</v>
      </c>
      <c r="E47" s="3"/>
      <c r="F47" s="3"/>
      <c r="G47" s="3"/>
    </row>
    <row r="48" spans="1:7" x14ac:dyDescent="0.3">
      <c r="A48" s="6">
        <v>40805</v>
      </c>
      <c r="B48" s="5">
        <v>18</v>
      </c>
      <c r="C48" s="5">
        <f>130-6</f>
        <v>124</v>
      </c>
      <c r="D48" s="5">
        <f>3+2.25+0.7</f>
        <v>5.95</v>
      </c>
      <c r="E48" s="5">
        <f>(D46+D47)-D48</f>
        <v>17.400000000000002</v>
      </c>
      <c r="F48" s="5">
        <f>(E48*2000)/B48</f>
        <v>1933.3333333333337</v>
      </c>
      <c r="G48" s="5">
        <f>F48/C48</f>
        <v>15.59139784946237</v>
      </c>
    </row>
    <row r="49" spans="1:7" x14ac:dyDescent="0.3">
      <c r="A49" s="6">
        <v>40808</v>
      </c>
      <c r="B49" s="5" t="s">
        <v>8</v>
      </c>
      <c r="C49" s="5"/>
      <c r="D49" s="5">
        <f>2.25+2+0</f>
        <v>4.25</v>
      </c>
      <c r="E49" s="5">
        <f>(D47+D46)-D49</f>
        <v>19.100000000000001</v>
      </c>
      <c r="F49" s="5">
        <f>(E49*2000)/21</f>
        <v>1819.047619047619</v>
      </c>
      <c r="G49" s="5">
        <f>(F49)/C48</f>
        <v>14.66973886328725</v>
      </c>
    </row>
    <row r="50" spans="1:7" x14ac:dyDescent="0.3">
      <c r="A50" s="6">
        <v>40808</v>
      </c>
      <c r="B50" s="5" t="s">
        <v>6</v>
      </c>
      <c r="C50" s="5"/>
      <c r="D50" s="5">
        <f>10+10+(-2)</f>
        <v>18</v>
      </c>
      <c r="E50" s="3"/>
      <c r="F50" s="3"/>
      <c r="G50" s="3"/>
    </row>
    <row r="51" spans="1:7" x14ac:dyDescent="0.3">
      <c r="A51" s="6">
        <v>40824</v>
      </c>
      <c r="B51" s="5">
        <v>16</v>
      </c>
      <c r="C51" s="5">
        <f>130-6</f>
        <v>124</v>
      </c>
      <c r="D51" s="5">
        <f>2.75+4+1</f>
        <v>7.75</v>
      </c>
      <c r="E51" s="5">
        <f>(D49+D50)-D51</f>
        <v>14.5</v>
      </c>
      <c r="F51" s="5">
        <f>(E51*2000)/B51</f>
        <v>1812.5</v>
      </c>
      <c r="G51" s="5">
        <f>F51/C51</f>
        <v>14.616935483870968</v>
      </c>
    </row>
    <row r="52" spans="1:7" x14ac:dyDescent="0.3">
      <c r="A52" s="6">
        <v>40827</v>
      </c>
      <c r="B52" s="5" t="s">
        <v>8</v>
      </c>
      <c r="C52" s="5"/>
      <c r="D52" s="5">
        <f>2.5+4.5+0</f>
        <v>7</v>
      </c>
      <c r="E52" s="5">
        <f>(D50+D49)-D52</f>
        <v>15.25</v>
      </c>
      <c r="F52" s="5">
        <f>(E52*2000)/19</f>
        <v>1605.2631578947369</v>
      </c>
      <c r="G52" s="5">
        <f>(F52)/C51</f>
        <v>12.945670628183361</v>
      </c>
    </row>
    <row r="53" spans="1:7" x14ac:dyDescent="0.3">
      <c r="A53" s="6">
        <v>40827</v>
      </c>
      <c r="B53" s="5" t="s">
        <v>6</v>
      </c>
      <c r="C53" s="5"/>
      <c r="D53" s="5">
        <f>11.5+8.5+(-1.5)</f>
        <v>18.5</v>
      </c>
      <c r="E53" s="3"/>
      <c r="F53" s="3"/>
      <c r="G53" s="3"/>
    </row>
    <row r="54" spans="1:7" x14ac:dyDescent="0.3">
      <c r="A54" s="6">
        <v>40844</v>
      </c>
      <c r="B54" s="5">
        <v>17</v>
      </c>
      <c r="C54" s="5">
        <f>124-6</f>
        <v>118</v>
      </c>
      <c r="D54" s="5">
        <f>2+5+3.5</f>
        <v>10.5</v>
      </c>
      <c r="E54" s="5">
        <f>(D52+D53)-D54</f>
        <v>15</v>
      </c>
      <c r="F54" s="5">
        <f>(E54*2000)/B54</f>
        <v>1764.7058823529412</v>
      </c>
      <c r="G54" s="5">
        <f>F54/C54</f>
        <v>14.955134596211366</v>
      </c>
    </row>
    <row r="55" spans="1:7" x14ac:dyDescent="0.3">
      <c r="A55" s="6">
        <v>40849</v>
      </c>
      <c r="B55" s="5"/>
      <c r="C55" s="5"/>
      <c r="D55" s="5">
        <f>1.75+3.5+1.5</f>
        <v>6.75</v>
      </c>
      <c r="E55" s="5">
        <f>(D53+D52)-D55</f>
        <v>18.75</v>
      </c>
      <c r="F55" s="5">
        <f>(E55*2000)/22</f>
        <v>1704.5454545454545</v>
      </c>
      <c r="G55" s="5">
        <f>(F55)/C54</f>
        <v>14.445300462249614</v>
      </c>
    </row>
    <row r="56" spans="1:7" x14ac:dyDescent="0.3">
      <c r="A56" s="6">
        <v>40849</v>
      </c>
      <c r="B56" s="5" t="s">
        <v>6</v>
      </c>
      <c r="C56" s="5"/>
      <c r="D56" s="5">
        <f>12+10+(-2)</f>
        <v>20</v>
      </c>
      <c r="E56" s="3"/>
      <c r="F56" s="3"/>
      <c r="G56" s="3"/>
    </row>
    <row r="57" spans="1:7" x14ac:dyDescent="0.3">
      <c r="A57" s="6">
        <v>40872</v>
      </c>
      <c r="B57" s="5">
        <v>23</v>
      </c>
      <c r="C57" s="5">
        <f>120-8</f>
        <v>112</v>
      </c>
      <c r="D57" s="5">
        <f>2.75+4.5+0.75</f>
        <v>8</v>
      </c>
      <c r="E57" s="5">
        <f>(D55+D56)-D57</f>
        <v>18.75</v>
      </c>
      <c r="F57" s="5">
        <f>(E57*2000)/B57</f>
        <v>1630.4347826086957</v>
      </c>
      <c r="G57" s="5">
        <f>F57/C57</f>
        <v>14.55745341614907</v>
      </c>
    </row>
    <row r="58" spans="1:7" x14ac:dyDescent="0.3">
      <c r="A58" s="6">
        <v>40878</v>
      </c>
      <c r="B58" s="5"/>
      <c r="C58" s="5"/>
      <c r="D58" s="5">
        <f>0.05+0.25+1.75</f>
        <v>2.0499999999999998</v>
      </c>
      <c r="E58" s="5">
        <f>(D56+D55)-D58</f>
        <v>24.7</v>
      </c>
      <c r="F58" s="5">
        <f>(E58*2000)/29</f>
        <v>1703.4482758620691</v>
      </c>
      <c r="G58" s="5">
        <f>(F58)/C57</f>
        <v>15.209359605911331</v>
      </c>
    </row>
    <row r="59" spans="1:7" x14ac:dyDescent="0.3">
      <c r="A59" s="6">
        <v>40878</v>
      </c>
      <c r="B59" s="5" t="s">
        <v>6</v>
      </c>
      <c r="C59" s="3"/>
      <c r="D59" s="5">
        <f>10+10+(-1.25)</f>
        <v>18.75</v>
      </c>
      <c r="E59" s="3"/>
      <c r="F59" s="3"/>
      <c r="G59" s="3"/>
    </row>
    <row r="60" spans="1:7" x14ac:dyDescent="0.3">
      <c r="A60" s="6">
        <v>40891</v>
      </c>
      <c r="B60" s="5">
        <v>13</v>
      </c>
      <c r="C60" s="5">
        <f>116-6</f>
        <v>110</v>
      </c>
      <c r="D60" s="5">
        <f>2+3+5</f>
        <v>10</v>
      </c>
      <c r="E60" s="5">
        <f>(D58+D59)-D60</f>
        <v>10.8</v>
      </c>
      <c r="F60" s="5">
        <f>(E60*2000)/B60</f>
        <v>1661.5384615384614</v>
      </c>
      <c r="G60" s="5">
        <f>F60/C60</f>
        <v>15.104895104895103</v>
      </c>
    </row>
    <row r="61" spans="1:7" x14ac:dyDescent="0.3">
      <c r="A61" s="6">
        <v>40897</v>
      </c>
      <c r="B61" s="5"/>
      <c r="C61" s="5"/>
      <c r="D61" s="5">
        <f>1+2+1.75</f>
        <v>4.75</v>
      </c>
      <c r="E61" s="5">
        <f>(D59+D58)-D61</f>
        <v>16.05</v>
      </c>
      <c r="F61" s="5">
        <f>(E61*2000)/19</f>
        <v>1689.4736842105262</v>
      </c>
      <c r="G61" s="5">
        <f>(F61)/C60</f>
        <v>15.358851674641148</v>
      </c>
    </row>
    <row r="62" spans="1:7" x14ac:dyDescent="0.3">
      <c r="A62" s="6">
        <v>40897</v>
      </c>
      <c r="B62" s="5" t="s">
        <v>6</v>
      </c>
      <c r="C62" s="5"/>
      <c r="D62" s="5">
        <f>8+8+(-1.75)</f>
        <v>14.25</v>
      </c>
      <c r="E62" s="3"/>
      <c r="F62" s="3"/>
      <c r="G62" s="3"/>
    </row>
    <row r="63" spans="1:7" x14ac:dyDescent="0.3">
      <c r="A63" s="6">
        <v>40913</v>
      </c>
      <c r="B63" s="5">
        <v>16</v>
      </c>
      <c r="C63" s="5">
        <f>113-7</f>
        <v>106</v>
      </c>
      <c r="D63" s="5">
        <f>1.5+2+0.01</f>
        <v>3.51</v>
      </c>
      <c r="E63" s="5">
        <f>(D61+D62)-D63</f>
        <v>15.49</v>
      </c>
      <c r="F63" s="5">
        <f>(E63*2000)/B63</f>
        <v>1936.25</v>
      </c>
      <c r="G63" s="5">
        <f>F63/C63</f>
        <v>18.266509433962263</v>
      </c>
    </row>
    <row r="64" spans="1:7" x14ac:dyDescent="0.3">
      <c r="A64" s="6">
        <v>40915</v>
      </c>
      <c r="B64" s="5"/>
      <c r="C64" s="5"/>
      <c r="D64" s="5">
        <f>0.5+1+0</f>
        <v>1.5</v>
      </c>
      <c r="E64" s="5">
        <f>(D62+D61)-D64</f>
        <v>17.5</v>
      </c>
      <c r="F64" s="5">
        <f>(E64*2000)/18</f>
        <v>1944.4444444444443</v>
      </c>
      <c r="G64" s="5">
        <f>(F64)/C63</f>
        <v>18.343815513626833</v>
      </c>
    </row>
    <row r="65" spans="1:7" x14ac:dyDescent="0.3">
      <c r="A65" s="6">
        <v>40915</v>
      </c>
      <c r="B65" s="5" t="s">
        <v>6</v>
      </c>
      <c r="C65" s="5"/>
      <c r="D65" s="5">
        <f>10+10+(-1.75)</f>
        <v>18.25</v>
      </c>
      <c r="E65" s="5"/>
      <c r="F65" s="5"/>
      <c r="G65" s="5"/>
    </row>
    <row r="66" spans="1:7" x14ac:dyDescent="0.3">
      <c r="A66" s="6">
        <v>40928</v>
      </c>
      <c r="B66" s="5">
        <v>13</v>
      </c>
      <c r="C66" s="5">
        <f>105-7</f>
        <v>98</v>
      </c>
      <c r="D66" s="5">
        <f>1.5+4.75+6.25</f>
        <v>12.5</v>
      </c>
      <c r="E66" s="5">
        <f>(D64+D65)-D66</f>
        <v>7.25</v>
      </c>
      <c r="F66" s="5">
        <f>(E66*2000)/B66</f>
        <v>1115.3846153846155</v>
      </c>
      <c r="G66" s="5">
        <f>F66/C66</f>
        <v>11.381475667189953</v>
      </c>
    </row>
    <row r="67" spans="1:7" x14ac:dyDescent="0.3">
      <c r="A67" s="6">
        <v>40940</v>
      </c>
      <c r="B67" s="5"/>
      <c r="C67" s="5"/>
      <c r="D67" s="5">
        <f>0.75+1+1.5</f>
        <v>3.25</v>
      </c>
      <c r="E67" s="5">
        <f>(D65+D64)-D67</f>
        <v>16.5</v>
      </c>
      <c r="F67" s="5">
        <f>(E67*2000)/24</f>
        <v>1375</v>
      </c>
      <c r="G67" s="5">
        <f>(F67)/C66</f>
        <v>14.030612244897959</v>
      </c>
    </row>
    <row r="68" spans="1:7" x14ac:dyDescent="0.3">
      <c r="A68" s="6">
        <v>40940</v>
      </c>
      <c r="B68" s="5" t="s">
        <v>6</v>
      </c>
      <c r="C68" s="5"/>
      <c r="D68" s="5">
        <f>10+10+(-1.75)</f>
        <v>18.25</v>
      </c>
      <c r="E68" s="5"/>
      <c r="F68" s="5"/>
      <c r="G68" s="5"/>
    </row>
    <row r="69" spans="1:7" x14ac:dyDescent="0.3">
      <c r="A69" s="6">
        <v>40954</v>
      </c>
      <c r="B69" s="5">
        <v>14</v>
      </c>
      <c r="C69" s="5">
        <f>105-7</f>
        <v>98</v>
      </c>
      <c r="D69" s="5">
        <f>2+4+6</f>
        <v>12</v>
      </c>
      <c r="E69" s="5">
        <f>(D67+D68)-D69</f>
        <v>9.5</v>
      </c>
      <c r="F69" s="5">
        <f>(E69*2000)/B69</f>
        <v>1357.1428571428571</v>
      </c>
      <c r="G69" s="5">
        <f>F69/C69</f>
        <v>13.848396501457726</v>
      </c>
    </row>
    <row r="70" spans="1:7" x14ac:dyDescent="0.3">
      <c r="A70" s="6">
        <v>40970</v>
      </c>
      <c r="B70" s="5"/>
      <c r="C70" s="5"/>
      <c r="D70" s="5">
        <f>0.75+0+0.75</f>
        <v>1.5</v>
      </c>
      <c r="E70" s="5">
        <f>(D68+D67)-D70</f>
        <v>20</v>
      </c>
      <c r="F70" s="5">
        <f>(E70*2000)/32</f>
        <v>1250</v>
      </c>
      <c r="G70" s="5">
        <f>(F70)/C69</f>
        <v>12.755102040816327</v>
      </c>
    </row>
    <row r="71" spans="1:7" x14ac:dyDescent="0.3">
      <c r="A71" s="6">
        <v>40970</v>
      </c>
      <c r="B71" s="5" t="s">
        <v>6</v>
      </c>
      <c r="C71" s="5"/>
      <c r="D71" s="5">
        <f>10.5+10.5+(-1.75)</f>
        <v>19.25</v>
      </c>
      <c r="E71" s="3"/>
      <c r="F71" s="3"/>
      <c r="G71" s="3"/>
    </row>
    <row r="72" spans="1:7" x14ac:dyDescent="0.3">
      <c r="A72" s="6">
        <v>40989</v>
      </c>
      <c r="B72" s="5">
        <v>19</v>
      </c>
      <c r="C72" s="5">
        <f>110-7</f>
        <v>103</v>
      </c>
      <c r="D72" s="5">
        <f>2+3.5+3.5</f>
        <v>9</v>
      </c>
      <c r="E72" s="5">
        <f>(D70+D71)-D72</f>
        <v>11.75</v>
      </c>
      <c r="F72" s="5">
        <f>(E72*2000)/B72</f>
        <v>1236.8421052631579</v>
      </c>
      <c r="G72" s="5">
        <f>F72/C72</f>
        <v>12.008175779253961</v>
      </c>
    </row>
    <row r="73" spans="1:7" x14ac:dyDescent="0.3">
      <c r="A73" s="6">
        <v>41001</v>
      </c>
      <c r="B73" s="5"/>
      <c r="C73" s="5"/>
      <c r="D73" s="5">
        <f>1.75+0+0.75+(-0.7)</f>
        <v>1.8</v>
      </c>
      <c r="E73" s="5">
        <f>(D71+D70)-D73</f>
        <v>18.95</v>
      </c>
      <c r="F73" s="5">
        <f>(E73*2000)/31</f>
        <v>1222.5806451612902</v>
      </c>
      <c r="G73" s="5">
        <f>(F73)/C72</f>
        <v>11.869715001565925</v>
      </c>
    </row>
    <row r="74" spans="1:7" x14ac:dyDescent="0.3">
      <c r="A74" s="6">
        <v>41001</v>
      </c>
      <c r="B74" s="5" t="s">
        <v>6</v>
      </c>
      <c r="C74" s="5"/>
      <c r="D74" s="5">
        <f>10+10+(-2)</f>
        <v>18</v>
      </c>
      <c r="E74" s="3"/>
      <c r="F74" s="3"/>
      <c r="G74" s="3"/>
    </row>
    <row r="75" spans="1:7" x14ac:dyDescent="0.3">
      <c r="A75" s="6">
        <v>41030</v>
      </c>
      <c r="B75" s="5">
        <v>29</v>
      </c>
      <c r="C75" s="5">
        <f>120-7</f>
        <v>113</v>
      </c>
      <c r="D75" s="5">
        <f>0.25+1+0</f>
        <v>1.25</v>
      </c>
      <c r="E75" s="5">
        <f>(D73+D74)-D75</f>
        <v>18.55</v>
      </c>
      <c r="F75" s="5">
        <f>(E75*2000)/B75</f>
        <v>1279.3103448275863</v>
      </c>
      <c r="G75" s="5">
        <f>F75/C75</f>
        <v>11.321330485199878</v>
      </c>
    </row>
    <row r="76" spans="1:7" x14ac:dyDescent="0.3">
      <c r="A76" s="6">
        <v>41030</v>
      </c>
      <c r="B76" s="5"/>
      <c r="C76" s="5"/>
      <c r="D76" s="5">
        <f>0.35+0.2+0</f>
        <v>0.55000000000000004</v>
      </c>
      <c r="E76" s="5">
        <f>(D74+D73)-D76</f>
        <v>19.25</v>
      </c>
      <c r="F76" s="5">
        <f>(E76*2000)/29</f>
        <v>1327.5862068965516</v>
      </c>
      <c r="G76" s="5">
        <f>(F76)/C75</f>
        <v>11.748550503509307</v>
      </c>
    </row>
    <row r="77" spans="1:7" x14ac:dyDescent="0.3">
      <c r="A77" s="6">
        <v>41030</v>
      </c>
      <c r="B77" s="5" t="s">
        <v>6</v>
      </c>
      <c r="C77" s="5"/>
      <c r="D77" s="5">
        <f>9+9+(-1.5)</f>
        <v>16.5</v>
      </c>
      <c r="E77" s="5"/>
      <c r="F77" s="5"/>
      <c r="G77" s="5"/>
    </row>
    <row r="78" spans="1:7" x14ac:dyDescent="0.3">
      <c r="A78" s="6">
        <v>41045</v>
      </c>
      <c r="B78" s="5">
        <v>16</v>
      </c>
      <c r="C78" s="5">
        <f>120-8</f>
        <v>112</v>
      </c>
      <c r="D78" s="5">
        <f>1+1+3.5</f>
        <v>5.5</v>
      </c>
      <c r="E78" s="5">
        <f>(D76+D77)-D78</f>
        <v>11.55</v>
      </c>
      <c r="F78" s="5">
        <f>(E78*2000)/B78</f>
        <v>1443.75</v>
      </c>
      <c r="G78" s="5">
        <f>F78/C78</f>
        <v>12.890625</v>
      </c>
    </row>
    <row r="79" spans="1:7" x14ac:dyDescent="0.3">
      <c r="A79" s="6">
        <v>41050</v>
      </c>
      <c r="B79" s="5"/>
      <c r="C79" s="5"/>
      <c r="D79" s="5">
        <f>0.2+0.5+2</f>
        <v>2.7</v>
      </c>
      <c r="E79" s="5">
        <f>(D77+D76)-D79</f>
        <v>14.350000000000001</v>
      </c>
      <c r="F79" s="5">
        <f>(E79*2000)/21</f>
        <v>1366.6666666666667</v>
      </c>
      <c r="G79" s="5">
        <f>(F79)/C78</f>
        <v>12.202380952380953</v>
      </c>
    </row>
    <row r="80" spans="1:7" x14ac:dyDescent="0.3">
      <c r="A80" s="6">
        <v>41050</v>
      </c>
      <c r="B80" s="5" t="s">
        <v>6</v>
      </c>
      <c r="C80" s="5"/>
      <c r="D80" s="5">
        <f>8.5+8.5+(-1.5)</f>
        <v>15.5</v>
      </c>
      <c r="E80" s="5"/>
      <c r="F80" s="5"/>
      <c r="G80" s="5"/>
    </row>
    <row r="81" spans="1:7" x14ac:dyDescent="0.3">
      <c r="A81" s="6">
        <v>41064</v>
      </c>
      <c r="B81" s="5">
        <v>14</v>
      </c>
      <c r="C81" s="5">
        <f>122-8</f>
        <v>114</v>
      </c>
      <c r="D81" s="5">
        <f>2+2+3.9</f>
        <v>7.9</v>
      </c>
      <c r="E81" s="5">
        <f>(D79+D80)-D81</f>
        <v>10.299999999999999</v>
      </c>
      <c r="F81" s="5">
        <f>(E81*2000)/B81</f>
        <v>1471.4285714285711</v>
      </c>
      <c r="G81" s="5">
        <f>F81/C81</f>
        <v>12.907268170426063</v>
      </c>
    </row>
    <row r="82" spans="1:7" x14ac:dyDescent="0.3">
      <c r="A82" s="6">
        <v>41071</v>
      </c>
      <c r="B82" s="5"/>
      <c r="C82" s="5"/>
      <c r="D82" s="5">
        <f>1+0.5+2</f>
        <v>3.5</v>
      </c>
      <c r="E82" s="5">
        <f>(D80+D79)-D82</f>
        <v>14.7</v>
      </c>
      <c r="F82" s="5">
        <f>(E82*2000)/21</f>
        <v>1400</v>
      </c>
      <c r="G82" s="5">
        <f>(F82)/C81</f>
        <v>12.280701754385966</v>
      </c>
    </row>
    <row r="83" spans="1:7" x14ac:dyDescent="0.3">
      <c r="A83" s="6">
        <v>41071</v>
      </c>
      <c r="B83" s="5" t="s">
        <v>6</v>
      </c>
      <c r="C83" s="5"/>
      <c r="D83" s="5">
        <f>10.5+10+(-1.5)</f>
        <v>19</v>
      </c>
      <c r="E83" s="3"/>
      <c r="F83" s="3"/>
      <c r="G83" s="3"/>
    </row>
    <row r="84" spans="1:7" x14ac:dyDescent="0.3">
      <c r="A84" s="6">
        <v>41088</v>
      </c>
      <c r="B84" s="5">
        <v>17</v>
      </c>
      <c r="C84" s="5">
        <f>124-8</f>
        <v>116</v>
      </c>
      <c r="D84" s="5">
        <f>1+3+4</f>
        <v>8</v>
      </c>
      <c r="E84" s="5">
        <f>(D82+D83)-D84</f>
        <v>14.5</v>
      </c>
      <c r="F84" s="5">
        <f>(E84*2000)/B84</f>
        <v>1705.8823529411766</v>
      </c>
      <c r="G84" s="5">
        <f>F84/C84</f>
        <v>14.705882352941178</v>
      </c>
    </row>
    <row r="85" spans="1:7" x14ac:dyDescent="0.3">
      <c r="A85" s="6">
        <v>41095</v>
      </c>
      <c r="B85" s="5"/>
      <c r="C85" s="5"/>
      <c r="D85" s="5">
        <f>0+1.5+1.5</f>
        <v>3</v>
      </c>
      <c r="E85" s="5">
        <f>(D83+D82)-D85</f>
        <v>19.5</v>
      </c>
      <c r="F85" s="5">
        <f>(E85*2000)/24</f>
        <v>1625</v>
      </c>
      <c r="G85" s="5">
        <f>(F85)/C84</f>
        <v>14.008620689655173</v>
      </c>
    </row>
    <row r="86" spans="1:7" x14ac:dyDescent="0.3">
      <c r="A86" s="6">
        <v>41095</v>
      </c>
      <c r="B86" s="5" t="s">
        <v>6</v>
      </c>
      <c r="C86" s="5"/>
      <c r="D86" s="5">
        <f>10.5+10.5+(-1.5)</f>
        <v>19.5</v>
      </c>
      <c r="E86" s="5"/>
      <c r="F86" s="5"/>
      <c r="G86" s="5"/>
    </row>
    <row r="87" spans="1:7" x14ac:dyDescent="0.3">
      <c r="A87" s="6">
        <v>41122</v>
      </c>
      <c r="B87" s="5">
        <v>26</v>
      </c>
      <c r="C87" s="5">
        <f>120-8</f>
        <v>112</v>
      </c>
      <c r="D87" s="5">
        <f>0+0+0</f>
        <v>0</v>
      </c>
      <c r="E87" s="5">
        <f>(D85+D86)-D87</f>
        <v>22.5</v>
      </c>
      <c r="F87" s="5">
        <f>(E87*2000)/B87</f>
        <v>1730.7692307692307</v>
      </c>
      <c r="G87" s="5">
        <f>F87/C87</f>
        <v>15.453296703296703</v>
      </c>
    </row>
    <row r="88" spans="1:7" x14ac:dyDescent="0.3">
      <c r="A88" s="6">
        <v>41122</v>
      </c>
      <c r="B88" s="5"/>
      <c r="C88" s="5"/>
      <c r="D88" s="5">
        <f>0+0+0</f>
        <v>0</v>
      </c>
      <c r="E88" s="5">
        <f>(D86+D85)-D88</f>
        <v>22.5</v>
      </c>
      <c r="F88" s="5">
        <f>(E88*2000)/26</f>
        <v>1730.7692307692307</v>
      </c>
      <c r="G88" s="5">
        <f>(F88)/C87</f>
        <v>15.453296703296703</v>
      </c>
    </row>
    <row r="89" spans="1:7" x14ac:dyDescent="0.3">
      <c r="A89" s="6">
        <v>41122</v>
      </c>
      <c r="B89" s="5" t="s">
        <v>6</v>
      </c>
      <c r="C89" s="5"/>
      <c r="D89" s="5">
        <f>10.5+9.5+(-1.5)</f>
        <v>18.5</v>
      </c>
      <c r="E89" s="5"/>
      <c r="F89" s="5"/>
      <c r="G89" s="5"/>
    </row>
    <row r="90" spans="1:7" x14ac:dyDescent="0.3">
      <c r="A90" s="6">
        <v>41135</v>
      </c>
      <c r="B90" s="5">
        <v>13</v>
      </c>
      <c r="C90" s="5">
        <f>133-8</f>
        <v>125</v>
      </c>
      <c r="D90" s="5">
        <f>2+2.5+3.5</f>
        <v>8</v>
      </c>
      <c r="E90" s="5">
        <f>(D88+D89)-D90</f>
        <v>10.5</v>
      </c>
      <c r="F90" s="5">
        <f>(E90*2000)/B90</f>
        <v>1615.3846153846155</v>
      </c>
      <c r="G90" s="5">
        <f>F90/C90</f>
        <v>12.923076923076923</v>
      </c>
    </row>
    <row r="91" spans="1:7" x14ac:dyDescent="0.3">
      <c r="A91" s="6">
        <v>41139</v>
      </c>
      <c r="B91" s="5"/>
      <c r="C91" s="5"/>
      <c r="D91" s="5">
        <f>0.5+1+2</f>
        <v>3.5</v>
      </c>
      <c r="E91" s="5">
        <f>(D89+D88)-D91</f>
        <v>15</v>
      </c>
      <c r="F91" s="5">
        <f>(E91*2000)/17</f>
        <v>1764.7058823529412</v>
      </c>
      <c r="G91" s="5">
        <f>(F91)/C90</f>
        <v>14.117647058823529</v>
      </c>
    </row>
    <row r="92" spans="1:7" x14ac:dyDescent="0.3">
      <c r="A92" s="6">
        <v>41139</v>
      </c>
      <c r="B92" s="5" t="s">
        <v>6</v>
      </c>
      <c r="C92" s="5"/>
      <c r="D92" s="5">
        <f>10+9+(-1.25)</f>
        <v>17.75</v>
      </c>
      <c r="E92" s="3"/>
      <c r="F92" s="3"/>
      <c r="G92" s="3"/>
    </row>
    <row r="93" spans="1:7" x14ac:dyDescent="0.3">
      <c r="A93" s="6">
        <v>41155</v>
      </c>
      <c r="B93" s="5">
        <f>(31-18)+3</f>
        <v>16</v>
      </c>
      <c r="C93" s="5">
        <f>133-8</f>
        <v>125</v>
      </c>
      <c r="D93" s="5">
        <f>2+2.5+3.5</f>
        <v>8</v>
      </c>
      <c r="E93" s="5">
        <f>(D91+D92)-D93</f>
        <v>13.25</v>
      </c>
      <c r="F93" s="5">
        <f>(E93*2000)/B93</f>
        <v>1656.25</v>
      </c>
      <c r="G93" s="5">
        <f>F93/C93</f>
        <v>13.25</v>
      </c>
    </row>
    <row r="94" spans="1:7" x14ac:dyDescent="0.3">
      <c r="A94" s="6">
        <v>41162</v>
      </c>
      <c r="B94" s="5"/>
      <c r="C94" s="5"/>
      <c r="D94" s="5">
        <f>0.5+1+2</f>
        <v>3.5</v>
      </c>
      <c r="E94" s="5">
        <f>(D92+D91)-D94</f>
        <v>17.75</v>
      </c>
      <c r="F94" s="5">
        <f>(E94*2000)/23</f>
        <v>1543.4782608695652</v>
      </c>
      <c r="G94" s="5">
        <f>(F94)/C93</f>
        <v>12.347826086956522</v>
      </c>
    </row>
    <row r="95" spans="1:7" x14ac:dyDescent="0.3">
      <c r="A95" s="6">
        <v>41162</v>
      </c>
      <c r="B95" s="5" t="s">
        <v>6</v>
      </c>
      <c r="C95" s="5"/>
      <c r="D95" s="5">
        <f>10+9+(-1.25)</f>
        <v>17.75</v>
      </c>
      <c r="E95" s="5"/>
      <c r="F95" s="5"/>
      <c r="G95" s="5"/>
    </row>
    <row r="96" spans="1:7" x14ac:dyDescent="0.3">
      <c r="A96" s="6">
        <v>41183</v>
      </c>
      <c r="B96" s="5">
        <v>21</v>
      </c>
      <c r="C96" s="5">
        <f>125-8</f>
        <v>117</v>
      </c>
      <c r="D96" s="5">
        <f>5+2+2</f>
        <v>9</v>
      </c>
      <c r="E96" s="5">
        <f>(D94+D95)-D96</f>
        <v>12.25</v>
      </c>
      <c r="F96" s="5">
        <f>(E96*2000)/B96</f>
        <v>1166.6666666666667</v>
      </c>
      <c r="G96" s="5">
        <f>F96/C96</f>
        <v>9.9715099715099722</v>
      </c>
    </row>
    <row r="97" spans="1:7" x14ac:dyDescent="0.3">
      <c r="A97" s="6">
        <v>41183</v>
      </c>
      <c r="B97" s="5"/>
      <c r="C97" s="5"/>
      <c r="D97" s="5">
        <f>5+2+2</f>
        <v>9</v>
      </c>
      <c r="E97" s="5">
        <f>(D95+D94)-D97</f>
        <v>12.25</v>
      </c>
      <c r="F97" s="5">
        <f>(E97*2000)/21</f>
        <v>1166.6666666666667</v>
      </c>
      <c r="G97" s="5">
        <f>(F97)/C96</f>
        <v>9.9715099715099722</v>
      </c>
    </row>
    <row r="98" spans="1:7" x14ac:dyDescent="0.3">
      <c r="A98" s="6">
        <v>41183</v>
      </c>
      <c r="B98" s="5" t="s">
        <v>6</v>
      </c>
      <c r="C98" s="5"/>
      <c r="D98" s="5">
        <f>9+9+(-1.75)</f>
        <v>16.25</v>
      </c>
      <c r="E98" s="5"/>
      <c r="F98" s="5"/>
      <c r="G98" s="5"/>
    </row>
    <row r="99" spans="1:7" x14ac:dyDescent="0.3">
      <c r="A99" s="6">
        <v>41218</v>
      </c>
      <c r="B99" s="5">
        <v>36</v>
      </c>
      <c r="C99" s="5">
        <f>125-8</f>
        <v>117</v>
      </c>
      <c r="D99" s="5">
        <f>4+2.5+0.01</f>
        <v>6.51</v>
      </c>
      <c r="E99" s="5">
        <f>(D97+D98)-D99</f>
        <v>18.740000000000002</v>
      </c>
      <c r="F99" s="5">
        <f>(E99*2000)/B99</f>
        <v>1041.1111111111113</v>
      </c>
      <c r="G99" s="5">
        <f>F99/C99</f>
        <v>8.8983855650522337</v>
      </c>
    </row>
    <row r="100" spans="1:7" x14ac:dyDescent="0.3">
      <c r="A100" s="6">
        <v>41218</v>
      </c>
      <c r="B100" s="5"/>
      <c r="C100" s="5"/>
      <c r="D100" s="5">
        <f>4+2.5+0.01</f>
        <v>6.51</v>
      </c>
      <c r="E100" s="5">
        <f>(D98+D97)-D100</f>
        <v>18.740000000000002</v>
      </c>
      <c r="F100" s="5">
        <f>(E100*2000)/36</f>
        <v>1041.1111111111113</v>
      </c>
      <c r="G100" s="5">
        <f>(F100)/C99</f>
        <v>8.8983855650522337</v>
      </c>
    </row>
    <row r="101" spans="1:7" x14ac:dyDescent="0.3">
      <c r="A101" s="6">
        <v>41218</v>
      </c>
      <c r="B101" s="5" t="s">
        <v>6</v>
      </c>
      <c r="C101" s="5"/>
      <c r="D101" s="5">
        <f>10+10+(-1.75)</f>
        <v>18.25</v>
      </c>
      <c r="E101" s="5"/>
      <c r="F101" s="5"/>
      <c r="G101" s="5"/>
    </row>
    <row r="102" spans="1:7" x14ac:dyDescent="0.3">
      <c r="A102" s="6">
        <v>41239</v>
      </c>
      <c r="B102" s="5">
        <v>21</v>
      </c>
      <c r="C102" s="5">
        <f>111-8</f>
        <v>103</v>
      </c>
      <c r="D102" s="5">
        <f>4+4+3.5</f>
        <v>11.5</v>
      </c>
      <c r="E102" s="5">
        <f>(D100+D101)-D102</f>
        <v>13.259999999999998</v>
      </c>
      <c r="F102" s="5">
        <f>(E102*2000)/B102</f>
        <v>1262.8571428571427</v>
      </c>
      <c r="G102" s="5">
        <f>F102/C102</f>
        <v>12.260748959778084</v>
      </c>
    </row>
    <row r="103" spans="1:7" x14ac:dyDescent="0.3">
      <c r="A103" s="4">
        <v>41218</v>
      </c>
      <c r="B103" s="3"/>
      <c r="C103" s="3"/>
      <c r="D103" s="3">
        <f>4+2.5+0.01</f>
        <v>6.51</v>
      </c>
      <c r="E103" s="3">
        <f>(D101+D100)-D103</f>
        <v>18.25</v>
      </c>
      <c r="F103" s="3">
        <f>(E103*2000)/36</f>
        <v>1013.8888888888889</v>
      </c>
      <c r="G103" s="3">
        <f>(F103)/C102</f>
        <v>9.8435814455231938</v>
      </c>
    </row>
    <row r="104" spans="1:7" x14ac:dyDescent="0.3">
      <c r="A104" s="4" t="s">
        <v>9</v>
      </c>
      <c r="B104" s="3" t="s">
        <v>6</v>
      </c>
      <c r="C104" s="3"/>
      <c r="D104" s="3">
        <f>10+9+(-1.25)</f>
        <v>17.75</v>
      </c>
      <c r="E104" s="3"/>
      <c r="F104" s="3"/>
      <c r="G104" s="3"/>
    </row>
    <row r="105" spans="1:7" x14ac:dyDescent="0.3">
      <c r="A105" s="4"/>
      <c r="B105" s="3">
        <v>21</v>
      </c>
      <c r="C105" s="3">
        <f>118-8</f>
        <v>110</v>
      </c>
      <c r="D105" s="3">
        <f>4+4+3.5</f>
        <v>11.5</v>
      </c>
      <c r="E105" s="3">
        <f>(D103+D104)-D105</f>
        <v>12.759999999999998</v>
      </c>
      <c r="F105" s="3">
        <f>(E105*2000)/B105</f>
        <v>1215.238095238095</v>
      </c>
      <c r="G105" s="3">
        <f>F105/C105</f>
        <v>11.047619047619046</v>
      </c>
    </row>
    <row r="106" spans="1:7" x14ac:dyDescent="0.3">
      <c r="A106" s="4">
        <v>41218</v>
      </c>
      <c r="B106" s="3"/>
      <c r="C106" s="3"/>
      <c r="D106" s="3">
        <f>3+2.5+2</f>
        <v>7.5</v>
      </c>
      <c r="E106" s="3">
        <f>(D104+D101)-D106</f>
        <v>28.5</v>
      </c>
      <c r="F106" s="3">
        <f>(E106*2000)/46</f>
        <v>1239.1304347826087</v>
      </c>
      <c r="G106" s="5">
        <f>(F106)/C105</f>
        <v>11.264822134387352</v>
      </c>
    </row>
    <row r="107" spans="1:7" x14ac:dyDescent="0.3">
      <c r="A107" s="6">
        <v>41285</v>
      </c>
      <c r="B107" s="5" t="s">
        <v>6</v>
      </c>
      <c r="C107" s="5"/>
      <c r="D107" s="5">
        <f>10+10+(-1.75)</f>
        <v>18.25</v>
      </c>
      <c r="E107" s="3"/>
      <c r="F107" s="3"/>
    </row>
    <row r="108" spans="1:7" x14ac:dyDescent="0.3">
      <c r="A108" s="6">
        <v>41320</v>
      </c>
      <c r="B108" s="5">
        <v>35</v>
      </c>
      <c r="C108" s="5">
        <f>115-8</f>
        <v>107</v>
      </c>
      <c r="D108" s="5">
        <f>0.3+0.9+1.8+(-0.3)+(-0.5)+(0.07)</f>
        <v>2.27</v>
      </c>
      <c r="E108" s="5">
        <f>(D106+D107)-D108</f>
        <v>23.48</v>
      </c>
      <c r="F108" s="5">
        <f>(E108*2000)/B108</f>
        <v>1341.7142857142858</v>
      </c>
      <c r="G108" s="5">
        <f>F108/C108</f>
        <v>12.539385847797064</v>
      </c>
    </row>
    <row r="109" spans="1:7" x14ac:dyDescent="0.3">
      <c r="A109" s="4">
        <v>41218</v>
      </c>
      <c r="B109" s="3"/>
      <c r="C109" s="3"/>
      <c r="D109" s="3">
        <f>4+2.5+0.01</f>
        <v>6.51</v>
      </c>
      <c r="E109" s="3">
        <f>(D107+D106)-D109</f>
        <v>19.240000000000002</v>
      </c>
      <c r="F109" s="3">
        <f>(E109*2000)/36</f>
        <v>1068.8888888888891</v>
      </c>
      <c r="G109" s="3">
        <f>(F109)/C108</f>
        <v>9.9896157840083095</v>
      </c>
    </row>
    <row r="110" spans="1:7" x14ac:dyDescent="0.3">
      <c r="A110" s="6">
        <v>41320</v>
      </c>
      <c r="B110" s="5" t="s">
        <v>6</v>
      </c>
      <c r="C110" s="5"/>
      <c r="D110" s="5">
        <f>21.5+(-2)</f>
        <v>19.5</v>
      </c>
      <c r="E110" s="3"/>
      <c r="F110" s="3"/>
    </row>
    <row r="111" spans="1:7" x14ac:dyDescent="0.3">
      <c r="A111" s="6">
        <v>41337</v>
      </c>
      <c r="B111" s="5">
        <v>17</v>
      </c>
      <c r="C111" s="5">
        <f>113-8</f>
        <v>105</v>
      </c>
      <c r="D111" s="5">
        <f>3+5+6.5</f>
        <v>14.5</v>
      </c>
      <c r="E111" s="5">
        <f>(D109+D110)-D111</f>
        <v>11.509999999999998</v>
      </c>
      <c r="F111" s="5">
        <f>(E111*2000)/B111</f>
        <v>1354.1176470588234</v>
      </c>
      <c r="G111" s="5">
        <f>F111/C111</f>
        <v>12.896358543417366</v>
      </c>
    </row>
    <row r="112" spans="1:7" x14ac:dyDescent="0.3">
      <c r="A112" s="6">
        <v>41347</v>
      </c>
      <c r="B112" s="5"/>
      <c r="C112" s="5"/>
      <c r="D112" s="5">
        <f>0.75+2.25+3.5+(-0.4)</f>
        <v>6.1</v>
      </c>
      <c r="E112" s="5">
        <f>(D110+D109)-D112</f>
        <v>19.909999999999997</v>
      </c>
      <c r="F112" s="5">
        <f>(E112*2000)/27</f>
        <v>1474.8148148148146</v>
      </c>
      <c r="G112" s="5">
        <f>(F112)/C111</f>
        <v>14.04585537918871</v>
      </c>
    </row>
    <row r="113" spans="1:8" x14ac:dyDescent="0.3">
      <c r="A113" s="6">
        <v>41347</v>
      </c>
      <c r="B113" s="5" t="s">
        <v>6</v>
      </c>
      <c r="C113" s="3"/>
      <c r="D113" s="5">
        <f>21+(-2)</f>
        <v>19</v>
      </c>
      <c r="E113" s="3"/>
      <c r="F113" s="3"/>
      <c r="G113" s="3"/>
    </row>
    <row r="114" spans="1:8" x14ac:dyDescent="0.3">
      <c r="A114" s="6">
        <v>41360</v>
      </c>
      <c r="B114" s="5">
        <v>13</v>
      </c>
      <c r="C114" s="5">
        <f>122-8</f>
        <v>114</v>
      </c>
      <c r="D114" s="5">
        <f>4+5+7</f>
        <v>16</v>
      </c>
      <c r="E114" s="5">
        <f>(D112+D113)-D114</f>
        <v>9.1000000000000014</v>
      </c>
      <c r="F114" s="5">
        <f>(E114*2000)/B114</f>
        <v>1400.0000000000002</v>
      </c>
      <c r="G114" s="5">
        <f>F114/C114</f>
        <v>12.280701754385968</v>
      </c>
    </row>
    <row r="115" spans="1:8" x14ac:dyDescent="0.3">
      <c r="A115" s="6">
        <v>41380</v>
      </c>
      <c r="B115" s="5"/>
      <c r="C115" s="5"/>
      <c r="D115" s="5">
        <f>0.1+1.5+1+(-0.2)</f>
        <v>2.4</v>
      </c>
      <c r="E115" s="5">
        <f>(D113+D112)-D115</f>
        <v>22.700000000000003</v>
      </c>
      <c r="F115" s="5">
        <f>(E115*2000)/33</f>
        <v>1375.757575757576</v>
      </c>
      <c r="G115" s="5">
        <f>(F115)/C114</f>
        <v>12.068048910154175</v>
      </c>
    </row>
    <row r="116" spans="1:8" x14ac:dyDescent="0.3">
      <c r="A116" s="6">
        <v>41380</v>
      </c>
      <c r="B116" s="5" t="s">
        <v>6</v>
      </c>
      <c r="C116" s="5"/>
      <c r="D116" s="5">
        <f>22.5+(-1.5)</f>
        <v>21</v>
      </c>
      <c r="E116" s="3"/>
      <c r="F116" s="3"/>
      <c r="G116" s="3"/>
    </row>
    <row r="117" spans="1:8" x14ac:dyDescent="0.3">
      <c r="A117" s="6">
        <v>41400</v>
      </c>
      <c r="B117" s="5">
        <v>20</v>
      </c>
      <c r="C117" s="5">
        <f>136-8</f>
        <v>128</v>
      </c>
      <c r="D117" s="5">
        <f>0.75+2.25+5</f>
        <v>8</v>
      </c>
      <c r="E117" s="5">
        <f>(D115+D116)-D117</f>
        <v>15.399999999999999</v>
      </c>
      <c r="F117" s="5">
        <f>(E117*2000)/B117</f>
        <v>1539.9999999999998</v>
      </c>
      <c r="G117" s="5">
        <f>F117/C117</f>
        <v>12.031249999999998</v>
      </c>
    </row>
    <row r="118" spans="1:8" x14ac:dyDescent="0.3">
      <c r="A118" s="6">
        <v>41403</v>
      </c>
      <c r="B118" s="5"/>
      <c r="C118" s="5"/>
      <c r="D118" s="5">
        <f>0.05+2+3.5</f>
        <v>5.55</v>
      </c>
      <c r="E118" s="5">
        <f>(D116+D115)-D118</f>
        <v>17.849999999999998</v>
      </c>
      <c r="F118" s="5">
        <f>(E118*2000)/23</f>
        <v>1552.173913043478</v>
      </c>
      <c r="G118" s="5">
        <f>(F118)/C117</f>
        <v>12.126358695652172</v>
      </c>
    </row>
    <row r="119" spans="1:8" x14ac:dyDescent="0.3">
      <c r="A119" s="6">
        <v>41403</v>
      </c>
      <c r="B119" s="5" t="s">
        <v>6</v>
      </c>
      <c r="C119" s="5"/>
      <c r="D119" s="5">
        <f>15.5+(-1.4)</f>
        <v>14.1</v>
      </c>
      <c r="E119" s="5"/>
      <c r="F119" s="5"/>
      <c r="G119" s="5"/>
    </row>
    <row r="120" spans="1:8" x14ac:dyDescent="0.3">
      <c r="A120" s="6">
        <v>41415</v>
      </c>
      <c r="B120" s="5">
        <v>12</v>
      </c>
      <c r="C120" s="5">
        <f>132-8</f>
        <v>124</v>
      </c>
      <c r="D120" s="5">
        <f>2+5+3.5</f>
        <v>10.5</v>
      </c>
      <c r="E120" s="5">
        <f>(D118+D119)-D120</f>
        <v>9.1499999999999986</v>
      </c>
      <c r="F120" s="5">
        <f>(E120*2000)/B120</f>
        <v>1524.9999999999998</v>
      </c>
      <c r="G120" s="5">
        <f>F120/C120</f>
        <v>12.298387096774192</v>
      </c>
    </row>
    <row r="121" spans="1:8" x14ac:dyDescent="0.3">
      <c r="A121" s="6">
        <v>41424</v>
      </c>
      <c r="B121" s="5"/>
      <c r="C121" s="5"/>
      <c r="D121" s="5">
        <f>0.1+2+1</f>
        <v>3.1</v>
      </c>
      <c r="E121" s="5">
        <f>(D119+D118)-D121</f>
        <v>16.549999999999997</v>
      </c>
      <c r="F121" s="5">
        <f>(E121*2000)/21</f>
        <v>1576.1904761904759</v>
      </c>
      <c r="G121" s="5">
        <f>(F121)/C120</f>
        <v>12.711213517665128</v>
      </c>
    </row>
    <row r="122" spans="1:8" x14ac:dyDescent="0.3">
      <c r="A122" s="6">
        <v>41424</v>
      </c>
      <c r="B122" s="5" t="s">
        <v>6</v>
      </c>
      <c r="C122" s="5"/>
      <c r="D122" s="5">
        <f>21+(-1.8)</f>
        <v>19.2</v>
      </c>
      <c r="E122" s="5"/>
      <c r="F122" s="5"/>
      <c r="G122" s="5"/>
    </row>
    <row r="123" spans="1:8" x14ac:dyDescent="0.3">
      <c r="A123" s="6">
        <v>41444</v>
      </c>
      <c r="B123" s="5">
        <v>20</v>
      </c>
      <c r="C123" s="5">
        <f>140-10</f>
        <v>130</v>
      </c>
      <c r="D123" s="5">
        <f>0.1+5+3.99</f>
        <v>9.09</v>
      </c>
      <c r="E123" s="5">
        <f>(D121+D122)-D123</f>
        <v>13.21</v>
      </c>
      <c r="F123" s="5">
        <f>(E123*2000)/B123</f>
        <v>1321</v>
      </c>
      <c r="G123" s="5">
        <f>F123/C123</f>
        <v>10.161538461538461</v>
      </c>
    </row>
    <row r="124" spans="1:8" x14ac:dyDescent="0.3">
      <c r="A124" s="6">
        <v>41451</v>
      </c>
      <c r="B124" s="5"/>
      <c r="C124" s="5"/>
      <c r="D124" s="5">
        <f>0.1+2+1.5+(-0.4)</f>
        <v>3.2</v>
      </c>
      <c r="E124" s="5">
        <f>(D122+D121)-D124</f>
        <v>19.100000000000001</v>
      </c>
      <c r="F124" s="5">
        <f>(E124*2000)/27</f>
        <v>1414.8148148148148</v>
      </c>
      <c r="G124" s="5">
        <f>(F124)/C123</f>
        <v>10.883190883190883</v>
      </c>
    </row>
    <row r="125" spans="1:8" x14ac:dyDescent="0.3">
      <c r="A125" s="6">
        <v>41451</v>
      </c>
      <c r="B125" s="5" t="s">
        <v>6</v>
      </c>
      <c r="C125" s="5"/>
      <c r="D125" s="5">
        <f>21.5+(-1.4)</f>
        <v>20.100000000000001</v>
      </c>
      <c r="E125" s="5"/>
      <c r="F125" s="5"/>
      <c r="G125" s="5"/>
    </row>
    <row r="126" spans="1:8" x14ac:dyDescent="0.3">
      <c r="A126" s="6">
        <v>41472</v>
      </c>
      <c r="B126" s="5">
        <v>21</v>
      </c>
      <c r="C126" s="5">
        <f>140-10</f>
        <v>130</v>
      </c>
      <c r="D126" s="5">
        <f>3+8+0.5</f>
        <v>11.5</v>
      </c>
      <c r="E126" s="5">
        <f>(D124+D125)-D126</f>
        <v>11.8</v>
      </c>
      <c r="F126" s="5">
        <f>(E126*2000)/B126</f>
        <v>1123.8095238095239</v>
      </c>
      <c r="G126" s="5">
        <f>F126/C126</f>
        <v>8.6446886446886442</v>
      </c>
      <c r="H126" s="3" t="s">
        <v>10</v>
      </c>
    </row>
    <row r="127" spans="1:8" x14ac:dyDescent="0.3">
      <c r="A127" s="6">
        <v>41485</v>
      </c>
      <c r="B127" s="5"/>
      <c r="C127" s="5"/>
      <c r="D127" s="5">
        <f>0.1+1.5+0.1+(-0.6)</f>
        <v>1.1000000000000001</v>
      </c>
      <c r="E127" s="5">
        <f>(D125+D124)-D127</f>
        <v>22.2</v>
      </c>
      <c r="F127" s="5">
        <f>(E127*2000)/34</f>
        <v>1305.8823529411766</v>
      </c>
      <c r="G127" s="5">
        <f>(F127)/C126</f>
        <v>10.045248868778282</v>
      </c>
    </row>
    <row r="128" spans="1:8" x14ac:dyDescent="0.3">
      <c r="A128" s="6">
        <v>41485</v>
      </c>
      <c r="B128" s="5" t="s">
        <v>6</v>
      </c>
      <c r="C128" s="5"/>
      <c r="D128" s="5">
        <f>21.75+(-2)</f>
        <v>19.75</v>
      </c>
      <c r="E128" s="3" t="s">
        <v>11</v>
      </c>
      <c r="F128" s="3"/>
      <c r="G128" s="3"/>
    </row>
    <row r="129" spans="1:8" x14ac:dyDescent="0.3">
      <c r="A129" s="6">
        <v>41512</v>
      </c>
      <c r="B129" s="5">
        <v>27</v>
      </c>
      <c r="C129" s="5">
        <f>140-10</f>
        <v>130</v>
      </c>
      <c r="D129" s="5">
        <f>2.5+3.75+2.75+(-0.25)</f>
        <v>8.75</v>
      </c>
      <c r="E129" s="5">
        <f>(D127+D128)-D129</f>
        <v>12.100000000000001</v>
      </c>
      <c r="F129" s="5">
        <f>(E129*2000)/B129</f>
        <v>896.29629629629642</v>
      </c>
      <c r="G129" s="5">
        <f>F129/C129</f>
        <v>6.8945868945868956</v>
      </c>
    </row>
    <row r="130" spans="1:8" x14ac:dyDescent="0.3">
      <c r="A130" s="6">
        <v>41520</v>
      </c>
      <c r="B130" s="5"/>
      <c r="C130" s="5"/>
      <c r="D130" s="5">
        <f>1+2.5+0.5</f>
        <v>4</v>
      </c>
      <c r="E130" s="5">
        <f>(D128+D127)-D130</f>
        <v>16.850000000000001</v>
      </c>
      <c r="F130" s="5">
        <f>(E130*2000)/35</f>
        <v>962.85714285714289</v>
      </c>
      <c r="G130" s="5">
        <f>(F130)/C129</f>
        <v>7.4065934065934069</v>
      </c>
    </row>
    <row r="131" spans="1:8" x14ac:dyDescent="0.3">
      <c r="A131" s="6">
        <v>41520</v>
      </c>
      <c r="B131" s="5" t="s">
        <v>6</v>
      </c>
      <c r="C131" s="5"/>
      <c r="D131" s="5">
        <f>15.5</f>
        <v>15.5</v>
      </c>
      <c r="E131" s="5"/>
      <c r="F131" s="5"/>
      <c r="G131" s="5"/>
      <c r="H131" s="1" t="s">
        <v>12</v>
      </c>
    </row>
    <row r="132" spans="1:8" x14ac:dyDescent="0.3">
      <c r="A132" s="6">
        <v>41547</v>
      </c>
      <c r="B132" s="5">
        <v>27</v>
      </c>
      <c r="C132" s="5">
        <f>124-10</f>
        <v>114</v>
      </c>
      <c r="D132" s="5">
        <f>2+5+5</f>
        <v>12</v>
      </c>
      <c r="E132" s="5">
        <f>(D130+D131)-D132</f>
        <v>7.5</v>
      </c>
      <c r="F132" s="5">
        <f>(E132*2000)/B132</f>
        <v>555.55555555555554</v>
      </c>
      <c r="G132" s="5">
        <f>F132/C132</f>
        <v>4.8732943469785575</v>
      </c>
    </row>
    <row r="133" spans="1:8" x14ac:dyDescent="0.3">
      <c r="A133" s="6">
        <v>41555</v>
      </c>
      <c r="B133" s="5"/>
      <c r="C133" s="5"/>
      <c r="D133" s="5">
        <f>0.75+4+2.5</f>
        <v>7.25</v>
      </c>
      <c r="E133" s="5">
        <f>(D131+D130)-D133</f>
        <v>12.25</v>
      </c>
      <c r="F133" s="5">
        <f>(E133*2000)/35</f>
        <v>700</v>
      </c>
      <c r="G133" s="5">
        <f>(F133)/C132</f>
        <v>6.1403508771929829</v>
      </c>
    </row>
    <row r="134" spans="1:8" x14ac:dyDescent="0.3">
      <c r="A134" s="6">
        <v>41555</v>
      </c>
      <c r="B134" s="5" t="s">
        <v>6</v>
      </c>
      <c r="C134" s="5"/>
      <c r="D134" s="5">
        <f>21</f>
        <v>21</v>
      </c>
      <c r="E134" s="5"/>
      <c r="F134" s="5"/>
      <c r="G134" s="5"/>
    </row>
    <row r="135" spans="1:8" x14ac:dyDescent="0.3">
      <c r="A135" s="6">
        <v>41589</v>
      </c>
      <c r="B135" s="5">
        <f>(31-8)+11</f>
        <v>34</v>
      </c>
      <c r="C135" s="5">
        <f>116-10</f>
        <v>106</v>
      </c>
      <c r="D135" s="5">
        <f>2+5+0.25</f>
        <v>7.25</v>
      </c>
      <c r="E135" s="5">
        <f>(D133+D134)-D135</f>
        <v>21</v>
      </c>
      <c r="F135" s="5">
        <f>(E135*2000)/B135</f>
        <v>1235.2941176470588</v>
      </c>
      <c r="G135" s="5">
        <f>F135/C135</f>
        <v>11.653718091009988</v>
      </c>
    </row>
    <row r="136" spans="1:8" x14ac:dyDescent="0.3">
      <c r="A136" s="6">
        <v>41593</v>
      </c>
      <c r="B136" s="5"/>
      <c r="C136" s="5"/>
      <c r="D136" s="5">
        <f>1+4+0</f>
        <v>5</v>
      </c>
      <c r="E136" s="5">
        <f>(D134+D133)-D136</f>
        <v>23.25</v>
      </c>
      <c r="F136" s="5">
        <f>(E136*2000)/38</f>
        <v>1223.6842105263158</v>
      </c>
      <c r="G136" s="5">
        <f>(F136)/C135</f>
        <v>11.544190665342603</v>
      </c>
    </row>
    <row r="137" spans="1:8" x14ac:dyDescent="0.3">
      <c r="A137" s="6">
        <v>41593</v>
      </c>
      <c r="B137" s="5" t="s">
        <v>6</v>
      </c>
      <c r="C137" s="5"/>
      <c r="D137" s="5">
        <f>16+(-1)</f>
        <v>15</v>
      </c>
      <c r="E137" s="5"/>
      <c r="F137" s="5"/>
      <c r="G137" s="5"/>
    </row>
    <row r="138" spans="1:8" x14ac:dyDescent="0.3">
      <c r="A138" s="6">
        <v>41618</v>
      </c>
      <c r="B138" s="5">
        <v>25</v>
      </c>
      <c r="C138" s="5">
        <f>113-10</f>
        <v>103</v>
      </c>
      <c r="D138" s="5">
        <f>2+2+3+(1.2)</f>
        <v>8.1999999999999993</v>
      </c>
      <c r="E138" s="5">
        <f>(D136+D137)-D138</f>
        <v>11.8</v>
      </c>
      <c r="F138" s="5">
        <f>(E138*2000)/B138</f>
        <v>944</v>
      </c>
      <c r="G138" s="5">
        <f>F138/C138</f>
        <v>9.1650485436893199</v>
      </c>
    </row>
    <row r="139" spans="1:8" x14ac:dyDescent="0.3">
      <c r="A139" s="6">
        <v>41626</v>
      </c>
      <c r="B139" s="5"/>
      <c r="C139" s="5"/>
      <c r="D139" s="5">
        <f>1+2+0.5</f>
        <v>3.5</v>
      </c>
      <c r="E139" s="5">
        <f>(D137+D136)-D139</f>
        <v>16.5</v>
      </c>
      <c r="F139" s="5">
        <f>(E139*2000)/33</f>
        <v>1000</v>
      </c>
      <c r="G139" s="5">
        <f>(F139)/C138</f>
        <v>9.7087378640776691</v>
      </c>
    </row>
    <row r="140" spans="1:8" x14ac:dyDescent="0.3">
      <c r="A140" s="6">
        <v>41626</v>
      </c>
      <c r="B140" s="5" t="s">
        <v>6</v>
      </c>
      <c r="C140" s="5"/>
      <c r="D140" s="5">
        <f>21.5-1.5</f>
        <v>20</v>
      </c>
      <c r="E140" s="3"/>
      <c r="F140" s="3"/>
      <c r="G140" s="3"/>
    </row>
    <row r="141" spans="1:8" x14ac:dyDescent="0.3">
      <c r="A141" s="6">
        <v>41652</v>
      </c>
      <c r="B141" s="5">
        <f>(31-18)+13</f>
        <v>26</v>
      </c>
      <c r="C141" s="5">
        <f>114-10</f>
        <v>104</v>
      </c>
      <c r="D141" s="5">
        <f>2+2+2+0.25</f>
        <v>6.25</v>
      </c>
      <c r="E141" s="5">
        <f>(D139+D140)-D141</f>
        <v>17.25</v>
      </c>
      <c r="F141" s="5">
        <f>(E141*2000)/B141</f>
        <v>1326.9230769230769</v>
      </c>
      <c r="G141" s="5">
        <f>F141/C141</f>
        <v>12.758875739644971</v>
      </c>
    </row>
    <row r="142" spans="1:8" x14ac:dyDescent="0.3">
      <c r="A142" s="6">
        <v>41656</v>
      </c>
      <c r="B142" s="5"/>
      <c r="C142" s="5"/>
      <c r="D142" s="5">
        <f>1+1.5+1.5</f>
        <v>4</v>
      </c>
      <c r="E142" s="5">
        <f>(D140+D139)-D142</f>
        <v>19.5</v>
      </c>
      <c r="F142" s="5">
        <f>(E142*2000)/30</f>
        <v>1300</v>
      </c>
      <c r="G142" s="5">
        <f>(F142)/C141</f>
        <v>12.5</v>
      </c>
    </row>
    <row r="143" spans="1:8" x14ac:dyDescent="0.3">
      <c r="A143" s="6">
        <v>41656</v>
      </c>
      <c r="B143" s="5" t="s">
        <v>6</v>
      </c>
      <c r="C143" s="5"/>
      <c r="D143" s="5">
        <f>21+(-1.5)</f>
        <v>19.5</v>
      </c>
      <c r="E143" s="5"/>
      <c r="F143" s="5"/>
      <c r="G143" s="5"/>
    </row>
    <row r="144" spans="1:8" x14ac:dyDescent="0.3">
      <c r="A144" s="6">
        <v>41680</v>
      </c>
      <c r="B144" s="5">
        <f>(31-17)+10</f>
        <v>24</v>
      </c>
      <c r="C144" s="5">
        <f>120-10</f>
        <v>110</v>
      </c>
      <c r="D144" s="5">
        <f>0.75+2+3+(0.65)</f>
        <v>6.4</v>
      </c>
      <c r="E144" s="5">
        <f>(D142+D143)-D144</f>
        <v>17.100000000000001</v>
      </c>
      <c r="F144" s="5">
        <f>(E144*2000)/B144</f>
        <v>1425</v>
      </c>
      <c r="G144" s="5">
        <f>F144/C144</f>
        <v>12.954545454545455</v>
      </c>
    </row>
    <row r="145" spans="1:7" x14ac:dyDescent="0.3">
      <c r="A145" s="6">
        <v>41684</v>
      </c>
      <c r="B145" s="5"/>
      <c r="C145" s="5"/>
      <c r="D145" s="5">
        <f>0.5+1.5+1</f>
        <v>3</v>
      </c>
      <c r="E145" s="5">
        <f>(D143+D142)-D145</f>
        <v>20.5</v>
      </c>
      <c r="F145" s="5">
        <f>(E145*2000)/28</f>
        <v>1464.2857142857142</v>
      </c>
      <c r="G145" s="5">
        <f>(F145)/C144</f>
        <v>13.311688311688311</v>
      </c>
    </row>
    <row r="146" spans="1:7" x14ac:dyDescent="0.3">
      <c r="A146" s="6">
        <v>41684</v>
      </c>
      <c r="B146" s="5" t="s">
        <v>6</v>
      </c>
      <c r="C146" s="5"/>
      <c r="D146" s="5">
        <v>18</v>
      </c>
      <c r="E146" s="5"/>
      <c r="F146" s="5"/>
      <c r="G146" s="5"/>
    </row>
    <row r="147" spans="1:7" x14ac:dyDescent="0.3">
      <c r="A147" s="6">
        <v>41698</v>
      </c>
      <c r="B147" s="5">
        <f>(28-14)+0</f>
        <v>14</v>
      </c>
      <c r="C147" s="5">
        <f>123-10</f>
        <v>113</v>
      </c>
      <c r="D147" s="5">
        <f>2.5+2+3.5+(1.2)</f>
        <v>9.1999999999999993</v>
      </c>
      <c r="E147" s="5">
        <f>(D145+D146)-D147</f>
        <v>11.8</v>
      </c>
      <c r="F147" s="5">
        <f>(E147*2000)/B147</f>
        <v>1685.7142857142858</v>
      </c>
      <c r="G147" s="5">
        <f>F147/C147</f>
        <v>14.917825537294565</v>
      </c>
    </row>
    <row r="148" spans="1:7" x14ac:dyDescent="0.3">
      <c r="A148" s="6">
        <v>41705</v>
      </c>
      <c r="B148" s="5"/>
      <c r="C148" s="5"/>
      <c r="D148" s="5">
        <f>2+0.75+0.75</f>
        <v>3.5</v>
      </c>
      <c r="E148" s="5">
        <f>(D146+D145)-D148</f>
        <v>17.5</v>
      </c>
      <c r="F148" s="5">
        <f>(E148*2000)/21</f>
        <v>1666.6666666666667</v>
      </c>
      <c r="G148" s="5">
        <f>(F148)/C147</f>
        <v>14.749262536873157</v>
      </c>
    </row>
    <row r="149" spans="1:7" x14ac:dyDescent="0.3">
      <c r="A149" s="6">
        <v>41705</v>
      </c>
      <c r="B149" s="5" t="s">
        <v>6</v>
      </c>
      <c r="C149" s="5"/>
      <c r="D149" s="5">
        <f>22-1.5</f>
        <v>20.5</v>
      </c>
      <c r="E149" s="5"/>
      <c r="F149" s="5"/>
      <c r="G149" s="5"/>
    </row>
    <row r="150" spans="1:7" x14ac:dyDescent="0.3">
      <c r="A150" s="6">
        <v>41723</v>
      </c>
      <c r="B150" s="5">
        <v>18</v>
      </c>
      <c r="C150" s="5">
        <f>128-10</f>
        <v>118</v>
      </c>
      <c r="D150" s="5">
        <f>2.5+1+5+(0.5)</f>
        <v>9</v>
      </c>
      <c r="E150" s="5">
        <f>(D148+D149)-D150</f>
        <v>15</v>
      </c>
      <c r="F150" s="5">
        <f>(E150*2000)/B150</f>
        <v>1666.6666666666667</v>
      </c>
      <c r="G150" s="5">
        <f>F150/C150</f>
        <v>14.124293785310735</v>
      </c>
    </row>
    <row r="151" spans="1:7" x14ac:dyDescent="0.3">
      <c r="A151" s="6">
        <v>41732</v>
      </c>
      <c r="B151" s="5"/>
      <c r="C151" s="5"/>
      <c r="D151" s="5">
        <f>2+1.75+1.75</f>
        <v>5.5</v>
      </c>
      <c r="E151" s="5">
        <f>(D149+D148)-D151</f>
        <v>18.5</v>
      </c>
      <c r="F151" s="5">
        <f>(E151*2000)/27</f>
        <v>1370.3703703703704</v>
      </c>
      <c r="G151" s="5">
        <f>(F151)/C150</f>
        <v>11.613308223477716</v>
      </c>
    </row>
    <row r="152" spans="1:7" x14ac:dyDescent="0.3">
      <c r="A152" s="6">
        <v>41732</v>
      </c>
      <c r="B152" s="5" t="s">
        <v>6</v>
      </c>
      <c r="C152" s="5"/>
      <c r="D152" s="5">
        <f>22-1.25</f>
        <v>20.75</v>
      </c>
      <c r="E152" s="5"/>
      <c r="F152" s="5"/>
      <c r="G152" s="5"/>
    </row>
    <row r="153" spans="1:7" x14ac:dyDescent="0.3">
      <c r="A153" s="6">
        <v>41759</v>
      </c>
      <c r="B153" s="5">
        <f>30-3</f>
        <v>27</v>
      </c>
      <c r="C153" s="5">
        <f>129-10</f>
        <v>119</v>
      </c>
      <c r="D153" s="5">
        <f>0.75+1+2+(0.1)</f>
        <v>3.85</v>
      </c>
      <c r="E153" s="5">
        <f>(D151+D152)-D153</f>
        <v>22.4</v>
      </c>
      <c r="F153" s="5">
        <f>(E153*2000)/B153</f>
        <v>1659.2592592592594</v>
      </c>
      <c r="G153" s="5">
        <f>F153/C153</f>
        <v>13.943355119825709</v>
      </c>
    </row>
    <row r="154" spans="1:7" x14ac:dyDescent="0.3">
      <c r="A154" s="6">
        <v>41764</v>
      </c>
      <c r="B154" s="5"/>
      <c r="C154" s="5"/>
      <c r="D154" s="5">
        <f>0+0.75+1.75</f>
        <v>2.5</v>
      </c>
      <c r="E154" s="5">
        <f>(D152+D151)-D154</f>
        <v>23.75</v>
      </c>
      <c r="F154" s="5">
        <f>(E154*2000)/(27+5)</f>
        <v>1484.375</v>
      </c>
      <c r="G154" s="5">
        <f>(F154)/C153</f>
        <v>12.47373949579832</v>
      </c>
    </row>
    <row r="155" spans="1:7" x14ac:dyDescent="0.3">
      <c r="A155" s="6">
        <v>41764</v>
      </c>
      <c r="B155" s="5" t="s">
        <v>6</v>
      </c>
      <c r="C155" s="5"/>
      <c r="D155" s="5">
        <f>21+(-3.5)+(-0.6)</f>
        <v>16.899999999999999</v>
      </c>
      <c r="E155" s="5"/>
      <c r="F155" s="5"/>
      <c r="G155" s="5"/>
    </row>
    <row r="156" spans="1:7" x14ac:dyDescent="0.3">
      <c r="A156" s="6">
        <v>41778</v>
      </c>
      <c r="B156" s="5">
        <f>19-5</f>
        <v>14</v>
      </c>
      <c r="C156" s="5">
        <f>127-10</f>
        <v>117</v>
      </c>
      <c r="D156" s="5">
        <f>1.5+2+8.5+(0.6)</f>
        <v>12.6</v>
      </c>
      <c r="E156" s="5">
        <f>(D154+D155)-D156</f>
        <v>6.7999999999999989</v>
      </c>
      <c r="F156" s="5">
        <f>(E156*2000)/B156</f>
        <v>971.42857142857133</v>
      </c>
      <c r="G156" s="5">
        <f>F156/C156</f>
        <v>8.3028083028083017</v>
      </c>
    </row>
    <row r="157" spans="1:7" x14ac:dyDescent="0.3">
      <c r="A157" s="6">
        <v>41797</v>
      </c>
      <c r="B157" s="5"/>
      <c r="C157" s="5"/>
      <c r="D157" s="5">
        <f>0+0+3.5+0.6</f>
        <v>4.0999999999999996</v>
      </c>
      <c r="E157" s="5">
        <f>(D155+D154)-D157</f>
        <v>15.299999999999999</v>
      </c>
      <c r="F157" s="5">
        <f>(E157*2000)/33</f>
        <v>927.27272727272714</v>
      </c>
      <c r="G157" s="5">
        <f>(F157)/C156</f>
        <v>7.9254079254079244</v>
      </c>
    </row>
    <row r="158" spans="1:7" x14ac:dyDescent="0.3">
      <c r="A158" s="6">
        <v>41797</v>
      </c>
      <c r="B158" s="5" t="s">
        <v>6</v>
      </c>
      <c r="C158" s="5"/>
      <c r="D158" s="5">
        <f>22-1.5</f>
        <v>20.5</v>
      </c>
      <c r="E158" s="5"/>
      <c r="F158" s="5"/>
      <c r="G158" s="5"/>
    </row>
    <row r="159" spans="1:7" x14ac:dyDescent="0.3">
      <c r="A159" s="6">
        <v>41817</v>
      </c>
      <c r="B159" s="5">
        <f>27-7</f>
        <v>20</v>
      </c>
      <c r="C159" s="5">
        <f>127-10</f>
        <v>117</v>
      </c>
      <c r="D159" s="5">
        <f>3+7+7</f>
        <v>17</v>
      </c>
      <c r="E159" s="5">
        <f>(D157+D158)-D159</f>
        <v>7.6000000000000014</v>
      </c>
      <c r="F159" s="5">
        <f>(E159*2000)/B159</f>
        <v>760.00000000000023</v>
      </c>
      <c r="G159" s="5">
        <f>F159/C159</f>
        <v>6.4957264957264975</v>
      </c>
    </row>
    <row r="160" spans="1:7" x14ac:dyDescent="0.3">
      <c r="A160" s="6">
        <v>41823</v>
      </c>
      <c r="B160" s="5"/>
      <c r="C160" s="5"/>
      <c r="D160" s="5">
        <f>2.5+5.5+5</f>
        <v>13</v>
      </c>
      <c r="E160" s="5">
        <f>(D158+D157)-D160</f>
        <v>11.600000000000001</v>
      </c>
      <c r="F160" s="5">
        <f>(E160*2000)/26</f>
        <v>892.30769230769249</v>
      </c>
      <c r="G160" s="5">
        <f>(F160)/C159</f>
        <v>7.6265614727153208</v>
      </c>
    </row>
    <row r="161" spans="1:7" x14ac:dyDescent="0.3">
      <c r="A161" s="6">
        <v>41823</v>
      </c>
      <c r="B161" s="5" t="s">
        <v>6</v>
      </c>
      <c r="C161" s="5"/>
      <c r="D161" s="5">
        <v>5</v>
      </c>
      <c r="E161" s="5"/>
      <c r="F161" s="5"/>
      <c r="G161" s="5"/>
    </row>
    <row r="162" spans="1:7" x14ac:dyDescent="0.3">
      <c r="A162" s="6">
        <v>41849</v>
      </c>
      <c r="B162" s="5">
        <v>26</v>
      </c>
      <c r="C162" s="5">
        <f>122-10</f>
        <v>112</v>
      </c>
      <c r="D162" s="5">
        <f>0+2.5+2.5</f>
        <v>5</v>
      </c>
      <c r="E162" s="5">
        <f>(D160+D161)-D162</f>
        <v>13</v>
      </c>
      <c r="F162" s="5">
        <f>(E162*2000)/B162</f>
        <v>1000</v>
      </c>
      <c r="G162" s="5">
        <f>F162/C162</f>
        <v>8.9285714285714288</v>
      </c>
    </row>
    <row r="163" spans="1:7" x14ac:dyDescent="0.3">
      <c r="A163" s="6">
        <v>41849</v>
      </c>
      <c r="B163" s="5"/>
      <c r="C163" s="5"/>
      <c r="D163" s="5">
        <f>0+2.5+2.5</f>
        <v>5</v>
      </c>
      <c r="E163" s="5">
        <f>(D161+D160)-D163</f>
        <v>13</v>
      </c>
      <c r="F163" s="5">
        <f>(E163*2000)/26</f>
        <v>1000</v>
      </c>
      <c r="G163" s="5">
        <f>(F163)/C162</f>
        <v>8.9285714285714288</v>
      </c>
    </row>
    <row r="164" spans="1:7" x14ac:dyDescent="0.3">
      <c r="A164" s="6">
        <v>41849</v>
      </c>
      <c r="B164" s="5" t="s">
        <v>6</v>
      </c>
      <c r="C164" s="5"/>
      <c r="D164" s="5">
        <f>17</f>
        <v>17</v>
      </c>
      <c r="E164" s="5"/>
      <c r="F164" s="3"/>
      <c r="G164" s="3"/>
    </row>
    <row r="165" spans="1:7" x14ac:dyDescent="0.3">
      <c r="A165" s="6">
        <v>41862</v>
      </c>
      <c r="B165" s="5">
        <f>2+11</f>
        <v>13</v>
      </c>
      <c r="C165" s="5">
        <f>133-10</f>
        <v>123</v>
      </c>
      <c r="D165" s="5">
        <f>1+7+8</f>
        <v>16</v>
      </c>
      <c r="E165" s="5">
        <f>(D163+D164)-D165</f>
        <v>6</v>
      </c>
      <c r="F165" s="5">
        <f>(E165*2000)/B165</f>
        <v>923.07692307692309</v>
      </c>
      <c r="G165" s="5">
        <f>F165/C165</f>
        <v>7.5046904315197001</v>
      </c>
    </row>
    <row r="166" spans="1:7" x14ac:dyDescent="0.3">
      <c r="A166" s="6">
        <v>41884</v>
      </c>
      <c r="B166" s="5"/>
      <c r="C166" s="5"/>
      <c r="D166" s="5">
        <f>0+2+1</f>
        <v>3</v>
      </c>
      <c r="E166" s="5">
        <f>(D164+D163)-D166</f>
        <v>19</v>
      </c>
      <c r="F166" s="5">
        <f>(E166*2000)/(13+9+12)</f>
        <v>1117.6470588235295</v>
      </c>
      <c r="G166" s="5">
        <f>(F166)/C165</f>
        <v>9.0865614538498338</v>
      </c>
    </row>
    <row r="167" spans="1:7" x14ac:dyDescent="0.3">
      <c r="A167" s="6">
        <v>41884</v>
      </c>
      <c r="B167" s="5" t="s">
        <v>6</v>
      </c>
      <c r="C167" s="5"/>
      <c r="D167" s="5">
        <f>22-2.5</f>
        <v>19.5</v>
      </c>
      <c r="E167" s="5"/>
      <c r="F167" s="5"/>
      <c r="G167" s="5"/>
    </row>
    <row r="168" spans="1:7" x14ac:dyDescent="0.3">
      <c r="A168" s="6">
        <v>41897</v>
      </c>
      <c r="B168" s="5">
        <f>15-2</f>
        <v>13</v>
      </c>
      <c r="C168" s="5">
        <f>138-10</f>
        <v>128</v>
      </c>
      <c r="D168" s="5">
        <f>2+8+6</f>
        <v>16</v>
      </c>
      <c r="E168" s="5">
        <f>(D166+D167)-D168</f>
        <v>6.5</v>
      </c>
      <c r="F168" s="5">
        <f>(E168*2000)/B168</f>
        <v>1000</v>
      </c>
      <c r="G168" s="5">
        <f>F168/C168</f>
        <v>7.8125</v>
      </c>
    </row>
    <row r="169" spans="1:7" x14ac:dyDescent="0.3">
      <c r="A169" s="6">
        <v>41900</v>
      </c>
      <c r="B169" s="5"/>
      <c r="C169" s="5"/>
      <c r="D169" s="5">
        <f>1.5+6+6</f>
        <v>13.5</v>
      </c>
      <c r="E169" s="5">
        <f>(D167+D166)-D169</f>
        <v>9</v>
      </c>
      <c r="F169" s="5">
        <f>(E169*2000)/(13+3)</f>
        <v>1125</v>
      </c>
      <c r="G169" s="5">
        <f>(F169)/C168</f>
        <v>8.7890625</v>
      </c>
    </row>
    <row r="170" spans="1:7" x14ac:dyDescent="0.3">
      <c r="A170" s="6">
        <v>41900</v>
      </c>
      <c r="B170" s="5" t="s">
        <v>6</v>
      </c>
      <c r="C170" s="5"/>
      <c r="D170" s="5">
        <v>10</v>
      </c>
      <c r="E170" s="5"/>
      <c r="F170" s="5"/>
      <c r="G170" s="5"/>
    </row>
    <row r="171" spans="1:7" x14ac:dyDescent="0.3">
      <c r="A171" s="6">
        <v>41926</v>
      </c>
      <c r="B171" s="5">
        <f>(30-18)+14</f>
        <v>26</v>
      </c>
      <c r="C171" s="5">
        <f>138-10</f>
        <v>128</v>
      </c>
      <c r="D171" s="5">
        <f>2+3+3</f>
        <v>8</v>
      </c>
      <c r="E171" s="5">
        <f>(D169+D170)-D171</f>
        <v>15.5</v>
      </c>
      <c r="F171" s="5">
        <f>(E171*2000)/B171</f>
        <v>1192.3076923076924</v>
      </c>
      <c r="G171" s="5">
        <f>F171/C171</f>
        <v>9.3149038461538467</v>
      </c>
    </row>
    <row r="172" spans="1:7" x14ac:dyDescent="0.3">
      <c r="A172" s="6">
        <v>41939</v>
      </c>
      <c r="B172" s="5"/>
      <c r="C172" s="5"/>
      <c r="D172" s="5">
        <f>1.5+1.5+0.25</f>
        <v>3.25</v>
      </c>
      <c r="E172" s="5">
        <f>(D170+D169)-D172</f>
        <v>20.25</v>
      </c>
      <c r="F172" s="5">
        <f>(E172*2000)/((30-18)+27)</f>
        <v>1038.4615384615386</v>
      </c>
      <c r="G172" s="5">
        <f>(F172)/C171</f>
        <v>8.1129807692307701</v>
      </c>
    </row>
    <row r="173" spans="1:7" x14ac:dyDescent="0.3">
      <c r="A173" s="6">
        <v>41939</v>
      </c>
      <c r="B173" s="5" t="s">
        <v>6</v>
      </c>
      <c r="C173" s="5"/>
      <c r="D173" s="5">
        <f>18.5</f>
        <v>18.5</v>
      </c>
      <c r="E173" s="5"/>
      <c r="F173" s="5"/>
      <c r="G173" s="5"/>
    </row>
    <row r="174" spans="1:7" x14ac:dyDescent="0.3">
      <c r="A174" s="6">
        <v>41957</v>
      </c>
      <c r="B174" s="5">
        <f>(31-27)+14</f>
        <v>18</v>
      </c>
      <c r="C174" s="5">
        <f>125-10</f>
        <v>115</v>
      </c>
      <c r="D174" s="5">
        <f>4+2+1.5</f>
        <v>7.5</v>
      </c>
      <c r="E174" s="5">
        <f>(D172+D173)-D174</f>
        <v>14.25</v>
      </c>
      <c r="F174" s="5">
        <f>(E174*2000)/B174</f>
        <v>1583.3333333333333</v>
      </c>
      <c r="G174" s="5">
        <f>F174/C174</f>
        <v>13.768115942028984</v>
      </c>
    </row>
    <row r="175" spans="1:7" x14ac:dyDescent="0.3">
      <c r="A175" s="6">
        <v>41962</v>
      </c>
      <c r="B175" s="5"/>
      <c r="C175" s="5"/>
      <c r="D175" s="5">
        <f>0.01+1.5+4</f>
        <v>5.51</v>
      </c>
      <c r="E175" s="5">
        <f>(D173+D172)-D175</f>
        <v>16.240000000000002</v>
      </c>
      <c r="F175" s="5">
        <f>(E175*2000)/((31-27)+19)</f>
        <v>1412.1739130434785</v>
      </c>
      <c r="G175" s="5">
        <f>(F175)/C174</f>
        <v>12.279773156899813</v>
      </c>
    </row>
    <row r="176" spans="1:7" x14ac:dyDescent="0.3">
      <c r="A176" s="6">
        <v>41962</v>
      </c>
      <c r="B176" s="5" t="s">
        <v>6</v>
      </c>
      <c r="C176" s="5"/>
      <c r="D176" s="5">
        <f>22-0.5</f>
        <v>21.5</v>
      </c>
      <c r="E176" s="5"/>
      <c r="F176" s="5"/>
      <c r="G176" s="5"/>
    </row>
    <row r="177" spans="1:7" x14ac:dyDescent="0.3">
      <c r="A177" s="6">
        <v>41974</v>
      </c>
      <c r="B177" s="5">
        <f>(30-19)+1</f>
        <v>12</v>
      </c>
      <c r="C177" s="5">
        <f>124-10</f>
        <v>114</v>
      </c>
      <c r="D177" s="5">
        <f>4+8+4</f>
        <v>16</v>
      </c>
      <c r="E177" s="5">
        <f>(D175+D176)-D177</f>
        <v>11.009999999999998</v>
      </c>
      <c r="F177" s="5">
        <f>(E177*2000)/B177</f>
        <v>1834.9999999999998</v>
      </c>
      <c r="G177" s="5">
        <f>F177/C177</f>
        <v>16.096491228070175</v>
      </c>
    </row>
    <row r="178" spans="1:7" x14ac:dyDescent="0.3">
      <c r="A178" s="6">
        <v>41988</v>
      </c>
      <c r="B178" s="5"/>
      <c r="C178" s="5"/>
      <c r="D178" s="5">
        <f>3+2+1</f>
        <v>6</v>
      </c>
      <c r="E178" s="5">
        <f>(D176+D175)-D178</f>
        <v>21.009999999999998</v>
      </c>
      <c r="F178" s="5">
        <f>(E178*2000)/((30-19)+15)</f>
        <v>1616.153846153846</v>
      </c>
      <c r="G178" s="5">
        <f>(F178)/C177</f>
        <v>14.176788124156543</v>
      </c>
    </row>
    <row r="179" spans="1:7" x14ac:dyDescent="0.3">
      <c r="A179" s="6">
        <v>41988</v>
      </c>
      <c r="B179" s="5" t="s">
        <v>6</v>
      </c>
      <c r="C179" s="5"/>
      <c r="D179" s="5">
        <v>18</v>
      </c>
      <c r="E179" s="5"/>
      <c r="F179" s="5"/>
      <c r="G179" s="5"/>
    </row>
    <row r="180" spans="1:7" x14ac:dyDescent="0.3">
      <c r="A180" s="6">
        <v>42002</v>
      </c>
      <c r="B180" s="5">
        <f>(29-15)</f>
        <v>14</v>
      </c>
      <c r="C180" s="5">
        <f>120-10</f>
        <v>110</v>
      </c>
      <c r="D180" s="5">
        <f>2+7+6</f>
        <v>15</v>
      </c>
      <c r="E180" s="5">
        <f>(D178+D179)-D180</f>
        <v>9</v>
      </c>
      <c r="F180" s="5">
        <f>(E180*2000)/B180</f>
        <v>1285.7142857142858</v>
      </c>
      <c r="G180" s="5">
        <f>F180/C180</f>
        <v>11.688311688311689</v>
      </c>
    </row>
    <row r="181" spans="1:7" x14ac:dyDescent="0.3">
      <c r="A181" s="6">
        <v>42002</v>
      </c>
      <c r="B181" s="5"/>
      <c r="C181" s="5"/>
      <c r="D181" s="5">
        <f>2+7+6</f>
        <v>15</v>
      </c>
      <c r="E181" s="5">
        <f>(D179+D178)-D181</f>
        <v>9</v>
      </c>
      <c r="F181" s="5">
        <f>(E181*2000)/((28-15)+1)</f>
        <v>1285.7142857142858</v>
      </c>
      <c r="G181" s="5">
        <f>(F181)/C180</f>
        <v>11.688311688311689</v>
      </c>
    </row>
    <row r="182" spans="1:7" x14ac:dyDescent="0.3">
      <c r="A182" s="6">
        <v>42002</v>
      </c>
      <c r="B182" s="5" t="s">
        <v>6</v>
      </c>
      <c r="C182" s="5"/>
      <c r="D182" s="5">
        <f>11+(-1)</f>
        <v>10</v>
      </c>
      <c r="E182" s="3"/>
      <c r="F182" s="3"/>
      <c r="G182" s="3"/>
    </row>
    <row r="183" spans="1:7" x14ac:dyDescent="0.3">
      <c r="A183" s="6">
        <v>42023</v>
      </c>
      <c r="B183" s="5">
        <f>2+19</f>
        <v>21</v>
      </c>
      <c r="C183" s="5">
        <f>119-8</f>
        <v>111</v>
      </c>
      <c r="D183" s="5">
        <f>3+3.5+3.5</f>
        <v>10</v>
      </c>
      <c r="E183" s="5">
        <f>(D181+D182)-D183</f>
        <v>15</v>
      </c>
      <c r="F183" s="5">
        <f>(E183*2000)/B183</f>
        <v>1428.5714285714287</v>
      </c>
      <c r="G183" s="5">
        <f>F183/C183</f>
        <v>12.870012870012872</v>
      </c>
    </row>
    <row r="184" spans="1:7" x14ac:dyDescent="0.3">
      <c r="A184" s="6">
        <v>42030</v>
      </c>
      <c r="B184" s="5"/>
      <c r="C184" s="5"/>
      <c r="D184" s="5">
        <f>2+4.5+1.5</f>
        <v>8</v>
      </c>
      <c r="E184" s="5">
        <f>(D182+D181)-D184</f>
        <v>17</v>
      </c>
      <c r="F184" s="5">
        <f>(E184*2000)/(2+26)</f>
        <v>1214.2857142857142</v>
      </c>
      <c r="G184" s="5">
        <f>(F184)/C183</f>
        <v>10.939510939510939</v>
      </c>
    </row>
    <row r="185" spans="1:7" x14ac:dyDescent="0.3">
      <c r="A185" s="6">
        <v>42030</v>
      </c>
      <c r="B185" s="5" t="s">
        <v>6</v>
      </c>
      <c r="C185" s="5"/>
      <c r="D185" s="5">
        <f>22+(-1.25)</f>
        <v>20.75</v>
      </c>
      <c r="E185" s="5"/>
      <c r="F185" s="5"/>
      <c r="G185" s="5"/>
    </row>
    <row r="186" spans="1:7" x14ac:dyDescent="0.3">
      <c r="A186" s="6">
        <v>42052</v>
      </c>
      <c r="B186" s="5">
        <f>(31-26)+17</f>
        <v>22</v>
      </c>
      <c r="C186" s="5">
        <f>119-10</f>
        <v>109</v>
      </c>
      <c r="D186" s="5">
        <f>0.01+6+3.5+0.01</f>
        <v>9.52</v>
      </c>
      <c r="E186" s="5">
        <f>(D184+D185)-D186</f>
        <v>19.23</v>
      </c>
      <c r="F186" s="5">
        <f>(E186*2000)/B186</f>
        <v>1748.1818181818182</v>
      </c>
      <c r="G186" s="5">
        <f>F186/C186</f>
        <v>16.038365304420349</v>
      </c>
    </row>
    <row r="187" spans="1:7" x14ac:dyDescent="0.3">
      <c r="A187" s="6">
        <v>42058</v>
      </c>
      <c r="B187" s="5"/>
      <c r="C187" s="5"/>
      <c r="D187" s="5">
        <f>0+2+2</f>
        <v>4</v>
      </c>
      <c r="E187" s="5">
        <f>(D185+D184)-D187</f>
        <v>24.75</v>
      </c>
      <c r="F187" s="5">
        <f>(E187*2000)/(28)</f>
        <v>1767.8571428571429</v>
      </c>
      <c r="G187" s="5">
        <f>(F187)/C186</f>
        <v>16.218872870249019</v>
      </c>
    </row>
    <row r="188" spans="1:7" x14ac:dyDescent="0.3">
      <c r="A188" s="6">
        <v>42058</v>
      </c>
      <c r="B188" s="5" t="s">
        <v>6</v>
      </c>
      <c r="C188" s="5"/>
      <c r="D188" s="5">
        <f>22+(-3)+(-1)</f>
        <v>18</v>
      </c>
      <c r="E188" s="5"/>
      <c r="F188" s="5"/>
      <c r="G188" s="5"/>
    </row>
    <row r="189" spans="1:7" x14ac:dyDescent="0.3">
      <c r="A189" s="6">
        <v>42080</v>
      </c>
      <c r="B189" s="5">
        <f>(28-23)+17</f>
        <v>22</v>
      </c>
      <c r="C189" s="5">
        <f>125-10</f>
        <v>115</v>
      </c>
      <c r="D189" s="5">
        <f>1.5+5+3+0.4</f>
        <v>9.9</v>
      </c>
      <c r="E189" s="5">
        <f>(D187+D188)-D189</f>
        <v>12.1</v>
      </c>
      <c r="F189" s="5">
        <f>(E189*2000)/B189</f>
        <v>1100</v>
      </c>
      <c r="G189" s="5">
        <f>F189/C189</f>
        <v>9.5652173913043477</v>
      </c>
    </row>
    <row r="190" spans="1:7" x14ac:dyDescent="0.3">
      <c r="A190" s="6">
        <v>42087</v>
      </c>
      <c r="B190" s="5"/>
      <c r="C190" s="5"/>
      <c r="D190" s="5">
        <f>0.75+2.5+2</f>
        <v>5.25</v>
      </c>
      <c r="E190" s="5">
        <f>(D188+D187)-D190</f>
        <v>16.75</v>
      </c>
      <c r="F190" s="5">
        <f>(E190*2000)/(29)</f>
        <v>1155.1724137931035</v>
      </c>
      <c r="G190" s="5">
        <f>(F190)/C189</f>
        <v>10.044977511244378</v>
      </c>
    </row>
    <row r="191" spans="1:7" x14ac:dyDescent="0.3">
      <c r="A191" s="6">
        <v>42087</v>
      </c>
      <c r="B191" s="5" t="s">
        <v>6</v>
      </c>
      <c r="C191" s="5"/>
      <c r="D191" s="5">
        <f>24+(-2)+(-1)</f>
        <v>21</v>
      </c>
      <c r="E191" s="5"/>
      <c r="F191" s="5"/>
      <c r="G191" s="5"/>
    </row>
    <row r="192" spans="1:7" x14ac:dyDescent="0.3">
      <c r="A192" s="6">
        <v>42105</v>
      </c>
      <c r="B192" s="5">
        <f>(31-24)+11</f>
        <v>18</v>
      </c>
      <c r="C192" s="5">
        <f>125-10</f>
        <v>115</v>
      </c>
      <c r="D192" s="5">
        <f>2.75+4.5+3.5+1</f>
        <v>11.75</v>
      </c>
      <c r="E192" s="5">
        <f>(D190+D191)-D192</f>
        <v>14.5</v>
      </c>
      <c r="F192" s="5">
        <f>(E192*2000)/B192</f>
        <v>1611.1111111111111</v>
      </c>
      <c r="G192" s="5">
        <f>F192/C192</f>
        <v>14.009661835748792</v>
      </c>
    </row>
    <row r="193" spans="1:8" x14ac:dyDescent="0.3">
      <c r="A193" s="6">
        <v>42117</v>
      </c>
      <c r="B193" s="5"/>
      <c r="C193" s="5"/>
      <c r="D193" s="5">
        <f>2+2+2</f>
        <v>6</v>
      </c>
      <c r="E193" s="5">
        <f>(D191+D190)-D193</f>
        <v>20.25</v>
      </c>
      <c r="F193" s="5">
        <f>(E193*2000)/(30)</f>
        <v>1350</v>
      </c>
      <c r="G193" s="5">
        <f>(F193)/C192</f>
        <v>11.739130434782609</v>
      </c>
    </row>
    <row r="194" spans="1:8" x14ac:dyDescent="0.3">
      <c r="A194" s="6">
        <v>42117</v>
      </c>
      <c r="B194" s="5" t="s">
        <v>6</v>
      </c>
      <c r="C194" s="5"/>
      <c r="D194" s="5">
        <f>20</f>
        <v>20</v>
      </c>
      <c r="E194" s="5"/>
      <c r="F194" s="5"/>
      <c r="G194" s="5"/>
    </row>
    <row r="195" spans="1:8" x14ac:dyDescent="0.3">
      <c r="A195" s="6">
        <v>42144</v>
      </c>
      <c r="B195" s="5">
        <f>(30-23)+20</f>
        <v>27</v>
      </c>
      <c r="C195" s="5">
        <f>135-10</f>
        <v>125</v>
      </c>
      <c r="D195" s="5">
        <f>0.05+4+0.25</f>
        <v>4.3</v>
      </c>
      <c r="E195" s="5">
        <f>(D193+D194)-D195</f>
        <v>21.7</v>
      </c>
      <c r="F195" s="5">
        <f>(E195*2000)/B195</f>
        <v>1607.4074074074074</v>
      </c>
      <c r="G195" s="5">
        <f>F195/C195</f>
        <v>12.859259259259259</v>
      </c>
    </row>
    <row r="196" spans="1:8" x14ac:dyDescent="0.3">
      <c r="A196" s="6">
        <v>42144</v>
      </c>
      <c r="B196" s="5"/>
      <c r="C196" s="5"/>
      <c r="D196" s="5">
        <f>0.05+4+0.25</f>
        <v>4.3</v>
      </c>
      <c r="E196" s="5">
        <f>(D194+D193)-D196</f>
        <v>21.7</v>
      </c>
      <c r="F196" s="5">
        <f>(E196*2000)/(27)</f>
        <v>1607.4074074074074</v>
      </c>
      <c r="G196" s="5">
        <f>(F196)/C195</f>
        <v>12.859259259259259</v>
      </c>
    </row>
    <row r="197" spans="1:8" x14ac:dyDescent="0.3">
      <c r="A197" s="6">
        <v>42144</v>
      </c>
      <c r="B197" s="5" t="s">
        <v>6</v>
      </c>
      <c r="C197" s="5"/>
      <c r="D197" s="5">
        <f>19</f>
        <v>19</v>
      </c>
      <c r="E197" s="5"/>
      <c r="F197" s="5"/>
      <c r="G197" s="5"/>
    </row>
    <row r="198" spans="1:8" x14ac:dyDescent="0.3">
      <c r="A198" s="6">
        <v>42164</v>
      </c>
      <c r="B198" s="5">
        <f>(31-20)+9</f>
        <v>20</v>
      </c>
      <c r="C198" s="5">
        <f>140-13</f>
        <v>127</v>
      </c>
      <c r="D198" s="5">
        <f>2+2.5+1</f>
        <v>5.5</v>
      </c>
      <c r="E198" s="5">
        <f>(D196+D197)-D198</f>
        <v>17.8</v>
      </c>
      <c r="F198" s="5">
        <f>(E198*2000)/B198</f>
        <v>1780</v>
      </c>
      <c r="G198" s="5">
        <f>F198/C198</f>
        <v>14.015748031496063</v>
      </c>
    </row>
    <row r="199" spans="1:8" x14ac:dyDescent="0.3">
      <c r="A199" s="6">
        <v>42174</v>
      </c>
      <c r="B199" s="5"/>
      <c r="C199" s="5"/>
      <c r="D199" s="5">
        <f>0.05+1+0.1</f>
        <v>1.1500000000000001</v>
      </c>
      <c r="E199" s="5">
        <f>(D197+D196)-D199</f>
        <v>22.150000000000002</v>
      </c>
      <c r="F199" s="5">
        <f>(E199*2000)/(30)</f>
        <v>1476.666666666667</v>
      </c>
      <c r="G199" s="5">
        <f>(F199)/C198</f>
        <v>11.627296587926512</v>
      </c>
    </row>
    <row r="200" spans="1:8" x14ac:dyDescent="0.3">
      <c r="A200" s="6">
        <v>42174</v>
      </c>
      <c r="B200" s="5" t="s">
        <v>6</v>
      </c>
      <c r="C200" s="5"/>
      <c r="D200" s="5">
        <f>22-1.5</f>
        <v>20.5</v>
      </c>
      <c r="E200" s="5"/>
      <c r="F200" s="5"/>
      <c r="G200" s="5"/>
    </row>
    <row r="201" spans="1:8" x14ac:dyDescent="0.3">
      <c r="A201" s="6">
        <v>42196</v>
      </c>
      <c r="B201" s="5">
        <f>(30-19)+11</f>
        <v>22</v>
      </c>
      <c r="C201" s="5">
        <f>144</f>
        <v>144</v>
      </c>
      <c r="D201" s="5">
        <f>2.5+1.5+2</f>
        <v>6</v>
      </c>
      <c r="E201" s="5">
        <f>(D199+D200)-D201</f>
        <v>15.649999999999999</v>
      </c>
      <c r="F201" s="5">
        <f>(E201*2000)/B201</f>
        <v>1422.7272727272725</v>
      </c>
      <c r="G201" s="5">
        <f>F201/C201</f>
        <v>9.8800505050505034</v>
      </c>
      <c r="H201" s="3" t="s">
        <v>14</v>
      </c>
    </row>
    <row r="202" spans="1:8" x14ac:dyDescent="0.3">
      <c r="A202" s="6">
        <v>42203</v>
      </c>
      <c r="B202" s="5"/>
      <c r="C202" s="5"/>
      <c r="D202" s="5">
        <f>0.05+1+0.1</f>
        <v>1.1500000000000001</v>
      </c>
      <c r="E202" s="5">
        <f>(D200+D199)-D202</f>
        <v>20.5</v>
      </c>
      <c r="F202" s="5">
        <f>(E202*2000)/(30)</f>
        <v>1366.6666666666667</v>
      </c>
      <c r="G202" s="5">
        <f>(F202)/C201</f>
        <v>9.4907407407407405</v>
      </c>
      <c r="H202" s="3" t="s">
        <v>13</v>
      </c>
    </row>
    <row r="203" spans="1:8" x14ac:dyDescent="0.3">
      <c r="A203" s="6">
        <v>42203</v>
      </c>
      <c r="B203" s="5" t="s">
        <v>6</v>
      </c>
      <c r="C203" s="5"/>
      <c r="D203" s="5">
        <f>18-2</f>
        <v>16</v>
      </c>
      <c r="E203" s="5"/>
      <c r="F203" s="5"/>
      <c r="G203" s="5"/>
    </row>
    <row r="204" spans="1:8" x14ac:dyDescent="0.3">
      <c r="A204" s="6">
        <v>42220</v>
      </c>
      <c r="B204" s="5">
        <f>(31-18)+4</f>
        <v>17</v>
      </c>
      <c r="C204" s="5">
        <f>140</f>
        <v>140</v>
      </c>
      <c r="D204" s="5">
        <f>0.5+2+1.5</f>
        <v>4</v>
      </c>
      <c r="E204" s="5">
        <f>(D202+D203)-D204</f>
        <v>13.149999999999999</v>
      </c>
      <c r="F204" s="5">
        <f>(E204*2000)/B204</f>
        <v>1547.0588235294115</v>
      </c>
      <c r="G204" s="5">
        <f>F204/C204</f>
        <v>11.050420168067225</v>
      </c>
      <c r="H204" s="3" t="s">
        <v>14</v>
      </c>
    </row>
    <row r="205" spans="1:8" x14ac:dyDescent="0.3">
      <c r="A205" s="6">
        <v>42226</v>
      </c>
      <c r="B205" s="5"/>
      <c r="C205" s="5"/>
      <c r="D205" s="5">
        <f>0.05+1+0.1</f>
        <v>1.1500000000000001</v>
      </c>
      <c r="E205" s="5">
        <f>(D203+D202)-D205</f>
        <v>15.999999999999998</v>
      </c>
      <c r="F205" s="5">
        <f>(E205*2000)/(23)</f>
        <v>1391.3043478260868</v>
      </c>
      <c r="G205" s="5">
        <f>(F205)/C204</f>
        <v>9.9378881987577632</v>
      </c>
      <c r="H205" s="3" t="s">
        <v>13</v>
      </c>
    </row>
    <row r="206" spans="1:8" x14ac:dyDescent="0.3">
      <c r="A206" s="6">
        <v>42226</v>
      </c>
      <c r="B206" s="5" t="s">
        <v>6</v>
      </c>
      <c r="C206" s="5"/>
      <c r="D206" s="5">
        <f>23.5-2</f>
        <v>21.5</v>
      </c>
      <c r="E206" s="5"/>
      <c r="F206" s="5"/>
      <c r="G206" s="5"/>
    </row>
    <row r="207" spans="1:8" x14ac:dyDescent="0.3">
      <c r="A207" s="6">
        <v>42241</v>
      </c>
      <c r="B207" s="5">
        <f>(31-10)+(-6)</f>
        <v>15</v>
      </c>
      <c r="C207" s="5">
        <v>135</v>
      </c>
      <c r="D207" s="5">
        <f>1.25+5+1</f>
        <v>7.25</v>
      </c>
      <c r="E207" s="5">
        <f>(D205+D206)-D207</f>
        <v>15.399999999999999</v>
      </c>
      <c r="F207" s="5">
        <f>(E207*2000)/B207</f>
        <v>2053.333333333333</v>
      </c>
      <c r="G207" s="5">
        <f>F207/C207</f>
        <v>15.209876543209875</v>
      </c>
      <c r="H207" s="3" t="s">
        <v>14</v>
      </c>
    </row>
    <row r="208" spans="1:8" x14ac:dyDescent="0.3">
      <c r="A208" s="6">
        <v>42250</v>
      </c>
      <c r="B208" s="5"/>
      <c r="C208" s="5"/>
      <c r="D208" s="5">
        <f>0.25+1+0.1</f>
        <v>1.35</v>
      </c>
      <c r="E208" s="5">
        <f>(D206+D205)-D208</f>
        <v>21.299999999999997</v>
      </c>
      <c r="F208" s="5">
        <f>(E208*2000)/(24)</f>
        <v>1774.9999999999998</v>
      </c>
      <c r="G208" s="5">
        <f>(F208)/C207</f>
        <v>13.148148148148147</v>
      </c>
      <c r="H208" s="3" t="s">
        <v>13</v>
      </c>
    </row>
    <row r="209" spans="1:8" x14ac:dyDescent="0.3">
      <c r="A209" s="6">
        <v>42250</v>
      </c>
      <c r="B209" s="5" t="s">
        <v>6</v>
      </c>
      <c r="C209" s="5"/>
      <c r="D209" s="5">
        <f>23.5-2</f>
        <v>21.5</v>
      </c>
      <c r="E209" s="5"/>
      <c r="F209" s="5"/>
      <c r="G209" s="5"/>
      <c r="H209" s="5"/>
    </row>
    <row r="210" spans="1:8" x14ac:dyDescent="0.3">
      <c r="A210" s="4">
        <v>42241</v>
      </c>
      <c r="B210" s="3">
        <f>(31-10)+(-6)</f>
        <v>15</v>
      </c>
      <c r="C210" s="3">
        <v>135</v>
      </c>
      <c r="D210" s="3">
        <f>1.25+5+1</f>
        <v>7.25</v>
      </c>
      <c r="E210" s="3">
        <f>(D208+D209)-D210</f>
        <v>15.600000000000001</v>
      </c>
      <c r="F210" s="3">
        <f>(E210*2000)/B210</f>
        <v>2080.0000000000005</v>
      </c>
      <c r="G210" s="3">
        <f>F210/C210</f>
        <v>15.40740740740741</v>
      </c>
      <c r="H210" s="3" t="s">
        <v>14</v>
      </c>
    </row>
    <row r="211" spans="1:8" x14ac:dyDescent="0.3">
      <c r="A211" s="4">
        <v>42250</v>
      </c>
      <c r="B211" s="3"/>
      <c r="C211" s="3"/>
      <c r="D211" s="3">
        <f>0.25+1+0.1</f>
        <v>1.35</v>
      </c>
      <c r="E211" s="3">
        <f>(D209+D208)-D211</f>
        <v>21.5</v>
      </c>
      <c r="F211" s="3">
        <f>(E211*2000)/(24)</f>
        <v>1791.6666666666667</v>
      </c>
      <c r="G211" s="3">
        <f>(F211)/C210</f>
        <v>13.271604938271606</v>
      </c>
      <c r="H211" s="3" t="s">
        <v>13</v>
      </c>
    </row>
    <row r="212" spans="1:8" x14ac:dyDescent="0.3">
      <c r="A212" s="4">
        <v>42250</v>
      </c>
      <c r="B212" s="3" t="s">
        <v>6</v>
      </c>
      <c r="C212" s="3"/>
      <c r="D212" s="3">
        <f>23.5-2</f>
        <v>21.5</v>
      </c>
      <c r="E212" s="3"/>
      <c r="F212" s="3"/>
      <c r="G212" s="3"/>
    </row>
  </sheetData>
  <sortState ref="J151:J165">
    <sortCondition ref="J15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2010-12-27T16:05:07Z</dcterms:created>
  <dcterms:modified xsi:type="dcterms:W3CDTF">2015-09-15T00:52:10Z</dcterms:modified>
</cp:coreProperties>
</file>