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NEGOCIO\Temporal\Plan ECO FINAN\"/>
    </mc:Choice>
  </mc:AlternateContent>
  <bookViews>
    <workbookView xWindow="0" yWindow="0" windowWidth="20490" windowHeight="7905" firstSheet="5" activeTab="8"/>
  </bookViews>
  <sheets>
    <sheet name="Tipo Ingreso" sheetId="2" r:id="rId1"/>
    <sheet name="Volumenes Ingresos" sheetId="3" r:id="rId2"/>
    <sheet name="Ingresos" sheetId="1" r:id="rId3"/>
    <sheet name="Ganancias" sheetId="5" r:id="rId4"/>
    <sheet name="Modelo Financiero" sheetId="6" r:id="rId5"/>
    <sheet name="Indicadores Financieros" sheetId="4" r:id="rId6"/>
    <sheet name="Escenario riesgo 1" sheetId="7" r:id="rId7"/>
    <sheet name="Escenario de riesgo 2" sheetId="8" r:id="rId8"/>
    <sheet name="Escenario riesgo 3" sheetId="9" r:id="rId9"/>
  </sheets>
  <externalReferences>
    <externalReference r:id="rId10"/>
    <externalReference r:id="rId11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9" l="1"/>
  <c r="C5" i="9"/>
  <c r="C7" i="9" s="1"/>
  <c r="C6" i="9"/>
  <c r="B5" i="9"/>
  <c r="C3" i="9"/>
  <c r="B3" i="9"/>
  <c r="B2" i="9"/>
  <c r="B14" i="9" s="1"/>
  <c r="B15" i="9" s="1"/>
  <c r="C5" i="8"/>
  <c r="C7" i="8" s="1"/>
  <c r="B5" i="8"/>
  <c r="B6" i="8"/>
  <c r="C6" i="8"/>
  <c r="C3" i="8"/>
  <c r="B3" i="8"/>
  <c r="B2" i="8"/>
  <c r="B4" i="8" s="1"/>
  <c r="B7" i="9" l="1"/>
  <c r="B20" i="9"/>
  <c r="B8" i="9"/>
  <c r="B9" i="9" s="1"/>
  <c r="C8" i="9"/>
  <c r="C9" i="9" s="1"/>
  <c r="B4" i="9"/>
  <c r="B7" i="8"/>
  <c r="B8" i="8" s="1"/>
  <c r="B9" i="8" s="1"/>
  <c r="B10" i="8" s="1"/>
  <c r="C8" i="8"/>
  <c r="C9" i="8" s="1"/>
  <c r="B14" i="8"/>
  <c r="B15" i="8" s="1"/>
  <c r="B5" i="7"/>
  <c r="B10" i="9" l="1"/>
  <c r="C14" i="8"/>
  <c r="C2" i="8"/>
  <c r="C4" i="8" s="1"/>
  <c r="C10" i="8" s="1"/>
  <c r="D14" i="8" s="1"/>
  <c r="B20" i="8"/>
  <c r="C15" i="8"/>
  <c r="C5" i="7"/>
  <c r="C3" i="7"/>
  <c r="B3" i="7"/>
  <c r="B2" i="7"/>
  <c r="B4" i="7" s="1"/>
  <c r="C14" i="9" l="1"/>
  <c r="C15" i="9" s="1"/>
  <c r="C2" i="9"/>
  <c r="C4" i="9" s="1"/>
  <c r="C10" i="9" s="1"/>
  <c r="D14" i="9" s="1"/>
  <c r="D15" i="8"/>
  <c r="B21" i="8"/>
  <c r="E23" i="8" s="1"/>
  <c r="B14" i="7"/>
  <c r="B15" i="7" s="1"/>
  <c r="B3" i="4"/>
  <c r="C3" i="6"/>
  <c r="B3" i="6"/>
  <c r="B2" i="6"/>
  <c r="D15" i="9" l="1"/>
  <c r="B21" i="9"/>
  <c r="E22" i="8"/>
  <c r="F23" i="8" s="1"/>
  <c r="B22" i="8"/>
  <c r="B4" i="6"/>
  <c r="B20" i="7"/>
  <c r="B14" i="6"/>
  <c r="B15" i="6" s="1"/>
  <c r="B20" i="6" s="1"/>
  <c r="E3" i="1"/>
  <c r="E22" i="9" l="1"/>
  <c r="B22" i="9"/>
  <c r="B23" i="9" s="1"/>
  <c r="E23" i="9"/>
  <c r="B24" i="9"/>
  <c r="B23" i="8"/>
  <c r="B24" i="8"/>
  <c r="D3" i="1"/>
  <c r="C3" i="1"/>
  <c r="B3" i="1"/>
  <c r="C9" i="2"/>
  <c r="D9" i="2" s="1"/>
  <c r="E9" i="2" s="1"/>
  <c r="C8" i="2"/>
  <c r="D8" i="2" s="1"/>
  <c r="E8" i="2" s="1"/>
  <c r="C7" i="2"/>
  <c r="D7" i="2" s="1"/>
  <c r="E7" i="2" s="1"/>
  <c r="C6" i="2"/>
  <c r="D6" i="2" s="1"/>
  <c r="C5" i="2"/>
  <c r="D4" i="1" s="1"/>
  <c r="C4" i="2"/>
  <c r="C4" i="1" s="1"/>
  <c r="C3" i="2"/>
  <c r="F23" i="9" l="1"/>
  <c r="F3" i="1"/>
  <c r="E6" i="2"/>
  <c r="E6" i="1" s="1"/>
  <c r="E5" i="1"/>
  <c r="E4" i="1"/>
  <c r="D5" i="2"/>
  <c r="D4" i="2"/>
  <c r="D3" i="2"/>
  <c r="B5" i="1" s="1"/>
  <c r="B4" i="1"/>
  <c r="H3" i="1" l="1"/>
  <c r="E5" i="2"/>
  <c r="D6" i="1" s="1"/>
  <c r="D5" i="1"/>
  <c r="E4" i="2"/>
  <c r="C6" i="1" s="1"/>
  <c r="C5" i="1"/>
  <c r="E3" i="2"/>
  <c r="B6" i="1" s="1"/>
  <c r="F4" i="1"/>
  <c r="C11" i="1" l="1"/>
  <c r="B2" i="5" s="1"/>
  <c r="B5" i="6" s="1"/>
  <c r="H4" i="1"/>
  <c r="F6" i="1" l="1"/>
  <c r="F5" i="1"/>
  <c r="H6" i="1" l="1"/>
  <c r="H5" i="1"/>
  <c r="D11" i="1"/>
  <c r="C2" i="5" s="1"/>
  <c r="C5" i="6" s="1"/>
  <c r="B14" i="4" l="1"/>
  <c r="B3" i="5" l="1"/>
  <c r="B6" i="7" l="1"/>
  <c r="B7" i="7" s="1"/>
  <c r="B8" i="7" s="1"/>
  <c r="B9" i="7" s="1"/>
  <c r="B10" i="7" s="1"/>
  <c r="B4" i="5"/>
  <c r="B5" i="5" s="1"/>
  <c r="B6" i="5" s="1"/>
  <c r="B6" i="6"/>
  <c r="B7" i="6" s="1"/>
  <c r="C14" i="7" l="1"/>
  <c r="C15" i="7" s="1"/>
  <c r="C2" i="7"/>
  <c r="C4" i="7" s="1"/>
  <c r="B21" i="7"/>
  <c r="B8" i="6"/>
  <c r="B9" i="6" s="1"/>
  <c r="B10" i="6" s="1"/>
  <c r="E23" i="7" l="1"/>
  <c r="C2" i="6"/>
  <c r="C4" i="6" s="1"/>
  <c r="C14" i="6"/>
  <c r="C3" i="5"/>
  <c r="C6" i="7" s="1"/>
  <c r="C7" i="7" s="1"/>
  <c r="C8" i="7" s="1"/>
  <c r="C9" i="7" s="1"/>
  <c r="C10" i="7" s="1"/>
  <c r="D14" i="7" s="1"/>
  <c r="D15" i="7" s="1"/>
  <c r="E22" i="7" l="1"/>
  <c r="F23" i="7" s="1"/>
  <c r="B22" i="7"/>
  <c r="C4" i="5"/>
  <c r="C5" i="5" s="1"/>
  <c r="C6" i="5" s="1"/>
  <c r="D3" i="4" s="1"/>
  <c r="C6" i="6"/>
  <c r="C7" i="6" s="1"/>
  <c r="C8" i="6" s="1"/>
  <c r="C9" i="6" s="1"/>
  <c r="C10" i="6" s="1"/>
  <c r="D14" i="6" s="1"/>
  <c r="C3" i="4"/>
  <c r="C15" i="6"/>
  <c r="B23" i="7" l="1"/>
  <c r="B24" i="7"/>
  <c r="B21" i="6"/>
  <c r="D15" i="6"/>
  <c r="B9" i="4"/>
  <c r="B10" i="4"/>
  <c r="C14" i="4"/>
  <c r="B18" i="4" s="1"/>
  <c r="B17" i="4"/>
  <c r="D14" i="4" l="1"/>
  <c r="E22" i="6"/>
  <c r="B22" i="6"/>
  <c r="C18" i="4"/>
  <c r="E23" i="6"/>
  <c r="B23" i="6"/>
  <c r="B24" i="6"/>
  <c r="F23" i="6" l="1"/>
</calcChain>
</file>

<file path=xl/sharedStrings.xml><?xml version="1.0" encoding="utf-8"?>
<sst xmlns="http://schemas.openxmlformats.org/spreadsheetml/2006/main" count="151" uniqueCount="70">
  <si>
    <t>Mes</t>
  </si>
  <si>
    <r>
      <t xml:space="preserve">Subscripciones </t>
    </r>
    <r>
      <rPr>
        <i/>
        <sz val="11"/>
        <color theme="1"/>
        <rFont val="Calibri"/>
        <family val="2"/>
        <scheme val="minor"/>
      </rPr>
      <t>Negocios</t>
    </r>
  </si>
  <si>
    <t>Publicidad en el e-commerce</t>
  </si>
  <si>
    <t>Subscripciones plus por exceso de pedidos</t>
  </si>
  <si>
    <t>TOTAL</t>
  </si>
  <si>
    <t>Subscripcion estandar</t>
  </si>
  <si>
    <t>Subscripcion premium</t>
  </si>
  <si>
    <t>Precio por pedido excedido</t>
  </si>
  <si>
    <t>Publicidad home semanal</t>
  </si>
  <si>
    <t>Publicidad home mensual</t>
  </si>
  <si>
    <t>Publicidad email semanal</t>
  </si>
  <si>
    <t>Publicidad email mensual</t>
  </si>
  <si>
    <t>Home-semanal</t>
  </si>
  <si>
    <t>Home-mensual</t>
  </si>
  <si>
    <t>Email-semanal</t>
  </si>
  <si>
    <t>E-mail-Mensual</t>
  </si>
  <si>
    <t>Estándar</t>
  </si>
  <si>
    <t>Premium</t>
  </si>
  <si>
    <t>Exceso de pedidos</t>
  </si>
  <si>
    <t>Concepto</t>
  </si>
  <si>
    <r>
      <t xml:space="preserve">Subscripciones estándar </t>
    </r>
    <r>
      <rPr>
        <b/>
        <i/>
        <sz val="11"/>
        <color theme="1"/>
        <rFont val="Calibri"/>
        <family val="2"/>
        <scheme val="minor"/>
      </rPr>
      <t>Negocios</t>
    </r>
  </si>
  <si>
    <r>
      <t xml:space="preserve">Subscripciones premium </t>
    </r>
    <r>
      <rPr>
        <b/>
        <i/>
        <sz val="11"/>
        <color theme="1"/>
        <rFont val="Calibri"/>
        <family val="2"/>
        <scheme val="minor"/>
      </rPr>
      <t>Negocios</t>
    </r>
  </si>
  <si>
    <t>Año</t>
  </si>
  <si>
    <t>Tasa de aumento</t>
  </si>
  <si>
    <t>Periodo</t>
  </si>
  <si>
    <t>Semestre 1 - 2016</t>
  </si>
  <si>
    <t>Semestre 2 - 2016</t>
  </si>
  <si>
    <t>Semestre 1 - 2017</t>
  </si>
  <si>
    <t>Semestre 2 - 2017</t>
  </si>
  <si>
    <t>año</t>
  </si>
  <si>
    <t>Ingreso</t>
  </si>
  <si>
    <t>Año 1</t>
  </si>
  <si>
    <t>Año 2</t>
  </si>
  <si>
    <t>total</t>
  </si>
  <si>
    <t>Ingresos</t>
  </si>
  <si>
    <t>Egresos</t>
  </si>
  <si>
    <t>Ganancia Neta</t>
  </si>
  <si>
    <t>imp ganancia</t>
  </si>
  <si>
    <t>TASA</t>
  </si>
  <si>
    <t>VAN</t>
  </si>
  <si>
    <t>TIR</t>
  </si>
  <si>
    <t>cashflow</t>
  </si>
  <si>
    <t>meses</t>
  </si>
  <si>
    <t>1 año</t>
  </si>
  <si>
    <t>Semestre 2 -2016</t>
  </si>
  <si>
    <t>Semestre 2 -2017</t>
  </si>
  <si>
    <t>Semestre 1 -2017</t>
  </si>
  <si>
    <t>Precios</t>
  </si>
  <si>
    <t>IMP GANANCIAS</t>
  </si>
  <si>
    <t>por mes</t>
  </si>
  <si>
    <t>6 meses</t>
  </si>
  <si>
    <t>Fondo Inicial</t>
  </si>
  <si>
    <t>Inversion Inicial</t>
  </si>
  <si>
    <t>Caja</t>
  </si>
  <si>
    <t>Impuesto a las ganancias (35%)</t>
  </si>
  <si>
    <t>Año 2016</t>
  </si>
  <si>
    <t>Año 2017</t>
  </si>
  <si>
    <t>Flujo de Fondos</t>
  </si>
  <si>
    <t>Flujo de fondos</t>
  </si>
  <si>
    <t>Resultado Acumulado</t>
  </si>
  <si>
    <t>ROI</t>
  </si>
  <si>
    <t xml:space="preserve">Ganancias Totales </t>
  </si>
  <si>
    <t>Fondo Final</t>
  </si>
  <si>
    <t>1 año y 2 meses</t>
  </si>
  <si>
    <t>15% menos los gastos del primer año</t>
  </si>
  <si>
    <t>1 año y 1 mes</t>
  </si>
  <si>
    <t>15% menos de ingresos en el segundo año</t>
  </si>
  <si>
    <t>1 año y 10 meses</t>
  </si>
  <si>
    <t>10% aumento de egresos en el primer año</t>
  </si>
  <si>
    <t>1 año y 8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</si>
</sst>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;[Red]&quot;$&quot;\ \-#,##0.00"/>
    <numFmt numFmtId="164" formatCode="&quot;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17" fontId="0" fillId="6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164" fontId="0" fillId="6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3" fontId="0" fillId="6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  <xf numFmtId="17" fontId="0" fillId="7" borderId="1" xfId="0" applyNumberFormat="1" applyFill="1" applyBorder="1"/>
    <xf numFmtId="164" fontId="0" fillId="7" borderId="1" xfId="0" applyNumberFormat="1" applyFill="1" applyBorder="1"/>
    <xf numFmtId="0" fontId="0" fillId="7" borderId="1" xfId="0" applyFill="1" applyBorder="1"/>
    <xf numFmtId="8" fontId="0" fillId="0" borderId="0" xfId="0" applyNumberFormat="1"/>
    <xf numFmtId="10" fontId="0" fillId="0" borderId="0" xfId="0" applyNumberFormat="1"/>
    <xf numFmtId="0" fontId="0" fillId="2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2" borderId="6" xfId="0" applyFill="1" applyBorder="1"/>
    <xf numFmtId="0" fontId="0" fillId="0" borderId="0" xfId="0" applyBorder="1"/>
    <xf numFmtId="0" fontId="0" fillId="5" borderId="9" xfId="0" applyFill="1" applyBorder="1"/>
    <xf numFmtId="164" fontId="0" fillId="0" borderId="0" xfId="0" applyNumberFormat="1"/>
    <xf numFmtId="9" fontId="0" fillId="0" borderId="1" xfId="0" applyNumberFormat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2" borderId="1" xfId="0" applyNumberFormat="1" applyFill="1" applyBorder="1"/>
    <xf numFmtId="164" fontId="0" fillId="12" borderId="7" xfId="0" applyNumberFormat="1" applyFill="1" applyBorder="1" applyAlignment="1">
      <alignment vertical="center"/>
    </xf>
    <xf numFmtId="164" fontId="0" fillId="12" borderId="8" xfId="0" applyNumberFormat="1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164" fontId="0" fillId="5" borderId="1" xfId="0" applyNumberFormat="1" applyFill="1" applyBorder="1"/>
    <xf numFmtId="0" fontId="0" fillId="16" borderId="1" xfId="0" applyFill="1" applyBorder="1"/>
    <xf numFmtId="0" fontId="0" fillId="2" borderId="1" xfId="0" applyFill="1" applyBorder="1"/>
    <xf numFmtId="0" fontId="0" fillId="12" borderId="12" xfId="0" applyFill="1" applyBorder="1"/>
    <xf numFmtId="164" fontId="0" fillId="11" borderId="2" xfId="0" applyNumberFormat="1" applyFill="1" applyBorder="1"/>
    <xf numFmtId="164" fontId="0" fillId="12" borderId="7" xfId="0" applyNumberFormat="1" applyFill="1" applyBorder="1"/>
    <xf numFmtId="164" fontId="0" fillId="12" borderId="8" xfId="0" applyNumberFormat="1" applyFill="1" applyBorder="1"/>
    <xf numFmtId="0" fontId="0" fillId="2" borderId="0" xfId="0" applyFill="1"/>
    <xf numFmtId="0" fontId="0" fillId="2" borderId="0" xfId="0" applyNumberFormat="1" applyFill="1"/>
    <xf numFmtId="0" fontId="0" fillId="6" borderId="13" xfId="0" applyFill="1" applyBorder="1"/>
    <xf numFmtId="0" fontId="0" fillId="15" borderId="13" xfId="0" applyFill="1" applyBorder="1"/>
    <xf numFmtId="0" fontId="0" fillId="5" borderId="13" xfId="0" applyFill="1" applyBorder="1"/>
    <xf numFmtId="0" fontId="0" fillId="13" borderId="13" xfId="0" applyFill="1" applyBorder="1"/>
    <xf numFmtId="0" fontId="0" fillId="12" borderId="13" xfId="0" applyFill="1" applyBorder="1"/>
    <xf numFmtId="0" fontId="0" fillId="17" borderId="13" xfId="0" applyFill="1" applyBorder="1"/>
    <xf numFmtId="164" fontId="0" fillId="6" borderId="14" xfId="0" applyNumberFormat="1" applyFill="1" applyBorder="1"/>
    <xf numFmtId="164" fontId="5" fillId="15" borderId="14" xfId="0" applyNumberFormat="1" applyFont="1" applyFill="1" applyBorder="1"/>
    <xf numFmtId="164" fontId="0" fillId="5" borderId="14" xfId="0" applyNumberFormat="1" applyFill="1" applyBorder="1"/>
    <xf numFmtId="164" fontId="5" fillId="13" borderId="14" xfId="0" applyNumberFormat="1" applyFont="1" applyFill="1" applyBorder="1"/>
    <xf numFmtId="164" fontId="0" fillId="12" borderId="14" xfId="0" applyNumberFormat="1" applyFill="1" applyBorder="1"/>
    <xf numFmtId="164" fontId="0" fillId="17" borderId="14" xfId="0" applyNumberFormat="1" applyFill="1" applyBorder="1"/>
    <xf numFmtId="0" fontId="0" fillId="4" borderId="13" xfId="0" applyFill="1" applyBorder="1"/>
    <xf numFmtId="164" fontId="0" fillId="4" borderId="14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19" borderId="1" xfId="0" applyFill="1" applyBorder="1"/>
    <xf numFmtId="164" fontId="4" fillId="0" borderId="1" xfId="0" applyNumberFormat="1" applyFont="1" applyBorder="1"/>
    <xf numFmtId="164" fontId="7" fillId="0" borderId="1" xfId="0" applyNumberFormat="1" applyFont="1" applyBorder="1"/>
    <xf numFmtId="0" fontId="0" fillId="20" borderId="1" xfId="0" applyFill="1" applyBorder="1"/>
    <xf numFmtId="164" fontId="6" fillId="0" borderId="1" xfId="0" applyNumberFormat="1" applyFont="1" applyBorder="1"/>
    <xf numFmtId="10" fontId="0" fillId="18" borderId="1" xfId="0" applyNumberFormat="1" applyFill="1" applyBorder="1"/>
    <xf numFmtId="8" fontId="0" fillId="18" borderId="1" xfId="0" applyNumberFormat="1" applyFill="1" applyBorder="1"/>
    <xf numFmtId="0" fontId="0" fillId="18" borderId="1" xfId="0" applyFill="1" applyBorder="1" applyAlignment="1">
      <alignment horizontal="right" vertical="center"/>
    </xf>
    <xf numFmtId="0" fontId="0" fillId="9" borderId="1" xfId="0" applyFill="1" applyBorder="1"/>
    <xf numFmtId="10" fontId="0" fillId="9" borderId="1" xfId="0" applyNumberFormat="1" applyFill="1" applyBorder="1"/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resupuesto/Borrador%20Cos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resupuesto/Presupuesto%20pickupme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os Fijos"/>
      <sheetName val="Costos Variables"/>
      <sheetName val="Gastos Resultado"/>
      <sheetName val="Costos legales"/>
      <sheetName val="Estimacion de pedidos"/>
      <sheetName val="Remuneraciones"/>
      <sheetName val="Amortizaciones "/>
      <sheetName val="Impuestos"/>
    </sheetNames>
    <sheetDataSet>
      <sheetData sheetId="0"/>
      <sheetData sheetId="1"/>
      <sheetData sheetId="2">
        <row r="4">
          <cell r="B4">
            <v>4506241.5039999997</v>
          </cell>
          <cell r="C4">
            <v>9513409.3409200013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ón inicial P1"/>
      <sheetName val="Inversión Inicial PUM"/>
      <sheetName val="Costos fijos P1"/>
    </sheetNames>
    <sheetDataSet>
      <sheetData sheetId="0"/>
      <sheetData sheetId="1">
        <row r="3">
          <cell r="E3">
            <v>99500</v>
          </cell>
        </row>
        <row r="29">
          <cell r="E29">
            <v>360838</v>
          </cell>
        </row>
        <row r="31">
          <cell r="E31">
            <v>500838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5" sqref="B5"/>
    </sheetView>
  </sheetViews>
  <sheetFormatPr baseColWidth="10" defaultRowHeight="15" x14ac:dyDescent="0.25"/>
  <cols>
    <col min="1" max="1" width="25.5703125" bestFit="1" customWidth="1"/>
    <col min="2" max="2" width="16.5703125" bestFit="1" customWidth="1"/>
    <col min="3" max="5" width="16.5703125" customWidth="1"/>
    <col min="7" max="9" width="16.140625" bestFit="1" customWidth="1"/>
  </cols>
  <sheetData>
    <row r="1" spans="1:9" x14ac:dyDescent="0.25">
      <c r="B1" s="71" t="s">
        <v>47</v>
      </c>
      <c r="C1" s="72"/>
      <c r="D1" s="72"/>
      <c r="E1" s="73"/>
    </row>
    <row r="2" spans="1:9" x14ac:dyDescent="0.25">
      <c r="A2" s="13" t="s">
        <v>19</v>
      </c>
      <c r="B2" s="13" t="s">
        <v>25</v>
      </c>
      <c r="C2" s="13" t="s">
        <v>44</v>
      </c>
      <c r="D2" s="13" t="s">
        <v>46</v>
      </c>
      <c r="E2" s="13" t="s">
        <v>45</v>
      </c>
      <c r="G2" s="13" t="s">
        <v>23</v>
      </c>
      <c r="H2" s="27">
        <v>0.22</v>
      </c>
    </row>
    <row r="3" spans="1:9" x14ac:dyDescent="0.25">
      <c r="A3" s="25" t="s">
        <v>5</v>
      </c>
      <c r="B3" s="28">
        <v>16000</v>
      </c>
      <c r="C3" s="28">
        <f>B3+$B$3*$H$2</f>
        <v>19520</v>
      </c>
      <c r="D3" s="8">
        <f>C3+$B$3*$H$2</f>
        <v>23040</v>
      </c>
      <c r="E3" s="8">
        <f t="shared" ref="E3" si="0">D3+$B$3*$H$2</f>
        <v>26560</v>
      </c>
      <c r="I3" s="14"/>
    </row>
    <row r="4" spans="1:9" x14ac:dyDescent="0.25">
      <c r="A4" s="7" t="s">
        <v>6</v>
      </c>
      <c r="B4" s="28">
        <v>19700</v>
      </c>
      <c r="C4" s="28">
        <f>B4+$B$4*$H$2</f>
        <v>24034</v>
      </c>
      <c r="D4" s="8">
        <f t="shared" ref="D4:E4" si="1">C4+$B$4*$H$2</f>
        <v>28368</v>
      </c>
      <c r="E4" s="8">
        <f t="shared" si="1"/>
        <v>32702</v>
      </c>
      <c r="I4" s="14"/>
    </row>
    <row r="5" spans="1:9" x14ac:dyDescent="0.25">
      <c r="A5" s="7" t="s">
        <v>7</v>
      </c>
      <c r="B5" s="28">
        <v>16</v>
      </c>
      <c r="C5" s="28">
        <f>B5+$B$5*$H$2</f>
        <v>19.52</v>
      </c>
      <c r="D5" s="8">
        <f t="shared" ref="D5:E5" si="2">C5+$B$5*$H$2</f>
        <v>23.04</v>
      </c>
      <c r="E5" s="8">
        <f t="shared" si="2"/>
        <v>26.56</v>
      </c>
      <c r="I5" s="14"/>
    </row>
    <row r="6" spans="1:9" x14ac:dyDescent="0.25">
      <c r="A6" s="7" t="s">
        <v>8</v>
      </c>
      <c r="B6" s="28">
        <v>2000</v>
      </c>
      <c r="C6" s="28">
        <f>B6+$B$6*$H$2</f>
        <v>2440</v>
      </c>
      <c r="D6" s="8">
        <f t="shared" ref="D6:E6" si="3">C6+$B$6*$H$2</f>
        <v>2880</v>
      </c>
      <c r="E6" s="8">
        <f t="shared" si="3"/>
        <v>3320</v>
      </c>
      <c r="I6" s="14"/>
    </row>
    <row r="7" spans="1:9" x14ac:dyDescent="0.25">
      <c r="A7" s="7" t="s">
        <v>9</v>
      </c>
      <c r="B7" s="28">
        <v>7500</v>
      </c>
      <c r="C7" s="28">
        <f>B7+$B$7*$H$2</f>
        <v>9150</v>
      </c>
      <c r="D7" s="8">
        <f t="shared" ref="D7:E7" si="4">C7+$B$7*$H$2</f>
        <v>10800</v>
      </c>
      <c r="E7" s="8">
        <f t="shared" si="4"/>
        <v>12450</v>
      </c>
    </row>
    <row r="8" spans="1:9" x14ac:dyDescent="0.25">
      <c r="A8" s="7" t="s">
        <v>10</v>
      </c>
      <c r="B8" s="28">
        <v>1000</v>
      </c>
      <c r="C8" s="28">
        <f>B8+$B$8*$H$2</f>
        <v>1220</v>
      </c>
      <c r="D8" s="8">
        <f t="shared" ref="D8:E8" si="5">C8+$B$8*$H$2</f>
        <v>1440</v>
      </c>
      <c r="E8" s="8">
        <f t="shared" si="5"/>
        <v>1660</v>
      </c>
    </row>
    <row r="9" spans="1:9" x14ac:dyDescent="0.25">
      <c r="A9" s="7" t="s">
        <v>11</v>
      </c>
      <c r="B9" s="28">
        <v>3300</v>
      </c>
      <c r="C9" s="28">
        <f>B9+$B$9*$H$2</f>
        <v>4026</v>
      </c>
      <c r="D9" s="8">
        <f t="shared" ref="D9:E9" si="6">C9+$B$9*$H$2</f>
        <v>4752</v>
      </c>
      <c r="E9" s="8">
        <f t="shared" si="6"/>
        <v>5478</v>
      </c>
    </row>
    <row r="10" spans="1:9" x14ac:dyDescent="0.25">
      <c r="A10" s="24"/>
      <c r="B10" s="24"/>
      <c r="C10" s="24"/>
      <c r="D10" s="24"/>
      <c r="E10" s="24"/>
    </row>
    <row r="13" spans="1:9" x14ac:dyDescent="0.25">
      <c r="D13" s="26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H7"/>
    </sheetView>
  </sheetViews>
  <sheetFormatPr baseColWidth="10" defaultRowHeight="15" x14ac:dyDescent="0.25"/>
  <cols>
    <col min="1" max="1" width="16.5703125" bestFit="1" customWidth="1"/>
    <col min="2" max="2" width="12" customWidth="1"/>
    <col min="3" max="3" width="7.5703125" customWidth="1"/>
    <col min="4" max="4" width="8" customWidth="1"/>
    <col min="5" max="5" width="10" customWidth="1"/>
    <col min="6" max="6" width="7" customWidth="1"/>
    <col min="7" max="7" width="9" customWidth="1"/>
    <col min="8" max="8" width="11" customWidth="1"/>
  </cols>
  <sheetData>
    <row r="1" spans="1:9" x14ac:dyDescent="0.25">
      <c r="B1" s="75" t="s">
        <v>19</v>
      </c>
      <c r="C1" s="75"/>
      <c r="D1" s="75"/>
      <c r="E1" s="75"/>
      <c r="F1" s="75"/>
      <c r="G1" s="75"/>
      <c r="H1" s="75"/>
    </row>
    <row r="2" spans="1:9" ht="45" customHeight="1" x14ac:dyDescent="0.25">
      <c r="A2" s="9" t="s">
        <v>0</v>
      </c>
      <c r="B2" s="74" t="s">
        <v>1</v>
      </c>
      <c r="C2" s="74"/>
      <c r="D2" s="74"/>
      <c r="E2" s="74" t="s">
        <v>2</v>
      </c>
      <c r="F2" s="74"/>
      <c r="G2" s="74"/>
      <c r="H2" s="74"/>
      <c r="I2" s="2"/>
    </row>
    <row r="3" spans="1:9" ht="60" x14ac:dyDescent="0.25">
      <c r="A3" s="10"/>
      <c r="B3" s="11" t="s">
        <v>16</v>
      </c>
      <c r="C3" s="11" t="s">
        <v>17</v>
      </c>
      <c r="D3" s="11" t="s">
        <v>18</v>
      </c>
      <c r="E3" s="11" t="s">
        <v>12</v>
      </c>
      <c r="F3" s="11" t="s">
        <v>13</v>
      </c>
      <c r="G3" s="11" t="s">
        <v>14</v>
      </c>
      <c r="H3" s="11" t="s">
        <v>15</v>
      </c>
      <c r="I3" s="2"/>
    </row>
    <row r="4" spans="1:9" x14ac:dyDescent="0.25">
      <c r="A4" s="15" t="s">
        <v>25</v>
      </c>
      <c r="B4" s="17">
        <v>13</v>
      </c>
      <c r="C4" s="17">
        <v>2</v>
      </c>
      <c r="D4" s="17">
        <v>1560</v>
      </c>
      <c r="E4" s="17">
        <v>4</v>
      </c>
      <c r="F4" s="17">
        <v>4</v>
      </c>
      <c r="G4" s="17">
        <v>5</v>
      </c>
      <c r="H4" s="17">
        <v>5</v>
      </c>
    </row>
    <row r="5" spans="1:9" x14ac:dyDescent="0.25">
      <c r="A5" s="15" t="s">
        <v>26</v>
      </c>
      <c r="B5" s="17">
        <v>11</v>
      </c>
      <c r="C5" s="17">
        <v>4</v>
      </c>
      <c r="D5" s="17">
        <v>3000</v>
      </c>
      <c r="E5" s="17">
        <v>5</v>
      </c>
      <c r="F5" s="17">
        <v>7</v>
      </c>
      <c r="G5" s="17">
        <v>5</v>
      </c>
      <c r="H5" s="17">
        <v>7</v>
      </c>
    </row>
    <row r="6" spans="1:9" x14ac:dyDescent="0.25">
      <c r="A6" s="5" t="s">
        <v>27</v>
      </c>
      <c r="B6" s="12">
        <v>23</v>
      </c>
      <c r="C6" s="12">
        <v>7</v>
      </c>
      <c r="D6" s="6">
        <v>4000</v>
      </c>
      <c r="E6" s="6">
        <v>6</v>
      </c>
      <c r="F6" s="6">
        <v>5</v>
      </c>
      <c r="G6" s="6">
        <v>5</v>
      </c>
      <c r="H6" s="6">
        <v>8</v>
      </c>
    </row>
    <row r="7" spans="1:9" x14ac:dyDescent="0.25">
      <c r="A7" s="5" t="s">
        <v>28</v>
      </c>
      <c r="B7" s="12">
        <v>21</v>
      </c>
      <c r="C7" s="12">
        <v>9</v>
      </c>
      <c r="D7" s="6">
        <v>2100</v>
      </c>
      <c r="E7" s="6">
        <v>5</v>
      </c>
      <c r="F7" s="6">
        <v>3</v>
      </c>
      <c r="G7" s="6">
        <v>6</v>
      </c>
      <c r="H7" s="6">
        <v>9</v>
      </c>
      <c r="I7" s="1"/>
    </row>
  </sheetData>
  <mergeCells count="3">
    <mergeCell ref="E2:H2"/>
    <mergeCell ref="B2:D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7" sqref="B17"/>
    </sheetView>
  </sheetViews>
  <sheetFormatPr baseColWidth="10" defaultRowHeight="15" x14ac:dyDescent="0.25"/>
  <cols>
    <col min="1" max="1" width="16.5703125" bestFit="1" customWidth="1"/>
    <col min="2" max="2" width="21.140625" customWidth="1"/>
    <col min="3" max="3" width="17.140625" customWidth="1"/>
    <col min="4" max="4" width="15.28515625" customWidth="1"/>
    <col min="5" max="5" width="14.5703125" customWidth="1"/>
    <col min="6" max="6" width="13.140625" bestFit="1" customWidth="1"/>
    <col min="8" max="8" width="13.140625" bestFit="1" customWidth="1"/>
  </cols>
  <sheetData>
    <row r="1" spans="1:9" x14ac:dyDescent="0.25">
      <c r="B1" s="76" t="s">
        <v>19</v>
      </c>
      <c r="C1" s="76"/>
      <c r="D1" s="76"/>
      <c r="E1" s="76"/>
      <c r="F1" s="76"/>
    </row>
    <row r="2" spans="1:9" ht="48.75" customHeight="1" x14ac:dyDescent="0.25">
      <c r="A2" s="3" t="s">
        <v>24</v>
      </c>
      <c r="B2" s="4" t="s">
        <v>20</v>
      </c>
      <c r="C2" s="4" t="s">
        <v>21</v>
      </c>
      <c r="D2" s="4" t="s">
        <v>3</v>
      </c>
      <c r="E2" s="4" t="s">
        <v>2</v>
      </c>
      <c r="F2" s="4" t="s">
        <v>4</v>
      </c>
      <c r="H2" s="4" t="s">
        <v>49</v>
      </c>
    </row>
    <row r="3" spans="1:9" x14ac:dyDescent="0.25">
      <c r="A3" s="15" t="s">
        <v>25</v>
      </c>
      <c r="B3" s="16">
        <f>('Tipo Ingreso'!B3*'Volumenes Ingresos'!B4)*6</f>
        <v>1248000</v>
      </c>
      <c r="C3" s="16">
        <f>('Tipo Ingreso'!B4*'Volumenes Ingresos'!C4)*6</f>
        <v>236400</v>
      </c>
      <c r="D3" s="16">
        <f>('Tipo Ingreso'!B5*'Volumenes Ingresos'!D4)</f>
        <v>24960</v>
      </c>
      <c r="E3" s="16">
        <f>(('Tipo Ingreso'!B6*'Volumenes Ingresos'!E4)+('Tipo Ingreso'!B7*'Volumenes Ingresos'!F4)+('Tipo Ingreso'!B8*'Volumenes Ingresos'!G4)+('Tipo Ingreso'!B9*'Volumenes Ingresos'!H4))*6</f>
        <v>357000</v>
      </c>
      <c r="F3" s="30">
        <f>SUM(B3:E3)</f>
        <v>1866360</v>
      </c>
      <c r="H3" s="30">
        <f>F3/6</f>
        <v>311060</v>
      </c>
    </row>
    <row r="4" spans="1:9" x14ac:dyDescent="0.25">
      <c r="A4" s="15" t="s">
        <v>26</v>
      </c>
      <c r="B4" s="16">
        <f>('Tipo Ingreso'!C3*'Volumenes Ingresos'!B5)*6</f>
        <v>1288320</v>
      </c>
      <c r="C4" s="16">
        <f>6*'Tipo Ingreso'!C4*'Volumenes Ingresos'!C5</f>
        <v>576816</v>
      </c>
      <c r="D4" s="16">
        <f>('Tipo Ingreso'!C5*'Volumenes Ingresos'!D5)*6</f>
        <v>351360</v>
      </c>
      <c r="E4" s="16">
        <f>(('Tipo Ingreso'!C6*'Volumenes Ingresos'!E5)+('Tipo Ingreso'!C7*'Volumenes Ingresos'!F5)+('Tipo Ingreso'!C8*'Volumenes Ingresos'!G5)+('Tipo Ingreso'!C9*'Volumenes Ingresos'!H5))*6</f>
        <v>663192</v>
      </c>
      <c r="F4" s="30">
        <f>SUM(B4:E4)</f>
        <v>2879688</v>
      </c>
      <c r="H4" s="30">
        <f t="shared" ref="H4:H5" si="0">F4/6</f>
        <v>479948</v>
      </c>
    </row>
    <row r="5" spans="1:9" x14ac:dyDescent="0.25">
      <c r="A5" s="5" t="s">
        <v>27</v>
      </c>
      <c r="B5" s="8">
        <f>('Tipo Ingreso'!D3*'Volumenes Ingresos'!B6)*6</f>
        <v>3179520</v>
      </c>
      <c r="C5" s="8">
        <f>'Tipo Ingreso'!D4*'Volumenes Ingresos'!C6*6</f>
        <v>1191456</v>
      </c>
      <c r="D5" s="8">
        <f>('Tipo Ingreso'!D5*'Volumenes Ingresos'!D6)*6</f>
        <v>552960</v>
      </c>
      <c r="E5" s="8">
        <f>(('Tipo Ingreso'!D6*'Volumenes Ingresos'!E6)+('Tipo Ingreso'!D7*'Volumenes Ingresos'!F6)+('Tipo Ingreso'!D8*'Volumenes Ingresos'!G6)+('Tipo Ingreso'!D9*'Volumenes Ingresos'!H6))*6</f>
        <v>698976</v>
      </c>
      <c r="F5" s="30">
        <f>SUM(B5:E5)</f>
        <v>5622912</v>
      </c>
      <c r="H5" s="30">
        <f t="shared" si="0"/>
        <v>937152</v>
      </c>
      <c r="I5" s="26"/>
    </row>
    <row r="6" spans="1:9" x14ac:dyDescent="0.25">
      <c r="A6" s="5" t="s">
        <v>28</v>
      </c>
      <c r="B6" s="8">
        <f>('Tipo Ingreso'!E3*'Volumenes Ingresos'!B7)*6</f>
        <v>3346560</v>
      </c>
      <c r="C6" s="8">
        <f>'Tipo Ingreso'!E4*'Volumenes Ingresos'!C7*6</f>
        <v>1765908</v>
      </c>
      <c r="D6" s="8">
        <f>('Tipo Ingreso'!E5*'Volumenes Ingresos'!D7)*6</f>
        <v>334656</v>
      </c>
      <c r="E6" s="8">
        <f>(('Tipo Ingreso'!E6*'Volumenes Ingresos'!E7)+('Tipo Ingreso'!E7*'Volumenes Ingresos'!F7)+('Tipo Ingreso'!E8*'Volumenes Ingresos'!G7)+('Tipo Ingreso'!E9*'Volumenes Ingresos'!H7))*6</f>
        <v>679272</v>
      </c>
      <c r="F6" s="30">
        <f>SUM(B6:E6)</f>
        <v>6126396</v>
      </c>
      <c r="H6" s="30">
        <f>F6/6</f>
        <v>1021066</v>
      </c>
    </row>
    <row r="10" spans="1:9" ht="15.75" thickBot="1" x14ac:dyDescent="0.3">
      <c r="B10" s="20" t="s">
        <v>22</v>
      </c>
      <c r="C10" s="21">
        <v>2016</v>
      </c>
      <c r="D10" s="22">
        <v>2017</v>
      </c>
    </row>
    <row r="11" spans="1:9" ht="16.5" thickTop="1" thickBot="1" x14ac:dyDescent="0.3">
      <c r="B11" s="23" t="s">
        <v>30</v>
      </c>
      <c r="C11" s="31">
        <f>SUM(F3:F4)</f>
        <v>4746048</v>
      </c>
      <c r="D11" s="32">
        <f>SUM(F5:F6)</f>
        <v>11749308</v>
      </c>
    </row>
    <row r="12" spans="1:9" ht="15.75" thickTop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"/>
    </sheetView>
  </sheetViews>
  <sheetFormatPr baseColWidth="10" defaultRowHeight="15" x14ac:dyDescent="0.25"/>
  <cols>
    <col min="1" max="1" width="13.42578125" bestFit="1" customWidth="1"/>
    <col min="2" max="3" width="13.85546875" bestFit="1" customWidth="1"/>
    <col min="7" max="7" width="15.5703125" bestFit="1" customWidth="1"/>
  </cols>
  <sheetData>
    <row r="1" spans="1:8" x14ac:dyDescent="0.25">
      <c r="A1" s="10"/>
      <c r="B1" s="38" t="s">
        <v>31</v>
      </c>
      <c r="C1" s="38" t="s">
        <v>32</v>
      </c>
    </row>
    <row r="2" spans="1:8" x14ac:dyDescent="0.25">
      <c r="A2" s="33" t="s">
        <v>34</v>
      </c>
      <c r="B2" s="8">
        <f>Ingresos!C11</f>
        <v>4746048</v>
      </c>
      <c r="C2" s="8">
        <f>Ingresos!D11</f>
        <v>11749308</v>
      </c>
    </row>
    <row r="3" spans="1:8" x14ac:dyDescent="0.25">
      <c r="A3" s="34" t="s">
        <v>35</v>
      </c>
      <c r="B3" s="29">
        <f>'[1]Gastos Resultado'!$B$4</f>
        <v>4506241.5039999997</v>
      </c>
      <c r="C3" s="29">
        <f>'[1]Gastos Resultado'!$C$4</f>
        <v>9513409.3409200013</v>
      </c>
      <c r="G3" t="s">
        <v>48</v>
      </c>
      <c r="H3" s="14">
        <v>0.35</v>
      </c>
    </row>
    <row r="4" spans="1:8" x14ac:dyDescent="0.25">
      <c r="A4" s="35" t="s">
        <v>36</v>
      </c>
      <c r="B4" s="36">
        <f>B2-B3</f>
        <v>239806.49600000028</v>
      </c>
      <c r="C4" s="36">
        <f>C2-C3</f>
        <v>2235898.6590799987</v>
      </c>
    </row>
    <row r="5" spans="1:8" ht="15.75" thickBot="1" x14ac:dyDescent="0.3">
      <c r="A5" s="37" t="s">
        <v>37</v>
      </c>
      <c r="B5" s="40">
        <f>-(B4*H3)</f>
        <v>-83932.273600000088</v>
      </c>
      <c r="C5" s="40">
        <f>-(C4*H3)</f>
        <v>-782564.53067799949</v>
      </c>
    </row>
    <row r="6" spans="1:8" ht="16.5" thickTop="1" thickBot="1" x14ac:dyDescent="0.3">
      <c r="A6" s="39" t="s">
        <v>33</v>
      </c>
      <c r="B6" s="41">
        <f>SUM(B4:B5)</f>
        <v>155874.2224000002</v>
      </c>
      <c r="C6" s="42">
        <f>SUM(C4:C5)</f>
        <v>1453334.1284019994</v>
      </c>
    </row>
    <row r="7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sqref="A1:F26"/>
    </sheetView>
  </sheetViews>
  <sheetFormatPr baseColWidth="10" defaultRowHeight="15" x14ac:dyDescent="0.25"/>
  <cols>
    <col min="1" max="1" width="37.140625" bestFit="1" customWidth="1"/>
    <col min="2" max="2" width="26.7109375" customWidth="1"/>
    <col min="3" max="3" width="20.5703125" customWidth="1"/>
    <col min="4" max="4" width="13.140625" bestFit="1" customWidth="1"/>
    <col min="5" max="5" width="13.7109375" customWidth="1"/>
    <col min="10" max="10" width="17.42578125" bestFit="1" customWidth="1"/>
  </cols>
  <sheetData>
    <row r="1" spans="1:4" x14ac:dyDescent="0.25">
      <c r="A1" s="43" t="s">
        <v>19</v>
      </c>
      <c r="B1" s="44" t="s">
        <v>55</v>
      </c>
      <c r="C1" s="44" t="s">
        <v>56</v>
      </c>
    </row>
    <row r="2" spans="1:4" x14ac:dyDescent="0.25">
      <c r="A2" s="45" t="s">
        <v>51</v>
      </c>
      <c r="B2" s="51">
        <f>'[2]Inversión Inicial PUM'!$E$31</f>
        <v>500838</v>
      </c>
      <c r="C2" s="51">
        <f>B10</f>
        <v>295874.2224000002</v>
      </c>
    </row>
    <row r="3" spans="1:4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</row>
    <row r="4" spans="1:4" x14ac:dyDescent="0.25">
      <c r="A4" s="47" t="s">
        <v>53</v>
      </c>
      <c r="B4" s="53">
        <f>B2+B3</f>
        <v>140000</v>
      </c>
      <c r="C4" s="53">
        <f>C2+C3</f>
        <v>156574.2224000002</v>
      </c>
    </row>
    <row r="5" spans="1:4" x14ac:dyDescent="0.25">
      <c r="A5" s="48" t="s">
        <v>34</v>
      </c>
      <c r="B5" s="54">
        <f>Ganancias!B2</f>
        <v>4746048</v>
      </c>
      <c r="C5" s="54">
        <f>Ganancias!C2</f>
        <v>11749308</v>
      </c>
    </row>
    <row r="6" spans="1:4" x14ac:dyDescent="0.25">
      <c r="A6" s="46" t="s">
        <v>35</v>
      </c>
      <c r="B6" s="52">
        <f>-Ganancias!B3</f>
        <v>-4506241.5039999997</v>
      </c>
      <c r="C6" s="52">
        <f>-Ganancias!C3</f>
        <v>-9513409.3409200013</v>
      </c>
    </row>
    <row r="7" spans="1:4" x14ac:dyDescent="0.25">
      <c r="A7" s="49" t="s">
        <v>36</v>
      </c>
      <c r="B7" s="55">
        <f>B5+B6</f>
        <v>239806.49600000028</v>
      </c>
      <c r="C7" s="55">
        <f>C5+C6</f>
        <v>2235898.6590799987</v>
      </c>
    </row>
    <row r="8" spans="1:4" x14ac:dyDescent="0.25">
      <c r="A8" s="46" t="s">
        <v>54</v>
      </c>
      <c r="B8" s="52">
        <f>-35%*B7</f>
        <v>-83932.273600000088</v>
      </c>
      <c r="C8" s="52">
        <f>-35%*C7</f>
        <v>-782564.53067799949</v>
      </c>
    </row>
    <row r="9" spans="1:4" x14ac:dyDescent="0.25">
      <c r="A9" s="50" t="s">
        <v>61</v>
      </c>
      <c r="B9" s="56">
        <f>B7+B8</f>
        <v>155874.2224000002</v>
      </c>
      <c r="C9" s="56">
        <f>C7+C8</f>
        <v>1453334.1284019994</v>
      </c>
    </row>
    <row r="10" spans="1:4" x14ac:dyDescent="0.25">
      <c r="A10" s="57" t="s">
        <v>62</v>
      </c>
      <c r="B10" s="58">
        <f>B4+B9</f>
        <v>295874.2224000002</v>
      </c>
      <c r="C10" s="58">
        <f>C4+C9</f>
        <v>1609908.3508019997</v>
      </c>
    </row>
    <row r="11" spans="1:4" x14ac:dyDescent="0.25">
      <c r="B11" s="26"/>
      <c r="C11" s="26"/>
    </row>
    <row r="12" spans="1:4" x14ac:dyDescent="0.25">
      <c r="B12" s="26"/>
      <c r="C12" s="26"/>
    </row>
    <row r="13" spans="1:4" x14ac:dyDescent="0.25">
      <c r="A13" s="10"/>
      <c r="B13" s="59" t="s">
        <v>52</v>
      </c>
      <c r="C13" s="60">
        <v>2016</v>
      </c>
      <c r="D13" s="38">
        <v>2017</v>
      </c>
    </row>
    <row r="14" spans="1:4" x14ac:dyDescent="0.25">
      <c r="A14" s="61" t="s">
        <v>58</v>
      </c>
      <c r="B14" s="62">
        <f>-B2</f>
        <v>-500838</v>
      </c>
      <c r="C14" s="63">
        <f>B10</f>
        <v>295874.2224000002</v>
      </c>
      <c r="D14" s="63">
        <f>C10</f>
        <v>1609908.3508019997</v>
      </c>
    </row>
    <row r="15" spans="1:4" x14ac:dyDescent="0.25">
      <c r="A15" s="61" t="s">
        <v>59</v>
      </c>
      <c r="B15" s="62">
        <f>SUM(B14)</f>
        <v>-500838</v>
      </c>
      <c r="C15" s="62">
        <f>B15+C14</f>
        <v>-204963.7775999998</v>
      </c>
      <c r="D15" s="65">
        <f>C15+D14</f>
        <v>1404944.573202</v>
      </c>
    </row>
    <row r="16" spans="1:4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-204963.7775999998</v>
      </c>
    </row>
    <row r="22" spans="1:6" x14ac:dyDescent="0.25">
      <c r="A22" s="64">
        <v>2</v>
      </c>
      <c r="B22" s="65">
        <f>D15</f>
        <v>1404944.573202</v>
      </c>
      <c r="E22" s="26">
        <f>D15</f>
        <v>1404944.573202</v>
      </c>
      <c r="F22">
        <v>12</v>
      </c>
    </row>
    <row r="23" spans="1:6" x14ac:dyDescent="0.25">
      <c r="A23" s="9" t="s">
        <v>40</v>
      </c>
      <c r="B23" s="66">
        <f>IRR(B20:B22)</f>
        <v>0.48270170194957895</v>
      </c>
      <c r="E23" s="26">
        <f>-B21</f>
        <v>204963.7775999998</v>
      </c>
      <c r="F23">
        <f>E23*F22/E22</f>
        <v>1.7506493694583398</v>
      </c>
    </row>
    <row r="24" spans="1:6" x14ac:dyDescent="0.25">
      <c r="A24" s="9" t="s">
        <v>39</v>
      </c>
      <c r="B24" s="67">
        <f>NPV(E19,B20:B22)</f>
        <v>160036.15971279822</v>
      </c>
    </row>
    <row r="25" spans="1:6" x14ac:dyDescent="0.25">
      <c r="A25" s="9" t="s">
        <v>60</v>
      </c>
      <c r="B25" s="68" t="s">
        <v>63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D3" sqref="D3"/>
    </sheetView>
  </sheetViews>
  <sheetFormatPr baseColWidth="10" defaultRowHeight="15" x14ac:dyDescent="0.25"/>
  <cols>
    <col min="2" max="2" width="13.140625" bestFit="1" customWidth="1"/>
    <col min="3" max="3" width="13.7109375" customWidth="1"/>
    <col min="4" max="4" width="15.85546875" customWidth="1"/>
    <col min="5" max="5" width="18.42578125" bestFit="1" customWidth="1"/>
  </cols>
  <sheetData>
    <row r="2" spans="1:9" x14ac:dyDescent="0.25">
      <c r="A2" t="s">
        <v>29</v>
      </c>
      <c r="B2">
        <v>0</v>
      </c>
      <c r="C2">
        <v>1</v>
      </c>
      <c r="D2">
        <v>2</v>
      </c>
    </row>
    <row r="3" spans="1:9" x14ac:dyDescent="0.25">
      <c r="B3" s="26">
        <f>-'[2]Inversión Inicial PUM'!$E$31</f>
        <v>-500838</v>
      </c>
      <c r="C3" s="26">
        <f>'Modelo Financiero'!C14</f>
        <v>295874.2224000002</v>
      </c>
      <c r="D3" s="26">
        <f>Ganancias!C6</f>
        <v>1453334.1284019994</v>
      </c>
    </row>
    <row r="4" spans="1:9" x14ac:dyDescent="0.25">
      <c r="H4" t="s">
        <v>38</v>
      </c>
      <c r="I4" s="19">
        <v>0.27400000000000002</v>
      </c>
    </row>
    <row r="9" spans="1:9" x14ac:dyDescent="0.25">
      <c r="A9" t="s">
        <v>39</v>
      </c>
      <c r="B9" s="18">
        <f>NPV(I4,C3:D3)+B3</f>
        <v>626822.00343766971</v>
      </c>
    </row>
    <row r="10" spans="1:9" x14ac:dyDescent="0.25">
      <c r="A10" t="s">
        <v>40</v>
      </c>
      <c r="B10" s="19">
        <f>IRR(B3:D3)</f>
        <v>1.0242671575489162</v>
      </c>
    </row>
    <row r="13" spans="1:9" x14ac:dyDescent="0.25">
      <c r="A13" t="s">
        <v>29</v>
      </c>
      <c r="B13">
        <v>0</v>
      </c>
      <c r="C13">
        <v>1</v>
      </c>
      <c r="D13">
        <v>2</v>
      </c>
    </row>
    <row r="14" spans="1:9" x14ac:dyDescent="0.25">
      <c r="A14" t="s">
        <v>41</v>
      </c>
      <c r="B14">
        <f>B3</f>
        <v>-500838</v>
      </c>
      <c r="C14">
        <f>B14+C3</f>
        <v>-204963.7775999998</v>
      </c>
      <c r="D14" s="26">
        <f>C14+D3</f>
        <v>1248370.3508019997</v>
      </c>
    </row>
    <row r="16" spans="1:9" x14ac:dyDescent="0.25">
      <c r="C16" t="s">
        <v>42</v>
      </c>
    </row>
    <row r="17" spans="2:3" x14ac:dyDescent="0.25">
      <c r="B17">
        <f>D3</f>
        <v>1453334.1284019994</v>
      </c>
      <c r="C17">
        <v>12</v>
      </c>
    </row>
    <row r="18" spans="2:3" x14ac:dyDescent="0.25">
      <c r="B18">
        <f>-(C14)</f>
        <v>204963.7775999998</v>
      </c>
      <c r="C18">
        <f>(B18*C17)/B17</f>
        <v>1.692360540589789</v>
      </c>
    </row>
    <row r="20" spans="2:3" x14ac:dyDescent="0.25">
      <c r="B20" t="s">
        <v>43</v>
      </c>
      <c r="C20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6" sqref="B6"/>
    </sheetView>
  </sheetViews>
  <sheetFormatPr baseColWidth="10" defaultRowHeight="15" x14ac:dyDescent="0.25"/>
  <cols>
    <col min="1" max="1" width="28.5703125" bestFit="1" customWidth="1"/>
    <col min="2" max="2" width="15" bestFit="1" customWidth="1"/>
    <col min="3" max="3" width="14.140625" bestFit="1" customWidth="1"/>
    <col min="4" max="5" width="13.140625" bestFit="1" customWidth="1"/>
    <col min="6" max="6" width="41" bestFit="1" customWidth="1"/>
  </cols>
  <sheetData>
    <row r="1" spans="1:6" x14ac:dyDescent="0.25">
      <c r="A1" s="43" t="s">
        <v>19</v>
      </c>
      <c r="B1" s="44" t="s">
        <v>55</v>
      </c>
      <c r="C1" s="44" t="s">
        <v>56</v>
      </c>
    </row>
    <row r="2" spans="1:6" x14ac:dyDescent="0.25">
      <c r="A2" s="45" t="s">
        <v>51</v>
      </c>
      <c r="B2" s="51">
        <f>'[2]Inversión Inicial PUM'!$E$31</f>
        <v>500838</v>
      </c>
      <c r="C2" s="51">
        <f>B10</f>
        <v>442327.07128000009</v>
      </c>
    </row>
    <row r="3" spans="1:6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  <c r="F3" t="s">
        <v>64</v>
      </c>
    </row>
    <row r="4" spans="1:6" x14ac:dyDescent="0.25">
      <c r="A4" s="47" t="s">
        <v>53</v>
      </c>
      <c r="B4" s="53">
        <f>B2+B3</f>
        <v>140000</v>
      </c>
      <c r="C4" s="53">
        <f>C2+C3</f>
        <v>303027.07128000009</v>
      </c>
    </row>
    <row r="5" spans="1:6" x14ac:dyDescent="0.25">
      <c r="A5" s="48" t="s">
        <v>34</v>
      </c>
      <c r="B5" s="54">
        <f>Ganancias!B2</f>
        <v>4746048</v>
      </c>
      <c r="C5" s="54">
        <f>Ganancias!C2</f>
        <v>11749308</v>
      </c>
    </row>
    <row r="6" spans="1:6" x14ac:dyDescent="0.25">
      <c r="A6" s="46" t="s">
        <v>35</v>
      </c>
      <c r="B6" s="52">
        <f>-(Ganancias!B3-Ganancias!B3*0.05)</f>
        <v>-4280929.4287999999</v>
      </c>
      <c r="C6" s="52">
        <f>-Ganancias!C3</f>
        <v>-9513409.3409200013</v>
      </c>
    </row>
    <row r="7" spans="1:6" x14ac:dyDescent="0.25">
      <c r="A7" s="49" t="s">
        <v>36</v>
      </c>
      <c r="B7" s="55">
        <f>B5+B6</f>
        <v>465118.57120000012</v>
      </c>
      <c r="C7" s="55">
        <f>C5+C6</f>
        <v>2235898.6590799987</v>
      </c>
    </row>
    <row r="8" spans="1:6" x14ac:dyDescent="0.25">
      <c r="A8" s="46" t="s">
        <v>54</v>
      </c>
      <c r="B8" s="52">
        <f>-35%*B7</f>
        <v>-162791.49992000003</v>
      </c>
      <c r="C8" s="52">
        <f>-35%*C7</f>
        <v>-782564.53067799949</v>
      </c>
    </row>
    <row r="9" spans="1:6" x14ac:dyDescent="0.25">
      <c r="A9" s="50" t="s">
        <v>61</v>
      </c>
      <c r="B9" s="56">
        <f>B7+B8</f>
        <v>302327.07128000009</v>
      </c>
      <c r="C9" s="56">
        <f>C7+C8</f>
        <v>1453334.1284019994</v>
      </c>
    </row>
    <row r="10" spans="1:6" x14ac:dyDescent="0.25">
      <c r="A10" s="57" t="s">
        <v>62</v>
      </c>
      <c r="B10" s="58">
        <f>B4+B9</f>
        <v>442327.07128000009</v>
      </c>
      <c r="C10" s="58">
        <f>C4+C9</f>
        <v>1756361.1996819994</v>
      </c>
    </row>
    <row r="11" spans="1:6" x14ac:dyDescent="0.25">
      <c r="B11" s="26"/>
      <c r="C11" s="26"/>
    </row>
    <row r="12" spans="1:6" x14ac:dyDescent="0.25">
      <c r="B12" s="26"/>
      <c r="C12" s="26"/>
    </row>
    <row r="13" spans="1:6" x14ac:dyDescent="0.25">
      <c r="A13" s="10"/>
      <c r="B13" s="59" t="s">
        <v>52</v>
      </c>
      <c r="C13" s="60">
        <v>2016</v>
      </c>
      <c r="D13" s="38">
        <v>2017</v>
      </c>
    </row>
    <row r="14" spans="1:6" x14ac:dyDescent="0.25">
      <c r="A14" s="61" t="s">
        <v>58</v>
      </c>
      <c r="B14" s="62">
        <f>-B2</f>
        <v>-500838</v>
      </c>
      <c r="C14" s="63">
        <f>B10</f>
        <v>442327.07128000009</v>
      </c>
      <c r="D14" s="63">
        <f>C10</f>
        <v>1756361.1996819994</v>
      </c>
    </row>
    <row r="15" spans="1:6" x14ac:dyDescent="0.25">
      <c r="A15" s="61" t="s">
        <v>59</v>
      </c>
      <c r="B15" s="62">
        <f>SUM(B14)</f>
        <v>-500838</v>
      </c>
      <c r="C15" s="62">
        <f>B15+C14</f>
        <v>-58510.928719999909</v>
      </c>
      <c r="D15" s="65">
        <f>C15+D14</f>
        <v>1697850.2709619994</v>
      </c>
    </row>
    <row r="16" spans="1:6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-58510.928719999909</v>
      </c>
    </row>
    <row r="22" spans="1:6" x14ac:dyDescent="0.25">
      <c r="A22" s="64">
        <v>2</v>
      </c>
      <c r="B22" s="65">
        <f>D15</f>
        <v>1697850.2709619994</v>
      </c>
      <c r="E22" s="26">
        <f>D15</f>
        <v>1697850.2709619994</v>
      </c>
      <c r="F22">
        <v>12</v>
      </c>
    </row>
    <row r="23" spans="1:6" x14ac:dyDescent="0.25">
      <c r="A23" s="9" t="s">
        <v>40</v>
      </c>
      <c r="B23" s="66">
        <f>IRR(B20:B22)</f>
        <v>0.78371371856494365</v>
      </c>
      <c r="E23" s="26">
        <f>-B21</f>
        <v>58510.928719999909</v>
      </c>
      <c r="F23">
        <f>E23*F22/E22</f>
        <v>0.41354126252968848</v>
      </c>
    </row>
    <row r="24" spans="1:6" x14ac:dyDescent="0.25">
      <c r="A24" s="9" t="s">
        <v>39</v>
      </c>
      <c r="B24" s="67">
        <f>NPV(E19,B20:B22)</f>
        <v>391918.78855847515</v>
      </c>
    </row>
    <row r="25" spans="1:6" x14ac:dyDescent="0.25">
      <c r="A25" s="9" t="s">
        <v>60</v>
      </c>
      <c r="B25" s="68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A6" sqref="A6"/>
    </sheetView>
  </sheetViews>
  <sheetFormatPr baseColWidth="10" defaultRowHeight="15" x14ac:dyDescent="0.25"/>
  <cols>
    <col min="1" max="1" width="28.5703125" bestFit="1" customWidth="1"/>
    <col min="2" max="2" width="15.7109375" bestFit="1" customWidth="1"/>
    <col min="3" max="3" width="14.140625" bestFit="1" customWidth="1"/>
    <col min="4" max="5" width="13.140625" bestFit="1" customWidth="1"/>
    <col min="6" max="6" width="34" bestFit="1" customWidth="1"/>
  </cols>
  <sheetData>
    <row r="1" spans="1:6" x14ac:dyDescent="0.25">
      <c r="A1" s="43" t="s">
        <v>19</v>
      </c>
      <c r="B1" s="44" t="s">
        <v>55</v>
      </c>
      <c r="C1" s="44" t="s">
        <v>56</v>
      </c>
    </row>
    <row r="2" spans="1:6" x14ac:dyDescent="0.25">
      <c r="A2" s="45" t="s">
        <v>51</v>
      </c>
      <c r="B2" s="51">
        <f>'[2]Inversión Inicial PUM'!$E$31</f>
        <v>500838</v>
      </c>
      <c r="C2" s="51">
        <f>B10</f>
        <v>295874.2224000002</v>
      </c>
    </row>
    <row r="3" spans="1:6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  <c r="F3" t="s">
        <v>66</v>
      </c>
    </row>
    <row r="4" spans="1:6" x14ac:dyDescent="0.25">
      <c r="A4" s="47" t="s">
        <v>53</v>
      </c>
      <c r="B4" s="53">
        <f>B2+B3</f>
        <v>140000</v>
      </c>
      <c r="C4" s="53">
        <f>C2+C3</f>
        <v>156574.2224000002</v>
      </c>
    </row>
    <row r="5" spans="1:6" x14ac:dyDescent="0.25">
      <c r="A5" s="48" t="s">
        <v>34</v>
      </c>
      <c r="B5" s="54">
        <f>Ganancias!B2</f>
        <v>4746048</v>
      </c>
      <c r="C5" s="54">
        <f>Ganancias!C2-(Ganancias!C2*0.15)</f>
        <v>9986911.8000000007</v>
      </c>
    </row>
    <row r="6" spans="1:6" x14ac:dyDescent="0.25">
      <c r="A6" s="46" t="s">
        <v>35</v>
      </c>
      <c r="B6" s="52">
        <f>-(Ganancias!B3)</f>
        <v>-4506241.5039999997</v>
      </c>
      <c r="C6" s="52">
        <f>-Ganancias!C3</f>
        <v>-9513409.3409200013</v>
      </c>
    </row>
    <row r="7" spans="1:6" x14ac:dyDescent="0.25">
      <c r="A7" s="49" t="s">
        <v>36</v>
      </c>
      <c r="B7" s="55">
        <f>B5+B6</f>
        <v>239806.49600000028</v>
      </c>
      <c r="C7" s="55">
        <f>C5+C6</f>
        <v>473502.45907999948</v>
      </c>
    </row>
    <row r="8" spans="1:6" x14ac:dyDescent="0.25">
      <c r="A8" s="46" t="s">
        <v>54</v>
      </c>
      <c r="B8" s="52">
        <f>-35%*B7</f>
        <v>-83932.273600000088</v>
      </c>
      <c r="C8" s="52">
        <f>-35%*C7</f>
        <v>-165725.86067799979</v>
      </c>
    </row>
    <row r="9" spans="1:6" x14ac:dyDescent="0.25">
      <c r="A9" s="50" t="s">
        <v>61</v>
      </c>
      <c r="B9" s="56">
        <f>B7+B8</f>
        <v>155874.2224000002</v>
      </c>
      <c r="C9" s="56">
        <f>C7+C8</f>
        <v>307776.59840199968</v>
      </c>
    </row>
    <row r="10" spans="1:6" x14ac:dyDescent="0.25">
      <c r="A10" s="57" t="s">
        <v>62</v>
      </c>
      <c r="B10" s="58">
        <f>B4+B9</f>
        <v>295874.2224000002</v>
      </c>
      <c r="C10" s="58">
        <f>C4+C9</f>
        <v>464350.82080199989</v>
      </c>
    </row>
    <row r="11" spans="1:6" x14ac:dyDescent="0.25">
      <c r="B11" s="26"/>
      <c r="C11" s="26"/>
    </row>
    <row r="12" spans="1:6" x14ac:dyDescent="0.25">
      <c r="B12" s="26"/>
      <c r="C12" s="26"/>
    </row>
    <row r="13" spans="1:6" x14ac:dyDescent="0.25">
      <c r="A13" s="10"/>
      <c r="B13" s="59" t="s">
        <v>52</v>
      </c>
      <c r="C13" s="60">
        <v>2016</v>
      </c>
      <c r="D13" s="38">
        <v>2017</v>
      </c>
    </row>
    <row r="14" spans="1:6" x14ac:dyDescent="0.25">
      <c r="A14" s="61" t="s">
        <v>58</v>
      </c>
      <c r="B14" s="62">
        <f>-B2</f>
        <v>-500838</v>
      </c>
      <c r="C14" s="63">
        <f>B10</f>
        <v>295874.2224000002</v>
      </c>
      <c r="D14" s="63">
        <f>C10</f>
        <v>464350.82080199989</v>
      </c>
    </row>
    <row r="15" spans="1:6" x14ac:dyDescent="0.25">
      <c r="A15" s="61" t="s">
        <v>59</v>
      </c>
      <c r="B15" s="62">
        <f>SUM(B14)</f>
        <v>-500838</v>
      </c>
      <c r="C15" s="62">
        <f>B15+C14</f>
        <v>-204963.7775999998</v>
      </c>
      <c r="D15" s="65">
        <f>C15+D14</f>
        <v>259387.04320200009</v>
      </c>
    </row>
    <row r="16" spans="1:6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-204963.7775999998</v>
      </c>
    </row>
    <row r="22" spans="1:6" x14ac:dyDescent="0.25">
      <c r="A22" s="64">
        <v>2</v>
      </c>
      <c r="B22" s="65">
        <f>D15</f>
        <v>259387.04320200009</v>
      </c>
      <c r="E22" s="26">
        <f>D15</f>
        <v>259387.04320200009</v>
      </c>
      <c r="F22">
        <v>12</v>
      </c>
    </row>
    <row r="23" spans="1:6" x14ac:dyDescent="0.25">
      <c r="A23" s="9" t="s">
        <v>40</v>
      </c>
      <c r="B23" s="66">
        <f>IRR(B20:B22)</f>
        <v>-0.45643919661249133</v>
      </c>
      <c r="E23" s="26">
        <f>-B21</f>
        <v>204963.7775999998</v>
      </c>
      <c r="F23">
        <f>E23*F22/E22</f>
        <v>9.4822212429654318</v>
      </c>
    </row>
    <row r="24" spans="1:6" x14ac:dyDescent="0.25">
      <c r="A24" s="9" t="s">
        <v>39</v>
      </c>
      <c r="B24" s="67">
        <f>NPV(E19,B20:B22)</f>
        <v>-393962.38052430557</v>
      </c>
    </row>
    <row r="25" spans="1:6" x14ac:dyDescent="0.25">
      <c r="A25" s="9" t="s">
        <v>60</v>
      </c>
      <c r="B25" s="6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3" workbookViewId="0">
      <selection activeCell="C25" sqref="C25"/>
    </sheetView>
  </sheetViews>
  <sheetFormatPr baseColWidth="10" defaultRowHeight="15" x14ac:dyDescent="0.25"/>
  <cols>
    <col min="1" max="1" width="28.5703125" bestFit="1" customWidth="1"/>
    <col min="2" max="2" width="15.7109375" bestFit="1" customWidth="1"/>
    <col min="3" max="3" width="14.140625" bestFit="1" customWidth="1"/>
    <col min="4" max="4" width="13.140625" bestFit="1" customWidth="1"/>
    <col min="5" max="5" width="11.5703125" bestFit="1" customWidth="1"/>
    <col min="6" max="6" width="38.85546875" bestFit="1" customWidth="1"/>
  </cols>
  <sheetData>
    <row r="1" spans="1:6" x14ac:dyDescent="0.25">
      <c r="A1" s="43" t="s">
        <v>19</v>
      </c>
      <c r="B1" s="44" t="s">
        <v>55</v>
      </c>
      <c r="C1" s="44" t="s">
        <v>56</v>
      </c>
    </row>
    <row r="2" spans="1:6" x14ac:dyDescent="0.25">
      <c r="A2" s="45" t="s">
        <v>51</v>
      </c>
      <c r="B2" s="51">
        <f>'[2]Inversión Inicial PUM'!$E$31</f>
        <v>500838</v>
      </c>
      <c r="C2" s="51">
        <f>B10</f>
        <v>2968.5246400003671</v>
      </c>
    </row>
    <row r="3" spans="1:6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  <c r="F3" t="s">
        <v>68</v>
      </c>
    </row>
    <row r="4" spans="1:6" x14ac:dyDescent="0.25">
      <c r="A4" s="47" t="s">
        <v>53</v>
      </c>
      <c r="B4" s="53">
        <f>B2+B3</f>
        <v>140000</v>
      </c>
      <c r="C4" s="53">
        <f>C2+C3</f>
        <v>-136331.47535999963</v>
      </c>
    </row>
    <row r="5" spans="1:6" x14ac:dyDescent="0.25">
      <c r="A5" s="48" t="s">
        <v>34</v>
      </c>
      <c r="B5" s="54">
        <f>Ganancias!B2</f>
        <v>4746048</v>
      </c>
      <c r="C5" s="54">
        <f>Ganancias!C2</f>
        <v>11749308</v>
      </c>
    </row>
    <row r="6" spans="1:6" x14ac:dyDescent="0.25">
      <c r="A6" s="46" t="s">
        <v>35</v>
      </c>
      <c r="B6" s="52">
        <f>-(Ganancias!B3+Ganancias!B3*0.1)</f>
        <v>-4956865.6543999994</v>
      </c>
      <c r="C6" s="52">
        <f>-Ganancias!C3</f>
        <v>-9513409.3409200013</v>
      </c>
    </row>
    <row r="7" spans="1:6" x14ac:dyDescent="0.25">
      <c r="A7" s="49" t="s">
        <v>36</v>
      </c>
      <c r="B7" s="55">
        <f>B5+B6</f>
        <v>-210817.65439999942</v>
      </c>
      <c r="C7" s="55">
        <f>C5+C6</f>
        <v>2235898.6590799987</v>
      </c>
    </row>
    <row r="8" spans="1:6" x14ac:dyDescent="0.25">
      <c r="A8" s="46" t="s">
        <v>54</v>
      </c>
      <c r="B8" s="52">
        <f>-35%*B7</f>
        <v>73786.179039999784</v>
      </c>
      <c r="C8" s="52">
        <f>-35%*C7</f>
        <v>-782564.53067799949</v>
      </c>
    </row>
    <row r="9" spans="1:6" x14ac:dyDescent="0.25">
      <c r="A9" s="50" t="s">
        <v>61</v>
      </c>
      <c r="B9" s="56">
        <f>B7+B8</f>
        <v>-137031.47535999963</v>
      </c>
      <c r="C9" s="56">
        <f>C7+C8</f>
        <v>1453334.1284019994</v>
      </c>
    </row>
    <row r="10" spans="1:6" x14ac:dyDescent="0.25">
      <c r="A10" s="57" t="s">
        <v>62</v>
      </c>
      <c r="B10" s="58">
        <f>B4+B9</f>
        <v>2968.5246400003671</v>
      </c>
      <c r="C10" s="58">
        <f>C4+C9</f>
        <v>1317002.6530419998</v>
      </c>
    </row>
    <row r="11" spans="1:6" x14ac:dyDescent="0.25">
      <c r="B11" s="26"/>
      <c r="C11" s="26"/>
    </row>
    <row r="12" spans="1:6" x14ac:dyDescent="0.25">
      <c r="B12" s="26"/>
      <c r="C12" s="26"/>
    </row>
    <row r="13" spans="1:6" x14ac:dyDescent="0.25">
      <c r="A13" s="10"/>
      <c r="B13" s="59" t="s">
        <v>52</v>
      </c>
      <c r="C13" s="60">
        <v>2016</v>
      </c>
      <c r="D13" s="38">
        <v>2017</v>
      </c>
    </row>
    <row r="14" spans="1:6" x14ac:dyDescent="0.25">
      <c r="A14" s="61" t="s">
        <v>58</v>
      </c>
      <c r="B14" s="62">
        <f>-B2</f>
        <v>-500838</v>
      </c>
      <c r="C14" s="63">
        <f>B10</f>
        <v>2968.5246400003671</v>
      </c>
      <c r="D14" s="63">
        <f>C10</f>
        <v>1317002.6530419998</v>
      </c>
    </row>
    <row r="15" spans="1:6" x14ac:dyDescent="0.25">
      <c r="A15" s="61" t="s">
        <v>59</v>
      </c>
      <c r="B15" s="62">
        <f>SUM(B14)</f>
        <v>-500838</v>
      </c>
      <c r="C15" s="62">
        <f>B15+C14</f>
        <v>-497869.47535999963</v>
      </c>
      <c r="D15" s="65">
        <f>C15+D14</f>
        <v>819133.17768200021</v>
      </c>
    </row>
    <row r="16" spans="1:6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-497869.47535999963</v>
      </c>
    </row>
    <row r="22" spans="1:6" x14ac:dyDescent="0.25">
      <c r="A22" s="64">
        <v>2</v>
      </c>
      <c r="B22" s="65">
        <f>D15</f>
        <v>819133.17768200021</v>
      </c>
      <c r="E22" s="26">
        <f>D15</f>
        <v>819133.17768200021</v>
      </c>
      <c r="F22">
        <v>12</v>
      </c>
    </row>
    <row r="23" spans="1:6" x14ac:dyDescent="0.25">
      <c r="A23" s="9" t="s">
        <v>40</v>
      </c>
      <c r="B23" s="66">
        <f>IRR(B20:B22)</f>
        <v>-0.12496849933655285</v>
      </c>
      <c r="E23" s="26">
        <f>-B21</f>
        <v>497869.47535999963</v>
      </c>
      <c r="F23">
        <f>E23*F22/E22</f>
        <v>7.2936048338642196</v>
      </c>
    </row>
    <row r="24" spans="1:6" x14ac:dyDescent="0.25">
      <c r="A24" s="9" t="s">
        <v>39</v>
      </c>
      <c r="B24" s="67">
        <f>NPV(E19,B20:B22)</f>
        <v>-303729.09797855624</v>
      </c>
    </row>
    <row r="25" spans="1:6" x14ac:dyDescent="0.25">
      <c r="A25" s="9" t="s">
        <v>60</v>
      </c>
      <c r="B25" s="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 Ingreso</vt:lpstr>
      <vt:lpstr>Volumenes Ingresos</vt:lpstr>
      <vt:lpstr>Ingresos</vt:lpstr>
      <vt:lpstr>Ganancias</vt:lpstr>
      <vt:lpstr>Modelo Financiero</vt:lpstr>
      <vt:lpstr>Indicadores Financieros</vt:lpstr>
      <vt:lpstr>Escenario riesgo 1</vt:lpstr>
      <vt:lpstr>Escenario de riesgo 2</vt:lpstr>
      <vt:lpstr>Escenario riesgo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Dominguez</dc:creator>
  <cp:lastModifiedBy>Jacobo Dominguez</cp:lastModifiedBy>
  <dcterms:created xsi:type="dcterms:W3CDTF">2015-10-06T00:43:06Z</dcterms:created>
  <dcterms:modified xsi:type="dcterms:W3CDTF">2016-03-13T17:04:39Z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c5645b89-ee88-4d78-af75-896734a87826</vt:lpwstr>
  </property>
</Properties>
</file>