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738" firstSheet="2" activeTab="5"/>
  </bookViews>
  <sheets>
    <sheet name="Costos Fijos" sheetId="1" r:id="rId1"/>
    <sheet name="Costos Variables" sheetId="2" r:id="rId2"/>
    <sheet name="Gastos Resultado" sheetId="9" r:id="rId3"/>
    <sheet name="Costos legales" sheetId="8" r:id="rId4"/>
    <sheet name="Estimacion de pedidos" sheetId="7" r:id="rId5"/>
    <sheet name="Remuneraciones" sheetId="3" r:id="rId6"/>
    <sheet name="Amortizaciones " sheetId="5" r:id="rId7"/>
    <sheet name="Impuestos" sheetId="6" r:id="rId8"/>
  </sheets>
  <externalReferences>
    <externalReference r:id="rId9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D17" i="2" l="1"/>
  <c r="G9" i="8"/>
  <c r="F9" i="8"/>
  <c r="E9" i="8"/>
  <c r="D9" i="8"/>
  <c r="G7" i="8"/>
  <c r="F7" i="8"/>
  <c r="E7" i="8"/>
  <c r="D7" i="8"/>
  <c r="G5" i="8"/>
  <c r="F5" i="8"/>
  <c r="E5" i="8"/>
  <c r="D5" i="8"/>
  <c r="G3" i="8"/>
  <c r="F3" i="8"/>
  <c r="E3" i="8"/>
  <c r="D3" i="8"/>
  <c r="E17" i="2" l="1"/>
  <c r="D15" i="2"/>
  <c r="E3" i="6"/>
  <c r="D3" i="6"/>
  <c r="C14" i="1"/>
  <c r="G12" i="5"/>
  <c r="D12" i="5"/>
  <c r="C9" i="8"/>
  <c r="B9" i="8"/>
  <c r="C7" i="8"/>
  <c r="B7" i="8"/>
  <c r="C5" i="8"/>
  <c r="B5" i="8"/>
  <c r="B3" i="8"/>
  <c r="C3" i="8"/>
  <c r="C20" i="1"/>
  <c r="B20" i="1"/>
  <c r="E11" i="1"/>
  <c r="D11" i="1"/>
  <c r="C11" i="1"/>
  <c r="B11" i="1"/>
  <c r="B5" i="6" l="1"/>
  <c r="B7" i="6" l="1"/>
  <c r="C5" i="6" l="1"/>
  <c r="C7" i="6"/>
  <c r="D5" i="6" l="1"/>
  <c r="E7" i="6" l="1"/>
  <c r="E5" i="6"/>
  <c r="D7" i="6"/>
  <c r="I12" i="5" l="1"/>
  <c r="B13" i="5"/>
  <c r="B12" i="5"/>
  <c r="F4" i="5"/>
  <c r="F5" i="5"/>
  <c r="F6" i="5"/>
  <c r="F7" i="5"/>
  <c r="F8" i="5"/>
  <c r="F9" i="5"/>
  <c r="F10" i="5"/>
  <c r="F11" i="5"/>
  <c r="F2" i="5"/>
  <c r="E12" i="5"/>
  <c r="E4" i="5"/>
  <c r="E5" i="5"/>
  <c r="E6" i="5"/>
  <c r="E7" i="5"/>
  <c r="E8" i="5"/>
  <c r="E9" i="5"/>
  <c r="E10" i="5"/>
  <c r="E11" i="5"/>
  <c r="E2" i="5"/>
  <c r="B17" i="2" l="1"/>
  <c r="C25" i="1"/>
  <c r="B25" i="1"/>
  <c r="E14" i="2" l="1"/>
  <c r="B3" i="5" l="1"/>
  <c r="G3" i="5" s="1"/>
  <c r="H3" i="5" s="1"/>
  <c r="D8" i="1"/>
  <c r="E7" i="1"/>
  <c r="D7" i="1"/>
  <c r="E4" i="2"/>
  <c r="D4" i="2"/>
  <c r="C17" i="2"/>
  <c r="C19" i="1"/>
  <c r="D19" i="1" s="1"/>
  <c r="E19" i="1" s="1"/>
  <c r="D4" i="5"/>
  <c r="D5" i="5"/>
  <c r="G5" i="5" s="1"/>
  <c r="D6" i="5"/>
  <c r="D7" i="5"/>
  <c r="D8" i="5"/>
  <c r="D9" i="5"/>
  <c r="G9" i="5" s="1"/>
  <c r="D10" i="5"/>
  <c r="D11" i="5"/>
  <c r="K18" i="3"/>
  <c r="K19" i="3"/>
  <c r="K20" i="3"/>
  <c r="K21" i="3"/>
  <c r="K22" i="3"/>
  <c r="K23" i="3"/>
  <c r="J18" i="3"/>
  <c r="J19" i="3"/>
  <c r="J20" i="3"/>
  <c r="J21" i="3"/>
  <c r="L21" i="3" s="1"/>
  <c r="J22" i="3"/>
  <c r="L22" i="3" s="1"/>
  <c r="J23" i="3"/>
  <c r="G18" i="3"/>
  <c r="G19" i="3"/>
  <c r="G20" i="3"/>
  <c r="G21" i="3"/>
  <c r="G22" i="3"/>
  <c r="G23" i="3"/>
  <c r="F18" i="3"/>
  <c r="F19" i="3"/>
  <c r="F20" i="3"/>
  <c r="F21" i="3"/>
  <c r="F22" i="3"/>
  <c r="F23" i="3"/>
  <c r="E18" i="3"/>
  <c r="E19" i="3"/>
  <c r="I19" i="3" s="1"/>
  <c r="E20" i="3"/>
  <c r="E21" i="3"/>
  <c r="E22" i="3"/>
  <c r="E23" i="3"/>
  <c r="D18" i="3"/>
  <c r="D19" i="3"/>
  <c r="D20" i="3"/>
  <c r="D21" i="3"/>
  <c r="H21" i="3" s="1"/>
  <c r="D22" i="3"/>
  <c r="H22" i="3" s="1"/>
  <c r="D23" i="3"/>
  <c r="K15" i="3"/>
  <c r="J15" i="3"/>
  <c r="L15" i="3" s="1"/>
  <c r="G15" i="3"/>
  <c r="F15" i="3"/>
  <c r="E15" i="3"/>
  <c r="D15" i="3"/>
  <c r="H15" i="3" s="1"/>
  <c r="K10" i="3"/>
  <c r="K11" i="3"/>
  <c r="K12" i="3"/>
  <c r="J10" i="3"/>
  <c r="L10" i="3" s="1"/>
  <c r="J11" i="3"/>
  <c r="J12" i="3"/>
  <c r="L12" i="3" s="1"/>
  <c r="G10" i="3"/>
  <c r="G11" i="3"/>
  <c r="G12" i="3"/>
  <c r="F10" i="3"/>
  <c r="F11" i="3"/>
  <c r="F12" i="3"/>
  <c r="E10" i="3"/>
  <c r="E11" i="3"/>
  <c r="E12" i="3"/>
  <c r="D10" i="3"/>
  <c r="I10" i="3" s="1"/>
  <c r="D11" i="3"/>
  <c r="D12" i="3"/>
  <c r="K4" i="3"/>
  <c r="J4" i="3"/>
  <c r="K3" i="3"/>
  <c r="J3" i="3"/>
  <c r="G4" i="3"/>
  <c r="G3" i="3"/>
  <c r="F4" i="3"/>
  <c r="F3" i="3"/>
  <c r="E4" i="3"/>
  <c r="I4" i="3" s="1"/>
  <c r="E3" i="3"/>
  <c r="D4" i="3"/>
  <c r="D3" i="3"/>
  <c r="K7" i="3"/>
  <c r="J7" i="3"/>
  <c r="L7" i="3" s="1"/>
  <c r="G7" i="3"/>
  <c r="F7" i="3"/>
  <c r="E7" i="3"/>
  <c r="D7" i="3"/>
  <c r="G8" i="5" l="1"/>
  <c r="H8" i="5" s="1"/>
  <c r="I8" i="5" s="1"/>
  <c r="G7" i="5"/>
  <c r="H7" i="5" s="1"/>
  <c r="I7" i="5" s="1"/>
  <c r="G4" i="5"/>
  <c r="H4" i="5" s="1"/>
  <c r="I4" i="5" s="1"/>
  <c r="G10" i="5"/>
  <c r="H10" i="5" s="1"/>
  <c r="I10" i="5" s="1"/>
  <c r="G6" i="5"/>
  <c r="H6" i="5" s="1"/>
  <c r="I6" i="5" s="1"/>
  <c r="H9" i="5"/>
  <c r="I9" i="5" s="1"/>
  <c r="H5" i="5"/>
  <c r="I5" i="5" s="1"/>
  <c r="G11" i="5"/>
  <c r="H11" i="5" s="1"/>
  <c r="I11" i="5" s="1"/>
  <c r="I3" i="5"/>
  <c r="I20" i="3"/>
  <c r="L20" i="3"/>
  <c r="H18" i="3"/>
  <c r="L18" i="3"/>
  <c r="H7" i="3"/>
  <c r="M10" i="3"/>
  <c r="I21" i="3"/>
  <c r="M21" i="3" s="1"/>
  <c r="I5" i="3"/>
  <c r="L11" i="3"/>
  <c r="I18" i="3"/>
  <c r="M18" i="3" s="1"/>
  <c r="I3" i="3"/>
  <c r="I12" i="3"/>
  <c r="I11" i="3"/>
  <c r="H10" i="3"/>
  <c r="H23" i="3"/>
  <c r="L23" i="3"/>
  <c r="L19" i="3"/>
  <c r="M19" i="3" s="1"/>
  <c r="H11" i="3"/>
  <c r="I22" i="3"/>
  <c r="M22" i="3"/>
  <c r="M23" i="3"/>
  <c r="I23" i="3"/>
  <c r="H20" i="3"/>
  <c r="H19" i="3"/>
  <c r="I15" i="3"/>
  <c r="I16" i="3" s="1"/>
  <c r="M15" i="3"/>
  <c r="M16" i="3" s="1"/>
  <c r="H12" i="3"/>
  <c r="I7" i="3"/>
  <c r="H4" i="3"/>
  <c r="L4" i="3"/>
  <c r="L3" i="3"/>
  <c r="M7" i="3"/>
  <c r="H3" i="3"/>
  <c r="M12" i="3" l="1"/>
  <c r="I13" i="3"/>
  <c r="M11" i="3"/>
  <c r="M20" i="3"/>
  <c r="I24" i="3"/>
  <c r="M3" i="3"/>
  <c r="M4" i="3"/>
  <c r="M24" i="3"/>
  <c r="B5" i="1" s="1"/>
  <c r="M13" i="3"/>
  <c r="B4" i="1" s="1"/>
  <c r="M5" i="3"/>
  <c r="B12" i="1" l="1"/>
  <c r="D2" i="5"/>
  <c r="D10" i="6"/>
  <c r="E10" i="6" s="1"/>
  <c r="C10" i="6"/>
  <c r="D9" i="6"/>
  <c r="E9" i="6" s="1"/>
  <c r="C9" i="6"/>
  <c r="D8" i="6"/>
  <c r="E8" i="6" s="1"/>
  <c r="C8" i="6"/>
  <c r="B3" i="6"/>
  <c r="C3" i="6" s="1"/>
  <c r="B10" i="6"/>
  <c r="B9" i="6"/>
  <c r="B8" i="6"/>
  <c r="F12" i="5" l="1"/>
  <c r="G2" i="5"/>
  <c r="H2" i="5" s="1"/>
  <c r="I2" i="5" s="1"/>
  <c r="M8" i="3"/>
  <c r="I8" i="3"/>
  <c r="I25" i="3" s="1"/>
  <c r="G10" i="8"/>
  <c r="F10" i="8"/>
  <c r="E10" i="8"/>
  <c r="D10" i="8"/>
  <c r="C10" i="8"/>
  <c r="B10" i="8"/>
  <c r="G8" i="8"/>
  <c r="F8" i="8"/>
  <c r="E8" i="8"/>
  <c r="D8" i="8"/>
  <c r="C8" i="8"/>
  <c r="B8" i="8"/>
  <c r="B6" i="8"/>
  <c r="G6" i="8"/>
  <c r="F6" i="8"/>
  <c r="E6" i="8"/>
  <c r="D6" i="8"/>
  <c r="C6" i="8"/>
  <c r="G4" i="8"/>
  <c r="F4" i="8"/>
  <c r="E4" i="8"/>
  <c r="D4" i="8"/>
  <c r="C4" i="8"/>
  <c r="B4" i="8"/>
  <c r="H10" i="8" l="1"/>
  <c r="E10" i="2" s="1"/>
  <c r="E12" i="2" s="1"/>
  <c r="H8" i="8"/>
  <c r="D10" i="2" s="1"/>
  <c r="D12" i="2" s="1"/>
  <c r="H6" i="8"/>
  <c r="C10" i="2" s="1"/>
  <c r="C12" i="2" s="1"/>
  <c r="H4" i="8"/>
  <c r="B10" i="2" s="1"/>
  <c r="B12" i="2" s="1"/>
  <c r="E18" i="1"/>
  <c r="B18" i="1"/>
  <c r="C18" i="1"/>
  <c r="B14" i="1"/>
  <c r="M25" i="3"/>
  <c r="C6" i="2"/>
  <c r="D6" i="2" s="1"/>
  <c r="E6" i="2" s="1"/>
  <c r="B5" i="2"/>
  <c r="B5" i="7"/>
  <c r="E3" i="2"/>
  <c r="C3" i="2"/>
  <c r="C5" i="2" l="1"/>
  <c r="D5" i="2" s="1"/>
  <c r="E5" i="2" s="1"/>
  <c r="E7" i="2" s="1"/>
  <c r="E18" i="2" s="1"/>
  <c r="H12" i="5"/>
  <c r="D18" i="1"/>
  <c r="B6" i="2"/>
  <c r="B7" i="2" s="1"/>
  <c r="B18" i="2" s="1"/>
  <c r="C7" i="2" l="1"/>
  <c r="C18" i="2" s="1"/>
  <c r="B3" i="9" s="1"/>
  <c r="D7" i="2"/>
  <c r="D18" i="2" s="1"/>
  <c r="C3" i="9" s="1"/>
  <c r="C23" i="1"/>
  <c r="B24" i="1"/>
  <c r="C24" i="1" s="1"/>
  <c r="D24" i="1" s="1"/>
  <c r="E24" i="1" s="1"/>
  <c r="C9" i="1"/>
  <c r="D9" i="1" s="1"/>
  <c r="E9" i="1" s="1"/>
  <c r="C3" i="1"/>
  <c r="D3" i="1" s="1"/>
  <c r="E3" i="1" s="1"/>
  <c r="B6" i="1"/>
  <c r="C6" i="1" s="1"/>
  <c r="D6" i="1" s="1"/>
  <c r="E6" i="1" s="1"/>
  <c r="B17" i="1"/>
  <c r="C17" i="1" s="1"/>
  <c r="D17" i="1" s="1"/>
  <c r="E17" i="1" s="1"/>
  <c r="B7" i="1"/>
  <c r="C7" i="1" s="1"/>
  <c r="B15" i="1"/>
  <c r="C15" i="1" s="1"/>
  <c r="D15" i="1" s="1"/>
  <c r="E15" i="1" s="1"/>
  <c r="B8" i="1"/>
  <c r="C8" i="1" s="1"/>
  <c r="E8" i="1" s="1"/>
  <c r="B10" i="1"/>
  <c r="C10" i="1" s="1"/>
  <c r="D10" i="1" s="1"/>
  <c r="E10" i="1" s="1"/>
  <c r="D23" i="1" l="1"/>
  <c r="XFD12" i="3"/>
  <c r="C5" i="1" l="1"/>
  <c r="D25" i="1"/>
  <c r="E23" i="1"/>
  <c r="E25" i="1" s="1"/>
  <c r="D5" i="1" l="1"/>
  <c r="C4" i="1"/>
  <c r="C12" i="1" s="1"/>
  <c r="E5" i="1" l="1"/>
  <c r="D4" i="1"/>
  <c r="D12" i="1" s="1"/>
  <c r="E4" i="1" l="1"/>
  <c r="E12" i="1" s="1"/>
  <c r="D14" i="1"/>
  <c r="D20" i="1" s="1"/>
  <c r="E14" i="1" l="1"/>
  <c r="E20" i="1" s="1"/>
  <c r="B11" i="6" l="1"/>
  <c r="B16" i="1" s="1"/>
  <c r="B21" i="1" s="1"/>
  <c r="B26" i="1" s="1"/>
  <c r="C11" i="6" l="1"/>
  <c r="C16" i="1" s="1"/>
  <c r="C21" i="1" s="1"/>
  <c r="C26" i="1" s="1"/>
  <c r="B2" i="9" l="1"/>
  <c r="B4" i="9" s="1"/>
  <c r="E11" i="6" l="1"/>
  <c r="E16" i="1" s="1"/>
  <c r="E21" i="1" s="1"/>
  <c r="E26" i="1" s="1"/>
  <c r="D11" i="6"/>
  <c r="D16" i="1" l="1"/>
  <c r="D21" i="1" s="1"/>
  <c r="D26" i="1" s="1"/>
  <c r="F11" i="6"/>
  <c r="C2" i="9" l="1"/>
  <c r="C4" i="9" s="1"/>
  <c r="G26" i="1"/>
</calcChain>
</file>

<file path=xl/sharedStrings.xml><?xml version="1.0" encoding="utf-8"?>
<sst xmlns="http://schemas.openxmlformats.org/spreadsheetml/2006/main" count="179" uniqueCount="133">
  <si>
    <t>Hosting</t>
  </si>
  <si>
    <t>Plan de internet</t>
  </si>
  <si>
    <t>Luz</t>
  </si>
  <si>
    <t>Diseño</t>
  </si>
  <si>
    <t>Combustible</t>
  </si>
  <si>
    <t>Patente</t>
  </si>
  <si>
    <t>Github privado</t>
  </si>
  <si>
    <t>Viaticos</t>
  </si>
  <si>
    <t>Insumos (Tonner, tickets, papel)</t>
  </si>
  <si>
    <t>Costos de Producción</t>
  </si>
  <si>
    <t>Costo de producción</t>
  </si>
  <si>
    <t>Costos Administrativos</t>
  </si>
  <si>
    <t>Costos Comercialización y ventas</t>
  </si>
  <si>
    <t>Fiesta de celebración</t>
  </si>
  <si>
    <t>Descripción</t>
  </si>
  <si>
    <t>Semestre 1 - 2016</t>
  </si>
  <si>
    <t>Semestre 1 - 2017</t>
  </si>
  <si>
    <t>Semestre 2 - 2016</t>
  </si>
  <si>
    <t>Semestre 2 - 2017</t>
  </si>
  <si>
    <t>Cotización Dolar</t>
  </si>
  <si>
    <t>Puesto</t>
  </si>
  <si>
    <t>Salario Neto</t>
  </si>
  <si>
    <t>Subsistema Entrepeneur</t>
  </si>
  <si>
    <t>Subsistema Gerencial</t>
  </si>
  <si>
    <t>Equipo de Desarrollo</t>
  </si>
  <si>
    <t>Lider de Desarrollo</t>
  </si>
  <si>
    <t>Front-End</t>
  </si>
  <si>
    <t>Back-End</t>
  </si>
  <si>
    <t>Equipo de Marketing</t>
  </si>
  <si>
    <t>Lider de Marketing</t>
  </si>
  <si>
    <t>Equipo de Logística</t>
  </si>
  <si>
    <t>Lider de Logística</t>
  </si>
  <si>
    <t>Cadete 1</t>
  </si>
  <si>
    <t>Cadete 2</t>
  </si>
  <si>
    <t>Cadete 3</t>
  </si>
  <si>
    <t>Cadete 4</t>
  </si>
  <si>
    <t>Cadete 5</t>
  </si>
  <si>
    <t>TOTAL</t>
  </si>
  <si>
    <t>SUBTOTAL</t>
  </si>
  <si>
    <t>Aporte Obra Social</t>
  </si>
  <si>
    <t>Cuota Sindical</t>
  </si>
  <si>
    <t>Adicionales *</t>
  </si>
  <si>
    <t xml:space="preserve">* Corresponde a los extras asignados por los diferentes sindicatos, colegios, uniones etc </t>
  </si>
  <si>
    <t>Alquiler</t>
  </si>
  <si>
    <t xml:space="preserve">Teléfono </t>
  </si>
  <si>
    <t>Recepcionista</t>
  </si>
  <si>
    <t>Salario Bruto</t>
  </si>
  <si>
    <t>Inflación (Por semestre)</t>
  </si>
  <si>
    <t>Valor Actual</t>
  </si>
  <si>
    <t>Bien</t>
  </si>
  <si>
    <t>Concepto</t>
  </si>
  <si>
    <t>Taller</t>
  </si>
  <si>
    <t>Publicidad AudioVisual</t>
  </si>
  <si>
    <t>Folleteria General</t>
  </si>
  <si>
    <t>EcoGift</t>
  </si>
  <si>
    <t>Asesoría Contable</t>
  </si>
  <si>
    <t>Inflación</t>
  </si>
  <si>
    <t>Consumo por km</t>
  </si>
  <si>
    <t>Precio de combustible</t>
  </si>
  <si>
    <t>Periodo</t>
  </si>
  <si>
    <t>% estimado de pedidos</t>
  </si>
  <si>
    <t>Estimado estandar de pedidos por semestre año 1</t>
  </si>
  <si>
    <t>Estimado estandar de pedidos por semestre año 2</t>
  </si>
  <si>
    <t>Medidas estimadas</t>
  </si>
  <si>
    <t>Porcentajes estimados</t>
  </si>
  <si>
    <t>Estimado Km por pedido en promedio</t>
  </si>
  <si>
    <t>Asesoría Legal</t>
  </si>
  <si>
    <t xml:space="preserve">Asesoría legal </t>
  </si>
  <si>
    <t>JUS</t>
  </si>
  <si>
    <t>Calculo asesoría legal</t>
  </si>
  <si>
    <t>Semestre 1 -2016</t>
  </si>
  <si>
    <t>Semestre 2 -2016</t>
  </si>
  <si>
    <t>Semestre 1 -2017</t>
  </si>
  <si>
    <t>Semestre 2 -2017</t>
  </si>
  <si>
    <t>Estandar</t>
  </si>
  <si>
    <t xml:space="preserve">Premiun </t>
  </si>
  <si>
    <t>Home semanal</t>
  </si>
  <si>
    <t>Home mensual</t>
  </si>
  <si>
    <t xml:space="preserve">E-mail semanal </t>
  </si>
  <si>
    <t>E-mail Mensual</t>
  </si>
  <si>
    <t>Costo de asesoría legal=</t>
  </si>
  <si>
    <t>Valor asesoría</t>
  </si>
  <si>
    <t>Seguros motos</t>
  </si>
  <si>
    <t>Salario (Desarrollo,Marketing) *</t>
  </si>
  <si>
    <t>Impuestos Nacionales</t>
  </si>
  <si>
    <t>Impuesto al valor agregado</t>
  </si>
  <si>
    <t>Impuestos Provinciales</t>
  </si>
  <si>
    <t>IIBB</t>
  </si>
  <si>
    <t>Impuestos Municipales</t>
  </si>
  <si>
    <t>Tasa de Seguridad e Higiene</t>
  </si>
  <si>
    <t>Publicidad y Propaganda</t>
  </si>
  <si>
    <t>AB*</t>
  </si>
  <si>
    <t>SS*</t>
  </si>
  <si>
    <t>*valor mensual</t>
  </si>
  <si>
    <t>Gastos de representación (invitaciones, Agasajos)</t>
  </si>
  <si>
    <t>Impuestos</t>
  </si>
  <si>
    <t>Ley 19032</t>
  </si>
  <si>
    <t>Aporte SEG social</t>
  </si>
  <si>
    <t>Contribuciones Empleador</t>
  </si>
  <si>
    <t>ART</t>
  </si>
  <si>
    <t>COSTO TOTAL</t>
  </si>
  <si>
    <t>Subtotal Leyes Contribuciones</t>
  </si>
  <si>
    <t>Subtotal Aportes</t>
  </si>
  <si>
    <t>Amortizaciones</t>
  </si>
  <si>
    <t>Vida Útil (años)</t>
  </si>
  <si>
    <t>Computadoras</t>
  </si>
  <si>
    <t>Amortización año 2016</t>
  </si>
  <si>
    <t>Amortizacion año 2017</t>
  </si>
  <si>
    <t>Monitores</t>
  </si>
  <si>
    <t>Impresoras</t>
  </si>
  <si>
    <t>Router</t>
  </si>
  <si>
    <t>Muebles</t>
  </si>
  <si>
    <t>Televisor</t>
  </si>
  <si>
    <t>UPS</t>
  </si>
  <si>
    <t>Grupo Electrógeno</t>
  </si>
  <si>
    <t>Amort. Azumulada</t>
  </si>
  <si>
    <t>*incluye leyes sociales, ART.</t>
  </si>
  <si>
    <t>Salario (Cadetes)*</t>
  </si>
  <si>
    <t>Subtotal</t>
  </si>
  <si>
    <t>Aguinaldos</t>
  </si>
  <si>
    <t>Año 1</t>
  </si>
  <si>
    <t>Año 2</t>
  </si>
  <si>
    <t>Costos Fijos</t>
  </si>
  <si>
    <t>Costos Variables</t>
  </si>
  <si>
    <t>Motos primer año</t>
  </si>
  <si>
    <t>Motos segundo año</t>
  </si>
  <si>
    <t>Salario(Entrepeneur, Admin,Lider Logistica)*</t>
  </si>
  <si>
    <t>Valor Residual 2016</t>
  </si>
  <si>
    <t>Valor Residual 2017</t>
  </si>
  <si>
    <t>Total 2016</t>
  </si>
  <si>
    <t>Total 2017</t>
  </si>
  <si>
    <t>Maratón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</si>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</sst>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2C0A]\ #,##0.00"/>
    <numFmt numFmtId="165" formatCode="[$$-2C0A]#,##0.00"/>
    <numFmt numFmtId="166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164" fontId="0" fillId="7" borderId="1" xfId="0" applyNumberFormat="1" applyFill="1" applyBorder="1"/>
    <xf numFmtId="0" fontId="0" fillId="7" borderId="0" xfId="0" applyFill="1"/>
    <xf numFmtId="164" fontId="0" fillId="7" borderId="0" xfId="0" applyNumberFormat="1" applyFill="1"/>
    <xf numFmtId="164" fontId="0" fillId="6" borderId="1" xfId="0" applyNumberFormat="1" applyFill="1" applyBorder="1"/>
    <xf numFmtId="0" fontId="0" fillId="6" borderId="0" xfId="0" applyFill="1"/>
    <xf numFmtId="0" fontId="0" fillId="6" borderId="2" xfId="0" applyFill="1" applyBorder="1"/>
    <xf numFmtId="164" fontId="0" fillId="4" borderId="1" xfId="0" applyNumberFormat="1" applyFill="1" applyBorder="1"/>
    <xf numFmtId="0" fontId="0" fillId="3" borderId="0" xfId="0" applyFill="1" applyBorder="1"/>
    <xf numFmtId="0" fontId="0" fillId="2" borderId="0" xfId="0" applyFill="1" applyBorder="1"/>
    <xf numFmtId="9" fontId="0" fillId="2" borderId="0" xfId="0" applyNumberFormat="1" applyFill="1"/>
    <xf numFmtId="0" fontId="0" fillId="8" borderId="1" xfId="0" applyFill="1" applyBorder="1"/>
    <xf numFmtId="0" fontId="0" fillId="9" borderId="0" xfId="0" applyFill="1"/>
    <xf numFmtId="0" fontId="2" fillId="9" borderId="0" xfId="0" applyFont="1" applyFill="1"/>
    <xf numFmtId="0" fontId="0" fillId="10" borderId="0" xfId="0" applyFill="1"/>
    <xf numFmtId="0" fontId="2" fillId="10" borderId="0" xfId="0" applyFont="1" applyFill="1"/>
    <xf numFmtId="164" fontId="2" fillId="10" borderId="0" xfId="0" applyNumberFormat="1" applyFont="1" applyFill="1"/>
    <xf numFmtId="0" fontId="2" fillId="9" borderId="0" xfId="0" applyFont="1" applyFill="1" applyBorder="1"/>
    <xf numFmtId="164" fontId="2" fillId="9" borderId="0" xfId="0" applyNumberFormat="1" applyFont="1" applyFill="1" applyBorder="1"/>
    <xf numFmtId="0" fontId="2" fillId="10" borderId="0" xfId="0" applyFont="1" applyFill="1" applyBorder="1"/>
    <xf numFmtId="164" fontId="2" fillId="10" borderId="0" xfId="0" applyNumberFormat="1" applyFont="1" applyFill="1" applyBorder="1"/>
    <xf numFmtId="0" fontId="0" fillId="4" borderId="4" xfId="0" applyFill="1" applyBorder="1"/>
    <xf numFmtId="164" fontId="0" fillId="2" borderId="4" xfId="0" applyNumberFormat="1" applyFill="1" applyBorder="1"/>
    <xf numFmtId="0" fontId="0" fillId="4" borderId="0" xfId="0" applyFill="1" applyBorder="1"/>
    <xf numFmtId="0" fontId="1" fillId="2" borderId="0" xfId="0" applyFont="1" applyFill="1" applyBorder="1"/>
    <xf numFmtId="164" fontId="0" fillId="5" borderId="0" xfId="0" applyNumberFormat="1" applyFill="1" applyBorder="1"/>
    <xf numFmtId="164" fontId="0" fillId="7" borderId="0" xfId="0" applyNumberFormat="1" applyFill="1" applyBorder="1"/>
    <xf numFmtId="0" fontId="0" fillId="3" borderId="0" xfId="0" applyFill="1" applyBorder="1" applyAlignment="1">
      <alignment wrapText="1"/>
    </xf>
    <xf numFmtId="164" fontId="0" fillId="2" borderId="0" xfId="0" applyNumberFormat="1" applyFill="1" applyBorder="1"/>
    <xf numFmtId="164" fontId="0" fillId="0" borderId="0" xfId="0" applyNumberFormat="1"/>
    <xf numFmtId="165" fontId="0" fillId="5" borderId="1" xfId="0" applyNumberFormat="1" applyFill="1" applyBorder="1"/>
    <xf numFmtId="165" fontId="0" fillId="7" borderId="1" xfId="0" applyNumberFormat="1" applyFill="1" applyBorder="1"/>
    <xf numFmtId="165" fontId="0" fillId="2" borderId="1" xfId="0" applyNumberFormat="1" applyFill="1" applyBorder="1"/>
    <xf numFmtId="0" fontId="0" fillId="11" borderId="0" xfId="0" applyFill="1"/>
    <xf numFmtId="166" fontId="0" fillId="11" borderId="0" xfId="0" applyNumberFormat="1" applyFill="1"/>
    <xf numFmtId="9" fontId="0" fillId="11" borderId="0" xfId="0" applyNumberFormat="1" applyFill="1"/>
    <xf numFmtId="0" fontId="0" fillId="12" borderId="0" xfId="0" applyFill="1"/>
    <xf numFmtId="0" fontId="0" fillId="13" borderId="0" xfId="0" applyFill="1"/>
    <xf numFmtId="166" fontId="0" fillId="8" borderId="1" xfId="0" applyNumberFormat="1" applyFill="1" applyBorder="1"/>
    <xf numFmtId="166" fontId="0" fillId="2" borderId="1" xfId="0" applyNumberFormat="1" applyFill="1" applyBorder="1"/>
    <xf numFmtId="166" fontId="0" fillId="0" borderId="0" xfId="0" applyNumberFormat="1"/>
    <xf numFmtId="0" fontId="0" fillId="4" borderId="5" xfId="0" applyFill="1" applyBorder="1"/>
    <xf numFmtId="166" fontId="0" fillId="4" borderId="0" xfId="0" applyNumberFormat="1" applyFill="1"/>
    <xf numFmtId="164" fontId="0" fillId="15" borderId="1" xfId="0" applyNumberFormat="1" applyFill="1" applyBorder="1"/>
    <xf numFmtId="166" fontId="0" fillId="14" borderId="1" xfId="0" applyNumberFormat="1" applyFill="1" applyBorder="1"/>
    <xf numFmtId="0" fontId="0" fillId="4" borderId="3" xfId="0" applyFill="1" applyBorder="1"/>
    <xf numFmtId="0" fontId="0" fillId="2" borderId="3" xfId="0" applyFill="1" applyBorder="1"/>
    <xf numFmtId="164" fontId="0" fillId="7" borderId="3" xfId="0" applyNumberFormat="1" applyFill="1" applyBorder="1"/>
    <xf numFmtId="164" fontId="0" fillId="6" borderId="3" xfId="0" applyNumberFormat="1" applyFill="1" applyBorder="1"/>
    <xf numFmtId="0" fontId="0" fillId="6" borderId="6" xfId="0" applyFill="1" applyBorder="1"/>
    <xf numFmtId="0" fontId="0" fillId="0" borderId="1" xfId="0" applyBorder="1"/>
    <xf numFmtId="166" fontId="0" fillId="18" borderId="1" xfId="0" applyNumberFormat="1" applyFill="1" applyBorder="1"/>
    <xf numFmtId="165" fontId="0" fillId="15" borderId="1" xfId="0" applyNumberFormat="1" applyFill="1" applyBorder="1"/>
    <xf numFmtId="0" fontId="0" fillId="21" borderId="1" xfId="0" applyFill="1" applyBorder="1"/>
    <xf numFmtId="164" fontId="0" fillId="22" borderId="1" xfId="0" applyNumberFormat="1" applyFill="1" applyBorder="1"/>
    <xf numFmtId="165" fontId="0" fillId="22" borderId="1" xfId="0" applyNumberFormat="1" applyFill="1" applyBorder="1"/>
    <xf numFmtId="0" fontId="0" fillId="4" borderId="3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5" borderId="1" xfId="0" applyFill="1" applyBorder="1" applyAlignment="1">
      <alignment horizontal="center" vertical="center" wrapText="1"/>
    </xf>
    <xf numFmtId="0" fontId="0" fillId="22" borderId="1" xfId="0" applyFill="1" applyBorder="1" applyAlignment="1">
      <alignment horizontal="center" vertical="center" wrapText="1"/>
    </xf>
    <xf numFmtId="165" fontId="0" fillId="6" borderId="1" xfId="0" applyNumberFormat="1" applyFill="1" applyBorder="1"/>
    <xf numFmtId="165" fontId="0" fillId="4" borderId="1" xfId="0" applyNumberFormat="1" applyFill="1" applyBorder="1"/>
    <xf numFmtId="164" fontId="0" fillId="5" borderId="1" xfId="0" applyNumberFormat="1" applyFill="1" applyBorder="1"/>
    <xf numFmtId="9" fontId="1" fillId="2" borderId="1" xfId="0" applyNumberFormat="1" applyFont="1" applyFill="1" applyBorder="1"/>
    <xf numFmtId="164" fontId="1" fillId="2" borderId="1" xfId="0" applyNumberFormat="1" applyFont="1" applyFill="1" applyBorder="1"/>
    <xf numFmtId="0" fontId="0" fillId="13" borderId="1" xfId="0" applyFill="1" applyBorder="1"/>
    <xf numFmtId="166" fontId="0" fillId="17" borderId="1" xfId="0" applyNumberFormat="1" applyFill="1" applyBorder="1"/>
    <xf numFmtId="166" fontId="0" fillId="4" borderId="1" xfId="0" applyNumberFormat="1" applyFill="1" applyBorder="1"/>
    <xf numFmtId="0" fontId="1" fillId="20" borderId="1" xfId="0" applyFont="1" applyFill="1" applyBorder="1"/>
    <xf numFmtId="0" fontId="0" fillId="23" borderId="1" xfId="0" applyFill="1" applyBorder="1"/>
    <xf numFmtId="165" fontId="0" fillId="23" borderId="1" xfId="0" applyNumberFormat="1" applyFill="1" applyBorder="1"/>
    <xf numFmtId="9" fontId="0" fillId="7" borderId="1" xfId="0" applyNumberFormat="1" applyFill="1" applyBorder="1"/>
    <xf numFmtId="164" fontId="0" fillId="0" borderId="1" xfId="0" applyNumberFormat="1" applyBorder="1"/>
    <xf numFmtId="164" fontId="0" fillId="12" borderId="1" xfId="0" applyNumberFormat="1" applyFill="1" applyBorder="1"/>
    <xf numFmtId="166" fontId="0" fillId="19" borderId="1" xfId="0" applyNumberFormat="1" applyFill="1" applyBorder="1"/>
    <xf numFmtId="0" fontId="0" fillId="2" borderId="0" xfId="0" applyFill="1" applyAlignment="1">
      <alignment horizontal="center" vertical="center"/>
    </xf>
    <xf numFmtId="0" fontId="0" fillId="7" borderId="0" xfId="0" applyFill="1" applyBorder="1" applyAlignment="1">
      <alignment wrapText="1"/>
    </xf>
    <xf numFmtId="0" fontId="0" fillId="0" borderId="0" xfId="0" applyAlignment="1">
      <alignment wrapText="1"/>
    </xf>
    <xf numFmtId="0" fontId="3" fillId="4" borderId="1" xfId="0" applyFont="1" applyFill="1" applyBorder="1"/>
    <xf numFmtId="0" fontId="3" fillId="4" borderId="5" xfId="0" applyFont="1" applyFill="1" applyBorder="1"/>
    <xf numFmtId="0" fontId="3" fillId="13" borderId="1" xfId="0" applyFont="1" applyFill="1" applyBorder="1"/>
    <xf numFmtId="166" fontId="3" fillId="13" borderId="1" xfId="0" applyNumberFormat="1" applyFont="1" applyFill="1" applyBorder="1"/>
    <xf numFmtId="166" fontId="3" fillId="17" borderId="1" xfId="0" applyNumberFormat="1" applyFont="1" applyFill="1" applyBorder="1"/>
    <xf numFmtId="166" fontId="3" fillId="11" borderId="1" xfId="0" applyNumberFormat="1" applyFont="1" applyFill="1" applyBorder="1"/>
    <xf numFmtId="166" fontId="3" fillId="16" borderId="1" xfId="0" applyNumberFormat="1" applyFont="1" applyFill="1" applyBorder="1"/>
    <xf numFmtId="166" fontId="3" fillId="4" borderId="1" xfId="0" applyNumberFormat="1" applyFont="1" applyFill="1" applyBorder="1"/>
    <xf numFmtId="0" fontId="3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os\SAP-TFI%202015\sap-tfi-documentation\SAP%20-%20NEGOCIO\Temporal\Plan%20ECO%20FINAN\Borrador%20Ingres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po Ingreso"/>
      <sheetName val="Volumenes Ingresos"/>
      <sheetName val="Ingresos"/>
      <sheetName val="Ganancias"/>
      <sheetName val="Modelo Financiero"/>
      <sheetName val="Indicadores Financieros"/>
    </sheetNames>
    <sheetDataSet>
      <sheetData sheetId="0">
        <row r="3">
          <cell r="B3">
            <v>16000</v>
          </cell>
          <cell r="C3">
            <v>19520</v>
          </cell>
          <cell r="D3">
            <v>23040</v>
          </cell>
          <cell r="E3">
            <v>26560</v>
          </cell>
        </row>
        <row r="4">
          <cell r="B4">
            <v>19700</v>
          </cell>
          <cell r="C4">
            <v>24034</v>
          </cell>
          <cell r="D4">
            <v>28368</v>
          </cell>
          <cell r="E4">
            <v>32702</v>
          </cell>
        </row>
        <row r="6">
          <cell r="B6">
            <v>2000</v>
          </cell>
          <cell r="C6">
            <v>2440</v>
          </cell>
          <cell r="D6">
            <v>2880</v>
          </cell>
          <cell r="E6">
            <v>3320</v>
          </cell>
        </row>
        <row r="7">
          <cell r="B7">
            <v>7500</v>
          </cell>
          <cell r="C7">
            <v>9150</v>
          </cell>
          <cell r="D7">
            <v>10800</v>
          </cell>
          <cell r="E7">
            <v>12450</v>
          </cell>
        </row>
        <row r="8">
          <cell r="B8">
            <v>1000</v>
          </cell>
          <cell r="C8">
            <v>1220</v>
          </cell>
          <cell r="D8">
            <v>1440</v>
          </cell>
          <cell r="E8">
            <v>1660</v>
          </cell>
        </row>
        <row r="9">
          <cell r="B9">
            <v>3300</v>
          </cell>
          <cell r="C9">
            <v>4026</v>
          </cell>
          <cell r="D9">
            <v>4752</v>
          </cell>
          <cell r="E9">
            <v>5478</v>
          </cell>
        </row>
      </sheetData>
      <sheetData sheetId="1">
        <row r="4">
          <cell r="B4">
            <v>13</v>
          </cell>
          <cell r="C4">
            <v>2</v>
          </cell>
          <cell r="E4">
            <v>4</v>
          </cell>
          <cell r="F4">
            <v>4</v>
          </cell>
          <cell r="G4">
            <v>5</v>
          </cell>
          <cell r="H4">
            <v>5</v>
          </cell>
        </row>
        <row r="5">
          <cell r="B5">
            <v>11</v>
          </cell>
          <cell r="C5">
            <v>4</v>
          </cell>
          <cell r="E5">
            <v>5</v>
          </cell>
          <cell r="F5">
            <v>7</v>
          </cell>
          <cell r="G5">
            <v>5</v>
          </cell>
          <cell r="H5">
            <v>7</v>
          </cell>
        </row>
        <row r="6">
          <cell r="B6">
            <v>23</v>
          </cell>
          <cell r="C6">
            <v>7</v>
          </cell>
          <cell r="E6">
            <v>6</v>
          </cell>
          <cell r="F6">
            <v>5</v>
          </cell>
          <cell r="G6">
            <v>5</v>
          </cell>
          <cell r="H6">
            <v>8</v>
          </cell>
        </row>
        <row r="7">
          <cell r="B7">
            <v>21</v>
          </cell>
          <cell r="C7">
            <v>9</v>
          </cell>
          <cell r="E7">
            <v>5</v>
          </cell>
          <cell r="F7">
            <v>3</v>
          </cell>
          <cell r="G7">
            <v>6</v>
          </cell>
          <cell r="H7">
            <v>9</v>
          </cell>
        </row>
      </sheetData>
      <sheetData sheetId="2">
        <row r="3">
          <cell r="F3">
            <v>1866360</v>
          </cell>
          <cell r="H3">
            <v>311060</v>
          </cell>
        </row>
        <row r="4">
          <cell r="F4">
            <v>2879688</v>
          </cell>
          <cell r="H4">
            <v>479948</v>
          </cell>
        </row>
        <row r="5">
          <cell r="F5">
            <v>5622912</v>
          </cell>
          <cell r="H5">
            <v>937152</v>
          </cell>
        </row>
        <row r="6">
          <cell r="F6">
            <v>6126396</v>
          </cell>
          <cell r="H6">
            <v>1021066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pane ySplit="1" topLeftCell="A9" activePane="bottomLeft" state="frozen"/>
      <selection pane="bottomLeft" sqref="A1:E26"/>
    </sheetView>
  </sheetViews>
  <sheetFormatPr baseColWidth="10" defaultColWidth="9.140625" defaultRowHeight="15" x14ac:dyDescent="0.25"/>
  <cols>
    <col min="1" max="1" width="24.140625" customWidth="1"/>
    <col min="2" max="5" width="16.5703125" bestFit="1" customWidth="1"/>
    <col min="6" max="6" width="15.28515625" bestFit="1" customWidth="1"/>
    <col min="7" max="7" width="22.5703125" bestFit="1" customWidth="1"/>
    <col min="15" max="15" width="10" customWidth="1"/>
  </cols>
  <sheetData>
    <row r="1" spans="1:19" x14ac:dyDescent="0.25">
      <c r="A1" s="33" t="s">
        <v>14</v>
      </c>
      <c r="B1" s="33" t="s">
        <v>15</v>
      </c>
      <c r="C1" s="33" t="s">
        <v>17</v>
      </c>
      <c r="D1" s="33" t="s">
        <v>16</v>
      </c>
      <c r="E1" s="33" t="s">
        <v>18</v>
      </c>
      <c r="F1" s="31" t="s">
        <v>19</v>
      </c>
      <c r="G1" s="4" t="s">
        <v>47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2" customFormat="1" x14ac:dyDescent="0.25">
      <c r="A2" s="34" t="s">
        <v>9</v>
      </c>
      <c r="B2" s="19"/>
      <c r="C2" s="19"/>
      <c r="D2" s="19"/>
      <c r="E2" s="19"/>
      <c r="F2" s="32">
        <v>14.79</v>
      </c>
      <c r="G2" s="20">
        <v>0.2</v>
      </c>
    </row>
    <row r="3" spans="1:19" s="3" customFormat="1" x14ac:dyDescent="0.25">
      <c r="A3" s="18" t="s">
        <v>1</v>
      </c>
      <c r="B3" s="35">
        <v>5088</v>
      </c>
      <c r="C3" s="35">
        <f>B3+(B3*G2)</f>
        <v>6105.6</v>
      </c>
      <c r="D3" s="36">
        <f>C3+(B3*G2)</f>
        <v>7123.2000000000007</v>
      </c>
      <c r="E3" s="36">
        <f>D3+(B3*G2)</f>
        <v>8140.8000000000011</v>
      </c>
    </row>
    <row r="4" spans="1:19" s="3" customFormat="1" x14ac:dyDescent="0.25">
      <c r="A4" s="18" t="s">
        <v>83</v>
      </c>
      <c r="B4" s="35">
        <f>SUM(Remuneraciones!M13,Remuneraciones!M16)*6</f>
        <v>541104</v>
      </c>
      <c r="C4" s="35">
        <f>B4+$B$4*$G$2</f>
        <v>649324.80000000005</v>
      </c>
      <c r="D4" s="36">
        <f t="shared" ref="D4:E4" si="0">C4+$B$4*$G$2</f>
        <v>757545.60000000009</v>
      </c>
      <c r="E4" s="36">
        <f t="shared" si="0"/>
        <v>865766.40000000014</v>
      </c>
    </row>
    <row r="5" spans="1:19" s="3" customFormat="1" x14ac:dyDescent="0.25">
      <c r="A5" s="18" t="s">
        <v>117</v>
      </c>
      <c r="B5" s="35">
        <f>SUM(Remuneraciones!M24-Remuneraciones!M18)*6</f>
        <v>294600</v>
      </c>
      <c r="C5" s="35">
        <f>B5+B5*G2</f>
        <v>353520</v>
      </c>
      <c r="D5" s="36">
        <f>C5*2+C5*2*G2</f>
        <v>848448</v>
      </c>
      <c r="E5" s="36">
        <f>D5+D5*G2</f>
        <v>1018137.6</v>
      </c>
    </row>
    <row r="6" spans="1:19" s="3" customFormat="1" x14ac:dyDescent="0.25">
      <c r="A6" s="18" t="s">
        <v>2</v>
      </c>
      <c r="B6" s="35">
        <f>770*6</f>
        <v>4620</v>
      </c>
      <c r="C6" s="35">
        <f>B6+B6*G2</f>
        <v>5544</v>
      </c>
      <c r="D6" s="36">
        <f>C6+$B$6*$G$2</f>
        <v>6468</v>
      </c>
      <c r="E6" s="36">
        <f>D6+$B$6*$G$2</f>
        <v>7392</v>
      </c>
    </row>
    <row r="7" spans="1:19" s="3" customFormat="1" x14ac:dyDescent="0.25">
      <c r="A7" s="18" t="s">
        <v>82</v>
      </c>
      <c r="B7" s="35">
        <f>(900*5*6)</f>
        <v>27000</v>
      </c>
      <c r="C7" s="35">
        <f>B7+$B$7*$G$2</f>
        <v>32400</v>
      </c>
      <c r="D7" s="36">
        <f>C7*2+$B$7*2*$G$2</f>
        <v>75600</v>
      </c>
      <c r="E7" s="36">
        <f>D7+$B$7*2*$G$2</f>
        <v>86400</v>
      </c>
    </row>
    <row r="8" spans="1:19" s="3" customFormat="1" x14ac:dyDescent="0.25">
      <c r="A8" s="18" t="s">
        <v>5</v>
      </c>
      <c r="B8" s="35">
        <f>300*5*6</f>
        <v>9000</v>
      </c>
      <c r="C8" s="35">
        <f>B8+$B$8*$G$2</f>
        <v>10800</v>
      </c>
      <c r="D8" s="36">
        <f>C8*2+$B$8*2*$G$2</f>
        <v>25200</v>
      </c>
      <c r="E8" s="36">
        <f>D8+$B$8*$G$2</f>
        <v>27000</v>
      </c>
    </row>
    <row r="9" spans="1:19" s="3" customFormat="1" x14ac:dyDescent="0.25">
      <c r="A9" s="18" t="s">
        <v>0</v>
      </c>
      <c r="B9" s="35">
        <v>972</v>
      </c>
      <c r="C9" s="35">
        <f>B9+$B$9*$G$2</f>
        <v>1166.4000000000001</v>
      </c>
      <c r="D9" s="36">
        <f t="shared" ref="D9:E9" si="1">C9+$B$9*$G$2</f>
        <v>1360.8000000000002</v>
      </c>
      <c r="E9" s="36">
        <f t="shared" si="1"/>
        <v>1555.2000000000003</v>
      </c>
    </row>
    <row r="10" spans="1:19" s="3" customFormat="1" x14ac:dyDescent="0.25">
      <c r="A10" s="18" t="s">
        <v>6</v>
      </c>
      <c r="B10" s="35">
        <f>(25*F2)*6</f>
        <v>2218.5</v>
      </c>
      <c r="C10" s="35">
        <f>B10+$B$10*$G$2</f>
        <v>2662.2</v>
      </c>
      <c r="D10" s="36">
        <f t="shared" ref="D10:E10" si="2">C10+$B$10*$G$2</f>
        <v>3105.8999999999996</v>
      </c>
      <c r="E10" s="36">
        <f t="shared" si="2"/>
        <v>3549.5999999999995</v>
      </c>
    </row>
    <row r="11" spans="1:19" s="3" customFormat="1" x14ac:dyDescent="0.25">
      <c r="A11" s="18" t="s">
        <v>119</v>
      </c>
      <c r="B11" s="35">
        <f>(SUM(B4:B5)/6)/2</f>
        <v>69642</v>
      </c>
      <c r="C11" s="35">
        <f>(SUM(C4:C5)/6)/2</f>
        <v>83570.400000000009</v>
      </c>
      <c r="D11" s="36">
        <f>(SUM(D4:D5)/6)/2</f>
        <v>133832.80000000002</v>
      </c>
      <c r="E11" s="36">
        <f>(SUM(E4:E5)/6)/2</f>
        <v>156992</v>
      </c>
    </row>
    <row r="12" spans="1:19" s="23" customFormat="1" x14ac:dyDescent="0.25">
      <c r="A12" s="27" t="s">
        <v>38</v>
      </c>
      <c r="B12" s="28">
        <f>SUM(B3:B10)</f>
        <v>884602.5</v>
      </c>
      <c r="C12" s="28">
        <f>SUM(C3:C10)</f>
        <v>1061522.9999999998</v>
      </c>
      <c r="D12" s="28">
        <f>SUM(D3:D10)</f>
        <v>1724851.5</v>
      </c>
      <c r="E12" s="28">
        <f>SUM(E3:E10)</f>
        <v>2017941.6000000003</v>
      </c>
    </row>
    <row r="13" spans="1:19" s="2" customFormat="1" x14ac:dyDescent="0.25">
      <c r="A13" s="34" t="s">
        <v>11</v>
      </c>
      <c r="B13" s="19"/>
      <c r="C13" s="19"/>
      <c r="D13" s="19"/>
      <c r="E13" s="19"/>
    </row>
    <row r="14" spans="1:19" s="3" customFormat="1" ht="21.75" customHeight="1" x14ac:dyDescent="0.25">
      <c r="A14" s="37" t="s">
        <v>126</v>
      </c>
      <c r="B14" s="35">
        <f>SUM(Remuneraciones!M5,Remuneraciones!M8,Remuneraciones!M18)*6</f>
        <v>695064</v>
      </c>
      <c r="C14" s="35">
        <f>B14</f>
        <v>695064</v>
      </c>
      <c r="D14" s="36">
        <f t="shared" ref="D14:E14" si="3">C14+$B$14*$G$2</f>
        <v>834076.8</v>
      </c>
      <c r="E14" s="36">
        <f t="shared" si="3"/>
        <v>973089.60000000009</v>
      </c>
    </row>
    <row r="15" spans="1:19" s="3" customFormat="1" x14ac:dyDescent="0.25">
      <c r="A15" s="18" t="s">
        <v>43</v>
      </c>
      <c r="B15" s="35">
        <f>6200*6</f>
        <v>37200</v>
      </c>
      <c r="C15" s="35">
        <f>B15+$B$15*$G$2</f>
        <v>44640</v>
      </c>
      <c r="D15" s="36">
        <f>C15+$B$15*$G$2</f>
        <v>52080</v>
      </c>
      <c r="E15" s="36">
        <f>D15+$B$15*$G$2</f>
        <v>59520</v>
      </c>
    </row>
    <row r="16" spans="1:19" s="3" customFormat="1" x14ac:dyDescent="0.25">
      <c r="A16" s="18" t="s">
        <v>95</v>
      </c>
      <c r="B16" s="35">
        <f>Impuestos!B11</f>
        <v>207214.77000000002</v>
      </c>
      <c r="C16" s="35">
        <f>Impuestos!C11</f>
        <v>299959.14600000001</v>
      </c>
      <c r="D16" s="36">
        <f>Impuestos!D11</f>
        <v>503705.11200000002</v>
      </c>
      <c r="E16" s="36">
        <f>Impuestos!E11</f>
        <v>652802.62860000005</v>
      </c>
    </row>
    <row r="17" spans="1:7" s="3" customFormat="1" x14ac:dyDescent="0.25">
      <c r="A17" s="18" t="s">
        <v>44</v>
      </c>
      <c r="B17" s="35">
        <f>59.9*6</f>
        <v>359.4</v>
      </c>
      <c r="C17" s="35">
        <f>B17+$B$17*G2</f>
        <v>431.28</v>
      </c>
      <c r="D17" s="36">
        <f>C17+$B$17*H2</f>
        <v>431.28</v>
      </c>
      <c r="E17" s="36">
        <f>D17+$B$17*I2</f>
        <v>431.28</v>
      </c>
    </row>
    <row r="18" spans="1:7" s="3" customFormat="1" x14ac:dyDescent="0.25">
      <c r="A18" s="18" t="s">
        <v>103</v>
      </c>
      <c r="B18" s="35">
        <f>'Amortizaciones '!D12/2</f>
        <v>23988.799999999999</v>
      </c>
      <c r="C18" s="35">
        <f>'Amortizaciones '!D12/2</f>
        <v>23988.799999999999</v>
      </c>
      <c r="D18" s="36">
        <f>'Amortizaciones '!G12/2</f>
        <v>35868.800000000003</v>
      </c>
      <c r="E18" s="36">
        <f>'Amortizaciones '!G12/2</f>
        <v>35868.800000000003</v>
      </c>
    </row>
    <row r="19" spans="1:7" s="3" customFormat="1" x14ac:dyDescent="0.25">
      <c r="A19" s="18" t="s">
        <v>55</v>
      </c>
      <c r="B19" s="35">
        <v>11000</v>
      </c>
      <c r="C19" s="35">
        <f>B19+$B$19*$G$2</f>
        <v>13200</v>
      </c>
      <c r="D19" s="36">
        <f>C19+$B$19*$G$2</f>
        <v>15400</v>
      </c>
      <c r="E19" s="36">
        <f>D19+$B$19*$G$2</f>
        <v>17600</v>
      </c>
    </row>
    <row r="20" spans="1:7" s="3" customFormat="1" x14ac:dyDescent="0.25">
      <c r="A20" s="18" t="s">
        <v>119</v>
      </c>
      <c r="B20" s="35">
        <f>(SUM(B14)/6)/2</f>
        <v>57922</v>
      </c>
      <c r="C20" s="35">
        <f>C14/6/2</f>
        <v>57922</v>
      </c>
      <c r="D20" s="36">
        <f t="shared" ref="D20:E20" si="4">D14/6/2</f>
        <v>69506.400000000009</v>
      </c>
      <c r="E20" s="36">
        <f t="shared" si="4"/>
        <v>81090.8</v>
      </c>
    </row>
    <row r="21" spans="1:7" s="22" customFormat="1" x14ac:dyDescent="0.25">
      <c r="A21" s="27" t="s">
        <v>38</v>
      </c>
      <c r="B21" s="28">
        <f>SUM(B14:B20)</f>
        <v>1032748.9700000001</v>
      </c>
      <c r="C21" s="28">
        <f>SUM(C14:C20)</f>
        <v>1135205.226</v>
      </c>
      <c r="D21" s="28">
        <f>SUM(D14:D20)</f>
        <v>1511068.392</v>
      </c>
      <c r="E21" s="28">
        <f>SUM(E14:E20)</f>
        <v>1820403.1086000002</v>
      </c>
    </row>
    <row r="22" spans="1:7" s="2" customFormat="1" x14ac:dyDescent="0.25">
      <c r="A22" s="34" t="s">
        <v>12</v>
      </c>
      <c r="B22" s="38"/>
      <c r="C22" s="38"/>
      <c r="D22" s="38"/>
      <c r="E22" s="38"/>
    </row>
    <row r="23" spans="1:7" s="3" customFormat="1" x14ac:dyDescent="0.25">
      <c r="A23" s="18" t="s">
        <v>52</v>
      </c>
      <c r="B23" s="35">
        <v>12000</v>
      </c>
      <c r="C23" s="35">
        <f>B23+$B$23*$G$2</f>
        <v>14400</v>
      </c>
      <c r="D23" s="36">
        <f>C23+$B$23*$G$2</f>
        <v>16800</v>
      </c>
      <c r="E23" s="36">
        <f>D23+$B$23*$G$2</f>
        <v>19200</v>
      </c>
    </row>
    <row r="24" spans="1:7" s="3" customFormat="1" x14ac:dyDescent="0.25">
      <c r="A24" s="18" t="s">
        <v>53</v>
      </c>
      <c r="B24" s="35">
        <f>3000*6</f>
        <v>18000</v>
      </c>
      <c r="C24" s="35">
        <f>B24+$B$24*$G$2</f>
        <v>21600</v>
      </c>
      <c r="D24" s="36">
        <f>C24+$B$24*$G$2</f>
        <v>25200</v>
      </c>
      <c r="E24" s="36">
        <f>D24+$B$24*$G$2</f>
        <v>28800</v>
      </c>
    </row>
    <row r="25" spans="1:7" s="22" customFormat="1" x14ac:dyDescent="0.25">
      <c r="A25" s="27" t="s">
        <v>38</v>
      </c>
      <c r="B25" s="28">
        <f>SUM(B23:B24)</f>
        <v>30000</v>
      </c>
      <c r="C25" s="28">
        <f>SUM(C23:C24)</f>
        <v>36000</v>
      </c>
      <c r="D25" s="28">
        <f>SUM(D23:D24)</f>
        <v>42000</v>
      </c>
      <c r="E25" s="28">
        <f>SUM(E23:E24)</f>
        <v>48000</v>
      </c>
    </row>
    <row r="26" spans="1:7" s="24" customFormat="1" x14ac:dyDescent="0.25">
      <c r="A26" s="29" t="s">
        <v>37</v>
      </c>
      <c r="B26" s="30">
        <f>SUM(B25,B21,B12)</f>
        <v>1947351.4700000002</v>
      </c>
      <c r="C26" s="30">
        <f>SUM(C25,C21,C12)</f>
        <v>2232728.2259999998</v>
      </c>
      <c r="D26" s="30">
        <f>SUM(D25,D21,D12)</f>
        <v>3277919.892</v>
      </c>
      <c r="E26" s="30">
        <f>SUM(E25,E21,E12)</f>
        <v>3886344.7086000005</v>
      </c>
      <c r="F26" s="25"/>
      <c r="G26" s="26">
        <f>SUM(B26:F26)</f>
        <v>11344344.296599999</v>
      </c>
    </row>
    <row r="28" spans="1:7" x14ac:dyDescent="0.25">
      <c r="B28" s="39"/>
      <c r="D28" s="39"/>
    </row>
    <row r="29" spans="1:7" x14ac:dyDescent="0.25">
      <c r="A29" s="80" t="s">
        <v>116</v>
      </c>
    </row>
    <row r="30" spans="1:7" x14ac:dyDescent="0.25">
      <c r="B30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workbookViewId="0">
      <pane ySplit="1" topLeftCell="A2" activePane="bottomLeft" state="frozen"/>
      <selection pane="bottomLeft" sqref="A1:E18"/>
    </sheetView>
  </sheetViews>
  <sheetFormatPr baseColWidth="10" defaultRowHeight="15" x14ac:dyDescent="0.25"/>
  <cols>
    <col min="1" max="1" width="34.28515625" customWidth="1"/>
    <col min="2" max="2" width="12.140625" customWidth="1"/>
    <col min="3" max="3" width="12.7109375" customWidth="1"/>
    <col min="4" max="4" width="17.42578125" customWidth="1"/>
    <col min="5" max="5" width="13.42578125" customWidth="1"/>
    <col min="6" max="6" width="17.28515625" bestFit="1" customWidth="1"/>
    <col min="7" max="7" width="8.7109375" bestFit="1" customWidth="1"/>
    <col min="8" max="8" width="13.5703125" bestFit="1" customWidth="1"/>
    <col min="9" max="9" width="8" bestFit="1" customWidth="1"/>
  </cols>
  <sheetData>
    <row r="1" spans="1:19" x14ac:dyDescent="0.25">
      <c r="A1" s="5" t="s">
        <v>14</v>
      </c>
      <c r="B1" s="5" t="s">
        <v>15</v>
      </c>
      <c r="C1" s="5" t="s">
        <v>17</v>
      </c>
      <c r="D1" s="5" t="s">
        <v>16</v>
      </c>
      <c r="E1" s="5" t="s">
        <v>18</v>
      </c>
      <c r="F1" s="5" t="s">
        <v>19</v>
      </c>
      <c r="G1" s="5" t="s">
        <v>56</v>
      </c>
      <c r="H1" s="5" t="s">
        <v>67</v>
      </c>
      <c r="I1" s="5" t="s">
        <v>68</v>
      </c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s="1" customFormat="1" x14ac:dyDescent="0.25">
      <c r="A2" s="6" t="s">
        <v>10</v>
      </c>
      <c r="B2" s="6"/>
      <c r="C2" s="6"/>
      <c r="D2" s="6"/>
      <c r="E2" s="6"/>
      <c r="F2" s="6"/>
      <c r="G2" s="75">
        <v>0.2</v>
      </c>
      <c r="H2" s="75">
        <v>0.03</v>
      </c>
      <c r="I2" s="76">
        <v>300</v>
      </c>
    </row>
    <row r="3" spans="1:19" s="3" customFormat="1" x14ac:dyDescent="0.25">
      <c r="A3" s="8" t="s">
        <v>3</v>
      </c>
      <c r="B3" s="40"/>
      <c r="C3" s="40">
        <f>3980+3980*G2</f>
        <v>4776</v>
      </c>
      <c r="D3" s="41"/>
      <c r="E3" s="41">
        <f>3980+3980*60%</f>
        <v>6368</v>
      </c>
      <c r="F3" s="18"/>
    </row>
    <row r="4" spans="1:19" s="3" customFormat="1" x14ac:dyDescent="0.25">
      <c r="A4" s="8" t="s">
        <v>51</v>
      </c>
      <c r="B4" s="40">
        <v>2000</v>
      </c>
      <c r="C4" s="40">
        <v>4000</v>
      </c>
      <c r="D4" s="41">
        <f>B4+$B$4*$G$2</f>
        <v>2400</v>
      </c>
      <c r="E4" s="41">
        <f>C4+$B$4*$G$2</f>
        <v>4400</v>
      </c>
      <c r="F4" s="18"/>
    </row>
    <row r="5" spans="1:19" s="3" customFormat="1" x14ac:dyDescent="0.25">
      <c r="A5" s="8" t="s">
        <v>4</v>
      </c>
      <c r="B5" s="40">
        <f>('Estimacion de pedidos'!B4+'Estimacion de pedidos'!B4*'Estimacion de pedidos'!B11)*'Estimacion de pedidos'!B3*'Estimacion de pedidos'!B2*'Estimacion de pedidos'!B6</f>
        <v>73664.639999999999</v>
      </c>
      <c r="C5" s="40">
        <f>('Estimacion de pedidos'!B4+'Estimacion de pedidos'!B4*'Estimacion de pedidos'!B12)*'Estimacion de pedidos'!B3*'Estimacion de pedidos'!B2*'Estimacion de pedidos'!B6+B5*G2</f>
        <v>96582.528000000006</v>
      </c>
      <c r="D5" s="41">
        <f>('Estimacion de pedidos'!B5+'Estimacion de pedidos'!B5*'Estimacion de pedidos'!B13)*'Estimacion de pedidos'!B3*'Estimacion de pedidos'!B2*'Estimacion de pedidos'!B6+C5*G2</f>
        <v>167055.0336</v>
      </c>
      <c r="E5" s="41">
        <f>('Estimacion de pedidos'!B5+'Estimacion de pedidos'!B5*'Estimacion de pedidos'!B14)*'Estimacion de pedidos'!B3*'Estimacion de pedidos'!B2*'Estimacion de pedidos'!B6+D5*G2</f>
        <v>188925.24672</v>
      </c>
      <c r="F5" s="18"/>
    </row>
    <row r="6" spans="1:19" s="3" customFormat="1" x14ac:dyDescent="0.25">
      <c r="A6" s="8" t="s">
        <v>8</v>
      </c>
      <c r="B6" s="40">
        <f>C6+C6*'Estimacion de pedidos'!B11</f>
        <v>540</v>
      </c>
      <c r="C6" s="40">
        <f>500+500*G2</f>
        <v>600</v>
      </c>
      <c r="D6" s="41">
        <f>(C6+C6*'Estimacion de pedidos'!B13)+C6*G2</f>
        <v>690</v>
      </c>
      <c r="E6" s="41">
        <f>(D6+D6*'Estimacion de pedidos'!B14)+D6*G2</f>
        <v>828</v>
      </c>
      <c r="F6" s="18"/>
    </row>
    <row r="7" spans="1:19" s="3" customFormat="1" x14ac:dyDescent="0.25">
      <c r="A7" s="81" t="s">
        <v>118</v>
      </c>
      <c r="B7" s="82">
        <f>SUM(B3:B6)</f>
        <v>76204.639999999999</v>
      </c>
      <c r="C7" s="82">
        <f>SUM(C3:C6)</f>
        <v>105958.52800000001</v>
      </c>
      <c r="D7" s="82">
        <f>SUM(D3:D6)</f>
        <v>170145.0336</v>
      </c>
      <c r="E7" s="82">
        <f>SUM(E3:E6)</f>
        <v>200521.24672</v>
      </c>
      <c r="F7" s="18"/>
    </row>
    <row r="8" spans="1:19" s="2" customFormat="1" x14ac:dyDescent="0.25">
      <c r="A8" s="6" t="s">
        <v>11</v>
      </c>
      <c r="B8" s="42"/>
      <c r="C8" s="42"/>
      <c r="D8" s="42"/>
      <c r="E8" s="42"/>
      <c r="F8" s="19"/>
    </row>
    <row r="9" spans="1:19" s="3" customFormat="1" x14ac:dyDescent="0.25">
      <c r="A9" s="8" t="s">
        <v>7</v>
      </c>
      <c r="B9" s="40"/>
      <c r="C9" s="40">
        <v>20000</v>
      </c>
      <c r="D9" s="41">
        <v>45000</v>
      </c>
      <c r="E9" s="41"/>
      <c r="F9" s="18"/>
    </row>
    <row r="10" spans="1:19" s="3" customFormat="1" x14ac:dyDescent="0.25">
      <c r="A10" s="8" t="s">
        <v>66</v>
      </c>
      <c r="B10" s="40">
        <f>'Costos legales'!H4</f>
        <v>9207</v>
      </c>
      <c r="C10" s="40">
        <f>'Costos legales'!H6</f>
        <v>12641.64</v>
      </c>
      <c r="D10" s="41">
        <f>'Costos legales'!H8</f>
        <v>25349.759999999998</v>
      </c>
      <c r="E10" s="41">
        <f>'Costos legales'!H10</f>
        <v>28958.699999999997</v>
      </c>
    </row>
    <row r="11" spans="1:19" s="3" customFormat="1" x14ac:dyDescent="0.25">
      <c r="A11" s="8" t="s">
        <v>94</v>
      </c>
      <c r="B11" s="40">
        <v>36700</v>
      </c>
      <c r="C11" s="40">
        <v>20800</v>
      </c>
      <c r="D11" s="41">
        <v>42800</v>
      </c>
      <c r="E11" s="41">
        <v>57000</v>
      </c>
      <c r="F11" s="18"/>
    </row>
    <row r="12" spans="1:19" s="3" customFormat="1" x14ac:dyDescent="0.25">
      <c r="A12" s="81" t="s">
        <v>118</v>
      </c>
      <c r="B12" s="82">
        <f>SUM(B9:B11)</f>
        <v>45907</v>
      </c>
      <c r="C12" s="82">
        <f>SUM(C9:C11)</f>
        <v>53441.64</v>
      </c>
      <c r="D12" s="82">
        <f>SUM(D9:D11)</f>
        <v>113149.75999999999</v>
      </c>
      <c r="E12" s="82">
        <f>SUM(E9:E11)</f>
        <v>85958.7</v>
      </c>
      <c r="F12" s="18"/>
    </row>
    <row r="13" spans="1:19" s="2" customFormat="1" x14ac:dyDescent="0.25">
      <c r="A13" s="6" t="s">
        <v>12</v>
      </c>
      <c r="B13" s="42"/>
      <c r="C13" s="42"/>
      <c r="D13" s="42"/>
      <c r="E13" s="42"/>
      <c r="F13" s="19"/>
    </row>
    <row r="14" spans="1:19" s="3" customFormat="1" x14ac:dyDescent="0.25">
      <c r="A14" s="8" t="s">
        <v>13</v>
      </c>
      <c r="B14" s="40"/>
      <c r="C14" s="40">
        <v>40000</v>
      </c>
      <c r="D14" s="41"/>
      <c r="E14" s="41">
        <f>C14+15000+C14*G2*2</f>
        <v>71000</v>
      </c>
      <c r="F14" s="18"/>
    </row>
    <row r="15" spans="1:19" s="3" customFormat="1" x14ac:dyDescent="0.25">
      <c r="A15" s="8" t="s">
        <v>54</v>
      </c>
      <c r="B15" s="74">
        <v>4650</v>
      </c>
      <c r="C15" s="74"/>
      <c r="D15" s="11">
        <f>B15+B15*('Costos Fijos'!G2*4)</f>
        <v>8370</v>
      </c>
      <c r="E15" s="11"/>
    </row>
    <row r="16" spans="1:19" s="3" customFormat="1" x14ac:dyDescent="0.25">
      <c r="A16" s="8" t="s">
        <v>131</v>
      </c>
      <c r="B16" s="74"/>
      <c r="C16" s="74"/>
      <c r="D16" s="11">
        <v>700000</v>
      </c>
      <c r="E16" s="11">
        <v>1000000</v>
      </c>
    </row>
    <row r="17" spans="1:7" x14ac:dyDescent="0.25">
      <c r="A17" s="81" t="s">
        <v>118</v>
      </c>
      <c r="B17" s="82">
        <f>SUM(B14:B15)</f>
        <v>4650</v>
      </c>
      <c r="C17" s="82">
        <f>SUM(C14:C15)</f>
        <v>40000</v>
      </c>
      <c r="D17" s="82">
        <f>SUM(D14:D16)</f>
        <v>708370</v>
      </c>
      <c r="E17" s="82">
        <f>SUM(E14:E16)</f>
        <v>1071000</v>
      </c>
    </row>
    <row r="18" spans="1:7" x14ac:dyDescent="0.25">
      <c r="A18" s="5" t="s">
        <v>37</v>
      </c>
      <c r="B18" s="73">
        <f>SUM(B7,B12,B17)</f>
        <v>126761.64</v>
      </c>
      <c r="C18" s="73">
        <f>SUM(C7,C12,C17)</f>
        <v>199400.16800000001</v>
      </c>
      <c r="D18" s="73">
        <f>SUM(D7,D12,D17)</f>
        <v>991664.79359999998</v>
      </c>
      <c r="E18" s="73">
        <f>SUM(E7,E12,E17)</f>
        <v>1357479.9467199999</v>
      </c>
    </row>
    <row r="27" spans="1:7" x14ac:dyDescent="0.25">
      <c r="A27" s="39"/>
      <c r="B27" s="39"/>
      <c r="C27" s="39"/>
      <c r="D27" s="39"/>
      <c r="E27" s="39"/>
      <c r="F27" s="39"/>
      <c r="G27" s="3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3" sqref="E13"/>
    </sheetView>
  </sheetViews>
  <sheetFormatPr baseColWidth="10" defaultRowHeight="15" x14ac:dyDescent="0.25"/>
  <cols>
    <col min="1" max="1" width="15.5703125" bestFit="1" customWidth="1"/>
    <col min="2" max="2" width="17.140625" customWidth="1"/>
    <col min="3" max="3" width="16.42578125" customWidth="1"/>
  </cols>
  <sheetData>
    <row r="1" spans="1:3" x14ac:dyDescent="0.25">
      <c r="A1" s="60"/>
      <c r="B1" s="7" t="s">
        <v>120</v>
      </c>
      <c r="C1" s="7" t="s">
        <v>121</v>
      </c>
    </row>
    <row r="2" spans="1:3" x14ac:dyDescent="0.25">
      <c r="A2" s="63" t="s">
        <v>122</v>
      </c>
      <c r="B2" s="86">
        <f>'Costos Fijos'!B26+'Costos Fijos'!C26</f>
        <v>4180079.696</v>
      </c>
      <c r="C2" s="78">
        <f>'Costos Fijos'!D26+'Costos Fijos'!E26</f>
        <v>7164264.6006000005</v>
      </c>
    </row>
    <row r="3" spans="1:3" x14ac:dyDescent="0.25">
      <c r="A3" s="63" t="s">
        <v>123</v>
      </c>
      <c r="B3" s="86">
        <f>'Costos Variables'!B18+'Costos Variables'!C18</f>
        <v>326161.80800000002</v>
      </c>
      <c r="C3" s="78">
        <f>'Costos Variables'!D18+'Costos Variables'!E18</f>
        <v>2349144.7403199999</v>
      </c>
    </row>
    <row r="4" spans="1:3" x14ac:dyDescent="0.25">
      <c r="A4" s="5" t="s">
        <v>37</v>
      </c>
      <c r="B4" s="79">
        <f>SUM(B2:B3)</f>
        <v>4506241.5039999997</v>
      </c>
      <c r="C4" s="79">
        <f>SUM(C2:C3)</f>
        <v>9513409.3409200013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A3" workbookViewId="0">
      <selection activeCell="G16" sqref="G16"/>
    </sheetView>
  </sheetViews>
  <sheetFormatPr baseColWidth="10" defaultRowHeight="15" x14ac:dyDescent="0.25"/>
  <cols>
    <col min="1" max="1" width="10.28515625" customWidth="1"/>
    <col min="2" max="3" width="11.85546875" customWidth="1"/>
    <col min="4" max="4" width="11.7109375" customWidth="1"/>
    <col min="5" max="5" width="10.28515625" customWidth="1"/>
    <col min="6" max="6" width="10.42578125" customWidth="1"/>
    <col min="7" max="7" width="11.140625" customWidth="1"/>
    <col min="8" max="8" width="11.42578125" style="47"/>
  </cols>
  <sheetData>
    <row r="1" spans="1:8" s="12" customFormat="1" x14ac:dyDescent="0.25">
      <c r="A1" s="10" t="s">
        <v>80</v>
      </c>
      <c r="B1" s="83">
        <v>0.03</v>
      </c>
      <c r="C1" s="10"/>
      <c r="D1" s="10"/>
      <c r="E1" s="10"/>
      <c r="F1" s="10"/>
      <c r="G1" s="10"/>
      <c r="H1" s="10"/>
    </row>
    <row r="2" spans="1:8" s="2" customFormat="1" x14ac:dyDescent="0.25">
      <c r="A2" s="7" t="s">
        <v>69</v>
      </c>
      <c r="B2" s="7" t="s">
        <v>74</v>
      </c>
      <c r="C2" s="7" t="s">
        <v>75</v>
      </c>
      <c r="D2" s="7" t="s">
        <v>76</v>
      </c>
      <c r="E2" s="7" t="s">
        <v>77</v>
      </c>
      <c r="F2" s="7" t="s">
        <v>78</v>
      </c>
      <c r="G2" s="7" t="s">
        <v>79</v>
      </c>
      <c r="H2" s="77" t="s">
        <v>37</v>
      </c>
    </row>
    <row r="3" spans="1:8" x14ac:dyDescent="0.25">
      <c r="A3" s="84" t="s">
        <v>70</v>
      </c>
      <c r="B3" s="84">
        <f>'[1]Volumenes Ingresos'!B4*'[1]Tipo Ingreso'!B3</f>
        <v>208000</v>
      </c>
      <c r="C3" s="84">
        <f>'[1]Volumenes Ingresos'!$C$4*'[1]Tipo Ingreso'!$B$4</f>
        <v>39400</v>
      </c>
      <c r="D3" s="84">
        <f>'[1]Tipo Ingreso'!$B$6*'[1]Volumenes Ingresos'!E4</f>
        <v>8000</v>
      </c>
      <c r="E3" s="84">
        <f>'[1]Volumenes Ingresos'!F4*'[1]Tipo Ingreso'!B7</f>
        <v>30000</v>
      </c>
      <c r="F3" s="84">
        <f>'[1]Volumenes Ingresos'!G4*'[1]Tipo Ingreso'!B8</f>
        <v>5000</v>
      </c>
      <c r="G3" s="84">
        <f>'[1]Volumenes Ingresos'!H4*'[1]Tipo Ingreso'!B9</f>
        <v>16500</v>
      </c>
      <c r="H3" s="77"/>
    </row>
    <row r="4" spans="1:8" s="46" customFormat="1" x14ac:dyDescent="0.25">
      <c r="A4" s="85" t="s">
        <v>81</v>
      </c>
      <c r="B4" s="85">
        <f>B3*B1</f>
        <v>6240</v>
      </c>
      <c r="C4" s="85">
        <f>C3*B1</f>
        <v>1182</v>
      </c>
      <c r="D4" s="85">
        <f>D3*B1</f>
        <v>240</v>
      </c>
      <c r="E4" s="85">
        <f>E3*B1</f>
        <v>900</v>
      </c>
      <c r="F4" s="85">
        <f>F3*B1</f>
        <v>150</v>
      </c>
      <c r="G4" s="85">
        <f>G3*B1</f>
        <v>495</v>
      </c>
      <c r="H4" s="85">
        <f>SUM(B4:G4)</f>
        <v>9207</v>
      </c>
    </row>
    <row r="5" spans="1:8" x14ac:dyDescent="0.25">
      <c r="A5" s="84" t="s">
        <v>71</v>
      </c>
      <c r="B5" s="84">
        <f>'[1]Volumenes Ingresos'!B5*'[1]Tipo Ingreso'!C3</f>
        <v>214720</v>
      </c>
      <c r="C5" s="84">
        <f>'[1]Volumenes Ingresos'!C5*'[1]Tipo Ingreso'!C4</f>
        <v>96136</v>
      </c>
      <c r="D5" s="84">
        <f>'[1]Volumenes Ingresos'!E5*'[1]Tipo Ingreso'!C6</f>
        <v>12200</v>
      </c>
      <c r="E5" s="84">
        <f>'[1]Volumenes Ingresos'!F5*'[1]Tipo Ingreso'!C7</f>
        <v>64050</v>
      </c>
      <c r="F5" s="84">
        <f>'[1]Volumenes Ingresos'!G5*'[1]Tipo Ingreso'!C8</f>
        <v>6100</v>
      </c>
      <c r="G5" s="84">
        <f>'[1]Volumenes Ingresos'!H5*'[1]Tipo Ingreso'!C9</f>
        <v>28182</v>
      </c>
      <c r="H5" s="77"/>
    </row>
    <row r="6" spans="1:8" s="46" customFormat="1" x14ac:dyDescent="0.25">
      <c r="A6" s="85" t="s">
        <v>81</v>
      </c>
      <c r="B6" s="85">
        <f>B5*B1</f>
        <v>6441.5999999999995</v>
      </c>
      <c r="C6" s="85">
        <f>C5*B1</f>
        <v>2884.08</v>
      </c>
      <c r="D6" s="85">
        <f>D5*B1</f>
        <v>366</v>
      </c>
      <c r="E6" s="85">
        <f>E5*B1</f>
        <v>1921.5</v>
      </c>
      <c r="F6" s="85">
        <f>F5*B1</f>
        <v>183</v>
      </c>
      <c r="G6" s="85">
        <f>G5*B1</f>
        <v>845.45999999999992</v>
      </c>
      <c r="H6" s="85">
        <f>SUM(B6:G6)</f>
        <v>12641.64</v>
      </c>
    </row>
    <row r="7" spans="1:8" x14ac:dyDescent="0.25">
      <c r="A7" s="84" t="s">
        <v>72</v>
      </c>
      <c r="B7" s="84">
        <f>'[1]Tipo Ingreso'!D3*'[1]Volumenes Ingresos'!B6</f>
        <v>529920</v>
      </c>
      <c r="C7" s="84">
        <f>'[1]Tipo Ingreso'!D4*'[1]Volumenes Ingresos'!C6</f>
        <v>198576</v>
      </c>
      <c r="D7" s="84">
        <f>'[1]Tipo Ingreso'!D6*'[1]Volumenes Ingresos'!E6</f>
        <v>17280</v>
      </c>
      <c r="E7" s="84">
        <f>'[1]Tipo Ingreso'!D7*'[1]Volumenes Ingresos'!F6</f>
        <v>54000</v>
      </c>
      <c r="F7" s="84">
        <f>'[1]Tipo Ingreso'!D8*'[1]Volumenes Ingresos'!G6</f>
        <v>7200</v>
      </c>
      <c r="G7" s="84">
        <f>'[1]Tipo Ingreso'!D9*'[1]Volumenes Ingresos'!H6</f>
        <v>38016</v>
      </c>
      <c r="H7" s="77"/>
    </row>
    <row r="8" spans="1:8" s="46" customFormat="1" x14ac:dyDescent="0.25">
      <c r="A8" s="85" t="s">
        <v>81</v>
      </c>
      <c r="B8" s="85">
        <f>B7*B1</f>
        <v>15897.599999999999</v>
      </c>
      <c r="C8" s="85">
        <f>C7*B1</f>
        <v>5957.28</v>
      </c>
      <c r="D8" s="85">
        <f>D7*B1</f>
        <v>518.4</v>
      </c>
      <c r="E8" s="85">
        <f>E7*B1</f>
        <v>1620</v>
      </c>
      <c r="F8" s="85">
        <f>F7*B1</f>
        <v>216</v>
      </c>
      <c r="G8" s="85">
        <f>G7*B1</f>
        <v>1140.48</v>
      </c>
      <c r="H8" s="85">
        <f>SUM(B8:G8)</f>
        <v>25349.759999999998</v>
      </c>
    </row>
    <row r="9" spans="1:8" x14ac:dyDescent="0.25">
      <c r="A9" s="84" t="s">
        <v>73</v>
      </c>
      <c r="B9" s="84">
        <f>'[1]Tipo Ingreso'!E3*'[1]Volumenes Ingresos'!B7</f>
        <v>557760</v>
      </c>
      <c r="C9" s="84">
        <f>'[1]Tipo Ingreso'!E4*'[1]Volumenes Ingresos'!C7</f>
        <v>294318</v>
      </c>
      <c r="D9" s="84">
        <f>'[1]Tipo Ingreso'!E6*'[1]Volumenes Ingresos'!E7</f>
        <v>16600</v>
      </c>
      <c r="E9" s="84">
        <f>'[1]Tipo Ingreso'!E7*'[1]Volumenes Ingresos'!F7</f>
        <v>37350</v>
      </c>
      <c r="F9" s="84">
        <f>'[1]Tipo Ingreso'!E8*'[1]Volumenes Ingresos'!G7</f>
        <v>9960</v>
      </c>
      <c r="G9" s="84">
        <f>'[1]Tipo Ingreso'!E9*'[1]Volumenes Ingresos'!H7</f>
        <v>49302</v>
      </c>
      <c r="H9" s="77"/>
    </row>
    <row r="10" spans="1:8" s="46" customFormat="1" x14ac:dyDescent="0.25">
      <c r="A10" s="85" t="s">
        <v>81</v>
      </c>
      <c r="B10" s="85">
        <f>B9*B1</f>
        <v>16732.8</v>
      </c>
      <c r="C10" s="85">
        <f>C9*B1</f>
        <v>8829.5399999999991</v>
      </c>
      <c r="D10" s="85">
        <f>D9*B1</f>
        <v>498</v>
      </c>
      <c r="E10" s="85">
        <f>E9*B1</f>
        <v>1120.5</v>
      </c>
      <c r="F10" s="85">
        <f>F9*B1</f>
        <v>298.8</v>
      </c>
      <c r="G10" s="85">
        <f>G9*B1</f>
        <v>1479.06</v>
      </c>
      <c r="H10" s="85">
        <f>SUM(B10:G10)</f>
        <v>28958.699999999997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"/>
    </sheetView>
  </sheetViews>
  <sheetFormatPr baseColWidth="10" defaultRowHeight="15" x14ac:dyDescent="0.25"/>
  <cols>
    <col min="1" max="1" width="45.7109375" bestFit="1" customWidth="1"/>
    <col min="2" max="2" width="21.85546875" bestFit="1" customWidth="1"/>
  </cols>
  <sheetData>
    <row r="1" spans="1:2" x14ac:dyDescent="0.25">
      <c r="A1" s="87" t="s">
        <v>63</v>
      </c>
      <c r="B1" s="87"/>
    </row>
    <row r="2" spans="1:2" x14ac:dyDescent="0.25">
      <c r="A2" s="15" t="s">
        <v>65</v>
      </c>
      <c r="B2" s="43">
        <v>7</v>
      </c>
    </row>
    <row r="3" spans="1:2" x14ac:dyDescent="0.25">
      <c r="A3" s="15" t="s">
        <v>57</v>
      </c>
      <c r="B3" s="43">
        <v>2.9000000000000001E-2</v>
      </c>
    </row>
    <row r="4" spans="1:2" x14ac:dyDescent="0.25">
      <c r="A4" s="15" t="s">
        <v>61</v>
      </c>
      <c r="B4" s="43">
        <v>25200</v>
      </c>
    </row>
    <row r="5" spans="1:2" x14ac:dyDescent="0.25">
      <c r="A5" s="15" t="s">
        <v>62</v>
      </c>
      <c r="B5" s="43">
        <f>B4+B4*90%</f>
        <v>47880</v>
      </c>
    </row>
    <row r="6" spans="1:2" x14ac:dyDescent="0.25">
      <c r="A6" s="15" t="s">
        <v>58</v>
      </c>
      <c r="B6" s="44">
        <v>16</v>
      </c>
    </row>
    <row r="9" spans="1:2" x14ac:dyDescent="0.25">
      <c r="A9" s="87" t="s">
        <v>64</v>
      </c>
      <c r="B9" s="87"/>
    </row>
    <row r="10" spans="1:2" x14ac:dyDescent="0.25">
      <c r="A10" s="15" t="s">
        <v>59</v>
      </c>
      <c r="B10" s="43" t="s">
        <v>60</v>
      </c>
    </row>
    <row r="11" spans="1:2" x14ac:dyDescent="0.25">
      <c r="A11" s="15" t="s">
        <v>15</v>
      </c>
      <c r="B11" s="45">
        <v>-0.1</v>
      </c>
    </row>
    <row r="12" spans="1:2" x14ac:dyDescent="0.25">
      <c r="A12" s="15" t="s">
        <v>17</v>
      </c>
      <c r="B12" s="45">
        <v>0</v>
      </c>
    </row>
    <row r="13" spans="1:2" x14ac:dyDescent="0.25">
      <c r="A13" s="15" t="s">
        <v>16</v>
      </c>
      <c r="B13" s="45">
        <v>-0.05</v>
      </c>
    </row>
    <row r="14" spans="1:2" x14ac:dyDescent="0.25">
      <c r="A14" s="15" t="s">
        <v>18</v>
      </c>
      <c r="B14" s="45">
        <v>0</v>
      </c>
    </row>
  </sheetData>
  <mergeCells count="2">
    <mergeCell ref="A1:B1"/>
    <mergeCell ref="A9:B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7"/>
  <sheetViews>
    <sheetView tabSelected="1" workbookViewId="0">
      <pane ySplit="1" topLeftCell="A2" activePane="bottomLeft" state="frozen"/>
      <selection pane="bottomLeft" activeCell="A25" sqref="A1:A25"/>
    </sheetView>
  </sheetViews>
  <sheetFormatPr baseColWidth="10" defaultRowHeight="15" x14ac:dyDescent="0.25"/>
  <cols>
    <col min="1" max="1" width="9.85546875" customWidth="1"/>
    <col min="2" max="2" width="10.85546875" customWidth="1"/>
    <col min="3" max="3" width="10.28515625" customWidth="1"/>
    <col min="4" max="4" width="9.42578125" customWidth="1"/>
    <col min="5" max="5" width="12" customWidth="1"/>
    <col min="6" max="6" width="12.5703125" customWidth="1"/>
    <col min="7" max="7" width="13.42578125" customWidth="1"/>
    <col min="8" max="8" width="16.42578125" customWidth="1"/>
    <col min="9" max="9" width="15.140625" customWidth="1"/>
    <col min="10" max="10" width="14.85546875" customWidth="1"/>
    <col min="11" max="11" width="11.42578125" customWidth="1"/>
    <col min="12" max="12" width="15.28515625" customWidth="1"/>
    <col min="13" max="13" width="13" customWidth="1"/>
  </cols>
  <sheetData>
    <row r="1" spans="1:13 16384:16384" ht="30" x14ac:dyDescent="0.25">
      <c r="A1" s="68" t="s">
        <v>20</v>
      </c>
      <c r="B1" s="68" t="s">
        <v>46</v>
      </c>
      <c r="C1" s="66" t="s">
        <v>41</v>
      </c>
      <c r="D1" s="67" t="s">
        <v>96</v>
      </c>
      <c r="E1" s="67" t="s">
        <v>97</v>
      </c>
      <c r="F1" s="67" t="s">
        <v>39</v>
      </c>
      <c r="G1" s="67" t="s">
        <v>40</v>
      </c>
      <c r="H1" s="68" t="s">
        <v>102</v>
      </c>
      <c r="I1" s="68" t="s">
        <v>21</v>
      </c>
      <c r="J1" s="69" t="s">
        <v>98</v>
      </c>
      <c r="K1" s="69" t="s">
        <v>99</v>
      </c>
      <c r="L1" s="70" t="s">
        <v>101</v>
      </c>
      <c r="M1" s="71" t="s">
        <v>100</v>
      </c>
    </row>
    <row r="2" spans="1:13 16384:16384" s="2" customFormat="1" x14ac:dyDescent="0.25">
      <c r="A2" s="7" t="s">
        <v>22</v>
      </c>
      <c r="B2" s="7"/>
      <c r="C2" s="56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 16384:16384" s="12" customFormat="1" x14ac:dyDescent="0.25">
      <c r="A3" s="10" t="s">
        <v>132</v>
      </c>
      <c r="B3" s="11">
        <v>30000</v>
      </c>
      <c r="C3" s="57"/>
      <c r="D3" s="54">
        <f>3%*B3</f>
        <v>900</v>
      </c>
      <c r="E3" s="54">
        <f>B3*11%</f>
        <v>3300</v>
      </c>
      <c r="F3" s="54">
        <f>3%*B3</f>
        <v>900</v>
      </c>
      <c r="G3" s="54">
        <f>3%*B3</f>
        <v>900</v>
      </c>
      <c r="H3" s="53">
        <f>SUM(D3:G3)</f>
        <v>6000</v>
      </c>
      <c r="I3" s="53">
        <f>SUM(B3:C3)-SUM(D3:G3)</f>
        <v>24000</v>
      </c>
      <c r="J3" s="61">
        <f>23%*B3</f>
        <v>6900</v>
      </c>
      <c r="K3" s="61">
        <f>5%*B3</f>
        <v>1500</v>
      </c>
      <c r="L3" s="53">
        <f>SUM(J3:K3)</f>
        <v>8400</v>
      </c>
      <c r="M3" s="64">
        <f>SUM(H3,I3,L3)</f>
        <v>38400</v>
      </c>
    </row>
    <row r="4" spans="1:13 16384:16384" s="12" customFormat="1" x14ac:dyDescent="0.25">
      <c r="A4" s="10" t="s">
        <v>132</v>
      </c>
      <c r="B4" s="11">
        <v>30000</v>
      </c>
      <c r="C4" s="57"/>
      <c r="D4" s="54">
        <f>3%*B4</f>
        <v>900</v>
      </c>
      <c r="E4" s="54">
        <f>B4*11%</f>
        <v>3300</v>
      </c>
      <c r="F4" s="54">
        <f>3%*B4</f>
        <v>900</v>
      </c>
      <c r="G4" s="54">
        <f>3%*B4</f>
        <v>900</v>
      </c>
      <c r="H4" s="53">
        <f>SUM(D4:G4)</f>
        <v>6000</v>
      </c>
      <c r="I4" s="53">
        <f>SUM(B4:C4)-SUM(D4:G4)</f>
        <v>24000</v>
      </c>
      <c r="J4" s="61">
        <f>23%*B4</f>
        <v>6900</v>
      </c>
      <c r="K4" s="61">
        <f>5%*B4</f>
        <v>1500</v>
      </c>
      <c r="L4" s="53">
        <f>SUM(J4:K4)</f>
        <v>8400</v>
      </c>
      <c r="M4" s="64">
        <f>SUM(H4,I4,L4)</f>
        <v>38400</v>
      </c>
    </row>
    <row r="5" spans="1:13 16384:16384" s="15" customFormat="1" x14ac:dyDescent="0.25">
      <c r="B5" s="14"/>
      <c r="C5" s="58"/>
      <c r="D5" s="14"/>
      <c r="E5" s="14"/>
      <c r="F5" s="14"/>
      <c r="G5" s="14"/>
      <c r="H5" s="9" t="s">
        <v>38</v>
      </c>
      <c r="I5" s="14">
        <f>SUM(I3:I4)</f>
        <v>48000</v>
      </c>
      <c r="J5" s="9"/>
      <c r="K5" s="9"/>
      <c r="L5" s="9" t="s">
        <v>38</v>
      </c>
      <c r="M5" s="14">
        <f>SUM(M3:M4)</f>
        <v>76800</v>
      </c>
    </row>
    <row r="6" spans="1:13 16384:16384" s="2" customFormat="1" x14ac:dyDescent="0.25">
      <c r="A6" s="7" t="s">
        <v>23</v>
      </c>
      <c r="B6" s="7"/>
      <c r="C6" s="56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 16384:16384" s="12" customFormat="1" x14ac:dyDescent="0.25">
      <c r="A7" s="10" t="s">
        <v>45</v>
      </c>
      <c r="B7" s="11">
        <v>9500</v>
      </c>
      <c r="C7" s="57"/>
      <c r="D7" s="54">
        <f>3%*B7</f>
        <v>285</v>
      </c>
      <c r="E7" s="54">
        <f>B7*11%</f>
        <v>1045</v>
      </c>
      <c r="F7" s="54">
        <f>B7*3%</f>
        <v>285</v>
      </c>
      <c r="G7" s="54">
        <f>3%*B7</f>
        <v>285</v>
      </c>
      <c r="H7" s="53">
        <f>SUM(D7:G7)</f>
        <v>1900</v>
      </c>
      <c r="I7" s="53">
        <f>SUM(B7:C7)-SUM(D7:G7)</f>
        <v>7600</v>
      </c>
      <c r="J7" s="61">
        <f>23%*B7</f>
        <v>2185</v>
      </c>
      <c r="K7" s="61">
        <f>5%*B7</f>
        <v>475</v>
      </c>
      <c r="L7" s="62">
        <f>SUM(J7:K7)</f>
        <v>2660</v>
      </c>
      <c r="M7" s="65">
        <f>SUM(L7,H7,I7)</f>
        <v>12160</v>
      </c>
    </row>
    <row r="8" spans="1:13 16384:16384" s="15" customFormat="1" x14ac:dyDescent="0.25">
      <c r="A8" s="9" t="s">
        <v>38</v>
      </c>
      <c r="B8" s="14"/>
      <c r="C8" s="14"/>
      <c r="D8" s="14"/>
      <c r="E8" s="14"/>
      <c r="F8" s="14"/>
      <c r="G8" s="14"/>
      <c r="H8" s="9" t="s">
        <v>38</v>
      </c>
      <c r="I8" s="14">
        <f>SUM(I7:I7)</f>
        <v>7600</v>
      </c>
      <c r="J8" s="14"/>
      <c r="K8" s="14"/>
      <c r="L8" s="9" t="s">
        <v>38</v>
      </c>
      <c r="M8" s="14">
        <f>SUM(M7:M7)</f>
        <v>12160</v>
      </c>
    </row>
    <row r="9" spans="1:13 16384:16384" s="2" customFormat="1" x14ac:dyDescent="0.25">
      <c r="A9" s="7" t="s">
        <v>24</v>
      </c>
      <c r="B9" s="7"/>
      <c r="C9" s="56"/>
      <c r="D9" s="56"/>
      <c r="E9" s="56"/>
      <c r="F9" s="56"/>
      <c r="G9" s="56"/>
      <c r="H9" s="56"/>
      <c r="I9" s="56"/>
      <c r="J9" s="56"/>
      <c r="K9" s="56"/>
      <c r="L9" s="56"/>
      <c r="M9" s="7"/>
    </row>
    <row r="10" spans="1:13 16384:16384" s="12" customFormat="1" x14ac:dyDescent="0.25">
      <c r="A10" s="10" t="s">
        <v>25</v>
      </c>
      <c r="B10" s="11">
        <v>18425</v>
      </c>
      <c r="C10" s="57">
        <v>3000</v>
      </c>
      <c r="D10" s="54">
        <f t="shared" ref="D10:D23" si="0">3%*B10</f>
        <v>552.75</v>
      </c>
      <c r="E10" s="54">
        <f t="shared" ref="E10:E23" si="1">B10*11%</f>
        <v>2026.75</v>
      </c>
      <c r="F10" s="54">
        <f t="shared" ref="F10:F23" si="2">B10*3%</f>
        <v>552.75</v>
      </c>
      <c r="G10" s="54">
        <f t="shared" ref="G10:G23" si="3">3%*B10</f>
        <v>552.75</v>
      </c>
      <c r="H10" s="53">
        <f t="shared" ref="H10:H23" si="4">SUM(D10:G10)</f>
        <v>3685</v>
      </c>
      <c r="I10" s="53">
        <f t="shared" ref="I10:I23" si="5">SUM(B10:C10)-SUM(D10:G10)</f>
        <v>17740</v>
      </c>
      <c r="J10" s="61">
        <f t="shared" ref="J10:J23" si="6">23%*B10</f>
        <v>4237.75</v>
      </c>
      <c r="K10" s="61">
        <f t="shared" ref="K10:K23" si="7">5%*B10</f>
        <v>921.25</v>
      </c>
      <c r="L10" s="62">
        <f t="shared" ref="L10:L23" si="8">SUM(J10:K10)</f>
        <v>5159</v>
      </c>
      <c r="M10" s="65">
        <f t="shared" ref="M10:M23" si="9">SUM(L10,H10,I10)</f>
        <v>26584</v>
      </c>
    </row>
    <row r="11" spans="1:13 16384:16384" s="12" customFormat="1" x14ac:dyDescent="0.25">
      <c r="A11" s="10" t="s">
        <v>27</v>
      </c>
      <c r="B11" s="11">
        <v>16300</v>
      </c>
      <c r="C11" s="57">
        <v>1200</v>
      </c>
      <c r="D11" s="54">
        <f t="shared" si="0"/>
        <v>489</v>
      </c>
      <c r="E11" s="54">
        <f t="shared" si="1"/>
        <v>1793</v>
      </c>
      <c r="F11" s="54">
        <f t="shared" si="2"/>
        <v>489</v>
      </c>
      <c r="G11" s="54">
        <f t="shared" si="3"/>
        <v>489</v>
      </c>
      <c r="H11" s="53">
        <f t="shared" si="4"/>
        <v>3260</v>
      </c>
      <c r="I11" s="53">
        <f t="shared" si="5"/>
        <v>14240</v>
      </c>
      <c r="J11" s="61">
        <f t="shared" si="6"/>
        <v>3749</v>
      </c>
      <c r="K11" s="61">
        <f t="shared" si="7"/>
        <v>815</v>
      </c>
      <c r="L11" s="62">
        <f t="shared" si="8"/>
        <v>4564</v>
      </c>
      <c r="M11" s="65">
        <f t="shared" si="9"/>
        <v>22064</v>
      </c>
    </row>
    <row r="12" spans="1:13 16384:16384" s="12" customFormat="1" x14ac:dyDescent="0.25">
      <c r="A12" s="10" t="s">
        <v>26</v>
      </c>
      <c r="B12" s="11">
        <v>16300</v>
      </c>
      <c r="C12" s="57">
        <v>1200</v>
      </c>
      <c r="D12" s="54">
        <f t="shared" si="0"/>
        <v>489</v>
      </c>
      <c r="E12" s="54">
        <f t="shared" si="1"/>
        <v>1793</v>
      </c>
      <c r="F12" s="54">
        <f t="shared" si="2"/>
        <v>489</v>
      </c>
      <c r="G12" s="54">
        <f t="shared" si="3"/>
        <v>489</v>
      </c>
      <c r="H12" s="53">
        <f t="shared" si="4"/>
        <v>3260</v>
      </c>
      <c r="I12" s="53">
        <f t="shared" si="5"/>
        <v>14240</v>
      </c>
      <c r="J12" s="61">
        <f t="shared" si="6"/>
        <v>3749</v>
      </c>
      <c r="K12" s="61">
        <f t="shared" si="7"/>
        <v>815</v>
      </c>
      <c r="L12" s="62">
        <f t="shared" si="8"/>
        <v>4564</v>
      </c>
      <c r="M12" s="65">
        <f t="shared" si="9"/>
        <v>22064</v>
      </c>
      <c r="XFD12" s="13">
        <f>SUM(B12:XFC12)</f>
        <v>69452</v>
      </c>
    </row>
    <row r="13" spans="1:13 16384:16384" s="15" customFormat="1" x14ac:dyDescent="0.25">
      <c r="A13" s="9" t="s">
        <v>38</v>
      </c>
      <c r="B13" s="14"/>
      <c r="C13" s="58"/>
      <c r="D13" s="58"/>
      <c r="E13" s="58"/>
      <c r="F13" s="58"/>
      <c r="G13" s="58"/>
      <c r="H13" s="9" t="s">
        <v>38</v>
      </c>
      <c r="I13" s="58">
        <f>SUM(I10:I12)</f>
        <v>46220</v>
      </c>
      <c r="J13" s="58"/>
      <c r="K13" s="58"/>
      <c r="L13" s="9" t="s">
        <v>38</v>
      </c>
      <c r="M13" s="14">
        <f>SUM(M10:M12)</f>
        <v>70712</v>
      </c>
    </row>
    <row r="14" spans="1:13 16384:16384" s="2" customFormat="1" x14ac:dyDescent="0.25">
      <c r="A14" s="7" t="s">
        <v>28</v>
      </c>
      <c r="B14" s="7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7"/>
    </row>
    <row r="15" spans="1:13 16384:16384" s="12" customFormat="1" x14ac:dyDescent="0.25">
      <c r="A15" s="10" t="s">
        <v>29</v>
      </c>
      <c r="B15" s="11">
        <v>13600</v>
      </c>
      <c r="C15" s="57">
        <v>2064</v>
      </c>
      <c r="D15" s="54">
        <f t="shared" si="0"/>
        <v>408</v>
      </c>
      <c r="E15" s="54">
        <f t="shared" si="1"/>
        <v>1496</v>
      </c>
      <c r="F15" s="54">
        <f t="shared" si="2"/>
        <v>408</v>
      </c>
      <c r="G15" s="54">
        <f t="shared" si="3"/>
        <v>408</v>
      </c>
      <c r="H15" s="53">
        <f t="shared" si="4"/>
        <v>2720</v>
      </c>
      <c r="I15" s="53">
        <f t="shared" si="5"/>
        <v>12944</v>
      </c>
      <c r="J15" s="61">
        <f t="shared" si="6"/>
        <v>3128</v>
      </c>
      <c r="K15" s="61">
        <f t="shared" si="7"/>
        <v>680</v>
      </c>
      <c r="L15" s="62">
        <f t="shared" si="8"/>
        <v>3808</v>
      </c>
      <c r="M15" s="65">
        <f t="shared" si="9"/>
        <v>19472</v>
      </c>
    </row>
    <row r="16" spans="1:13 16384:16384" s="15" customFormat="1" x14ac:dyDescent="0.25">
      <c r="A16" s="9" t="s">
        <v>38</v>
      </c>
      <c r="B16" s="14"/>
      <c r="C16" s="58"/>
      <c r="D16" s="58"/>
      <c r="E16" s="58"/>
      <c r="F16" s="58"/>
      <c r="G16" s="58"/>
      <c r="H16" s="9" t="s">
        <v>38</v>
      </c>
      <c r="I16" s="58">
        <f>SUM(I15)</f>
        <v>12944</v>
      </c>
      <c r="J16" s="58"/>
      <c r="K16" s="58"/>
      <c r="L16" s="9" t="s">
        <v>38</v>
      </c>
      <c r="M16" s="14">
        <f>SUM(M15)</f>
        <v>19472</v>
      </c>
    </row>
    <row r="17" spans="1:14" s="2" customFormat="1" x14ac:dyDescent="0.25">
      <c r="A17" s="7" t="s">
        <v>30</v>
      </c>
      <c r="B17" s="7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7"/>
    </row>
    <row r="18" spans="1:14" s="12" customFormat="1" x14ac:dyDescent="0.25">
      <c r="A18" s="10" t="s">
        <v>31</v>
      </c>
      <c r="B18" s="11">
        <v>18425</v>
      </c>
      <c r="C18" s="57">
        <v>3300</v>
      </c>
      <c r="D18" s="54">
        <f t="shared" si="0"/>
        <v>552.75</v>
      </c>
      <c r="E18" s="54">
        <f t="shared" si="1"/>
        <v>2026.75</v>
      </c>
      <c r="F18" s="54">
        <f t="shared" si="2"/>
        <v>552.75</v>
      </c>
      <c r="G18" s="54">
        <f t="shared" si="3"/>
        <v>552.75</v>
      </c>
      <c r="H18" s="53">
        <f t="shared" si="4"/>
        <v>3685</v>
      </c>
      <c r="I18" s="53">
        <f t="shared" si="5"/>
        <v>18040</v>
      </c>
      <c r="J18" s="61">
        <f t="shared" si="6"/>
        <v>4237.75</v>
      </c>
      <c r="K18" s="61">
        <f t="shared" si="7"/>
        <v>921.25</v>
      </c>
      <c r="L18" s="62">
        <f t="shared" si="8"/>
        <v>5159</v>
      </c>
      <c r="M18" s="65">
        <f t="shared" si="9"/>
        <v>26884</v>
      </c>
    </row>
    <row r="19" spans="1:14" s="12" customFormat="1" x14ac:dyDescent="0.25">
      <c r="A19" s="10" t="s">
        <v>32</v>
      </c>
      <c r="B19" s="11">
        <v>6500</v>
      </c>
      <c r="C19" s="57">
        <v>1500</v>
      </c>
      <c r="D19" s="54">
        <f t="shared" si="0"/>
        <v>195</v>
      </c>
      <c r="E19" s="54">
        <f t="shared" si="1"/>
        <v>715</v>
      </c>
      <c r="F19" s="54">
        <f t="shared" si="2"/>
        <v>195</v>
      </c>
      <c r="G19" s="54">
        <f t="shared" si="3"/>
        <v>195</v>
      </c>
      <c r="H19" s="53">
        <f t="shared" si="4"/>
        <v>1300</v>
      </c>
      <c r="I19" s="53">
        <f t="shared" si="5"/>
        <v>6700</v>
      </c>
      <c r="J19" s="61">
        <f t="shared" si="6"/>
        <v>1495</v>
      </c>
      <c r="K19" s="61">
        <f t="shared" si="7"/>
        <v>325</v>
      </c>
      <c r="L19" s="62">
        <f t="shared" si="8"/>
        <v>1820</v>
      </c>
      <c r="M19" s="65">
        <f t="shared" si="9"/>
        <v>9820</v>
      </c>
    </row>
    <row r="20" spans="1:14" s="12" customFormat="1" x14ac:dyDescent="0.25">
      <c r="A20" s="10" t="s">
        <v>33</v>
      </c>
      <c r="B20" s="11">
        <v>6500</v>
      </c>
      <c r="C20" s="57">
        <v>1500</v>
      </c>
      <c r="D20" s="54">
        <f t="shared" si="0"/>
        <v>195</v>
      </c>
      <c r="E20" s="54">
        <f t="shared" si="1"/>
        <v>715</v>
      </c>
      <c r="F20" s="54">
        <f t="shared" si="2"/>
        <v>195</v>
      </c>
      <c r="G20" s="54">
        <f t="shared" si="3"/>
        <v>195</v>
      </c>
      <c r="H20" s="53">
        <f t="shared" si="4"/>
        <v>1300</v>
      </c>
      <c r="I20" s="53">
        <f t="shared" si="5"/>
        <v>6700</v>
      </c>
      <c r="J20" s="61">
        <f t="shared" si="6"/>
        <v>1495</v>
      </c>
      <c r="K20" s="61">
        <f t="shared" si="7"/>
        <v>325</v>
      </c>
      <c r="L20" s="62">
        <f t="shared" si="8"/>
        <v>1820</v>
      </c>
      <c r="M20" s="65">
        <f t="shared" si="9"/>
        <v>9820</v>
      </c>
    </row>
    <row r="21" spans="1:14" s="12" customFormat="1" x14ac:dyDescent="0.25">
      <c r="A21" s="10" t="s">
        <v>34</v>
      </c>
      <c r="B21" s="11">
        <v>6500</v>
      </c>
      <c r="C21" s="57">
        <v>1500</v>
      </c>
      <c r="D21" s="54">
        <f t="shared" si="0"/>
        <v>195</v>
      </c>
      <c r="E21" s="54">
        <f t="shared" si="1"/>
        <v>715</v>
      </c>
      <c r="F21" s="54">
        <f t="shared" si="2"/>
        <v>195</v>
      </c>
      <c r="G21" s="54">
        <f t="shared" si="3"/>
        <v>195</v>
      </c>
      <c r="H21" s="53">
        <f t="shared" si="4"/>
        <v>1300</v>
      </c>
      <c r="I21" s="53">
        <f t="shared" si="5"/>
        <v>6700</v>
      </c>
      <c r="J21" s="61">
        <f t="shared" si="6"/>
        <v>1495</v>
      </c>
      <c r="K21" s="61">
        <f t="shared" si="7"/>
        <v>325</v>
      </c>
      <c r="L21" s="62">
        <f t="shared" si="8"/>
        <v>1820</v>
      </c>
      <c r="M21" s="65">
        <f t="shared" si="9"/>
        <v>9820</v>
      </c>
    </row>
    <row r="22" spans="1:14" s="12" customFormat="1" x14ac:dyDescent="0.25">
      <c r="A22" s="10" t="s">
        <v>35</v>
      </c>
      <c r="B22" s="11">
        <v>6500</v>
      </c>
      <c r="C22" s="57">
        <v>1500</v>
      </c>
      <c r="D22" s="54">
        <f t="shared" si="0"/>
        <v>195</v>
      </c>
      <c r="E22" s="54">
        <f t="shared" si="1"/>
        <v>715</v>
      </c>
      <c r="F22" s="54">
        <f t="shared" si="2"/>
        <v>195</v>
      </c>
      <c r="G22" s="54">
        <f t="shared" si="3"/>
        <v>195</v>
      </c>
      <c r="H22" s="53">
        <f t="shared" si="4"/>
        <v>1300</v>
      </c>
      <c r="I22" s="53">
        <f t="shared" si="5"/>
        <v>6700</v>
      </c>
      <c r="J22" s="61">
        <f t="shared" si="6"/>
        <v>1495</v>
      </c>
      <c r="K22" s="61">
        <f t="shared" si="7"/>
        <v>325</v>
      </c>
      <c r="L22" s="62">
        <f t="shared" si="8"/>
        <v>1820</v>
      </c>
      <c r="M22" s="65">
        <f t="shared" si="9"/>
        <v>9820</v>
      </c>
    </row>
    <row r="23" spans="1:14" s="12" customFormat="1" x14ac:dyDescent="0.25">
      <c r="A23" s="10" t="s">
        <v>36</v>
      </c>
      <c r="B23" s="11">
        <v>6500</v>
      </c>
      <c r="C23" s="57">
        <v>1500</v>
      </c>
      <c r="D23" s="54">
        <f t="shared" si="0"/>
        <v>195</v>
      </c>
      <c r="E23" s="54">
        <f t="shared" si="1"/>
        <v>715</v>
      </c>
      <c r="F23" s="54">
        <f t="shared" si="2"/>
        <v>195</v>
      </c>
      <c r="G23" s="54">
        <f t="shared" si="3"/>
        <v>195</v>
      </c>
      <c r="H23" s="53">
        <f t="shared" si="4"/>
        <v>1300</v>
      </c>
      <c r="I23" s="53">
        <f t="shared" si="5"/>
        <v>6700</v>
      </c>
      <c r="J23" s="61">
        <f t="shared" si="6"/>
        <v>1495</v>
      </c>
      <c r="K23" s="61">
        <f t="shared" si="7"/>
        <v>325</v>
      </c>
      <c r="L23" s="62">
        <f t="shared" si="8"/>
        <v>1820</v>
      </c>
      <c r="M23" s="65">
        <f t="shared" si="9"/>
        <v>9820</v>
      </c>
    </row>
    <row r="24" spans="1:14" s="15" customFormat="1" x14ac:dyDescent="0.25">
      <c r="A24" s="16"/>
      <c r="B24" s="16"/>
      <c r="C24" s="59"/>
      <c r="D24" s="9"/>
      <c r="E24" s="9"/>
      <c r="F24" s="9"/>
      <c r="G24" s="9"/>
      <c r="H24" s="9" t="s">
        <v>38</v>
      </c>
      <c r="I24" s="14">
        <f>SUM(I18:I23)</f>
        <v>51540</v>
      </c>
      <c r="J24" s="9"/>
      <c r="K24" s="9"/>
      <c r="L24" s="9" t="s">
        <v>38</v>
      </c>
      <c r="M24" s="72">
        <f>SUM(M18:M23)</f>
        <v>75984</v>
      </c>
    </row>
    <row r="25" spans="1:14" s="5" customFormat="1" x14ac:dyDescent="0.25">
      <c r="C25" s="55"/>
      <c r="H25" s="5" t="s">
        <v>37</v>
      </c>
      <c r="I25" s="17">
        <f>SUM(I24,I16,I13,I8,I5)</f>
        <v>166304</v>
      </c>
      <c r="L25" s="5" t="s">
        <v>37</v>
      </c>
      <c r="M25" s="73">
        <f>SUM(M24,M16,M13,M8,M5)</f>
        <v>255128</v>
      </c>
      <c r="N25" s="31"/>
    </row>
    <row r="27" spans="1:14" ht="43.5" customHeight="1" x14ac:dyDescent="0.25">
      <c r="A27" s="88" t="s">
        <v>42</v>
      </c>
      <c r="B27" s="89"/>
      <c r="C27" s="89"/>
      <c r="D27" s="89"/>
      <c r="E27" s="89"/>
    </row>
  </sheetData>
  <mergeCells count="1">
    <mergeCell ref="A27:E2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J22" sqref="J22"/>
    </sheetView>
  </sheetViews>
  <sheetFormatPr baseColWidth="10" defaultRowHeight="15" x14ac:dyDescent="0.25"/>
  <cols>
    <col min="1" max="1" width="7.28515625" customWidth="1"/>
    <col min="2" max="2" width="9.85546875" customWidth="1"/>
    <col min="3" max="3" width="5.140625" customWidth="1"/>
    <col min="4" max="4" width="9.85546875" customWidth="1"/>
    <col min="5" max="5" width="10.7109375" customWidth="1"/>
    <col min="6" max="6" width="10.42578125" customWidth="1"/>
    <col min="7" max="7" width="12.5703125" customWidth="1"/>
    <col min="8" max="8" width="12.140625" customWidth="1"/>
    <col min="9" max="9" width="11.42578125" customWidth="1"/>
  </cols>
  <sheetData>
    <row r="1" spans="1:9" x14ac:dyDescent="0.25">
      <c r="A1" s="90" t="s">
        <v>49</v>
      </c>
      <c r="B1" s="90" t="s">
        <v>48</v>
      </c>
      <c r="C1" s="90" t="s">
        <v>104</v>
      </c>
      <c r="D1" s="90" t="s">
        <v>106</v>
      </c>
      <c r="E1" s="91" t="s">
        <v>115</v>
      </c>
      <c r="F1" s="90" t="s">
        <v>127</v>
      </c>
      <c r="G1" s="90" t="s">
        <v>107</v>
      </c>
      <c r="H1" s="91" t="s">
        <v>115</v>
      </c>
      <c r="I1" s="91" t="s">
        <v>128</v>
      </c>
    </row>
    <row r="2" spans="1:9" x14ac:dyDescent="0.25">
      <c r="A2" s="92" t="s">
        <v>124</v>
      </c>
      <c r="B2" s="93">
        <v>99000</v>
      </c>
      <c r="C2" s="92">
        <v>5</v>
      </c>
      <c r="D2" s="94">
        <f>B2/C2</f>
        <v>19800</v>
      </c>
      <c r="E2" s="95">
        <f>D2</f>
        <v>19800</v>
      </c>
      <c r="F2" s="96">
        <f>B2-E2</f>
        <v>79200</v>
      </c>
      <c r="G2" s="94">
        <f>D2</f>
        <v>19800</v>
      </c>
      <c r="H2" s="95">
        <f>D2+G2</f>
        <v>39600</v>
      </c>
      <c r="I2" s="96">
        <f>B2-H2</f>
        <v>59400</v>
      </c>
    </row>
    <row r="3" spans="1:9" x14ac:dyDescent="0.25">
      <c r="A3" s="92" t="s">
        <v>125</v>
      </c>
      <c r="B3" s="93">
        <f>B2+B2*20%</f>
        <v>118800</v>
      </c>
      <c r="C3" s="92">
        <v>5</v>
      </c>
      <c r="D3" s="94"/>
      <c r="E3" s="95"/>
      <c r="F3" s="96"/>
      <c r="G3" s="94">
        <f>B3/C3</f>
        <v>23760</v>
      </c>
      <c r="H3" s="95">
        <f t="shared" ref="H3:H11" si="0">D3+G3</f>
        <v>23760</v>
      </c>
      <c r="I3" s="96">
        <f>B3-H3</f>
        <v>95040</v>
      </c>
    </row>
    <row r="4" spans="1:9" x14ac:dyDescent="0.25">
      <c r="A4" s="92" t="s">
        <v>105</v>
      </c>
      <c r="B4" s="93">
        <v>50400</v>
      </c>
      <c r="C4" s="92">
        <v>5</v>
      </c>
      <c r="D4" s="94">
        <f t="shared" ref="D4:D11" si="1">B4/C4</f>
        <v>10080</v>
      </c>
      <c r="E4" s="95">
        <f t="shared" ref="E4:E11" si="2">D4</f>
        <v>10080</v>
      </c>
      <c r="F4" s="96">
        <f t="shared" ref="F4:F11" si="3">B4-E4</f>
        <v>40320</v>
      </c>
      <c r="G4" s="94">
        <f t="shared" ref="G4:G11" si="4">D4</f>
        <v>10080</v>
      </c>
      <c r="H4" s="95">
        <f t="shared" si="0"/>
        <v>20160</v>
      </c>
      <c r="I4" s="96">
        <f t="shared" ref="I4:I11" si="5">B4-H4</f>
        <v>30240</v>
      </c>
    </row>
    <row r="5" spans="1:9" x14ac:dyDescent="0.25">
      <c r="A5" s="92" t="s">
        <v>108</v>
      </c>
      <c r="B5" s="93">
        <v>21600</v>
      </c>
      <c r="C5" s="92">
        <v>5</v>
      </c>
      <c r="D5" s="94">
        <f t="shared" si="1"/>
        <v>4320</v>
      </c>
      <c r="E5" s="95">
        <f t="shared" si="2"/>
        <v>4320</v>
      </c>
      <c r="F5" s="96">
        <f t="shared" si="3"/>
        <v>17280</v>
      </c>
      <c r="G5" s="94">
        <f t="shared" si="4"/>
        <v>4320</v>
      </c>
      <c r="H5" s="95">
        <f t="shared" si="0"/>
        <v>8640</v>
      </c>
      <c r="I5" s="96">
        <f t="shared" si="5"/>
        <v>12960</v>
      </c>
    </row>
    <row r="6" spans="1:9" x14ac:dyDescent="0.25">
      <c r="A6" s="92" t="s">
        <v>109</v>
      </c>
      <c r="B6" s="93">
        <v>4600</v>
      </c>
      <c r="C6" s="92">
        <v>5</v>
      </c>
      <c r="D6" s="94">
        <f t="shared" si="1"/>
        <v>920</v>
      </c>
      <c r="E6" s="95">
        <f t="shared" si="2"/>
        <v>920</v>
      </c>
      <c r="F6" s="96">
        <f t="shared" si="3"/>
        <v>3680</v>
      </c>
      <c r="G6" s="94">
        <f t="shared" si="4"/>
        <v>920</v>
      </c>
      <c r="H6" s="95">
        <f t="shared" si="0"/>
        <v>1840</v>
      </c>
      <c r="I6" s="96">
        <f t="shared" si="5"/>
        <v>2760</v>
      </c>
    </row>
    <row r="7" spans="1:9" x14ac:dyDescent="0.25">
      <c r="A7" s="92" t="s">
        <v>110</v>
      </c>
      <c r="B7" s="93">
        <v>738</v>
      </c>
      <c r="C7" s="92">
        <v>5</v>
      </c>
      <c r="D7" s="94">
        <f t="shared" si="1"/>
        <v>147.6</v>
      </c>
      <c r="E7" s="95">
        <f t="shared" si="2"/>
        <v>147.6</v>
      </c>
      <c r="F7" s="96">
        <f t="shared" si="3"/>
        <v>590.4</v>
      </c>
      <c r="G7" s="94">
        <f t="shared" si="4"/>
        <v>147.6</v>
      </c>
      <c r="H7" s="95">
        <f t="shared" si="0"/>
        <v>295.2</v>
      </c>
      <c r="I7" s="96">
        <f t="shared" si="5"/>
        <v>442.8</v>
      </c>
    </row>
    <row r="8" spans="1:9" x14ac:dyDescent="0.25">
      <c r="A8" s="92" t="s">
        <v>111</v>
      </c>
      <c r="B8" s="93">
        <v>100300</v>
      </c>
      <c r="C8" s="92">
        <v>10</v>
      </c>
      <c r="D8" s="94">
        <f t="shared" si="1"/>
        <v>10030</v>
      </c>
      <c r="E8" s="95">
        <f t="shared" si="2"/>
        <v>10030</v>
      </c>
      <c r="F8" s="96">
        <f t="shared" si="3"/>
        <v>90270</v>
      </c>
      <c r="G8" s="94">
        <f t="shared" si="4"/>
        <v>10030</v>
      </c>
      <c r="H8" s="95">
        <f t="shared" si="0"/>
        <v>20060</v>
      </c>
      <c r="I8" s="96">
        <f t="shared" si="5"/>
        <v>80240</v>
      </c>
    </row>
    <row r="9" spans="1:9" x14ac:dyDescent="0.25">
      <c r="A9" s="92" t="s">
        <v>112</v>
      </c>
      <c r="B9" s="93">
        <v>10000</v>
      </c>
      <c r="C9" s="92">
        <v>5</v>
      </c>
      <c r="D9" s="94">
        <f t="shared" si="1"/>
        <v>2000</v>
      </c>
      <c r="E9" s="95">
        <f t="shared" si="2"/>
        <v>2000</v>
      </c>
      <c r="F9" s="96">
        <f t="shared" si="3"/>
        <v>8000</v>
      </c>
      <c r="G9" s="94">
        <f t="shared" si="4"/>
        <v>2000</v>
      </c>
      <c r="H9" s="95">
        <f t="shared" si="0"/>
        <v>4000</v>
      </c>
      <c r="I9" s="96">
        <f t="shared" si="5"/>
        <v>6000</v>
      </c>
    </row>
    <row r="10" spans="1:9" x14ac:dyDescent="0.25">
      <c r="A10" s="92" t="s">
        <v>113</v>
      </c>
      <c r="B10" s="93">
        <v>750</v>
      </c>
      <c r="C10" s="92">
        <v>5</v>
      </c>
      <c r="D10" s="94">
        <f t="shared" si="1"/>
        <v>150</v>
      </c>
      <c r="E10" s="95">
        <f t="shared" si="2"/>
        <v>150</v>
      </c>
      <c r="F10" s="96">
        <f t="shared" si="3"/>
        <v>600</v>
      </c>
      <c r="G10" s="94">
        <f t="shared" si="4"/>
        <v>150</v>
      </c>
      <c r="H10" s="95">
        <f t="shared" si="0"/>
        <v>300</v>
      </c>
      <c r="I10" s="96">
        <f t="shared" si="5"/>
        <v>450</v>
      </c>
    </row>
    <row r="11" spans="1:9" x14ac:dyDescent="0.25">
      <c r="A11" s="92" t="s">
        <v>114</v>
      </c>
      <c r="B11" s="93">
        <v>5300</v>
      </c>
      <c r="C11" s="92">
        <v>10</v>
      </c>
      <c r="D11" s="94">
        <f t="shared" si="1"/>
        <v>530</v>
      </c>
      <c r="E11" s="95">
        <f t="shared" si="2"/>
        <v>530</v>
      </c>
      <c r="F11" s="96">
        <f t="shared" si="3"/>
        <v>4770</v>
      </c>
      <c r="G11" s="94">
        <f t="shared" si="4"/>
        <v>530</v>
      </c>
      <c r="H11" s="95">
        <f t="shared" si="0"/>
        <v>1060</v>
      </c>
      <c r="I11" s="96">
        <f t="shared" si="5"/>
        <v>4240</v>
      </c>
    </row>
    <row r="12" spans="1:9" x14ac:dyDescent="0.25">
      <c r="A12" s="90" t="s">
        <v>129</v>
      </c>
      <c r="B12" s="97">
        <f>SUM(B2,B4:B11)</f>
        <v>292688</v>
      </c>
      <c r="C12" s="90" t="s">
        <v>37</v>
      </c>
      <c r="D12" s="97">
        <f>SUM(D2:D11)</f>
        <v>47977.599999999999</v>
      </c>
      <c r="E12" s="97">
        <f>SUM(E2:E11)</f>
        <v>47977.599999999999</v>
      </c>
      <c r="F12" s="97">
        <f>SUM(F2:F11)</f>
        <v>244710.39999999999</v>
      </c>
      <c r="G12" s="97">
        <f>SUM(G2:G11)</f>
        <v>71737.600000000006</v>
      </c>
      <c r="H12" s="97">
        <f>SUM(D12:G12)</f>
        <v>412403.19999999995</v>
      </c>
      <c r="I12" s="97">
        <f>SUM(I2:I11)</f>
        <v>291772.79999999999</v>
      </c>
    </row>
    <row r="13" spans="1:9" x14ac:dyDescent="0.25">
      <c r="A13" s="97" t="s">
        <v>130</v>
      </c>
      <c r="B13" s="97">
        <f>B3</f>
        <v>118800</v>
      </c>
      <c r="C13" s="98"/>
      <c r="D13" s="98"/>
      <c r="E13" s="98"/>
      <c r="F13" s="98"/>
      <c r="G13" s="98"/>
      <c r="H13" s="98"/>
      <c r="I13" s="98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0" sqref="A20"/>
    </sheetView>
  </sheetViews>
  <sheetFormatPr baseColWidth="10" defaultRowHeight="15" x14ac:dyDescent="0.25"/>
  <cols>
    <col min="1" max="1" width="26" bestFit="1" customWidth="1"/>
    <col min="2" max="2" width="16.140625" bestFit="1" customWidth="1"/>
    <col min="3" max="3" width="16.5703125" bestFit="1" customWidth="1"/>
    <col min="4" max="4" width="20" customWidth="1"/>
    <col min="5" max="5" width="16.5703125" bestFit="1" customWidth="1"/>
    <col min="6" max="6" width="17.85546875" customWidth="1"/>
  </cols>
  <sheetData>
    <row r="1" spans="1:9" x14ac:dyDescent="0.25">
      <c r="A1" s="5" t="s">
        <v>50</v>
      </c>
      <c r="B1" s="5" t="s">
        <v>70</v>
      </c>
      <c r="C1" s="5" t="s">
        <v>17</v>
      </c>
      <c r="D1" s="5" t="s">
        <v>16</v>
      </c>
      <c r="E1" s="5" t="s">
        <v>18</v>
      </c>
      <c r="F1" s="5"/>
      <c r="G1" s="5"/>
      <c r="H1" s="5"/>
      <c r="I1" s="5"/>
    </row>
    <row r="2" spans="1:9" s="2" customFormat="1" x14ac:dyDescent="0.25">
      <c r="A2" s="7" t="s">
        <v>84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21" t="s">
        <v>85</v>
      </c>
      <c r="B3" s="48">
        <f>20000*6</f>
        <v>120000</v>
      </c>
      <c r="C3" s="48">
        <f>B3+B3*40%</f>
        <v>168000</v>
      </c>
      <c r="D3" s="48">
        <f>C3+C3*50%</f>
        <v>252000</v>
      </c>
      <c r="E3" s="48">
        <f>D3+D3*50%</f>
        <v>378000</v>
      </c>
      <c r="F3" s="21"/>
      <c r="G3" s="21"/>
      <c r="H3" s="21"/>
      <c r="I3" s="21"/>
    </row>
    <row r="4" spans="1:9" s="2" customFormat="1" x14ac:dyDescent="0.25">
      <c r="A4" s="7" t="s">
        <v>86</v>
      </c>
      <c r="B4" s="49"/>
      <c r="C4" s="7"/>
      <c r="D4" s="7"/>
      <c r="E4" s="7"/>
      <c r="F4" s="7"/>
      <c r="G4" s="7"/>
      <c r="H4" s="7"/>
      <c r="I4" s="7"/>
    </row>
    <row r="5" spans="1:9" x14ac:dyDescent="0.25">
      <c r="A5" s="21" t="s">
        <v>87</v>
      </c>
      <c r="B5" s="48">
        <f>[1]Ingresos!$F$3*3.5%</f>
        <v>65322.600000000006</v>
      </c>
      <c r="C5" s="48">
        <f>[1]Ingresos!$F$4*3.5%</f>
        <v>100789.08000000002</v>
      </c>
      <c r="D5" s="48">
        <f>[1]Ingresos!$F$5*3.5%</f>
        <v>196801.92000000001</v>
      </c>
      <c r="E5" s="48">
        <f>[1]Ingresos!$F$6*3.5%</f>
        <v>214423.86000000002</v>
      </c>
      <c r="F5" s="21"/>
      <c r="G5" s="21"/>
      <c r="H5" s="21"/>
      <c r="I5" s="21"/>
    </row>
    <row r="6" spans="1:9" s="2" customFormat="1" x14ac:dyDescent="0.25">
      <c r="A6" s="7" t="s">
        <v>88</v>
      </c>
      <c r="B6" s="49"/>
      <c r="C6" s="7"/>
      <c r="D6" s="7"/>
      <c r="E6" s="7"/>
      <c r="F6" s="7"/>
      <c r="G6" s="7"/>
      <c r="H6" s="7"/>
      <c r="I6" s="7"/>
    </row>
    <row r="7" spans="1:9" x14ac:dyDescent="0.25">
      <c r="A7" s="21" t="s">
        <v>89</v>
      </c>
      <c r="B7" s="48">
        <f>(((([1]Ingresos!H3-10000)*6/1000)+200)+37.5%*(([1]Ingresos!$H$3-10000)*6/1000)+200)*6</f>
        <v>17302.47</v>
      </c>
      <c r="C7" s="48">
        <f>(((([1]Ingresos!$H$4-10000)*6/1000)+200)+37.5%*(([1]Ingresos!$H$4-10000)*6/1000)+200)*6</f>
        <v>25662.425999999999</v>
      </c>
      <c r="D7" s="48">
        <f>(((([1]Ingresos!$H$5-10000)*6/1000)+200)+37.5%*(([1]Ingresos!$H$5-10000)*6/1000)+200)*6</f>
        <v>48294.024000000005</v>
      </c>
      <c r="E7" s="48">
        <f>(((([1]Ingresos!$H$6-10000)*6/1000)+200)+37.5%*(([1]Ingresos!$H$6-10000)*6/1000)+200)*6</f>
        <v>52447.767</v>
      </c>
      <c r="F7" s="21"/>
      <c r="G7" s="21"/>
      <c r="H7" s="21"/>
      <c r="I7" s="21"/>
    </row>
    <row r="8" spans="1:9" x14ac:dyDescent="0.25">
      <c r="A8" s="21" t="s">
        <v>90</v>
      </c>
      <c r="B8" s="48">
        <f>100*6</f>
        <v>600</v>
      </c>
      <c r="C8" s="48">
        <f>B8*1.2</f>
        <v>720</v>
      </c>
      <c r="D8" s="48">
        <f t="shared" ref="D8:E8" si="0">C8*1.2</f>
        <v>864</v>
      </c>
      <c r="E8" s="48">
        <f t="shared" si="0"/>
        <v>1036.8</v>
      </c>
      <c r="F8" s="21"/>
      <c r="G8" s="21"/>
      <c r="H8" s="21"/>
      <c r="I8" s="21"/>
    </row>
    <row r="9" spans="1:9" x14ac:dyDescent="0.25">
      <c r="A9" s="21" t="s">
        <v>91</v>
      </c>
      <c r="B9" s="48">
        <f>321.2*6</f>
        <v>1927.1999999999998</v>
      </c>
      <c r="C9" s="48">
        <f>B9*1.2</f>
        <v>2312.64</v>
      </c>
      <c r="D9" s="48">
        <f t="shared" ref="D9:E9" si="1">C9*1.2</f>
        <v>2775.1679999999997</v>
      </c>
      <c r="E9" s="48">
        <f t="shared" si="1"/>
        <v>3330.2015999999994</v>
      </c>
      <c r="F9" s="21"/>
      <c r="G9" s="21"/>
      <c r="H9" s="21"/>
      <c r="I9" s="21"/>
    </row>
    <row r="10" spans="1:9" x14ac:dyDescent="0.25">
      <c r="A10" s="21" t="s">
        <v>92</v>
      </c>
      <c r="B10" s="48">
        <f>343.75*6</f>
        <v>2062.5</v>
      </c>
      <c r="C10" s="48">
        <f>B10*1.2</f>
        <v>2475</v>
      </c>
      <c r="D10" s="48">
        <f t="shared" ref="D10:E10" si="2">C10*1.2</f>
        <v>2970</v>
      </c>
      <c r="E10" s="48">
        <f t="shared" si="2"/>
        <v>3564</v>
      </c>
      <c r="F10" s="21"/>
      <c r="G10" s="21"/>
      <c r="H10" s="21"/>
      <c r="I10" s="21"/>
    </row>
    <row r="11" spans="1:9" x14ac:dyDescent="0.25">
      <c r="A11" s="51" t="s">
        <v>37</v>
      </c>
      <c r="B11" s="52">
        <f>SUM(B3:B10)</f>
        <v>207214.77000000002</v>
      </c>
      <c r="C11" s="52">
        <f>SUM(C3:C10)</f>
        <v>299959.14600000001</v>
      </c>
      <c r="D11" s="52">
        <f>SUM(D3:D10)</f>
        <v>503705.11200000002</v>
      </c>
      <c r="E11" s="52">
        <f>SUM(E3:E10)</f>
        <v>652802.62860000005</v>
      </c>
      <c r="F11" s="50">
        <f>SUM(B11:E11)</f>
        <v>1663681.6566000001</v>
      </c>
    </row>
    <row r="20" spans="1:1" x14ac:dyDescent="0.25">
      <c r="A20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Costos Fijos</vt:lpstr>
      <vt:lpstr>Costos Variables</vt:lpstr>
      <vt:lpstr>Gastos Resultado</vt:lpstr>
      <vt:lpstr>Costos legales</vt:lpstr>
      <vt:lpstr>Estimacion de pedidos</vt:lpstr>
      <vt:lpstr>Remuneraciones</vt:lpstr>
      <vt:lpstr>Amortizaciones </vt:lpstr>
      <vt:lpstr>Impuestos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2016-03-12T02:53:20Z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590a5e0c-282b-40b7-8273-5f92911de023</vt:lpwstr>
  </property>
</Properties>
</file>