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/>
  </bookViews>
  <sheets>
    <sheet name="Tipo Ingreso" sheetId="2" r:id="rId1"/>
    <sheet name="Volumenes Ingresos" sheetId="3" r:id="rId2"/>
    <sheet name="Ingresos" sheetId="1" r:id="rId3"/>
    <sheet name="Ganancias" sheetId="5" r:id="rId4"/>
    <sheet name="Indicadores Financieros" sheetId="4" r:id="rId5"/>
  </sheets>
  <externalReferences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l="1"/>
  <c r="C3" i="1"/>
  <c r="B3" i="1"/>
  <c r="C9" i="2"/>
  <c r="D9" i="2" s="1"/>
  <c r="E9" i="2" s="1"/>
  <c r="C8" i="2"/>
  <c r="D8" i="2" s="1"/>
  <c r="E8" i="2" s="1"/>
  <c r="C7" i="2"/>
  <c r="D7" i="2" s="1"/>
  <c r="E7" i="2" s="1"/>
  <c r="C6" i="2"/>
  <c r="D6" i="2" s="1"/>
  <c r="C5" i="2"/>
  <c r="D4" i="1" s="1"/>
  <c r="C4" i="2"/>
  <c r="C4" i="1" s="1"/>
  <c r="C3" i="2"/>
  <c r="F3" i="1" l="1"/>
  <c r="E6" i="2"/>
  <c r="E6" i="1" s="1"/>
  <c r="E5" i="1"/>
  <c r="E4" i="1"/>
  <c r="D5" i="2"/>
  <c r="D4" i="2"/>
  <c r="D3" i="2"/>
  <c r="B5" i="1" s="1"/>
  <c r="B4" i="1"/>
  <c r="B14" i="4"/>
  <c r="H3" i="1" l="1"/>
  <c r="E5" i="2"/>
  <c r="D6" i="1" s="1"/>
  <c r="D5" i="1"/>
  <c r="E4" i="2"/>
  <c r="C6" i="1" s="1"/>
  <c r="C5" i="1"/>
  <c r="E3" i="2"/>
  <c r="B6" i="1" s="1"/>
  <c r="F4" i="1"/>
  <c r="C11" i="1" l="1"/>
  <c r="H4" i="1"/>
  <c r="B2" i="5"/>
  <c r="F6" i="1" l="1"/>
  <c r="F5" i="1"/>
  <c r="H6" i="1" l="1"/>
  <c r="H5" i="1"/>
  <c r="D11" i="1"/>
  <c r="C2" i="5" s="1"/>
  <c r="B3" i="5" l="1"/>
  <c r="B4" i="5" s="1"/>
  <c r="B5" i="5" s="1"/>
  <c r="B6" i="5" s="1"/>
  <c r="C3" i="4" s="1"/>
  <c r="C14" i="4" l="1"/>
  <c r="B18" i="4" l="1"/>
  <c r="C3" i="5" l="1"/>
  <c r="C4" i="5" s="1"/>
  <c r="C5" i="5" s="1"/>
  <c r="C6" i="5" s="1"/>
  <c r="D3" i="4" s="1"/>
  <c r="B9" i="4" s="1"/>
  <c r="B10" i="4" l="1"/>
  <c r="B17" i="4"/>
  <c r="C18" i="4" s="1"/>
  <c r="D14" i="4"/>
</calcChain>
</file>

<file path=xl/sharedStrings.xml><?xml version="1.0" encoding="utf-8"?>
<sst xmlns="http://schemas.openxmlformats.org/spreadsheetml/2006/main" count="61" uniqueCount="52">
  <si>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</si>
  <si>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</si>
  <si>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</si>
  <si>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</si>
  <si>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</si>
  <si>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</si>
  <si>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</si>
  <si>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</si>
  <si>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</si>
  <si>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</si>
  <si>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</si>
  <si>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</si>
  <si>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</si>
  <si>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</si>
  <si>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</si>
  <si>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</si>
  <si>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</si>
  <si>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</si>
  <si>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</si>
  <si>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</si>
  <si>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</si>
  <si>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</si>
  <si>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</si>
  <si>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</si>
  <si>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</si>
  <si>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</si>
  <si>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</si>
  <si>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</si>
  <si>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</si>
  <si>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</si>
  <si>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</si>
  <si>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</si>
  <si>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</si>
  <si>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</si>
  <si>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</si>
  <si>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</si>
  <si>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</si>
  <si>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</si>
  <si>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</si>
  <si>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</si>
  <si>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</si>
  <si>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</si>
  <si>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</si>
  <si>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</si>
  <si>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 le restó inflacion</t>
  </si>
  <si>
    <t>Semestre 2 -2016</t>
  </si>
  <si>
    <t>Semestre 2 -2017</t>
  </si>
  <si>
    <t>Semestre 1 -2017</t>
  </si>
  <si>
    <t>Precios</t>
  </si>
  <si>
    <t>IMP GANANCIAS</t>
  </si>
  <si>
    <t>por mes</t>
  </si>
  <si>
    <t>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</si>
</sst>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0" borderId="0" xfId="0" applyBorder="1"/>
    <xf numFmtId="0" fontId="0" fillId="5" borderId="9" xfId="0" applyFill="1" applyBorder="1"/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Gastos Resultado"/>
      <sheetName val="Costos legales"/>
      <sheetName val="Estimacion de pedidos"/>
      <sheetName val="Remuneraciones"/>
      <sheetName val="Amortizaciones "/>
      <sheetName val="Impuestos"/>
    </sheetNames>
    <sheetDataSet>
      <sheetData sheetId="0"/>
      <sheetData sheetId="1"/>
      <sheetData sheetId="2">
        <row r="4">
          <cell r="B4">
            <v>4822844.05</v>
          </cell>
          <cell r="C4">
            <v>8767153.8409200013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" sqref="H2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43" t="s">
        <v>48</v>
      </c>
      <c r="C1" s="44"/>
      <c r="D1" s="44"/>
      <c r="E1" s="45"/>
    </row>
    <row r="2" spans="1:9" x14ac:dyDescent="0.25">
      <c r="A2" s="13" t="s">
        <v>19</v>
      </c>
      <c r="B2" s="13" t="s">
        <v>25</v>
      </c>
      <c r="C2" s="13" t="s">
        <v>45</v>
      </c>
      <c r="D2" s="13" t="s">
        <v>47</v>
      </c>
      <c r="E2" s="13" t="s">
        <v>46</v>
      </c>
      <c r="G2" s="13" t="s">
        <v>23</v>
      </c>
      <c r="H2" s="27">
        <v>0.22</v>
      </c>
    </row>
    <row r="3" spans="1:9" x14ac:dyDescent="0.25">
      <c r="A3" s="25" t="s">
        <v>5</v>
      </c>
      <c r="B3" s="28">
        <v>16000</v>
      </c>
      <c r="C3" s="28">
        <f>B3+$B$3*$H$2</f>
        <v>19520</v>
      </c>
      <c r="D3" s="8">
        <f>C3+$B$3*$H$2</f>
        <v>23040</v>
      </c>
      <c r="E3" s="8">
        <f t="shared" ref="E3" si="0">D3+$B$3*$H$2</f>
        <v>26560</v>
      </c>
      <c r="I3" s="14"/>
    </row>
    <row r="4" spans="1:9" x14ac:dyDescent="0.25">
      <c r="A4" s="7" t="s">
        <v>6</v>
      </c>
      <c r="B4" s="28">
        <v>19700</v>
      </c>
      <c r="C4" s="28">
        <f>B4+$B$4*$H$2</f>
        <v>24034</v>
      </c>
      <c r="D4" s="8">
        <f t="shared" ref="D4:E4" si="1">C4+$B$4*$H$2</f>
        <v>28368</v>
      </c>
      <c r="E4" s="8">
        <f t="shared" si="1"/>
        <v>32702</v>
      </c>
      <c r="I4" s="14"/>
    </row>
    <row r="5" spans="1:9" x14ac:dyDescent="0.25">
      <c r="A5" s="7" t="s">
        <v>7</v>
      </c>
      <c r="B5" s="28">
        <v>16</v>
      </c>
      <c r="C5" s="28">
        <f>B5+$B$5*$H$2</f>
        <v>19.52</v>
      </c>
      <c r="D5" s="8">
        <f t="shared" ref="D5:E5" si="2">C5+$B$5*$H$2</f>
        <v>23.04</v>
      </c>
      <c r="E5" s="8">
        <f t="shared" si="2"/>
        <v>26.56</v>
      </c>
      <c r="I5" s="14"/>
    </row>
    <row r="6" spans="1:9" x14ac:dyDescent="0.25">
      <c r="A6" s="7" t="s">
        <v>8</v>
      </c>
      <c r="B6" s="28">
        <v>2000</v>
      </c>
      <c r="C6" s="28">
        <f>B6+$B$6*$H$2</f>
        <v>2440</v>
      </c>
      <c r="D6" s="8">
        <f t="shared" ref="D6:E6" si="3">C6+$B$6*$H$2</f>
        <v>2880</v>
      </c>
      <c r="E6" s="8">
        <f t="shared" si="3"/>
        <v>3320</v>
      </c>
      <c r="I6" s="14"/>
    </row>
    <row r="7" spans="1:9" x14ac:dyDescent="0.25">
      <c r="A7" s="7" t="s">
        <v>9</v>
      </c>
      <c r="B7" s="28">
        <v>7500</v>
      </c>
      <c r="C7" s="28">
        <f>B7+$B$7*$H$2</f>
        <v>9150</v>
      </c>
      <c r="D7" s="8">
        <f t="shared" ref="D7:E7" si="4">C7+$B$7*$H$2</f>
        <v>10800</v>
      </c>
      <c r="E7" s="8">
        <f t="shared" si="4"/>
        <v>12450</v>
      </c>
    </row>
    <row r="8" spans="1:9" x14ac:dyDescent="0.25">
      <c r="A8" s="7" t="s">
        <v>10</v>
      </c>
      <c r="B8" s="28">
        <v>1000</v>
      </c>
      <c r="C8" s="28">
        <f>B8+$B$8*$H$2</f>
        <v>1220</v>
      </c>
      <c r="D8" s="8">
        <f t="shared" ref="D8:E8" si="5">C8+$B$8*$H$2</f>
        <v>1440</v>
      </c>
      <c r="E8" s="8">
        <f t="shared" si="5"/>
        <v>1660</v>
      </c>
    </row>
    <row r="9" spans="1:9" x14ac:dyDescent="0.25">
      <c r="A9" s="7" t="s">
        <v>11</v>
      </c>
      <c r="B9" s="28">
        <v>3300</v>
      </c>
      <c r="C9" s="28">
        <f>B9+$B$9*$H$2</f>
        <v>4026</v>
      </c>
      <c r="D9" s="8">
        <f t="shared" ref="D9:E9" si="6">C9+$B$9*$H$2</f>
        <v>4752</v>
      </c>
      <c r="E9" s="8">
        <f t="shared" si="6"/>
        <v>5478</v>
      </c>
    </row>
    <row r="10" spans="1:9" x14ac:dyDescent="0.25">
      <c r="A10" s="24"/>
      <c r="B10" s="24"/>
      <c r="C10" s="24"/>
      <c r="D10" s="24"/>
      <c r="E10" s="24"/>
    </row>
    <row r="13" spans="1:9" x14ac:dyDescent="0.25">
      <c r="D13" s="2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6" sqref="D6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47" t="s">
        <v>19</v>
      </c>
      <c r="C1" s="47"/>
      <c r="D1" s="47"/>
      <c r="E1" s="47"/>
      <c r="F1" s="47"/>
      <c r="G1" s="47"/>
      <c r="H1" s="47"/>
    </row>
    <row r="2" spans="1:9" ht="45" customHeight="1" x14ac:dyDescent="0.25">
      <c r="A2" s="9" t="s">
        <v>0</v>
      </c>
      <c r="B2" s="46" t="s">
        <v>1</v>
      </c>
      <c r="C2" s="46"/>
      <c r="D2" s="46"/>
      <c r="E2" s="46" t="s">
        <v>2</v>
      </c>
      <c r="F2" s="46"/>
      <c r="G2" s="46"/>
      <c r="H2" s="46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11</v>
      </c>
      <c r="C4" s="17">
        <v>4</v>
      </c>
      <c r="D4" s="17">
        <v>1560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9</v>
      </c>
      <c r="C5" s="17">
        <v>6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23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2100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  <col min="8" max="8" width="13.140625" bestFit="1" customWidth="1"/>
  </cols>
  <sheetData>
    <row r="1" spans="1:9" x14ac:dyDescent="0.25">
      <c r="B1" s="48" t="s">
        <v>19</v>
      </c>
      <c r="C1" s="48"/>
      <c r="D1" s="48"/>
      <c r="E1" s="48"/>
      <c r="F1" s="48"/>
    </row>
    <row r="2" spans="1:9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  <c r="H2" s="4" t="s">
        <v>50</v>
      </c>
    </row>
    <row r="3" spans="1:9" x14ac:dyDescent="0.25">
      <c r="A3" s="15" t="s">
        <v>25</v>
      </c>
      <c r="B3" s="16">
        <f>('Tipo Ingreso'!B3*'Volumenes Ingresos'!B4)*6</f>
        <v>1056000</v>
      </c>
      <c r="C3" s="16">
        <f>('Tipo Ingreso'!B4*'Volumenes Ingresos'!C4)*6</f>
        <v>472800</v>
      </c>
      <c r="D3" s="16">
        <f>('Tipo Ingreso'!B5*'Volumenes Ingresos'!D4)</f>
        <v>24960</v>
      </c>
      <c r="E3" s="16">
        <f>(('Tipo Ingreso'!B6*'Volumenes Ingresos'!E4)+('Tipo Ingreso'!B7*'Volumenes Ingresos'!F4)+('Tipo Ingreso'!B8*'Volumenes Ingresos'!G4)+('Tipo Ingreso'!B9*'Volumenes Ingresos'!H4))*6</f>
        <v>357000</v>
      </c>
      <c r="F3" s="30">
        <f>SUM(B3:E3)</f>
        <v>1910760</v>
      </c>
      <c r="H3" s="30">
        <f>F3/6</f>
        <v>318460</v>
      </c>
    </row>
    <row r="4" spans="1:9" x14ac:dyDescent="0.25">
      <c r="A4" s="15" t="s">
        <v>26</v>
      </c>
      <c r="B4" s="16">
        <f>('Tipo Ingreso'!C3*'Volumenes Ingresos'!B5)*6</f>
        <v>1054080</v>
      </c>
      <c r="C4" s="16">
        <f>6*'Tipo Ingreso'!C4*'Volumenes Ingresos'!C5</f>
        <v>865224</v>
      </c>
      <c r="D4" s="16">
        <f>('Tipo Ingreso'!C5*'Volumenes Ingresos'!D5)*6</f>
        <v>351360</v>
      </c>
      <c r="E4" s="16">
        <f>(('Tipo Ingreso'!C6*'Volumenes Ingresos'!E5)+('Tipo Ingreso'!C7*'Volumenes Ingresos'!F5)+('Tipo Ingreso'!C8*'Volumenes Ingresos'!G5)+('Tipo Ingreso'!C9*'Volumenes Ingresos'!H5))*6</f>
        <v>663192</v>
      </c>
      <c r="F4" s="30">
        <f>SUM(B4:E4)</f>
        <v>2933856</v>
      </c>
      <c r="H4" s="30">
        <f t="shared" ref="H4:H5" si="0">F4/6</f>
        <v>488976</v>
      </c>
    </row>
    <row r="5" spans="1:9" x14ac:dyDescent="0.25">
      <c r="A5" s="5" t="s">
        <v>27</v>
      </c>
      <c r="B5" s="8">
        <f>('Tipo Ingreso'!D3*'Volumenes Ingresos'!B6)*6</f>
        <v>3179520</v>
      </c>
      <c r="C5" s="8">
        <f>'Tipo Ingreso'!D4*'Volumenes Ingresos'!C6*6</f>
        <v>1191456</v>
      </c>
      <c r="D5" s="8">
        <f>('Tipo Ingreso'!D5*'Volumenes Ingresos'!D6)*6</f>
        <v>552960</v>
      </c>
      <c r="E5" s="8">
        <f>(('Tipo Ingreso'!D6*'Volumenes Ingresos'!E6)+('Tipo Ingreso'!D7*'Volumenes Ingresos'!F6)+('Tipo Ingreso'!D8*'Volumenes Ingresos'!G6)+('Tipo Ingreso'!D9*'Volumenes Ingresos'!H6))*6</f>
        <v>698976</v>
      </c>
      <c r="F5" s="30">
        <f>SUM(B5:E5)</f>
        <v>5622912</v>
      </c>
      <c r="H5" s="30">
        <f t="shared" si="0"/>
        <v>937152</v>
      </c>
      <c r="I5" s="26"/>
    </row>
    <row r="6" spans="1:9" x14ac:dyDescent="0.25">
      <c r="A6" s="5" t="s">
        <v>28</v>
      </c>
      <c r="B6" s="8">
        <f>('Tipo Ingreso'!E3*'Volumenes Ingresos'!B7)*6</f>
        <v>3346560</v>
      </c>
      <c r="C6" s="8">
        <f>'Tipo Ingreso'!E4*'Volumenes Ingresos'!C7*6</f>
        <v>1765908</v>
      </c>
      <c r="D6" s="8">
        <f>('Tipo Ingreso'!E5*'Volumenes Ingresos'!D7)*6</f>
        <v>334656</v>
      </c>
      <c r="E6" s="8">
        <f>(('Tipo Ingreso'!E6*'Volumenes Ingresos'!E7)+('Tipo Ingreso'!E7*'Volumenes Ingresos'!F7)+('Tipo Ingreso'!E8*'Volumenes Ingresos'!G7)+('Tipo Ingreso'!E9*'Volumenes Ingresos'!H7))*6</f>
        <v>679272</v>
      </c>
      <c r="F6" s="30">
        <f>SUM(B6:E6)</f>
        <v>6126396</v>
      </c>
      <c r="H6" s="30">
        <f>F6/6</f>
        <v>1021066</v>
      </c>
    </row>
    <row r="10" spans="1:9" ht="15.75" thickBot="1" x14ac:dyDescent="0.3">
      <c r="B10" s="20" t="s">
        <v>22</v>
      </c>
      <c r="C10" s="21">
        <v>2016</v>
      </c>
      <c r="D10" s="22">
        <v>2017</v>
      </c>
    </row>
    <row r="11" spans="1:9" ht="16.5" thickTop="1" thickBot="1" x14ac:dyDescent="0.3">
      <c r="B11" s="23" t="s">
        <v>30</v>
      </c>
      <c r="C11" s="31">
        <f>SUM(F3:F4)</f>
        <v>4844616</v>
      </c>
      <c r="D11" s="32">
        <f>SUM(F5:F6)</f>
        <v>11749308</v>
      </c>
    </row>
    <row r="12" spans="1:9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" sqref="C3"/>
    </sheetView>
  </sheetViews>
  <sheetFormatPr baseColWidth="10" defaultRowHeight="15" x14ac:dyDescent="0.25"/>
  <cols>
    <col min="1" max="1" width="13.42578125" bestFit="1" customWidth="1"/>
    <col min="2" max="3" width="13.85546875" bestFit="1" customWidth="1"/>
    <col min="7" max="7" width="15.5703125" bestFit="1" customWidth="1"/>
  </cols>
  <sheetData>
    <row r="1" spans="1:8" x14ac:dyDescent="0.25">
      <c r="A1" s="10"/>
      <c r="B1" s="38" t="s">
        <v>31</v>
      </c>
      <c r="C1" s="38" t="s">
        <v>32</v>
      </c>
    </row>
    <row r="2" spans="1:8" x14ac:dyDescent="0.25">
      <c r="A2" s="33" t="s">
        <v>34</v>
      </c>
      <c r="B2" s="8">
        <f>Ingresos!C11</f>
        <v>4844616</v>
      </c>
      <c r="C2" s="8">
        <f>Ingresos!D11</f>
        <v>11749308</v>
      </c>
    </row>
    <row r="3" spans="1:8" x14ac:dyDescent="0.25">
      <c r="A3" s="34" t="s">
        <v>35</v>
      </c>
      <c r="B3" s="29">
        <f>'[1]Gastos Resultado'!$B$4</f>
        <v>4822844.05</v>
      </c>
      <c r="C3" s="29">
        <f>'[1]Gastos Resultado'!$C$4</f>
        <v>8767153.8409200013</v>
      </c>
      <c r="G3" t="s">
        <v>49</v>
      </c>
      <c r="H3" s="14">
        <v>0.35</v>
      </c>
    </row>
    <row r="4" spans="1:8" x14ac:dyDescent="0.25">
      <c r="A4" s="35" t="s">
        <v>36</v>
      </c>
      <c r="B4" s="36">
        <f>B2-B3</f>
        <v>21771.950000000186</v>
      </c>
      <c r="C4" s="36">
        <f>C2-C3</f>
        <v>2982154.1590799987</v>
      </c>
    </row>
    <row r="5" spans="1:8" ht="15.75" thickBot="1" x14ac:dyDescent="0.3">
      <c r="A5" s="37" t="s">
        <v>37</v>
      </c>
      <c r="B5" s="40">
        <f>-(B4*H3)</f>
        <v>-7620.1825000000645</v>
      </c>
      <c r="C5" s="40">
        <f>-(C4*H3)</f>
        <v>-1043753.9556779995</v>
      </c>
    </row>
    <row r="6" spans="1:8" ht="16.5" thickTop="1" thickBot="1" x14ac:dyDescent="0.3">
      <c r="A6" s="39" t="s">
        <v>33</v>
      </c>
      <c r="B6" s="41">
        <f>SUM(B4:B5)</f>
        <v>14151.767500000122</v>
      </c>
      <c r="C6" s="42">
        <f>SUM(C4:C5)</f>
        <v>1938400.2034019991</v>
      </c>
    </row>
    <row r="7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B20" sqref="B20"/>
    </sheetView>
  </sheetViews>
  <sheetFormatPr baseColWidth="10" defaultRowHeight="15" x14ac:dyDescent="0.25"/>
  <cols>
    <col min="2" max="2" width="13.140625" bestFit="1" customWidth="1"/>
    <col min="3" max="3" width="13.7109375" customWidth="1"/>
    <col min="4" max="4" width="15.85546875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26">
        <v>-358000</v>
      </c>
      <c r="C3" s="26">
        <f>Ganancias!B6</f>
        <v>14151.767500000122</v>
      </c>
      <c r="D3" s="26">
        <f>Ganancias!C6-Ganancias!C6*0.6</f>
        <v>775360.08136079973</v>
      </c>
      <c r="E3" t="s">
        <v>44</v>
      </c>
    </row>
    <row r="4" spans="1:9" x14ac:dyDescent="0.25">
      <c r="H4" t="s">
        <v>38</v>
      </c>
      <c r="I4" s="19">
        <v>0.23400000000000001</v>
      </c>
    </row>
    <row r="9" spans="1:9" x14ac:dyDescent="0.25">
      <c r="A9" t="s">
        <v>39</v>
      </c>
      <c r="B9" s="18">
        <f>NPV(I4,C3:D3)+B3</f>
        <v>162650.296210161</v>
      </c>
    </row>
    <row r="10" spans="1:9" x14ac:dyDescent="0.25">
      <c r="A10" t="s">
        <v>40</v>
      </c>
      <c r="B10" s="19">
        <f>IRR(B3:D3)</f>
        <v>0.49156697476814148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41</v>
      </c>
      <c r="B14">
        <f>B3</f>
        <v>-358000</v>
      </c>
      <c r="C14">
        <f>B14+C3</f>
        <v>-343848.23249999987</v>
      </c>
      <c r="D14">
        <f>C14+D3</f>
        <v>431511.84886079986</v>
      </c>
    </row>
    <row r="16" spans="1:9" x14ac:dyDescent="0.25">
      <c r="C16" t="s">
        <v>42</v>
      </c>
    </row>
    <row r="17" spans="2:3" x14ac:dyDescent="0.25">
      <c r="B17">
        <f>D3</f>
        <v>775360.08136079973</v>
      </c>
      <c r="C17">
        <v>12</v>
      </c>
    </row>
    <row r="18" spans="2:3" x14ac:dyDescent="0.25">
      <c r="B18">
        <f>-(C14)</f>
        <v>343848.23249999987</v>
      </c>
      <c r="C18">
        <f>(B18*C17)/B17</f>
        <v>5.3216291232820847</v>
      </c>
    </row>
    <row r="20" spans="2:3" x14ac:dyDescent="0.25">
      <c r="B20" t="s">
        <v>43</v>
      </c>
      <c r="C20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Tipo Ingreso</vt:lpstr>
      <vt:lpstr>Volumenes Ingresos</vt:lpstr>
      <vt:lpstr>Ingresos</vt:lpstr>
      <vt:lpstr>Ganancias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2016-02-23T00:28:20Z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