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stos Fijos" sheetId="1" r:id="rId1"/>
    <sheet name="Costos Variables" sheetId="2" r:id="rId2"/>
    <sheet name="Costos legales" sheetId="8" r:id="rId3"/>
    <sheet name="Estimacion de pedidos" sheetId="7" r:id="rId4"/>
    <sheet name="Remuneraciones" sheetId="3" r:id="rId5"/>
    <sheet name="Amortizaciones " sheetId="5" r:id="rId6"/>
    <sheet name="Depreciaciones" sheetId="4" r:id="rId7"/>
    <sheet name="Impuestos" sheetId="6" r:id="rId8"/>
  </sheets>
  <externalReferences>
    <externalReference r:id="rId9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11" i="2" l="1"/>
  <c r="D11" i="2"/>
  <c r="C11" i="2"/>
  <c r="H10" i="8"/>
  <c r="G10" i="8"/>
  <c r="F10" i="8"/>
  <c r="E10" i="8"/>
  <c r="D10" i="8"/>
  <c r="C10" i="8"/>
  <c r="B10" i="8"/>
  <c r="G9" i="8"/>
  <c r="F9" i="8"/>
  <c r="E9" i="8"/>
  <c r="D9" i="8"/>
  <c r="C9" i="8"/>
  <c r="B9" i="8"/>
  <c r="H8" i="8"/>
  <c r="G8" i="8"/>
  <c r="F8" i="8"/>
  <c r="E8" i="8"/>
  <c r="D8" i="8"/>
  <c r="C8" i="8"/>
  <c r="B8" i="8"/>
  <c r="G7" i="8"/>
  <c r="F7" i="8"/>
  <c r="E7" i="8"/>
  <c r="D7" i="8"/>
  <c r="C7" i="8"/>
  <c r="B7" i="8"/>
  <c r="H6" i="8"/>
  <c r="G6" i="8"/>
  <c r="F6" i="8"/>
  <c r="E6" i="8"/>
  <c r="D6" i="8"/>
  <c r="C6" i="8"/>
  <c r="B5" i="8"/>
  <c r="B6" i="8"/>
  <c r="G5" i="8"/>
  <c r="F5" i="8"/>
  <c r="E5" i="8"/>
  <c r="D5" i="8"/>
  <c r="C5" i="8"/>
  <c r="F4" i="8"/>
  <c r="E4" i="8"/>
  <c r="B4" i="8"/>
  <c r="H4" i="8" s="1"/>
  <c r="B11" i="2" s="1"/>
  <c r="G3" i="8"/>
  <c r="G4" i="8" s="1"/>
  <c r="F3" i="8"/>
  <c r="E3" i="8"/>
  <c r="D3" i="8"/>
  <c r="D4" i="8" s="1"/>
  <c r="C3" i="8"/>
  <c r="C4" i="8" s="1"/>
  <c r="B3" i="8"/>
  <c r="C7" i="2" l="1"/>
  <c r="D7" i="2" s="1"/>
  <c r="E7" i="2" s="1"/>
  <c r="B6" i="2"/>
  <c r="C6" i="2" s="1"/>
  <c r="D6" i="2" s="1"/>
  <c r="E6" i="2" s="1"/>
  <c r="B5" i="7"/>
  <c r="D4" i="2"/>
  <c r="E3" i="2"/>
  <c r="E8" i="2" s="1"/>
  <c r="C3" i="2"/>
  <c r="C8" i="2" s="1"/>
  <c r="D8" i="2" l="1"/>
  <c r="B8" i="2"/>
  <c r="B7" i="2"/>
  <c r="B26" i="1" l="1"/>
  <c r="D26" i="1"/>
  <c r="G24" i="1"/>
  <c r="E24" i="1"/>
  <c r="D24" i="1"/>
  <c r="C24" i="1"/>
  <c r="B24" i="1"/>
  <c r="E23" i="1"/>
  <c r="D23" i="1"/>
  <c r="C23" i="1"/>
  <c r="B23" i="1"/>
  <c r="E18" i="1"/>
  <c r="D18" i="1"/>
  <c r="C18" i="1"/>
  <c r="B18" i="1"/>
  <c r="B5" i="1"/>
  <c r="C5" i="1" s="1"/>
  <c r="D5" i="1" s="1"/>
  <c r="E5" i="1" s="1"/>
  <c r="E9" i="1" s="1"/>
  <c r="B4" i="1"/>
  <c r="C4" i="1" s="1"/>
  <c r="D4" i="1" s="1"/>
  <c r="E4" i="1" s="1"/>
  <c r="B11" i="1"/>
  <c r="C11" i="1" s="1"/>
  <c r="D11" i="1" s="1"/>
  <c r="E11" i="1" s="1"/>
  <c r="I19" i="3"/>
  <c r="I25" i="3"/>
  <c r="D22" i="1"/>
  <c r="D20" i="1"/>
  <c r="E20" i="1"/>
  <c r="C20" i="1"/>
  <c r="B21" i="1"/>
  <c r="C21" i="1" s="1"/>
  <c r="D21" i="1" s="1"/>
  <c r="E21" i="1" s="1"/>
  <c r="C16" i="1"/>
  <c r="D16" i="1" s="1"/>
  <c r="E16" i="1" s="1"/>
  <c r="C15" i="1"/>
  <c r="D15" i="1" s="1"/>
  <c r="E15" i="1" s="1"/>
  <c r="C7" i="1"/>
  <c r="D7" i="1" s="1"/>
  <c r="E7" i="1" s="1"/>
  <c r="C3" i="1"/>
  <c r="D3" i="1" s="1"/>
  <c r="E3" i="1" s="1"/>
  <c r="B6" i="1"/>
  <c r="C6" i="1" s="1"/>
  <c r="D6" i="1" s="1"/>
  <c r="E6" i="1" s="1"/>
  <c r="B16" i="1"/>
  <c r="I8" i="3"/>
  <c r="B12" i="1"/>
  <c r="C12" i="1" s="1"/>
  <c r="D12" i="1" s="1"/>
  <c r="E12" i="1" s="1"/>
  <c r="B15" i="1"/>
  <c r="B14" i="1"/>
  <c r="C14" i="1" s="1"/>
  <c r="D14" i="1" s="1"/>
  <c r="E14" i="1" s="1"/>
  <c r="B13" i="1"/>
  <c r="C13" i="1" s="1"/>
  <c r="D13" i="1" s="1"/>
  <c r="E13" i="1" s="1"/>
  <c r="B8" i="1"/>
  <c r="C8" i="1" s="1"/>
  <c r="D8" i="1" s="1"/>
  <c r="E8" i="1" s="1"/>
  <c r="B9" i="1" l="1"/>
  <c r="C9" i="1"/>
  <c r="D9" i="1"/>
  <c r="I12" i="3"/>
  <c r="I11" i="3"/>
  <c r="I16" i="3"/>
  <c r="I17" i="3" s="1"/>
  <c r="I22" i="3"/>
  <c r="I23" i="3"/>
  <c r="I24" i="3"/>
  <c r="I21" i="3"/>
  <c r="I20" i="3"/>
  <c r="I13" i="3"/>
  <c r="XFD13" i="3" s="1"/>
  <c r="I7" i="3"/>
  <c r="I4" i="3"/>
  <c r="I3" i="3"/>
  <c r="I5" i="3" s="1"/>
  <c r="I9" i="3" l="1"/>
  <c r="I26" i="3" s="1"/>
  <c r="I14" i="3"/>
</calcChain>
</file>

<file path=xl/sharedStrings.xml><?xml version="1.0" encoding="utf-8"?>
<sst xmlns="http://schemas.openxmlformats.org/spreadsheetml/2006/main" count="130" uniqueCount="102">
  <si>
    <t>Hosting</t>
  </si>
  <si>
    <t>Plan de internet</t>
  </si>
  <si>
    <t>Luz</t>
  </si>
  <si>
    <t>Diseño</t>
  </si>
  <si>
    <t>Combustible</t>
  </si>
  <si>
    <t>Patente</t>
  </si>
  <si>
    <t>Github privado</t>
  </si>
  <si>
    <t>Viaticos</t>
  </si>
  <si>
    <t>Insumos (Tonner, tickets, papel)</t>
  </si>
  <si>
    <t>Costos de Producción</t>
  </si>
  <si>
    <t>Costo de producción</t>
  </si>
  <si>
    <t>Costos Administrativos</t>
  </si>
  <si>
    <t>Seguros</t>
  </si>
  <si>
    <t>Costos Comercialización y ventas</t>
  </si>
  <si>
    <t>Gastos de representación (invitaciones, Agazajos)</t>
  </si>
  <si>
    <t>Fiesta de celebración</t>
  </si>
  <si>
    <t xml:space="preserve">Nueva publicidad </t>
  </si>
  <si>
    <t>Descripción</t>
  </si>
  <si>
    <t>Semestre 1 - 2016</t>
  </si>
  <si>
    <t>Semestre 1 - 2017</t>
  </si>
  <si>
    <t>Semestre 2 - 2016</t>
  </si>
  <si>
    <t>Semestre 2 - 2017</t>
  </si>
  <si>
    <t>Cotización Dolar</t>
  </si>
  <si>
    <t>Puesto</t>
  </si>
  <si>
    <t>Salario Neto</t>
  </si>
  <si>
    <t>Subsistema Entrepeneur</t>
  </si>
  <si>
    <t>Córdoba Pablo</t>
  </si>
  <si>
    <t>Domingues Jacobo</t>
  </si>
  <si>
    <t>Subsistema Gerencial</t>
  </si>
  <si>
    <t>Gerente General</t>
  </si>
  <si>
    <t>Equipo de Desarrollo</t>
  </si>
  <si>
    <t>Lider de Desarrollo</t>
  </si>
  <si>
    <t>Front-End</t>
  </si>
  <si>
    <t>Back-End</t>
  </si>
  <si>
    <t>Equipo de Marketing</t>
  </si>
  <si>
    <t>Lider de Marketing</t>
  </si>
  <si>
    <t>Equipo de Logística</t>
  </si>
  <si>
    <t>Lider de Logística</t>
  </si>
  <si>
    <t>Cadete 1</t>
  </si>
  <si>
    <t>Cadete 2</t>
  </si>
  <si>
    <t>Cadete 3</t>
  </si>
  <si>
    <t>Cadete 4</t>
  </si>
  <si>
    <t>Cadete 5</t>
  </si>
  <si>
    <t>TOTAL</t>
  </si>
  <si>
    <t>SUBTOTAL</t>
  </si>
  <si>
    <t>Aporte SEG social + Jubilación</t>
  </si>
  <si>
    <t>Aporte Obra Social</t>
  </si>
  <si>
    <t>Cuota Sindical</t>
  </si>
  <si>
    <t>Adicionales *</t>
  </si>
  <si>
    <t>Ley 19072</t>
  </si>
  <si>
    <t xml:space="preserve">* Corresponde a los extras asignados por los diferentes sindicatos, colegios, uniones etc </t>
  </si>
  <si>
    <t>Alquiler</t>
  </si>
  <si>
    <t xml:space="preserve">Teléfono </t>
  </si>
  <si>
    <t xml:space="preserve">Alumbrado y barrido Publico  </t>
  </si>
  <si>
    <t>Recepcionista</t>
  </si>
  <si>
    <t>Salario Bruto</t>
  </si>
  <si>
    <t>Inflación (Por semestre)</t>
  </si>
  <si>
    <t>Valor Actual</t>
  </si>
  <si>
    <t>Vida Útil</t>
  </si>
  <si>
    <t>Amortización Anual</t>
  </si>
  <si>
    <t>Depreciación Anual</t>
  </si>
  <si>
    <t>Bien</t>
  </si>
  <si>
    <t>Concepto</t>
  </si>
  <si>
    <t>Valor</t>
  </si>
  <si>
    <t>Taller</t>
  </si>
  <si>
    <t>Publicidad AudioVisual</t>
  </si>
  <si>
    <t>Folleteria General</t>
  </si>
  <si>
    <t>EcoGift</t>
  </si>
  <si>
    <t>Motos (Compra)</t>
  </si>
  <si>
    <t>Salario(Entrepeneur,Gte General, Admin,Lider Logistica)</t>
  </si>
  <si>
    <t>Salario (Desarrollo,Marketing)</t>
  </si>
  <si>
    <t>Salario (Cadetes)</t>
  </si>
  <si>
    <t>Asesoría Contable</t>
  </si>
  <si>
    <t>??????</t>
  </si>
  <si>
    <t>Inflación</t>
  </si>
  <si>
    <t>???fijo o variable?</t>
  </si>
  <si>
    <t>Consumo por km</t>
  </si>
  <si>
    <t>Precio de combustible</t>
  </si>
  <si>
    <t>Periodo</t>
  </si>
  <si>
    <t>% estimado de pedidos</t>
  </si>
  <si>
    <t>Estimado estandar de pedidos por semestre año 1</t>
  </si>
  <si>
    <t>Estimado estandar de pedidos por semestre año 2</t>
  </si>
  <si>
    <t>Medidas estimadas</t>
  </si>
  <si>
    <t>Porcentajes estimados</t>
  </si>
  <si>
    <t>Estimado Km por pedido en promedio</t>
  </si>
  <si>
    <t>????????</t>
  </si>
  <si>
    <t>Asesoría Legal</t>
  </si>
  <si>
    <t xml:space="preserve">Asesoría legal </t>
  </si>
  <si>
    <t>JUS</t>
  </si>
  <si>
    <t>Calculo asesoría legal</t>
  </si>
  <si>
    <t>Semestre 1 -2016</t>
  </si>
  <si>
    <t>Semestre 2 -2016</t>
  </si>
  <si>
    <t>Semestre 1 -2017</t>
  </si>
  <si>
    <t>Semestre 2 -2017</t>
  </si>
  <si>
    <t>Estandar</t>
  </si>
  <si>
    <t xml:space="preserve">Premiun </t>
  </si>
  <si>
    <t>Home semanal</t>
  </si>
  <si>
    <t>Home mensual</t>
  </si>
  <si>
    <t xml:space="preserve">E-mail semanal </t>
  </si>
  <si>
    <t>E-mail Mensual</t>
  </si>
  <si>
    <t>Costo de asesoría legal=</t>
  </si>
  <si>
    <t>Valor asesoría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</si>
</sst>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C0A]\ #,##0.00"/>
    <numFmt numFmtId="165" formatCode="[$$-2C0A]#,##0.00"/>
    <numFmt numFmtId="166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7" borderId="0" xfId="0" applyFill="1"/>
    <xf numFmtId="164" fontId="0" fillId="7" borderId="0" xfId="0" applyNumberFormat="1" applyFill="1"/>
    <xf numFmtId="164" fontId="0" fillId="6" borderId="1" xfId="0" applyNumberFormat="1" applyFill="1" applyBorder="1"/>
    <xf numFmtId="0" fontId="0" fillId="6" borderId="0" xfId="0" applyFill="1"/>
    <xf numFmtId="0" fontId="0" fillId="6" borderId="2" xfId="0" applyFill="1" applyBorder="1"/>
    <xf numFmtId="164" fontId="0" fillId="6" borderId="2" xfId="0" applyNumberFormat="1" applyFill="1" applyBorder="1"/>
    <xf numFmtId="164" fontId="0" fillId="4" borderId="1" xfId="0" applyNumberFormat="1" applyFill="1" applyBorder="1"/>
    <xf numFmtId="0" fontId="1" fillId="2" borderId="2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  <xf numFmtId="9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164" fontId="2" fillId="10" borderId="0" xfId="0" applyNumberFormat="1" applyFont="1" applyFill="1"/>
    <xf numFmtId="0" fontId="2" fillId="9" borderId="0" xfId="0" applyFont="1" applyFill="1" applyBorder="1"/>
    <xf numFmtId="164" fontId="2" fillId="9" borderId="0" xfId="0" applyNumberFormat="1" applyFont="1" applyFill="1" applyBorder="1"/>
    <xf numFmtId="0" fontId="2" fillId="10" borderId="0" xfId="0" applyFont="1" applyFill="1" applyBorder="1"/>
    <xf numFmtId="164" fontId="2" fillId="10" borderId="0" xfId="0" applyNumberFormat="1" applyFont="1" applyFill="1" applyBorder="1"/>
    <xf numFmtId="0" fontId="0" fillId="4" borderId="4" xfId="0" applyFill="1" applyBorder="1"/>
    <xf numFmtId="164" fontId="0" fillId="2" borderId="4" xfId="0" applyNumberFormat="1" applyFill="1" applyBorder="1"/>
    <xf numFmtId="0" fontId="0" fillId="4" borderId="0" xfId="0" applyFill="1" applyBorder="1"/>
    <xf numFmtId="0" fontId="1" fillId="2" borderId="0" xfId="0" applyFont="1" applyFill="1" applyBorder="1"/>
    <xf numFmtId="164" fontId="0" fillId="5" borderId="0" xfId="0" applyNumberFormat="1" applyFill="1" applyBorder="1"/>
    <xf numFmtId="164" fontId="0" fillId="7" borderId="0" xfId="0" applyNumberFormat="1" applyFill="1" applyBorder="1"/>
    <xf numFmtId="0" fontId="0" fillId="3" borderId="0" xfId="0" applyFill="1" applyBorder="1" applyAlignment="1">
      <alignment wrapText="1"/>
    </xf>
    <xf numFmtId="164" fontId="0" fillId="2" borderId="0" xfId="0" applyNumberFormat="1" applyFill="1" applyBorder="1"/>
    <xf numFmtId="164" fontId="0" fillId="0" borderId="0" xfId="0" applyNumberFormat="1"/>
    <xf numFmtId="165" fontId="0" fillId="5" borderId="1" xfId="0" applyNumberFormat="1" applyFill="1" applyBorder="1"/>
    <xf numFmtId="165" fontId="0" fillId="7" borderId="1" xfId="0" applyNumberFormat="1" applyFill="1" applyBorder="1"/>
    <xf numFmtId="165" fontId="0" fillId="7" borderId="3" xfId="0" applyNumberFormat="1" applyFill="1" applyBorder="1"/>
    <xf numFmtId="165" fontId="0" fillId="2" borderId="1" xfId="0" applyNumberFormat="1" applyFill="1" applyBorder="1"/>
    <xf numFmtId="165" fontId="0" fillId="2" borderId="3" xfId="0" applyNumberFormat="1" applyFill="1" applyBorder="1"/>
    <xf numFmtId="9" fontId="1" fillId="2" borderId="0" xfId="0" applyNumberFormat="1" applyFont="1" applyFill="1"/>
    <xf numFmtId="0" fontId="0" fillId="11" borderId="0" xfId="0" applyFill="1"/>
    <xf numFmtId="166" fontId="0" fillId="11" borderId="0" xfId="0" applyNumberFormat="1" applyFill="1"/>
    <xf numFmtId="9" fontId="0" fillId="11" borderId="0" xfId="0" applyNumberFormat="1" applyFill="1"/>
    <xf numFmtId="0" fontId="0" fillId="2" borderId="0" xfId="0" applyFill="1" applyAlignment="1">
      <alignment horizontal="center" vertical="center"/>
    </xf>
    <xf numFmtId="0" fontId="0" fillId="7" borderId="0" xfId="0" applyFill="1" applyBorder="1" applyAlignment="1"/>
    <xf numFmtId="0" fontId="0" fillId="0" borderId="0" xfId="0" applyAlignment="1"/>
    <xf numFmtId="164" fontId="1" fillId="2" borderId="0" xfId="0" applyNumberFormat="1" applyFont="1" applyFill="1"/>
    <xf numFmtId="0" fontId="0" fillId="12" borderId="0" xfId="0" applyFill="1"/>
    <xf numFmtId="164" fontId="0" fillId="12" borderId="0" xfId="0" applyNumberFormat="1" applyFill="1"/>
    <xf numFmtId="0" fontId="0" fillId="13" borderId="0" xfId="0" applyFill="1"/>
    <xf numFmtId="0" fontId="0" fillId="7" borderId="0" xfId="0" applyFill="1" applyBorder="1"/>
    <xf numFmtId="9" fontId="0" fillId="7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blo\Desktop\SAPgit\sap-tfi-documentation\SAP%20-%20NEGOCIO\Temporal\Plan%20ECO%20FINAN\Borrador%20Ingre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Tipo Ingreso"/>
      <sheetName val="02-Volumenes Ingresos"/>
      <sheetName val="03-Ingresos"/>
      <sheetName val="04-Gastos"/>
      <sheetName val="Ganancias"/>
      <sheetName val="Indicadores Financieros"/>
    </sheetNames>
    <sheetDataSet>
      <sheetData sheetId="0">
        <row r="3">
          <cell r="B3">
            <v>10500</v>
          </cell>
          <cell r="C3">
            <v>12810</v>
          </cell>
          <cell r="D3">
            <v>15120</v>
          </cell>
          <cell r="E3">
            <v>17430</v>
          </cell>
        </row>
        <row r="4">
          <cell r="B4">
            <v>15000</v>
          </cell>
          <cell r="C4">
            <v>18300</v>
          </cell>
          <cell r="D4">
            <v>21600</v>
          </cell>
          <cell r="E4">
            <v>24900</v>
          </cell>
        </row>
        <row r="6">
          <cell r="B6">
            <v>1700</v>
          </cell>
          <cell r="C6">
            <v>2074</v>
          </cell>
          <cell r="D6">
            <v>2448</v>
          </cell>
          <cell r="E6">
            <v>2822</v>
          </cell>
        </row>
        <row r="7">
          <cell r="B7">
            <v>6500</v>
          </cell>
          <cell r="C7">
            <v>7930</v>
          </cell>
          <cell r="D7">
            <v>9360</v>
          </cell>
          <cell r="E7">
            <v>10790</v>
          </cell>
        </row>
        <row r="8">
          <cell r="B8">
            <v>500</v>
          </cell>
          <cell r="C8">
            <v>610</v>
          </cell>
          <cell r="D8">
            <v>720</v>
          </cell>
          <cell r="E8">
            <v>830</v>
          </cell>
        </row>
        <row r="9">
          <cell r="B9">
            <v>1400</v>
          </cell>
          <cell r="C9">
            <v>1708</v>
          </cell>
          <cell r="D9">
            <v>2016</v>
          </cell>
          <cell r="E9">
            <v>2324</v>
          </cell>
        </row>
      </sheetData>
      <sheetData sheetId="1">
        <row r="4">
          <cell r="B4">
            <v>13</v>
          </cell>
          <cell r="C4">
            <v>2</v>
          </cell>
          <cell r="E4">
            <v>4</v>
          </cell>
          <cell r="F4">
            <v>4</v>
          </cell>
          <cell r="G4">
            <v>5</v>
          </cell>
          <cell r="H4">
            <v>5</v>
          </cell>
        </row>
        <row r="5">
          <cell r="B5">
            <v>10</v>
          </cell>
          <cell r="C5">
            <v>5</v>
          </cell>
          <cell r="E5">
            <v>5</v>
          </cell>
          <cell r="H5">
            <v>7</v>
          </cell>
        </row>
        <row r="6">
          <cell r="B6">
            <v>13</v>
          </cell>
          <cell r="C6">
            <v>7</v>
          </cell>
          <cell r="E6">
            <v>6</v>
          </cell>
          <cell r="F6">
            <v>5</v>
          </cell>
          <cell r="G6">
            <v>5</v>
          </cell>
          <cell r="H6">
            <v>8</v>
          </cell>
        </row>
        <row r="7">
          <cell r="B7">
            <v>21</v>
          </cell>
          <cell r="C7">
            <v>9</v>
          </cell>
          <cell r="E7">
            <v>5</v>
          </cell>
          <cell r="F7">
            <v>3</v>
          </cell>
          <cell r="G7">
            <v>6</v>
          </cell>
          <cell r="H7">
            <v>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0" workbookViewId="0">
      <selection activeCell="B21" sqref="B21"/>
    </sheetView>
  </sheetViews>
  <sheetFormatPr baseColWidth="10" defaultColWidth="9.140625" defaultRowHeight="15" x14ac:dyDescent="0.25"/>
  <cols>
    <col min="1" max="1" width="31" bestFit="1" customWidth="1"/>
    <col min="2" max="2" width="20.28515625" customWidth="1"/>
    <col min="3" max="3" width="23.7109375" customWidth="1"/>
    <col min="4" max="4" width="24" customWidth="1"/>
    <col min="5" max="5" width="20.5703125" customWidth="1"/>
    <col min="6" max="6" width="15.42578125" customWidth="1"/>
    <col min="7" max="7" width="23.28515625" customWidth="1"/>
    <col min="15" max="15" width="10" customWidth="1"/>
  </cols>
  <sheetData>
    <row r="1" spans="1:19" x14ac:dyDescent="0.25">
      <c r="A1" s="37" t="s">
        <v>17</v>
      </c>
      <c r="B1" s="37" t="s">
        <v>18</v>
      </c>
      <c r="C1" s="37" t="s">
        <v>20</v>
      </c>
      <c r="D1" s="37" t="s">
        <v>19</v>
      </c>
      <c r="E1" s="37" t="s">
        <v>21</v>
      </c>
      <c r="F1" s="35" t="s">
        <v>22</v>
      </c>
      <c r="G1" s="4" t="s">
        <v>56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2" customFormat="1" x14ac:dyDescent="0.25">
      <c r="A2" s="38" t="s">
        <v>9</v>
      </c>
      <c r="B2" s="21"/>
      <c r="C2" s="21"/>
      <c r="D2" s="21"/>
      <c r="E2" s="21"/>
      <c r="F2" s="36">
        <v>14.79</v>
      </c>
      <c r="G2" s="23">
        <v>0.2</v>
      </c>
    </row>
    <row r="3" spans="1:19" s="3" customFormat="1" x14ac:dyDescent="0.25">
      <c r="A3" s="20" t="s">
        <v>1</v>
      </c>
      <c r="B3" s="39">
        <v>5088</v>
      </c>
      <c r="C3" s="39">
        <f>B3+(B3*G2)</f>
        <v>6105.6</v>
      </c>
      <c r="D3" s="40">
        <f>C3+(B3*G2)</f>
        <v>7123.2000000000007</v>
      </c>
      <c r="E3" s="40">
        <f>D3+(B3*G2)</f>
        <v>8140.8000000000011</v>
      </c>
    </row>
    <row r="4" spans="1:19" s="3" customFormat="1" x14ac:dyDescent="0.25">
      <c r="A4" s="20" t="s">
        <v>70</v>
      </c>
      <c r="B4" s="39">
        <f>SUM(Remuneraciones!I14,Remuneraciones!I17)*6</f>
        <v>444039</v>
      </c>
      <c r="C4" s="39">
        <f>B4+$B$4*$G$2</f>
        <v>532846.80000000005</v>
      </c>
      <c r="D4" s="40">
        <f t="shared" ref="D4:E4" si="0">C4+$B$4*$G$2</f>
        <v>621654.60000000009</v>
      </c>
      <c r="E4" s="40">
        <f t="shared" si="0"/>
        <v>710462.40000000014</v>
      </c>
    </row>
    <row r="5" spans="1:19" s="3" customFormat="1" x14ac:dyDescent="0.25">
      <c r="A5" s="20" t="s">
        <v>71</v>
      </c>
      <c r="B5" s="39">
        <f>SUM(Remuneraciones!I25)*6</f>
        <v>261573</v>
      </c>
      <c r="C5" s="39">
        <f>B5+B5*G2</f>
        <v>313887.59999999998</v>
      </c>
      <c r="D5" s="40">
        <f>C5*2+C5*2*G2</f>
        <v>753330.24</v>
      </c>
      <c r="E5" s="40">
        <f>D5+D5*G2</f>
        <v>903996.28799999994</v>
      </c>
    </row>
    <row r="6" spans="1:19" s="3" customFormat="1" x14ac:dyDescent="0.25">
      <c r="A6" s="20" t="s">
        <v>2</v>
      </c>
      <c r="B6" s="39">
        <f>770*6</f>
        <v>4620</v>
      </c>
      <c r="C6" s="39">
        <f>B6+B6*G2</f>
        <v>5544</v>
      </c>
      <c r="D6" s="40">
        <f>C6+$B$6*$G$2</f>
        <v>6468</v>
      </c>
      <c r="E6" s="40">
        <f>D6+$B$6*$G$2</f>
        <v>7392</v>
      </c>
    </row>
    <row r="7" spans="1:19" s="3" customFormat="1" x14ac:dyDescent="0.25">
      <c r="A7" s="20" t="s">
        <v>0</v>
      </c>
      <c r="B7" s="39">
        <v>972</v>
      </c>
      <c r="C7" s="39">
        <f>B7+$B$7*$G$2</f>
        <v>1166.4000000000001</v>
      </c>
      <c r="D7" s="40">
        <f t="shared" ref="D7:E7" si="1">C7+$B$7*$G$2</f>
        <v>1360.8000000000002</v>
      </c>
      <c r="E7" s="40">
        <f t="shared" si="1"/>
        <v>1555.2000000000003</v>
      </c>
    </row>
    <row r="8" spans="1:19" s="3" customFormat="1" x14ac:dyDescent="0.25">
      <c r="A8" s="20" t="s">
        <v>6</v>
      </c>
      <c r="B8" s="39">
        <f>(25*F2)*6</f>
        <v>2218.5</v>
      </c>
      <c r="C8" s="39">
        <f>B8+$B$8*$G$2</f>
        <v>2662.2</v>
      </c>
      <c r="D8" s="40">
        <f t="shared" ref="D8:E8" si="2">C8+$B$8*$G$2</f>
        <v>3105.8999999999996</v>
      </c>
      <c r="E8" s="40">
        <f t="shared" si="2"/>
        <v>3549.5999999999995</v>
      </c>
    </row>
    <row r="9" spans="1:19" s="27" customFormat="1" x14ac:dyDescent="0.25">
      <c r="A9" s="31" t="s">
        <v>44</v>
      </c>
      <c r="B9" s="32">
        <f>SUM(B3:B8)</f>
        <v>718510.5</v>
      </c>
      <c r="C9" s="32">
        <f>SUM(C3:C8)</f>
        <v>862212.6</v>
      </c>
      <c r="D9" s="32">
        <f>SUM(D3:D8)</f>
        <v>1393042.74</v>
      </c>
      <c r="E9" s="32">
        <f>SUM(E3:E8)</f>
        <v>1635096.2880000002</v>
      </c>
    </row>
    <row r="10" spans="1:19" s="2" customFormat="1" x14ac:dyDescent="0.25">
      <c r="A10" s="38" t="s">
        <v>11</v>
      </c>
      <c r="B10" s="21"/>
      <c r="C10" s="21"/>
      <c r="D10" s="21"/>
      <c r="E10" s="21"/>
    </row>
    <row r="11" spans="1:19" s="3" customFormat="1" ht="34.5" customHeight="1" x14ac:dyDescent="0.25">
      <c r="A11" s="41" t="s">
        <v>69</v>
      </c>
      <c r="B11" s="39">
        <f>SUM(Remuneraciones!I5,Remuneraciones!I9,Remuneraciones!I19)*6</f>
        <v>617157</v>
      </c>
      <c r="C11" s="39">
        <f>B11+$B$11*$G$2</f>
        <v>740588.4</v>
      </c>
      <c r="D11" s="40">
        <f t="shared" ref="D11:E11" si="3">C11+$B$11*$G$2</f>
        <v>864019.8</v>
      </c>
      <c r="E11" s="40">
        <f t="shared" si="3"/>
        <v>987451.20000000007</v>
      </c>
    </row>
    <row r="12" spans="1:19" s="3" customFormat="1" x14ac:dyDescent="0.25">
      <c r="A12" s="20" t="s">
        <v>12</v>
      </c>
      <c r="B12" s="39">
        <f>(900*5*6)</f>
        <v>27000</v>
      </c>
      <c r="C12" s="39">
        <f>B12+$B$12*$G$2</f>
        <v>32400</v>
      </c>
      <c r="D12" s="40">
        <f t="shared" ref="D12:E12" si="4">C12+$B$12*$G$2</f>
        <v>37800</v>
      </c>
      <c r="E12" s="40">
        <f t="shared" si="4"/>
        <v>43200</v>
      </c>
    </row>
    <row r="13" spans="1:19" s="3" customFormat="1" x14ac:dyDescent="0.25">
      <c r="A13" s="20" t="s">
        <v>5</v>
      </c>
      <c r="B13" s="39">
        <f>300*5*6</f>
        <v>9000</v>
      </c>
      <c r="C13" s="39">
        <f>B13+$B$13*$G$2</f>
        <v>10800</v>
      </c>
      <c r="D13" s="40">
        <f t="shared" ref="D13:E13" si="5">C13+$B$13*$G$2</f>
        <v>12600</v>
      </c>
      <c r="E13" s="40">
        <f t="shared" si="5"/>
        <v>14400</v>
      </c>
    </row>
    <row r="14" spans="1:19" s="3" customFormat="1" x14ac:dyDescent="0.25">
      <c r="A14" s="20" t="s">
        <v>51</v>
      </c>
      <c r="B14" s="39">
        <f>6200*6</f>
        <v>37200</v>
      </c>
      <c r="C14" s="39">
        <f>B14+$B$14*$G$2</f>
        <v>44640</v>
      </c>
      <c r="D14" s="40">
        <f t="shared" ref="D14:E14" si="6">C14+$B$14*$G$2</f>
        <v>52080</v>
      </c>
      <c r="E14" s="40">
        <f t="shared" si="6"/>
        <v>59520</v>
      </c>
    </row>
    <row r="15" spans="1:19" s="3" customFormat="1" x14ac:dyDescent="0.25">
      <c r="A15" s="20" t="s">
        <v>53</v>
      </c>
      <c r="B15" s="39">
        <f>380*6</f>
        <v>2280</v>
      </c>
      <c r="C15" s="39">
        <f>B15+$B$15*G2</f>
        <v>2736</v>
      </c>
      <c r="D15" s="40">
        <f t="shared" ref="D15:E15" si="7">C15+$B$15*H2</f>
        <v>2736</v>
      </c>
      <c r="E15" s="40">
        <f t="shared" si="7"/>
        <v>2736</v>
      </c>
      <c r="F15" s="3" t="s">
        <v>73</v>
      </c>
    </row>
    <row r="16" spans="1:19" s="3" customFormat="1" x14ac:dyDescent="0.25">
      <c r="A16" s="20" t="s">
        <v>52</v>
      </c>
      <c r="B16" s="39">
        <f>59.9*6</f>
        <v>359.4</v>
      </c>
      <c r="C16" s="39">
        <f>B16+$B$16*G2</f>
        <v>431.28</v>
      </c>
      <c r="D16" s="40">
        <f t="shared" ref="D16:E16" si="8">C16+$B$16*H2</f>
        <v>431.28</v>
      </c>
      <c r="E16" s="40">
        <f t="shared" si="8"/>
        <v>431.28</v>
      </c>
    </row>
    <row r="17" spans="1:7" s="3" customFormat="1" x14ac:dyDescent="0.25">
      <c r="A17" s="20" t="s">
        <v>72</v>
      </c>
      <c r="B17" s="39"/>
      <c r="C17" s="39"/>
      <c r="D17" s="40"/>
      <c r="E17" s="40"/>
    </row>
    <row r="18" spans="1:7" s="26" customFormat="1" x14ac:dyDescent="0.25">
      <c r="A18" s="31" t="s">
        <v>44</v>
      </c>
      <c r="B18" s="32">
        <f>SUM(B11:B17)</f>
        <v>692996.4</v>
      </c>
      <c r="C18" s="32">
        <f>SUM(C11:C17)</f>
        <v>831595.68</v>
      </c>
      <c r="D18" s="32">
        <f>SUM(D11:D17)</f>
        <v>969667.08000000007</v>
      </c>
      <c r="E18" s="32">
        <f>SUM(E11:E17)</f>
        <v>1107738.4800000002</v>
      </c>
    </row>
    <row r="19" spans="1:7" s="2" customFormat="1" x14ac:dyDescent="0.25">
      <c r="A19" s="21" t="s">
        <v>13</v>
      </c>
      <c r="B19" s="42"/>
      <c r="C19" s="42"/>
      <c r="D19" s="42"/>
      <c r="E19" s="42"/>
    </row>
    <row r="20" spans="1:7" s="3" customFormat="1" x14ac:dyDescent="0.25">
      <c r="A20" s="20" t="s">
        <v>65</v>
      </c>
      <c r="B20" s="39">
        <v>12000</v>
      </c>
      <c r="C20" s="39">
        <f>B20+$B$20*$G$2</f>
        <v>14400</v>
      </c>
      <c r="D20" s="40">
        <f t="shared" ref="D20:E20" si="9">C20+$B$20*$G$2</f>
        <v>16800</v>
      </c>
      <c r="E20" s="40">
        <f t="shared" si="9"/>
        <v>19200</v>
      </c>
    </row>
    <row r="21" spans="1:7" s="3" customFormat="1" x14ac:dyDescent="0.25">
      <c r="A21" s="20" t="s">
        <v>66</v>
      </c>
      <c r="B21" s="39">
        <f>3000*6</f>
        <v>18000</v>
      </c>
      <c r="C21" s="39">
        <f>B21+$B$21*$G$2</f>
        <v>21600</v>
      </c>
      <c r="D21" s="40">
        <f t="shared" ref="D21:E21" si="10">C21+$B$21*$G$2</f>
        <v>25200</v>
      </c>
      <c r="E21" s="40">
        <f t="shared" si="10"/>
        <v>28800</v>
      </c>
    </row>
    <row r="22" spans="1:7" s="3" customFormat="1" x14ac:dyDescent="0.25">
      <c r="A22" s="20" t="s">
        <v>67</v>
      </c>
      <c r="B22" s="39">
        <v>4650</v>
      </c>
      <c r="C22" s="39"/>
      <c r="D22" s="40">
        <f>B22+B22*(G2*2)</f>
        <v>6510</v>
      </c>
      <c r="E22" s="40"/>
    </row>
    <row r="23" spans="1:7" s="26" customFormat="1" x14ac:dyDescent="0.25">
      <c r="A23" s="31" t="s">
        <v>44</v>
      </c>
      <c r="B23" s="32">
        <f>SUM(B20:B22)</f>
        <v>34650</v>
      </c>
      <c r="C23" s="32">
        <f>SUM(C20:C22)</f>
        <v>36000</v>
      </c>
      <c r="D23" s="32">
        <f>SUM(D20:D22)</f>
        <v>48510</v>
      </c>
      <c r="E23" s="32">
        <f>SUM(E20:E22)</f>
        <v>48000</v>
      </c>
    </row>
    <row r="24" spans="1:7" s="28" customFormat="1" x14ac:dyDescent="0.25">
      <c r="A24" s="33" t="s">
        <v>43</v>
      </c>
      <c r="B24" s="34">
        <f>SUM(B23,B18,B9)</f>
        <v>1446156.9</v>
      </c>
      <c r="C24" s="34">
        <f>SUM(C23,C18,C9)</f>
        <v>1729808.28</v>
      </c>
      <c r="D24" s="34">
        <f>SUM(D23,D18,D9)</f>
        <v>2411219.8200000003</v>
      </c>
      <c r="E24" s="34">
        <f>SUM(E23,E18,E9)</f>
        <v>2790834.7680000002</v>
      </c>
      <c r="F24" s="29"/>
      <c r="G24" s="30">
        <f>SUM(B24:F24)</f>
        <v>8378019.7680000002</v>
      </c>
    </row>
    <row r="26" spans="1:7" x14ac:dyDescent="0.25">
      <c r="B26" s="43">
        <f>SUM(C24,B24)</f>
        <v>3175965.1799999997</v>
      </c>
      <c r="D26" s="43">
        <f>SUM(D24,E24)</f>
        <v>5202054.5880000005</v>
      </c>
    </row>
    <row r="28" spans="1:7" x14ac:dyDescent="0.25">
      <c r="B28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E12" sqref="E12"/>
    </sheetView>
  </sheetViews>
  <sheetFormatPr baseColWidth="10" defaultRowHeight="15" x14ac:dyDescent="0.25"/>
  <cols>
    <col min="1" max="1" width="45.7109375" customWidth="1"/>
    <col min="2" max="2" width="23.140625" customWidth="1"/>
    <col min="3" max="3" width="17.5703125" customWidth="1"/>
    <col min="4" max="4" width="17.85546875" customWidth="1"/>
    <col min="5" max="5" width="19.42578125" customWidth="1"/>
    <col min="6" max="6" width="17.85546875" customWidth="1"/>
    <col min="7" max="7" width="15.85546875" customWidth="1"/>
    <col min="8" max="8" width="21.5703125" customWidth="1"/>
  </cols>
  <sheetData>
    <row r="1" spans="1:19" x14ac:dyDescent="0.25">
      <c r="A1" s="5" t="s">
        <v>17</v>
      </c>
      <c r="B1" s="5" t="s">
        <v>18</v>
      </c>
      <c r="C1" s="5" t="s">
        <v>20</v>
      </c>
      <c r="D1" s="5" t="s">
        <v>19</v>
      </c>
      <c r="E1" s="5" t="s">
        <v>21</v>
      </c>
      <c r="F1" s="5" t="s">
        <v>22</v>
      </c>
      <c r="G1" s="4" t="s">
        <v>74</v>
      </c>
      <c r="H1" s="4" t="s">
        <v>87</v>
      </c>
      <c r="I1" s="4" t="s">
        <v>88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x14ac:dyDescent="0.25">
      <c r="A2" s="6" t="s">
        <v>10</v>
      </c>
      <c r="B2" s="6"/>
      <c r="C2" s="6"/>
      <c r="D2" s="6"/>
      <c r="E2" s="6"/>
      <c r="F2" s="19"/>
      <c r="G2" s="49">
        <v>0.2</v>
      </c>
      <c r="H2" s="49">
        <v>0.03</v>
      </c>
      <c r="I2" s="56">
        <v>300</v>
      </c>
    </row>
    <row r="3" spans="1:19" s="3" customFormat="1" x14ac:dyDescent="0.25">
      <c r="A3" s="8" t="s">
        <v>3</v>
      </c>
      <c r="B3" s="44"/>
      <c r="C3" s="44">
        <f>3980+3980*G2</f>
        <v>4776</v>
      </c>
      <c r="D3" s="45"/>
      <c r="E3" s="45">
        <f>3980+3980*60%</f>
        <v>6368</v>
      </c>
      <c r="F3" s="20"/>
    </row>
    <row r="4" spans="1:19" s="3" customFormat="1" x14ac:dyDescent="0.25">
      <c r="A4" s="8" t="s">
        <v>68</v>
      </c>
      <c r="B4" s="44"/>
      <c r="C4" s="44"/>
      <c r="D4" s="45">
        <f>99500+99500*40%</f>
        <v>139300</v>
      </c>
      <c r="E4" s="46"/>
      <c r="F4" s="20"/>
    </row>
    <row r="5" spans="1:19" s="3" customFormat="1" x14ac:dyDescent="0.25">
      <c r="A5" s="8" t="s">
        <v>64</v>
      </c>
      <c r="B5" s="44"/>
      <c r="C5" s="44"/>
      <c r="D5" s="45"/>
      <c r="E5" s="46"/>
      <c r="F5" s="20" t="s">
        <v>75</v>
      </c>
    </row>
    <row r="6" spans="1:19" s="3" customFormat="1" x14ac:dyDescent="0.25">
      <c r="A6" s="8" t="s">
        <v>4</v>
      </c>
      <c r="B6" s="44">
        <f>('Estimacion de pedidos'!B4+'Estimacion de pedidos'!B4*'Estimacion de pedidos'!B11)*'Estimacion de pedidos'!B3*'Estimacion de pedidos'!B2*'Estimacion de pedidos'!B6</f>
        <v>73664.639999999999</v>
      </c>
      <c r="C6" s="44">
        <f>('Estimacion de pedidos'!B4+'Estimacion de pedidos'!B4*'Estimacion de pedidos'!B12)*'Estimacion de pedidos'!B3*'Estimacion de pedidos'!B2*'Estimacion de pedidos'!B6+B6*G2</f>
        <v>96582.528000000006</v>
      </c>
      <c r="D6" s="45">
        <f>('Estimacion de pedidos'!B5+'Estimacion de pedidos'!B5*'Estimacion de pedidos'!B13)*'Estimacion de pedidos'!B3*'Estimacion de pedidos'!B2*'Estimacion de pedidos'!B6+C6*G2</f>
        <v>167055.0336</v>
      </c>
      <c r="E6" s="46">
        <f>('Estimacion de pedidos'!B5+'Estimacion de pedidos'!B5*'Estimacion de pedidos'!B14)*'Estimacion de pedidos'!B3*'Estimacion de pedidos'!B2*'Estimacion de pedidos'!B6+D6*G2</f>
        <v>188925.24672</v>
      </c>
      <c r="F6" s="20"/>
    </row>
    <row r="7" spans="1:19" s="3" customFormat="1" x14ac:dyDescent="0.25">
      <c r="A7" s="8" t="s">
        <v>8</v>
      </c>
      <c r="B7" s="44">
        <f>C7+C7*'Estimacion de pedidos'!B11</f>
        <v>540</v>
      </c>
      <c r="C7" s="44">
        <f>500+500*G2</f>
        <v>600</v>
      </c>
      <c r="D7" s="45">
        <f>(C7+C7*'Estimacion de pedidos'!B13)+C7*G2</f>
        <v>690</v>
      </c>
      <c r="E7" s="45">
        <f>(D7+D7*'Estimacion de pedidos'!B14)+D7*G2</f>
        <v>828</v>
      </c>
      <c r="F7" s="20"/>
    </row>
    <row r="8" spans="1:19" s="3" customFormat="1" x14ac:dyDescent="0.25">
      <c r="A8" s="8" t="s">
        <v>43</v>
      </c>
      <c r="B8" s="44">
        <f>SUM(B6:B7)</f>
        <v>74204.639999999999</v>
      </c>
      <c r="C8" s="44">
        <f>SUM(C3:C7)</f>
        <v>101958.52800000001</v>
      </c>
      <c r="D8" s="45">
        <f>SUM(D3:D7)</f>
        <v>307045.03359999997</v>
      </c>
      <c r="E8" s="46">
        <f>SUM(E3:E7)</f>
        <v>196121.24672</v>
      </c>
      <c r="F8" s="20"/>
    </row>
    <row r="9" spans="1:19" s="2" customFormat="1" x14ac:dyDescent="0.25">
      <c r="A9" s="6" t="s">
        <v>11</v>
      </c>
      <c r="B9" s="47"/>
      <c r="C9" s="47"/>
      <c r="D9" s="47"/>
      <c r="E9" s="48"/>
      <c r="F9" s="21"/>
    </row>
    <row r="10" spans="1:19" s="3" customFormat="1" x14ac:dyDescent="0.25">
      <c r="A10" s="8" t="s">
        <v>7</v>
      </c>
      <c r="B10" s="44"/>
      <c r="C10" s="44"/>
      <c r="D10" s="45"/>
      <c r="E10" s="46"/>
      <c r="F10" s="20" t="s">
        <v>85</v>
      </c>
    </row>
    <row r="11" spans="1:19" s="3" customFormat="1" x14ac:dyDescent="0.25">
      <c r="A11" s="8" t="s">
        <v>86</v>
      </c>
      <c r="B11" s="44">
        <f>'Costos legales'!H4</f>
        <v>6264</v>
      </c>
      <c r="C11" s="44">
        <f>'Costos legales'!H6</f>
        <v>8300.880000000001</v>
      </c>
      <c r="D11" s="45">
        <f>'Costos legales'!H8</f>
        <v>12869.279999999999</v>
      </c>
      <c r="E11" s="45">
        <f>'Costos legales'!H10</f>
        <v>19875.18</v>
      </c>
    </row>
    <row r="12" spans="1:19" s="3" customFormat="1" x14ac:dyDescent="0.25">
      <c r="A12" s="8" t="s">
        <v>14</v>
      </c>
      <c r="B12" s="44"/>
      <c r="C12" s="44"/>
      <c r="D12" s="45"/>
      <c r="E12" s="46"/>
      <c r="F12" s="20"/>
    </row>
    <row r="13" spans="1:19" s="2" customFormat="1" x14ac:dyDescent="0.25">
      <c r="A13" s="7" t="s">
        <v>13</v>
      </c>
      <c r="B13" s="47"/>
      <c r="C13" s="47"/>
      <c r="D13" s="47"/>
      <c r="E13" s="48"/>
      <c r="F13" s="21"/>
    </row>
    <row r="14" spans="1:19" s="3" customFormat="1" x14ac:dyDescent="0.25">
      <c r="A14" s="8" t="s">
        <v>15</v>
      </c>
      <c r="B14" s="44"/>
      <c r="C14" s="44"/>
      <c r="D14" s="45"/>
      <c r="E14" s="46"/>
      <c r="F14" s="20"/>
    </row>
    <row r="15" spans="1:19" s="3" customFormat="1" x14ac:dyDescent="0.25">
      <c r="A15" s="8" t="s">
        <v>16</v>
      </c>
      <c r="B15" s="44"/>
      <c r="C15" s="44"/>
      <c r="D15" s="45"/>
      <c r="E15" s="46"/>
      <c r="F15" s="20"/>
    </row>
    <row r="16" spans="1:19" x14ac:dyDescent="0.25">
      <c r="F16" s="22"/>
    </row>
    <row r="27" spans="1:7" x14ac:dyDescent="0.25">
      <c r="A27" s="43"/>
      <c r="B27" s="43"/>
      <c r="C27" s="43"/>
      <c r="D27" s="43"/>
      <c r="E27" s="43"/>
      <c r="F27" s="43"/>
      <c r="G27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9" sqref="C19"/>
    </sheetView>
  </sheetViews>
  <sheetFormatPr baseColWidth="10" defaultRowHeight="15" x14ac:dyDescent="0.25"/>
  <cols>
    <col min="1" max="1" width="25.42578125" customWidth="1"/>
    <col min="8" max="8" width="11.42578125" style="59"/>
  </cols>
  <sheetData>
    <row r="1" spans="1:8" s="12" customFormat="1" x14ac:dyDescent="0.25">
      <c r="A1" s="60" t="s">
        <v>100</v>
      </c>
      <c r="B1" s="61">
        <v>0.03</v>
      </c>
    </row>
    <row r="2" spans="1:8" s="2" customFormat="1" x14ac:dyDescent="0.25">
      <c r="A2" s="2" t="s">
        <v>89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59" t="s">
        <v>43</v>
      </c>
    </row>
    <row r="3" spans="1:8" x14ac:dyDescent="0.25">
      <c r="A3" s="43" t="s">
        <v>90</v>
      </c>
      <c r="B3" s="43">
        <f>'[1]02-Volumenes Ingresos'!$B$4*'[1]01-Tipo Ingreso'!$B$3</f>
        <v>136500</v>
      </c>
      <c r="C3" s="43">
        <f>'[1]02-Volumenes Ingresos'!$C$4*'[1]01-Tipo Ingreso'!$B$4</f>
        <v>30000</v>
      </c>
      <c r="D3" s="43">
        <f>'[1]02-Volumenes Ingresos'!$E$4*'[1]01-Tipo Ingreso'!$B$6</f>
        <v>6800</v>
      </c>
      <c r="E3" s="43">
        <f>'[1]02-Volumenes Ingresos'!$F$4*'[1]01-Tipo Ingreso'!$B$7</f>
        <v>26000</v>
      </c>
      <c r="F3" s="43">
        <f>'[1]02-Volumenes Ingresos'!$G$4*'[1]01-Tipo Ingreso'!$B$8</f>
        <v>2500</v>
      </c>
      <c r="G3" s="43">
        <f>'[1]02-Volumenes Ingresos'!$H$4*'[1]01-Tipo Ingreso'!$B$9</f>
        <v>7000</v>
      </c>
    </row>
    <row r="4" spans="1:8" s="57" customFormat="1" x14ac:dyDescent="0.25">
      <c r="A4" s="58" t="s">
        <v>101</v>
      </c>
      <c r="B4" s="58">
        <f>B3*B1</f>
        <v>4095</v>
      </c>
      <c r="C4" s="58">
        <f>C3*B1</f>
        <v>900</v>
      </c>
      <c r="D4" s="58">
        <f>D3*B1</f>
        <v>204</v>
      </c>
      <c r="E4" s="58">
        <f>E3*B1</f>
        <v>780</v>
      </c>
      <c r="F4" s="58">
        <f>F3*B1</f>
        <v>75</v>
      </c>
      <c r="G4" s="58">
        <f>G3*B1</f>
        <v>210</v>
      </c>
      <c r="H4" s="58">
        <f>SUM(B4:G4)</f>
        <v>6264</v>
      </c>
    </row>
    <row r="5" spans="1:8" x14ac:dyDescent="0.25">
      <c r="A5" s="43" t="s">
        <v>91</v>
      </c>
      <c r="B5" s="43">
        <f>'[1]02-Volumenes Ingresos'!$B$5*'[1]01-Tipo Ingreso'!$C$3</f>
        <v>128100</v>
      </c>
      <c r="C5" s="43">
        <f>'[1]02-Volumenes Ingresos'!$C$5*'[1]01-Tipo Ingreso'!$C$4</f>
        <v>91500</v>
      </c>
      <c r="D5" s="43">
        <f>'[1]02-Volumenes Ingresos'!$E$5*'[1]01-Tipo Ingreso'!$C$6</f>
        <v>10370</v>
      </c>
      <c r="E5" s="43">
        <f>'[1]02-Volumenes Ingresos'!$F$4*'[1]01-Tipo Ingreso'!$C$7</f>
        <v>31720</v>
      </c>
      <c r="F5" s="43">
        <f>'[1]02-Volumenes Ingresos'!$G$4*'[1]01-Tipo Ingreso'!$C$8</f>
        <v>3050</v>
      </c>
      <c r="G5" s="43">
        <f>'[1]02-Volumenes Ingresos'!$H$5*'[1]01-Tipo Ingreso'!$C$9</f>
        <v>11956</v>
      </c>
    </row>
    <row r="6" spans="1:8" s="57" customFormat="1" x14ac:dyDescent="0.25">
      <c r="A6" s="58" t="s">
        <v>101</v>
      </c>
      <c r="B6" s="58">
        <f>B5*B1</f>
        <v>3843</v>
      </c>
      <c r="C6" s="58">
        <f>C5*B1</f>
        <v>2745</v>
      </c>
      <c r="D6" s="58">
        <f>D5*B1</f>
        <v>311.09999999999997</v>
      </c>
      <c r="E6" s="58">
        <f>E5*B1</f>
        <v>951.59999999999991</v>
      </c>
      <c r="F6" s="58">
        <f>F5*B1</f>
        <v>91.5</v>
      </c>
      <c r="G6" s="58">
        <f>G5*B1</f>
        <v>358.68</v>
      </c>
      <c r="H6" s="58">
        <f>SUM(B6:G6)</f>
        <v>8300.880000000001</v>
      </c>
    </row>
    <row r="7" spans="1:8" x14ac:dyDescent="0.25">
      <c r="A7" s="43" t="s">
        <v>92</v>
      </c>
      <c r="B7" s="43">
        <f>'[1]02-Volumenes Ingresos'!$B$6*'[1]01-Tipo Ingreso'!$D$3</f>
        <v>196560</v>
      </c>
      <c r="C7" s="43">
        <f>'[1]02-Volumenes Ingresos'!$C$6*'[1]01-Tipo Ingreso'!$D$4</f>
        <v>151200</v>
      </c>
      <c r="D7" s="43">
        <f>'[1]02-Volumenes Ingresos'!$E$6*'[1]01-Tipo Ingreso'!$D$6</f>
        <v>14688</v>
      </c>
      <c r="E7" s="43">
        <f>'[1]02-Volumenes Ingresos'!$F$6*'[1]01-Tipo Ingreso'!$D$7</f>
        <v>46800</v>
      </c>
      <c r="F7" s="43">
        <f>'[1]02-Volumenes Ingresos'!$G$6*'[1]01-Tipo Ingreso'!$D$8</f>
        <v>3600</v>
      </c>
      <c r="G7" s="43">
        <f>'[1]02-Volumenes Ingresos'!$H$6*'[1]01-Tipo Ingreso'!$D$9</f>
        <v>16128</v>
      </c>
    </row>
    <row r="8" spans="1:8" s="57" customFormat="1" x14ac:dyDescent="0.25">
      <c r="A8" s="58" t="s">
        <v>101</v>
      </c>
      <c r="B8" s="58">
        <f>B7*B1</f>
        <v>5896.8</v>
      </c>
      <c r="C8" s="58">
        <f>C7*B1</f>
        <v>4536</v>
      </c>
      <c r="D8" s="58">
        <f>D7*B1</f>
        <v>440.64</v>
      </c>
      <c r="E8" s="58">
        <f>E7*B1</f>
        <v>1404</v>
      </c>
      <c r="F8" s="58">
        <f>F7*B1</f>
        <v>108</v>
      </c>
      <c r="G8" s="58">
        <f>G7*B1</f>
        <v>483.84</v>
      </c>
      <c r="H8" s="58">
        <f>SUM(B8:G8)</f>
        <v>12869.279999999999</v>
      </c>
    </row>
    <row r="9" spans="1:8" x14ac:dyDescent="0.25">
      <c r="A9" s="43" t="s">
        <v>93</v>
      </c>
      <c r="B9" s="43">
        <f>'[1]02-Volumenes Ingresos'!$B$7*'[1]01-Tipo Ingreso'!$E$3</f>
        <v>366030</v>
      </c>
      <c r="C9" s="43">
        <f>'[1]02-Volumenes Ingresos'!$C$7*'[1]01-Tipo Ingreso'!$E$4</f>
        <v>224100</v>
      </c>
      <c r="D9" s="43">
        <f>'[1]02-Volumenes Ingresos'!$E$7*'[1]01-Tipo Ingreso'!$E$6</f>
        <v>14110</v>
      </c>
      <c r="E9" s="43">
        <f>'[1]02-Volumenes Ingresos'!$F$7*'[1]01-Tipo Ingreso'!$E$7</f>
        <v>32370</v>
      </c>
      <c r="F9" s="43">
        <f>'[1]02-Volumenes Ingresos'!$G$7*'[1]01-Tipo Ingreso'!$E$8</f>
        <v>4980</v>
      </c>
      <c r="G9" s="43">
        <f>'[1]02-Volumenes Ingresos'!$H$7*'[1]01-Tipo Ingreso'!$E$9</f>
        <v>20916</v>
      </c>
    </row>
    <row r="10" spans="1:8" s="57" customFormat="1" x14ac:dyDescent="0.25">
      <c r="A10" s="58" t="s">
        <v>101</v>
      </c>
      <c r="B10" s="58">
        <f>B9*B1</f>
        <v>10980.9</v>
      </c>
      <c r="C10" s="58">
        <f>C9*B1</f>
        <v>6723</v>
      </c>
      <c r="D10" s="58">
        <f>D9*B1</f>
        <v>423.3</v>
      </c>
      <c r="E10" s="58">
        <f>E9*B1</f>
        <v>971.09999999999991</v>
      </c>
      <c r="F10" s="58">
        <f>F9*B1</f>
        <v>149.4</v>
      </c>
      <c r="G10" s="58">
        <f>G9*B1</f>
        <v>627.48</v>
      </c>
      <c r="H10" s="58">
        <f>SUM(B10:G10)</f>
        <v>19875.18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7" sqref="E7"/>
    </sheetView>
  </sheetViews>
  <sheetFormatPr baseColWidth="10" defaultRowHeight="15" x14ac:dyDescent="0.25"/>
  <cols>
    <col min="1" max="1" width="45.7109375" bestFit="1" customWidth="1"/>
    <col min="2" max="2" width="21.85546875" bestFit="1" customWidth="1"/>
  </cols>
  <sheetData>
    <row r="1" spans="1:2" x14ac:dyDescent="0.25">
      <c r="A1" s="53" t="s">
        <v>82</v>
      </c>
      <c r="B1" s="53"/>
    </row>
    <row r="2" spans="1:2" x14ac:dyDescent="0.25">
      <c r="A2" s="15" t="s">
        <v>84</v>
      </c>
      <c r="B2" s="50">
        <v>7</v>
      </c>
    </row>
    <row r="3" spans="1:2" x14ac:dyDescent="0.25">
      <c r="A3" s="15" t="s">
        <v>76</v>
      </c>
      <c r="B3" s="50">
        <v>2.9000000000000001E-2</v>
      </c>
    </row>
    <row r="4" spans="1:2" x14ac:dyDescent="0.25">
      <c r="A4" s="15" t="s">
        <v>80</v>
      </c>
      <c r="B4" s="50">
        <v>25200</v>
      </c>
    </row>
    <row r="5" spans="1:2" x14ac:dyDescent="0.25">
      <c r="A5" s="15" t="s">
        <v>81</v>
      </c>
      <c r="B5" s="50">
        <f>B4+B4*90%</f>
        <v>47880</v>
      </c>
    </row>
    <row r="6" spans="1:2" x14ac:dyDescent="0.25">
      <c r="A6" s="15" t="s">
        <v>77</v>
      </c>
      <c r="B6" s="51">
        <v>16</v>
      </c>
    </row>
    <row r="9" spans="1:2" x14ac:dyDescent="0.25">
      <c r="A9" s="53" t="s">
        <v>83</v>
      </c>
      <c r="B9" s="53"/>
    </row>
    <row r="10" spans="1:2" x14ac:dyDescent="0.25">
      <c r="A10" s="15" t="s">
        <v>78</v>
      </c>
      <c r="B10" s="50" t="s">
        <v>79</v>
      </c>
    </row>
    <row r="11" spans="1:2" x14ac:dyDescent="0.25">
      <c r="A11" s="15" t="s">
        <v>18</v>
      </c>
      <c r="B11" s="52">
        <v>-0.1</v>
      </c>
    </row>
    <row r="12" spans="1:2" x14ac:dyDescent="0.25">
      <c r="A12" s="15" t="s">
        <v>20</v>
      </c>
      <c r="B12" s="52">
        <v>0</v>
      </c>
    </row>
    <row r="13" spans="1:2" x14ac:dyDescent="0.25">
      <c r="A13" s="15" t="s">
        <v>19</v>
      </c>
      <c r="B13" s="52">
        <v>-0.05</v>
      </c>
    </row>
    <row r="14" spans="1:2" x14ac:dyDescent="0.25">
      <c r="A14" s="15" t="s">
        <v>21</v>
      </c>
      <c r="B14" s="52">
        <v>0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workbookViewId="0">
      <selection activeCell="F29" sqref="F29"/>
    </sheetView>
  </sheetViews>
  <sheetFormatPr baseColWidth="10" defaultRowHeight="15" x14ac:dyDescent="0.25"/>
  <cols>
    <col min="1" max="1" width="29" customWidth="1"/>
    <col min="2" max="2" width="12.28515625" customWidth="1"/>
    <col min="3" max="3" width="17.85546875" customWidth="1"/>
    <col min="5" max="5" width="28.5703125" customWidth="1"/>
    <col min="6" max="6" width="32" customWidth="1"/>
    <col min="7" max="7" width="26.7109375" customWidth="1"/>
    <col min="8" max="8" width="10.7109375" customWidth="1"/>
    <col min="9" max="9" width="19.5703125" customWidth="1"/>
  </cols>
  <sheetData>
    <row r="1" spans="1:9 16384:16384" x14ac:dyDescent="0.25">
      <c r="A1" s="5" t="s">
        <v>23</v>
      </c>
      <c r="B1" s="5" t="s">
        <v>55</v>
      </c>
      <c r="C1" s="5" t="s">
        <v>48</v>
      </c>
      <c r="D1" s="5" t="s">
        <v>49</v>
      </c>
      <c r="E1" s="5" t="s">
        <v>45</v>
      </c>
      <c r="F1" s="5" t="s">
        <v>46</v>
      </c>
      <c r="G1" s="5" t="s">
        <v>47</v>
      </c>
      <c r="H1" s="5"/>
      <c r="I1" s="5" t="s">
        <v>24</v>
      </c>
    </row>
    <row r="2" spans="1:9 16384:16384" s="2" customFormat="1" x14ac:dyDescent="0.25">
      <c r="A2" s="7" t="s">
        <v>25</v>
      </c>
      <c r="B2" s="7"/>
      <c r="C2" s="7"/>
      <c r="D2" s="7"/>
      <c r="E2" s="7"/>
      <c r="F2" s="7"/>
      <c r="G2" s="7"/>
      <c r="H2" s="7"/>
      <c r="I2" s="7"/>
    </row>
    <row r="3" spans="1:9 16384:16384" s="12" customFormat="1" x14ac:dyDescent="0.25">
      <c r="A3" s="10" t="s">
        <v>26</v>
      </c>
      <c r="B3" s="11">
        <v>24000</v>
      </c>
      <c r="C3" s="11"/>
      <c r="D3" s="11"/>
      <c r="E3" s="11"/>
      <c r="F3" s="11"/>
      <c r="G3" s="11"/>
      <c r="H3" s="11"/>
      <c r="I3" s="11">
        <f>SUM(B3:D3)</f>
        <v>24000</v>
      </c>
    </row>
    <row r="4" spans="1:9 16384:16384" s="12" customFormat="1" x14ac:dyDescent="0.25">
      <c r="A4" s="10" t="s">
        <v>27</v>
      </c>
      <c r="B4" s="11">
        <v>24000</v>
      </c>
      <c r="C4" s="11"/>
      <c r="D4" s="11"/>
      <c r="E4" s="11"/>
      <c r="F4" s="11"/>
      <c r="G4" s="11"/>
      <c r="H4" s="11"/>
      <c r="I4" s="11">
        <f>SUM(B4:D4)</f>
        <v>24000</v>
      </c>
    </row>
    <row r="5" spans="1:9 16384:16384" s="15" customFormat="1" x14ac:dyDescent="0.25">
      <c r="A5" s="9" t="s">
        <v>44</v>
      </c>
      <c r="B5" s="14"/>
      <c r="C5" s="14"/>
      <c r="D5" s="14"/>
      <c r="E5" s="14"/>
      <c r="F5" s="14"/>
      <c r="G5" s="14"/>
      <c r="H5" s="14"/>
      <c r="I5" s="14">
        <f>SUM(I3:I4)</f>
        <v>48000</v>
      </c>
    </row>
    <row r="6" spans="1:9 16384:16384" s="2" customFormat="1" x14ac:dyDescent="0.25">
      <c r="A6" s="7" t="s">
        <v>28</v>
      </c>
      <c r="B6" s="7"/>
      <c r="C6" s="7"/>
      <c r="D6" s="7"/>
      <c r="E6" s="7"/>
      <c r="F6" s="7"/>
      <c r="G6" s="7"/>
      <c r="H6" s="7"/>
      <c r="I6" s="7"/>
    </row>
    <row r="7" spans="1:9 16384:16384" s="12" customFormat="1" x14ac:dyDescent="0.25">
      <c r="A7" s="10" t="s">
        <v>29</v>
      </c>
      <c r="B7" s="11">
        <v>20000</v>
      </c>
      <c r="C7" s="11"/>
      <c r="D7" s="11"/>
      <c r="E7" s="11"/>
      <c r="F7" s="11"/>
      <c r="G7" s="11"/>
      <c r="H7" s="11"/>
      <c r="I7" s="11">
        <f>SUM(B7:D7)</f>
        <v>20000</v>
      </c>
    </row>
    <row r="8" spans="1:9 16384:16384" s="12" customFormat="1" x14ac:dyDescent="0.25">
      <c r="A8" s="10" t="s">
        <v>54</v>
      </c>
      <c r="B8" s="11">
        <v>10907</v>
      </c>
      <c r="C8" s="11"/>
      <c r="D8" s="11"/>
      <c r="E8" s="11"/>
      <c r="F8" s="11"/>
      <c r="G8" s="11"/>
      <c r="H8" s="11"/>
      <c r="I8" s="11">
        <f>SUM(B8:G8)</f>
        <v>10907</v>
      </c>
    </row>
    <row r="9" spans="1:9 16384:16384" s="15" customFormat="1" x14ac:dyDescent="0.25">
      <c r="A9" s="9" t="s">
        <v>44</v>
      </c>
      <c r="B9" s="14"/>
      <c r="C9" s="14"/>
      <c r="D9" s="14"/>
      <c r="E9" s="14"/>
      <c r="F9" s="14"/>
      <c r="G9" s="14"/>
      <c r="H9" s="14"/>
      <c r="I9" s="14">
        <f>SUM(I7:I8)</f>
        <v>30907</v>
      </c>
    </row>
    <row r="10" spans="1:9 16384:16384" s="2" customFormat="1" x14ac:dyDescent="0.25">
      <c r="A10" s="7" t="s">
        <v>30</v>
      </c>
      <c r="B10" s="7"/>
      <c r="C10" s="7"/>
      <c r="D10" s="7"/>
      <c r="E10" s="7"/>
      <c r="F10" s="7"/>
      <c r="G10" s="7"/>
      <c r="H10" s="7"/>
      <c r="I10" s="7"/>
    </row>
    <row r="11" spans="1:9 16384:16384" s="12" customFormat="1" x14ac:dyDescent="0.25">
      <c r="A11" s="10" t="s">
        <v>31</v>
      </c>
      <c r="B11" s="11">
        <v>18425</v>
      </c>
      <c r="C11" s="11">
        <v>5527.5</v>
      </c>
      <c r="D11" s="11"/>
      <c r="E11" s="11"/>
      <c r="F11" s="11"/>
      <c r="G11" s="11"/>
      <c r="H11" s="11"/>
      <c r="I11" s="11">
        <f>SUM(B11:G11)</f>
        <v>23952.5</v>
      </c>
    </row>
    <row r="12" spans="1:9 16384:16384" s="12" customFormat="1" x14ac:dyDescent="0.25">
      <c r="A12" s="10" t="s">
        <v>33</v>
      </c>
      <c r="B12" s="11">
        <v>15125</v>
      </c>
      <c r="C12" s="11">
        <v>2420</v>
      </c>
      <c r="D12" s="11"/>
      <c r="E12" s="11"/>
      <c r="F12" s="11"/>
      <c r="G12" s="11"/>
      <c r="H12" s="11"/>
      <c r="I12" s="11">
        <f>SUM(B12:G12)</f>
        <v>17545</v>
      </c>
    </row>
    <row r="13" spans="1:9 16384:16384" s="12" customFormat="1" x14ac:dyDescent="0.25">
      <c r="A13" s="10" t="s">
        <v>32</v>
      </c>
      <c r="B13" s="11">
        <v>15125</v>
      </c>
      <c r="C13" s="11">
        <v>2420</v>
      </c>
      <c r="D13" s="11"/>
      <c r="E13" s="11"/>
      <c r="F13" s="11"/>
      <c r="G13" s="11"/>
      <c r="H13" s="11"/>
      <c r="I13" s="11">
        <f>SUM(B13,C13)</f>
        <v>17545</v>
      </c>
      <c r="XFD13" s="13">
        <f>SUM(B13:XFC13)</f>
        <v>35090</v>
      </c>
    </row>
    <row r="14" spans="1:9 16384:16384" s="15" customFormat="1" x14ac:dyDescent="0.25">
      <c r="A14" s="9" t="s">
        <v>44</v>
      </c>
      <c r="B14" s="14"/>
      <c r="C14" s="14"/>
      <c r="D14" s="14"/>
      <c r="E14" s="14"/>
      <c r="F14" s="14"/>
      <c r="G14" s="14"/>
      <c r="H14" s="14"/>
      <c r="I14" s="14">
        <f>SUM(I11:I13)</f>
        <v>59042.5</v>
      </c>
    </row>
    <row r="15" spans="1:9 16384:16384" s="2" customFormat="1" x14ac:dyDescent="0.25">
      <c r="A15" s="7" t="s">
        <v>34</v>
      </c>
      <c r="B15" s="7"/>
      <c r="C15" s="7"/>
      <c r="D15" s="7"/>
      <c r="E15" s="7"/>
      <c r="F15" s="7"/>
      <c r="G15" s="7"/>
      <c r="H15" s="7"/>
      <c r="I15" s="7"/>
    </row>
    <row r="16" spans="1:9 16384:16384" s="12" customFormat="1" x14ac:dyDescent="0.25">
      <c r="A16" s="10" t="s">
        <v>35</v>
      </c>
      <c r="B16" s="11">
        <v>12900</v>
      </c>
      <c r="C16" s="11">
        <v>2064</v>
      </c>
      <c r="D16" s="11"/>
      <c r="E16" s="11"/>
      <c r="F16" s="11"/>
      <c r="G16" s="11"/>
      <c r="H16" s="11"/>
      <c r="I16" s="11">
        <f>SUM(B16:G16)</f>
        <v>14964</v>
      </c>
    </row>
    <row r="17" spans="1:9" s="15" customFormat="1" x14ac:dyDescent="0.25">
      <c r="A17" s="9" t="s">
        <v>44</v>
      </c>
      <c r="B17" s="14"/>
      <c r="C17" s="14"/>
      <c r="D17" s="14"/>
      <c r="E17" s="14"/>
      <c r="F17" s="14"/>
      <c r="G17" s="14"/>
      <c r="H17" s="14"/>
      <c r="I17" s="14">
        <f>SUM(I16)</f>
        <v>14964</v>
      </c>
    </row>
    <row r="18" spans="1:9" s="2" customFormat="1" x14ac:dyDescent="0.25">
      <c r="A18" s="7" t="s">
        <v>36</v>
      </c>
      <c r="B18" s="7"/>
      <c r="C18" s="7"/>
      <c r="D18" s="7"/>
      <c r="E18" s="7"/>
      <c r="F18" s="7"/>
      <c r="G18" s="7"/>
      <c r="H18" s="7"/>
      <c r="I18" s="7"/>
    </row>
    <row r="19" spans="1:9" s="12" customFormat="1" x14ac:dyDescent="0.25">
      <c r="A19" s="10" t="s">
        <v>37</v>
      </c>
      <c r="B19" s="11">
        <v>18425</v>
      </c>
      <c r="C19" s="11">
        <v>5527.5</v>
      </c>
      <c r="D19" s="11"/>
      <c r="E19" s="11"/>
      <c r="F19" s="11"/>
      <c r="G19" s="11"/>
      <c r="H19" s="11"/>
      <c r="I19" s="11">
        <f>SUM(B19:H19)</f>
        <v>23952.5</v>
      </c>
    </row>
    <row r="20" spans="1:9" s="12" customFormat="1" x14ac:dyDescent="0.25">
      <c r="A20" s="10" t="s">
        <v>38</v>
      </c>
      <c r="B20" s="11">
        <v>7824</v>
      </c>
      <c r="C20" s="11">
        <v>2670</v>
      </c>
      <c r="D20" s="11"/>
      <c r="E20" s="11">
        <v>-1274.9000000000001</v>
      </c>
      <c r="F20" s="11">
        <v>-273</v>
      </c>
      <c r="G20" s="11">
        <v>-227</v>
      </c>
      <c r="H20" s="11"/>
      <c r="I20" s="11">
        <f>SUM(E20:G20,C20,B20)</f>
        <v>8719.1</v>
      </c>
    </row>
    <row r="21" spans="1:9" s="12" customFormat="1" x14ac:dyDescent="0.25">
      <c r="A21" s="10" t="s">
        <v>39</v>
      </c>
      <c r="B21" s="11">
        <v>7824</v>
      </c>
      <c r="C21" s="11">
        <v>2670</v>
      </c>
      <c r="D21" s="11"/>
      <c r="E21" s="11">
        <v>-1274.9000000000001</v>
      </c>
      <c r="F21" s="11">
        <v>-273</v>
      </c>
      <c r="G21" s="11">
        <v>-227</v>
      </c>
      <c r="H21" s="11"/>
      <c r="I21" s="11">
        <f>SUM(E21:G21,C21,B21)</f>
        <v>8719.1</v>
      </c>
    </row>
    <row r="22" spans="1:9" s="12" customFormat="1" x14ac:dyDescent="0.25">
      <c r="A22" s="10" t="s">
        <v>40</v>
      </c>
      <c r="B22" s="11">
        <v>7824</v>
      </c>
      <c r="C22" s="11">
        <v>2670</v>
      </c>
      <c r="D22" s="11"/>
      <c r="E22" s="11">
        <v>-1274.9000000000001</v>
      </c>
      <c r="F22" s="11">
        <v>-273</v>
      </c>
      <c r="G22" s="11">
        <v>-227</v>
      </c>
      <c r="H22" s="11"/>
      <c r="I22" s="11">
        <f>SUM(E22:G22,C22,B22)</f>
        <v>8719.1</v>
      </c>
    </row>
    <row r="23" spans="1:9" s="12" customFormat="1" x14ac:dyDescent="0.25">
      <c r="A23" s="10" t="s">
        <v>41</v>
      </c>
      <c r="B23" s="11">
        <v>7824</v>
      </c>
      <c r="C23" s="11">
        <v>2670</v>
      </c>
      <c r="D23" s="11"/>
      <c r="E23" s="11">
        <v>-1274.9000000000001</v>
      </c>
      <c r="F23" s="11">
        <v>-273</v>
      </c>
      <c r="G23" s="11">
        <v>-227</v>
      </c>
      <c r="H23" s="11"/>
      <c r="I23" s="11">
        <f>SUM(E23:G23,C23,B23)</f>
        <v>8719.1</v>
      </c>
    </row>
    <row r="24" spans="1:9" s="12" customFormat="1" x14ac:dyDescent="0.25">
      <c r="A24" s="10" t="s">
        <v>42</v>
      </c>
      <c r="B24" s="11">
        <v>7824</v>
      </c>
      <c r="C24" s="11">
        <v>2670</v>
      </c>
      <c r="D24" s="11"/>
      <c r="E24" s="11">
        <v>-1274.9000000000001</v>
      </c>
      <c r="F24" s="11">
        <v>-273</v>
      </c>
      <c r="G24" s="11">
        <v>-227</v>
      </c>
      <c r="H24" s="11"/>
      <c r="I24" s="11">
        <f>SUM(E24:G24,C24,B24)</f>
        <v>8719.1</v>
      </c>
    </row>
    <row r="25" spans="1:9" s="15" customFormat="1" x14ac:dyDescent="0.25">
      <c r="A25" s="16" t="s">
        <v>44</v>
      </c>
      <c r="B25" s="16"/>
      <c r="C25" s="16"/>
      <c r="D25" s="16"/>
      <c r="E25" s="16"/>
      <c r="F25" s="16"/>
      <c r="G25" s="16"/>
      <c r="H25" s="16"/>
      <c r="I25" s="17">
        <f>SUM(I20:I24)</f>
        <v>43595.5</v>
      </c>
    </row>
    <row r="26" spans="1:9" s="5" customFormat="1" x14ac:dyDescent="0.25">
      <c r="A26" s="5" t="s">
        <v>43</v>
      </c>
      <c r="I26" s="18">
        <f>SUM(I25,I17,I14,I9,I5)</f>
        <v>196509</v>
      </c>
    </row>
    <row r="28" spans="1:9" x14ac:dyDescent="0.25">
      <c r="A28" s="54" t="s">
        <v>50</v>
      </c>
      <c r="B28" s="55"/>
      <c r="C28" s="55"/>
      <c r="D28" s="55"/>
      <c r="E28" s="55"/>
    </row>
  </sheetData>
  <mergeCells count="1">
    <mergeCell ref="A28:E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" sqref="A2"/>
    </sheetView>
  </sheetViews>
  <sheetFormatPr baseColWidth="10" defaultRowHeight="15" x14ac:dyDescent="0.25"/>
  <cols>
    <col min="1" max="1" width="18.7109375" customWidth="1"/>
    <col min="2" max="2" width="16.28515625" customWidth="1"/>
    <col min="3" max="3" width="13.28515625" customWidth="1"/>
    <col min="4" max="4" width="25.5703125" customWidth="1"/>
  </cols>
  <sheetData>
    <row r="1" spans="1:9" x14ac:dyDescent="0.25">
      <c r="A1" s="5" t="s">
        <v>61</v>
      </c>
      <c r="B1" s="5" t="s">
        <v>57</v>
      </c>
      <c r="C1" s="5" t="s">
        <v>58</v>
      </c>
      <c r="D1" s="5" t="s">
        <v>59</v>
      </c>
      <c r="E1" s="5"/>
      <c r="F1" s="5"/>
      <c r="G1" s="5"/>
      <c r="H1" s="5"/>
      <c r="I1" s="5"/>
    </row>
    <row r="2" spans="1:9" s="25" customFormat="1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s="25" customFormat="1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s="25" customFormat="1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s="25" customFormat="1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s="25" customFormat="1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s="25" customFormat="1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s="25" customFormat="1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s="25" customFormat="1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s="25" customFormat="1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s="25" customForma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s="25" customFormat="1" x14ac:dyDescent="0.25">
      <c r="A12" s="24"/>
      <c r="B12" s="24"/>
      <c r="C12" s="24"/>
      <c r="D12" s="24"/>
      <c r="E12" s="24"/>
      <c r="F12" s="24"/>
      <c r="G12" s="24"/>
      <c r="H12" s="24"/>
      <c r="I1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20" sqref="C20"/>
    </sheetView>
  </sheetViews>
  <sheetFormatPr baseColWidth="10" defaultRowHeight="15" x14ac:dyDescent="0.25"/>
  <cols>
    <col min="2" max="2" width="13.140625" customWidth="1"/>
    <col min="4" max="4" width="20" customWidth="1"/>
  </cols>
  <sheetData>
    <row r="1" spans="1:9" x14ac:dyDescent="0.25">
      <c r="A1" s="5" t="s">
        <v>61</v>
      </c>
      <c r="B1" s="5" t="s">
        <v>57</v>
      </c>
      <c r="C1" s="5" t="s">
        <v>58</v>
      </c>
      <c r="D1" s="5" t="s">
        <v>60</v>
      </c>
      <c r="E1" s="5"/>
      <c r="F1" s="5"/>
      <c r="G1" s="5"/>
      <c r="H1" s="5"/>
      <c r="I1" s="5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7" sqref="D7"/>
    </sheetView>
  </sheetViews>
  <sheetFormatPr baseColWidth="10" defaultRowHeight="15" x14ac:dyDescent="0.25"/>
  <cols>
    <col min="2" max="2" width="13.140625" customWidth="1"/>
    <col min="4" max="4" width="20" customWidth="1"/>
  </cols>
  <sheetData>
    <row r="1" spans="1:9" x14ac:dyDescent="0.25">
      <c r="A1" s="5" t="s">
        <v>62</v>
      </c>
      <c r="B1" s="5" t="s">
        <v>63</v>
      </c>
      <c r="C1" s="5"/>
      <c r="D1" s="5"/>
      <c r="E1" s="5"/>
      <c r="F1" s="5"/>
      <c r="G1" s="5"/>
      <c r="H1" s="5"/>
      <c r="I1" s="5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Costos Fijos</vt:lpstr>
      <vt:lpstr>Costos Variables</vt:lpstr>
      <vt:lpstr>Costos legales</vt:lpstr>
      <vt:lpstr>Estimacion de pedidos</vt:lpstr>
      <vt:lpstr>Remuneraciones</vt:lpstr>
      <vt:lpstr>Amortizaciones </vt:lpstr>
      <vt:lpstr>Depreciaciones</vt:lpstr>
      <vt:lpstr>Impuestos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2016-02-20T19:24:34Z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590a5e0c-282b-40b7-8273-5f92911de023</vt:lpwstr>
  </property>
</Properties>
</file>