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046188\Videos\data science projects\"/>
    </mc:Choice>
  </mc:AlternateContent>
  <workbookProtection workbookAlgorithmName="SHA-512" workbookHashValue="P5jXn2K0kBgv7CU1FTQ49I5VOmDgLSqD3R0vjZr68D7DQ7FrYjXXabktMs22CLyPRANzEp5pV511+HknLgO9gQ==" workbookSaltValue="xdIq4QwMBiDVBG3xNRtlZQ==" workbookSpinCount="100000" lockStructure="1"/>
  <bookViews>
    <workbookView xWindow="0" yWindow="0" windowWidth="21600" windowHeight="8388" tabRatio="709"/>
  </bookViews>
  <sheets>
    <sheet name="DASHBOARD" sheetId="7" r:id="rId1"/>
    <sheet name="DATA_CALCS" sheetId="6" state="hidden" r:id="rId2"/>
    <sheet name="YOY DATA" sheetId="9" state="hidden" r:id="rId3"/>
    <sheet name="YOY ANALYSIS" sheetId="10" state="hidden" r:id="rId4"/>
  </sheets>
  <definedNames>
    <definedName name="_xlchart.v1.0" hidden="1">'YOY ANALYSIS'!$D$3:$K$4</definedName>
    <definedName name="_xlchart.v1.1" hidden="1">'YOY ANALYSIS'!$D$5:$K$5</definedName>
    <definedName name="_xlchart.v1.2" hidden="1">'YOY ANALYSIS'!$D$3:$K$4</definedName>
    <definedName name="_xlchart.v1.3" hidden="1">'YOY ANALYSIS'!$D$5:$K$5</definedName>
    <definedName name="actual">DATA_CALCS!$B$4:$I$15</definedName>
    <definedName name="FX_RATE">DASHBOARD!$AM$5</definedName>
    <definedName name="MONTH">DATA_CALCS!$Y$4:$Y$15</definedName>
    <definedName name="SCROLLX">OFFSET(DATA_CALCS!$Y$4,DASHBOARD!$C$51,0,DASHBOARD!$D$50,1)</definedName>
    <definedName name="SCROLLY1" comment="OFFSET_REF_ROWS_COLS_HT_WIDTH__COLS0_WIDTH1">OFFSET(DATA_CALCS!$Z$4,DASHBOARD!$C$51,0,DASHBOARD!$D$50,1)</definedName>
    <definedName name="SCROLLY2">OFFSET(DATA_CALCS!$AA$4,DASHBOARD!$C$51,0,DASHBOARD!$D$50,1)</definedName>
    <definedName name="SCROLLY3">OFFSET(DATA_CALCS!$AB$4,DASHBOARD!$C$51,0,DASHBOARD!$D$50,1)</definedName>
  </definedNames>
  <calcPr calcId="162913"/>
</workbook>
</file>

<file path=xl/calcChain.xml><?xml version="1.0" encoding="utf-8"?>
<calcChain xmlns="http://schemas.openxmlformats.org/spreadsheetml/2006/main">
  <c r="C20" i="9" l="1" a="1"/>
  <c r="C20" i="9" s="1"/>
  <c r="C7" i="9" s="1"/>
  <c r="I22" i="6"/>
  <c r="I23" i="6"/>
  <c r="I24" i="6"/>
  <c r="I25" i="6"/>
  <c r="I26" i="6"/>
  <c r="I27" i="6"/>
  <c r="I28" i="6"/>
  <c r="I29" i="6"/>
  <c r="I30" i="6"/>
  <c r="I31" i="6"/>
  <c r="I32" i="6"/>
  <c r="I33" i="6"/>
  <c r="C25" i="9" l="1"/>
  <c r="C12" i="9" s="1"/>
  <c r="C24" i="9"/>
  <c r="C11" i="9" s="1"/>
  <c r="C23" i="9"/>
  <c r="C10" i="9" s="1"/>
  <c r="C22" i="9"/>
  <c r="C9" i="9" s="1"/>
  <c r="C21" i="9"/>
  <c r="C8" i="9" s="1"/>
  <c r="J22" i="6" l="1"/>
  <c r="J23" i="6"/>
  <c r="J24" i="6"/>
  <c r="J25" i="6"/>
  <c r="J26" i="6"/>
  <c r="J27" i="6"/>
  <c r="J28" i="6"/>
  <c r="J29" i="6"/>
  <c r="J30" i="6"/>
  <c r="AJ17" i="7" s="1"/>
  <c r="J31" i="6"/>
  <c r="J32" i="6"/>
  <c r="J33" i="6"/>
  <c r="AF22" i="7" l="1"/>
  <c r="AF18" i="7"/>
  <c r="AF19" i="7"/>
  <c r="AF20" i="7"/>
  <c r="AF21" i="7"/>
  <c r="AF17" i="7"/>
  <c r="AF6" i="7" a="1"/>
  <c r="AF6" i="7" s="1"/>
  <c r="AF9" i="7" l="1"/>
  <c r="AF7" i="7"/>
  <c r="AF11" i="7"/>
  <c r="AF10" i="7"/>
  <c r="AF8" i="7"/>
  <c r="A23" i="6" l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E13" i="9" l="1"/>
  <c r="F13" i="9"/>
  <c r="G13" i="9"/>
  <c r="H13" i="9"/>
  <c r="I13" i="9"/>
  <c r="J13" i="9"/>
  <c r="K13" i="9"/>
  <c r="L13" i="9"/>
  <c r="M13" i="9"/>
  <c r="N13" i="9"/>
  <c r="O13" i="9"/>
  <c r="D13" i="9"/>
  <c r="P13" i="9" l="1"/>
  <c r="P12" i="9"/>
  <c r="D21" i="9" l="1" a="1"/>
  <c r="D21" i="9" s="1"/>
  <c r="D20" i="10"/>
  <c r="P10" i="9"/>
  <c r="D31" i="9" l="1"/>
  <c r="H21" i="9"/>
  <c r="H31" i="9" s="1"/>
  <c r="G21" i="9"/>
  <c r="G31" i="9" s="1"/>
  <c r="K21" i="9"/>
  <c r="K31" i="9" s="1"/>
  <c r="J21" i="9"/>
  <c r="J31" i="9" s="1"/>
  <c r="I21" i="9"/>
  <c r="I31" i="9" s="1"/>
  <c r="N21" i="9"/>
  <c r="N31" i="9" s="1"/>
  <c r="F21" i="9"/>
  <c r="O21" i="9"/>
  <c r="O31" i="9" s="1"/>
  <c r="M21" i="9"/>
  <c r="M31" i="9" s="1"/>
  <c r="E21" i="9"/>
  <c r="E31" i="9" s="1"/>
  <c r="L21" i="9"/>
  <c r="L31" i="9" s="1"/>
  <c r="D21" i="10"/>
  <c r="E18" i="10" l="1"/>
  <c r="P21" i="9"/>
  <c r="F31" i="9"/>
  <c r="V31" i="6" l="1"/>
  <c r="V33" i="6"/>
  <c r="V32" i="6"/>
  <c r="S25" i="7" l="1"/>
  <c r="AI23" i="7" l="1"/>
  <c r="C5" i="10" s="1"/>
  <c r="D5" i="10" s="1"/>
  <c r="B23" i="6"/>
  <c r="B24" i="6"/>
  <c r="B25" i="6"/>
  <c r="B26" i="6"/>
  <c r="B27" i="6"/>
  <c r="B28" i="6"/>
  <c r="B29" i="6"/>
  <c r="B30" i="6"/>
  <c r="B31" i="6"/>
  <c r="B32" i="6"/>
  <c r="B33" i="6"/>
  <c r="B22" i="6"/>
  <c r="B4" i="6"/>
  <c r="D24" i="9" l="1" a="1"/>
  <c r="Q45" i="6"/>
  <c r="E24" i="9" l="1"/>
  <c r="K24" i="9"/>
  <c r="J24" i="9"/>
  <c r="H24" i="9"/>
  <c r="O24" i="9"/>
  <c r="G24" i="9"/>
  <c r="N24" i="9"/>
  <c r="L24" i="9"/>
  <c r="F24" i="9"/>
  <c r="D24" i="9"/>
  <c r="I24" i="9"/>
  <c r="M24" i="9"/>
  <c r="K22" i="6"/>
  <c r="AA4" i="6" s="1"/>
  <c r="E21" i="10" l="1"/>
  <c r="P24" i="9"/>
  <c r="B38" i="6"/>
  <c r="AC34" i="6"/>
  <c r="AC23" i="6"/>
  <c r="AC24" i="6"/>
  <c r="AC25" i="6"/>
  <c r="AC26" i="6"/>
  <c r="AC27" i="6"/>
  <c r="AC28" i="6"/>
  <c r="AC29" i="6"/>
  <c r="AC30" i="6"/>
  <c r="AC22" i="6"/>
  <c r="D37" i="10" l="1"/>
  <c r="F40" i="10"/>
  <c r="F41" i="10"/>
  <c r="I5" i="6" l="1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G5" i="10" l="1"/>
  <c r="F5" i="10"/>
  <c r="E5" i="10"/>
  <c r="D26" i="9" a="1"/>
  <c r="D26" i="9" s="1"/>
  <c r="D34" i="9" l="1"/>
  <c r="G6" i="10"/>
  <c r="H26" i="9"/>
  <c r="K26" i="9"/>
  <c r="J26" i="9"/>
  <c r="I26" i="9"/>
  <c r="O26" i="9"/>
  <c r="G26" i="9"/>
  <c r="N26" i="9"/>
  <c r="F26" i="9"/>
  <c r="M26" i="9"/>
  <c r="E26" i="9"/>
  <c r="L26" i="9"/>
  <c r="I34" i="9" l="1"/>
  <c r="G34" i="9"/>
  <c r="O34" i="9"/>
  <c r="L34" i="9"/>
  <c r="J34" i="9"/>
  <c r="E34" i="9"/>
  <c r="K34" i="9"/>
  <c r="M34" i="9"/>
  <c r="H34" i="9"/>
  <c r="F34" i="9"/>
  <c r="N34" i="9"/>
  <c r="P26" i="9"/>
  <c r="P34" i="9" l="1"/>
  <c r="P31" i="9"/>
  <c r="P14" i="9" l="1"/>
  <c r="P9" i="9"/>
  <c r="P11" i="9"/>
  <c r="P7" i="9"/>
  <c r="E23" i="10"/>
  <c r="D23" i="10"/>
  <c r="D19" i="10"/>
  <c r="D17" i="10"/>
  <c r="D29" i="10" l="1"/>
  <c r="D36" i="10" s="1"/>
  <c r="D38" i="10" s="1"/>
  <c r="F23" i="10"/>
  <c r="D32" i="10" l="1"/>
  <c r="P8" i="9"/>
  <c r="D18" i="10"/>
  <c r="K23" i="6" l="1"/>
  <c r="K24" i="6"/>
  <c r="K25" i="6"/>
  <c r="K26" i="6"/>
  <c r="K27" i="6"/>
  <c r="K28" i="6"/>
  <c r="K29" i="6"/>
  <c r="K30" i="6"/>
  <c r="K31" i="6"/>
  <c r="K32" i="6"/>
  <c r="K33" i="6"/>
  <c r="B40" i="6" l="1"/>
  <c r="B46" i="6"/>
  <c r="B44" i="6"/>
  <c r="B47" i="6"/>
  <c r="B42" i="6"/>
  <c r="B48" i="6"/>
  <c r="B39" i="6"/>
  <c r="B45" i="6"/>
  <c r="B43" i="6"/>
  <c r="B49" i="6"/>
  <c r="B41" i="6"/>
  <c r="C51" i="7"/>
  <c r="AA8" i="6" l="1"/>
  <c r="U8" i="6"/>
  <c r="AA11" i="6"/>
  <c r="U11" i="6"/>
  <c r="AA13" i="6"/>
  <c r="U13" i="6"/>
  <c r="AA6" i="6"/>
  <c r="U6" i="6"/>
  <c r="AA10" i="6"/>
  <c r="U10" i="6"/>
  <c r="AA12" i="6"/>
  <c r="U12" i="6"/>
  <c r="AA9" i="6"/>
  <c r="U9" i="6"/>
  <c r="AA5" i="6"/>
  <c r="U5" i="6"/>
  <c r="AA7" i="6"/>
  <c r="U7" i="6"/>
  <c r="AA15" i="6"/>
  <c r="U15" i="6"/>
  <c r="AA14" i="6"/>
  <c r="U14" i="6"/>
  <c r="S15" i="6"/>
  <c r="P15" i="6"/>
  <c r="Q15" i="6"/>
  <c r="R15" i="6"/>
  <c r="Z11" i="6" l="1"/>
  <c r="Z12" i="6"/>
  <c r="Z13" i="6"/>
  <c r="Z7" i="6"/>
  <c r="Z8" i="6"/>
  <c r="Z9" i="6"/>
  <c r="D23" i="9" l="1" a="1"/>
  <c r="Z14" i="6"/>
  <c r="Z5" i="6"/>
  <c r="Z6" i="6"/>
  <c r="Z15" i="6"/>
  <c r="T15" i="6"/>
  <c r="I23" i="9" l="1"/>
  <c r="I33" i="9" s="1"/>
  <c r="L23" i="9"/>
  <c r="L33" i="9" s="1"/>
  <c r="O23" i="9"/>
  <c r="O33" i="9" s="1"/>
  <c r="K23" i="9"/>
  <c r="K33" i="9" s="1"/>
  <c r="N23" i="9"/>
  <c r="N33" i="9" s="1"/>
  <c r="M23" i="9"/>
  <c r="M33" i="9" s="1"/>
  <c r="E23" i="9"/>
  <c r="E33" i="9" s="1"/>
  <c r="J23" i="9"/>
  <c r="J33" i="9" s="1"/>
  <c r="H23" i="9"/>
  <c r="H33" i="9" s="1"/>
  <c r="F23" i="9"/>
  <c r="F33" i="9" s="1"/>
  <c r="D23" i="9"/>
  <c r="D33" i="9" s="1"/>
  <c r="G23" i="9"/>
  <c r="G33" i="9" s="1"/>
  <c r="D22" i="9" a="1"/>
  <c r="P33" i="9" l="1"/>
  <c r="E28" i="10"/>
  <c r="E20" i="10"/>
  <c r="P23" i="9"/>
  <c r="F22" i="9"/>
  <c r="F32" i="9" s="1"/>
  <c r="L22" i="9"/>
  <c r="L32" i="9" s="1"/>
  <c r="H22" i="9"/>
  <c r="H32" i="9" s="1"/>
  <c r="K22" i="9"/>
  <c r="K32" i="9" s="1"/>
  <c r="N22" i="9"/>
  <c r="N32" i="9" s="1"/>
  <c r="D22" i="9"/>
  <c r="D32" i="9" s="1"/>
  <c r="G22" i="9"/>
  <c r="G32" i="9" s="1"/>
  <c r="O22" i="9"/>
  <c r="O32" i="9" s="1"/>
  <c r="J22" i="9"/>
  <c r="J32" i="9" s="1"/>
  <c r="E22" i="9"/>
  <c r="E32" i="9" s="1"/>
  <c r="M22" i="9"/>
  <c r="M32" i="9" s="1"/>
  <c r="I22" i="9"/>
  <c r="I32" i="9" s="1"/>
  <c r="Z10" i="6"/>
  <c r="P32" i="9" l="1"/>
  <c r="F18" i="10"/>
  <c r="F21" i="10"/>
  <c r="E31" i="10"/>
  <c r="F31" i="10" s="1"/>
  <c r="F20" i="10"/>
  <c r="E30" i="10"/>
  <c r="F30" i="10" s="1"/>
  <c r="E19" i="10"/>
  <c r="P22" i="9"/>
  <c r="F28" i="10"/>
  <c r="E29" i="10" l="1"/>
  <c r="E36" i="10" s="1"/>
  <c r="F19" i="10"/>
  <c r="F29" i="10" l="1"/>
  <c r="P14" i="6"/>
  <c r="Q14" i="6"/>
  <c r="R14" i="6"/>
  <c r="S14" i="6"/>
  <c r="T14" i="6"/>
  <c r="F36" i="10" l="1"/>
  <c r="P5" i="6" l="1"/>
  <c r="Q5" i="6"/>
  <c r="R5" i="6"/>
  <c r="S5" i="6"/>
  <c r="T5" i="6"/>
  <c r="P6" i="6"/>
  <c r="Q6" i="6"/>
  <c r="R6" i="6"/>
  <c r="S6" i="6"/>
  <c r="T6" i="6"/>
  <c r="P7" i="6"/>
  <c r="Q7" i="6"/>
  <c r="R7" i="6"/>
  <c r="S7" i="6"/>
  <c r="T7" i="6"/>
  <c r="P8" i="6"/>
  <c r="Q8" i="6"/>
  <c r="R8" i="6"/>
  <c r="S8" i="6"/>
  <c r="T8" i="6"/>
  <c r="P9" i="6"/>
  <c r="Q9" i="6"/>
  <c r="R9" i="6"/>
  <c r="S9" i="6"/>
  <c r="T9" i="6"/>
  <c r="Q10" i="6"/>
  <c r="R10" i="6"/>
  <c r="S10" i="6"/>
  <c r="T10" i="6"/>
  <c r="Q11" i="6"/>
  <c r="R11" i="6"/>
  <c r="S11" i="6"/>
  <c r="T11" i="6"/>
  <c r="P12" i="6"/>
  <c r="Q12" i="6"/>
  <c r="R12" i="6"/>
  <c r="S12" i="6"/>
  <c r="T12" i="6"/>
  <c r="P13" i="6"/>
  <c r="Q13" i="6"/>
  <c r="R13" i="6"/>
  <c r="S13" i="6"/>
  <c r="T13" i="6"/>
  <c r="Q4" i="6"/>
  <c r="R4" i="6"/>
  <c r="S4" i="6"/>
  <c r="N5" i="6"/>
  <c r="O4" i="6"/>
  <c r="O5" i="6" l="1"/>
  <c r="N6" i="6"/>
  <c r="N7" i="6" s="1"/>
  <c r="O7" i="6" s="1"/>
  <c r="O6" i="6" l="1"/>
  <c r="N8" i="6"/>
  <c r="O8" i="6" s="1"/>
  <c r="AH6" i="7" l="1"/>
  <c r="AJ6" i="7" s="1"/>
  <c r="N9" i="6"/>
  <c r="O9" i="6" s="1"/>
  <c r="AH9" i="7" l="1"/>
  <c r="AH8" i="7"/>
  <c r="AJ8" i="7" s="1"/>
  <c r="AH10" i="7"/>
  <c r="AH7" i="7"/>
  <c r="N10" i="6"/>
  <c r="O10" i="6" s="1"/>
  <c r="N11" i="6" l="1"/>
  <c r="O11" i="6" s="1"/>
  <c r="N12" i="6" l="1"/>
  <c r="N13" i="6" s="1"/>
  <c r="O12" i="6" l="1"/>
  <c r="O13" i="6"/>
  <c r="N14" i="6"/>
  <c r="O14" i="6" l="1"/>
  <c r="N15" i="6"/>
  <c r="A5" i="6"/>
  <c r="A6" i="6" l="1"/>
  <c r="B5" i="6"/>
  <c r="O15" i="6"/>
  <c r="P10" i="6"/>
  <c r="P11" i="6"/>
  <c r="A7" i="6" l="1"/>
  <c r="B6" i="6"/>
  <c r="A8" i="6" l="1"/>
  <c r="B7" i="6"/>
  <c r="A9" i="6" l="1"/>
  <c r="B8" i="6"/>
  <c r="A10" i="6" l="1"/>
  <c r="B9" i="6"/>
  <c r="A11" i="6" l="1"/>
  <c r="B10" i="6"/>
  <c r="AN10" i="7" s="1"/>
  <c r="AG7" i="7" l="1"/>
  <c r="AN8" i="7"/>
  <c r="AO8" i="7"/>
  <c r="AG10" i="7"/>
  <c r="AG8" i="7"/>
  <c r="AG9" i="7"/>
  <c r="AO9" i="7"/>
  <c r="AO6" i="7"/>
  <c r="AN6" i="7"/>
  <c r="AP7" i="7"/>
  <c r="AP6" i="7"/>
  <c r="AO7" i="7"/>
  <c r="AN7" i="7"/>
  <c r="AN9" i="7"/>
  <c r="AP8" i="7"/>
  <c r="A12" i="6"/>
  <c r="B11" i="6"/>
  <c r="AP10" i="7"/>
  <c r="AP9" i="7"/>
  <c r="AO10" i="7"/>
  <c r="AB13" i="6"/>
  <c r="AB8" i="6"/>
  <c r="AB14" i="6"/>
  <c r="AB15" i="6"/>
  <c r="AB12" i="6"/>
  <c r="A13" i="6" l="1"/>
  <c r="B12" i="6"/>
  <c r="AI9" i="7"/>
  <c r="AG20" i="7"/>
  <c r="AG21" i="7"/>
  <c r="AI8" i="7"/>
  <c r="AG19" i="7"/>
  <c r="AG18" i="7"/>
  <c r="AB9" i="6"/>
  <c r="AB6" i="6"/>
  <c r="AB11" i="6"/>
  <c r="AB10" i="6"/>
  <c r="AB7" i="6"/>
  <c r="AB5" i="6"/>
  <c r="A14" i="6" l="1"/>
  <c r="B13" i="6"/>
  <c r="B14" i="6" l="1"/>
  <c r="A15" i="6"/>
  <c r="B15" i="6" s="1"/>
  <c r="AM5" i="7" l="1"/>
  <c r="AG6" i="7"/>
  <c r="AI6" i="7" l="1"/>
  <c r="AG17" i="7"/>
  <c r="AJ9" i="7"/>
  <c r="AJ7" i="7"/>
  <c r="AJ10" i="7"/>
  <c r="AI7" i="7"/>
  <c r="AI10" i="7"/>
  <c r="AJ11" i="7" l="1"/>
  <c r="AL7" i="7" s="1"/>
  <c r="AL9" i="7" l="1"/>
  <c r="AL8" i="7"/>
  <c r="AL6" i="7"/>
  <c r="AL10" i="7"/>
  <c r="AL11" i="7" l="1"/>
  <c r="D20" i="9" a="1"/>
  <c r="O20" i="9" s="1"/>
  <c r="P4" i="6"/>
  <c r="E20" i="9" l="1"/>
  <c r="E30" i="9" s="1"/>
  <c r="M20" i="9"/>
  <c r="L20" i="9"/>
  <c r="L30" i="9" s="1"/>
  <c r="D20" i="9"/>
  <c r="G20" i="9"/>
  <c r="AP25" i="7"/>
  <c r="K20" i="9"/>
  <c r="AI25" i="7"/>
  <c r="O30" i="9"/>
  <c r="AS25" i="7"/>
  <c r="H20" i="9"/>
  <c r="F20" i="9"/>
  <c r="N20" i="9"/>
  <c r="J20" i="9"/>
  <c r="I20" i="9"/>
  <c r="AH25" i="7" l="1"/>
  <c r="D30" i="9"/>
  <c r="M30" i="9"/>
  <c r="AQ25" i="7"/>
  <c r="AO25" i="7"/>
  <c r="K30" i="9"/>
  <c r="G30" i="9"/>
  <c r="AK25" i="7"/>
  <c r="K5" i="10"/>
  <c r="N30" i="9"/>
  <c r="AR25" i="7"/>
  <c r="G10" i="10"/>
  <c r="G12" i="10" s="1"/>
  <c r="D10" i="10"/>
  <c r="H5" i="10"/>
  <c r="F30" i="9"/>
  <c r="P20" i="9"/>
  <c r="AJ25" i="7"/>
  <c r="E17" i="10"/>
  <c r="E10" i="10"/>
  <c r="E12" i="10" s="1"/>
  <c r="H30" i="9"/>
  <c r="AL25" i="7"/>
  <c r="AM25" i="7"/>
  <c r="I30" i="9"/>
  <c r="F10" i="10"/>
  <c r="F12" i="10" s="1"/>
  <c r="J5" i="10"/>
  <c r="J30" i="9"/>
  <c r="AN25" i="7"/>
  <c r="I5" i="10"/>
  <c r="G11" i="10" l="1"/>
  <c r="G13" i="10" s="1"/>
  <c r="AA47" i="7" s="1"/>
  <c r="D12" i="10"/>
  <c r="P30" i="9"/>
  <c r="E27" i="10"/>
  <c r="F17" i="10"/>
  <c r="AH28" i="7"/>
  <c r="AA45" i="7" l="1"/>
  <c r="AI28" i="7"/>
  <c r="AB45" i="7" s="1"/>
  <c r="F27" i="10"/>
  <c r="E37" i="10"/>
  <c r="E32" i="10"/>
  <c r="F32" i="10" s="1"/>
  <c r="E38" i="10" l="1"/>
  <c r="F38" i="10" s="1"/>
  <c r="F37" i="10"/>
  <c r="D25" i="9" l="1" a="1"/>
  <c r="F25" i="9" s="1"/>
  <c r="F35" i="9" s="1"/>
  <c r="F36" i="9" s="1"/>
  <c r="K25" i="9" l="1"/>
  <c r="K35" i="9" s="1"/>
  <c r="K36" i="9" s="1"/>
  <c r="J25" i="9"/>
  <c r="J35" i="9" s="1"/>
  <c r="J36" i="9" s="1"/>
  <c r="I25" i="9"/>
  <c r="I35" i="9" s="1"/>
  <c r="I36" i="9" s="1"/>
  <c r="H25" i="9"/>
  <c r="H35" i="9" s="1"/>
  <c r="H36" i="9" s="1"/>
  <c r="O25" i="9"/>
  <c r="O35" i="9" s="1"/>
  <c r="O36" i="9" s="1"/>
  <c r="G25" i="9"/>
  <c r="G35" i="9" s="1"/>
  <c r="G36" i="9" s="1"/>
  <c r="E25" i="9"/>
  <c r="E35" i="9" s="1"/>
  <c r="E36" i="9" s="1"/>
  <c r="L25" i="9"/>
  <c r="L35" i="9" s="1"/>
  <c r="L36" i="9" s="1"/>
  <c r="N25" i="9"/>
  <c r="N35" i="9" s="1"/>
  <c r="N36" i="9" s="1"/>
  <c r="M25" i="9"/>
  <c r="M35" i="9" s="1"/>
  <c r="M36" i="9" s="1"/>
  <c r="D25" i="9"/>
  <c r="D35" i="9" s="1"/>
  <c r="I4" i="6"/>
  <c r="AH11" i="7"/>
  <c r="AG11" i="7"/>
  <c r="T4" i="6"/>
  <c r="P25" i="9" l="1"/>
  <c r="AI11" i="7"/>
  <c r="AG22" i="7"/>
  <c r="U4" i="6"/>
  <c r="AB4" i="6" s="1"/>
  <c r="Z4" i="6"/>
  <c r="J4" i="6"/>
  <c r="AJ16" i="7" s="1"/>
  <c r="D36" i="9"/>
  <c r="P35" i="9"/>
  <c r="P36" i="9" s="1"/>
  <c r="AK17" i="7" l="1"/>
  <c r="AL17" i="7" s="1"/>
  <c r="AK18" i="7"/>
  <c r="AL18" i="7" s="1"/>
  <c r="AI12" i="7"/>
  <c r="AK11" i="7" s="1"/>
  <c r="AK9" i="7" l="1"/>
  <c r="AK7" i="7"/>
  <c r="AK6" i="7"/>
  <c r="AK8" i="7"/>
  <c r="AK10" i="7"/>
  <c r="AK12" i="7" l="1"/>
</calcChain>
</file>

<file path=xl/comments1.xml><?xml version="1.0" encoding="utf-8"?>
<comments xmlns="http://schemas.openxmlformats.org/spreadsheetml/2006/main">
  <authors>
    <author>Jacques Antoine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>Jacques Antoine:</t>
        </r>
        <r>
          <rPr>
            <sz val="9"/>
            <color indexed="81"/>
            <rFont val="Tahoma"/>
            <family val="2"/>
          </rPr>
          <t xml:space="preserve">
FROM BRH</t>
        </r>
      </text>
    </comment>
  </commentList>
</comments>
</file>

<file path=xl/comments2.xml><?xml version="1.0" encoding="utf-8"?>
<comments xmlns="http://schemas.openxmlformats.org/spreadsheetml/2006/main">
  <authors>
    <author>Jacques Antoine</author>
  </authors>
  <commentList>
    <comment ref="C36" authorId="0" shapeId="0">
      <text>
        <r>
          <rPr>
            <b/>
            <sz val="9"/>
            <color indexed="81"/>
            <rFont val="Tahoma"/>
            <family val="2"/>
          </rPr>
          <t>Jacques Antoine:</t>
        </r>
        <r>
          <rPr>
            <sz val="9"/>
            <color indexed="81"/>
            <rFont val="Tahoma"/>
            <family val="2"/>
          </rPr>
          <t xml:space="preserve">
fuel delivery and province deliveries &amp; island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Jacques Antoine:</t>
        </r>
        <r>
          <rPr>
            <sz val="9"/>
            <color indexed="81"/>
            <rFont val="Tahoma"/>
            <family val="2"/>
          </rPr>
          <t xml:space="preserve">
manual handling + rescues+ redzone contractor + subcontractor</t>
        </r>
      </text>
    </comment>
  </commentList>
</comments>
</file>

<file path=xl/sharedStrings.xml><?xml version="1.0" encoding="utf-8"?>
<sst xmlns="http://schemas.openxmlformats.org/spreadsheetml/2006/main" count="195" uniqueCount="113">
  <si>
    <t>Actual</t>
  </si>
  <si>
    <t>Sub-contractor</t>
  </si>
  <si>
    <t>Total</t>
  </si>
  <si>
    <t>Manual handling</t>
  </si>
  <si>
    <t>Rescues</t>
  </si>
  <si>
    <t>Fuel delivery</t>
  </si>
  <si>
    <t xml:space="preserve">Province Deliveries &amp; Island Fees </t>
  </si>
  <si>
    <t>ACTUAL</t>
  </si>
  <si>
    <t>ACTUAL V BUDGET</t>
  </si>
  <si>
    <t>DATE</t>
  </si>
  <si>
    <t>MONTH</t>
  </si>
  <si>
    <t>TOTAL</t>
  </si>
  <si>
    <t>BUDGET</t>
  </si>
  <si>
    <t>budget</t>
  </si>
  <si>
    <t>actual%</t>
  </si>
  <si>
    <t>budget%</t>
  </si>
  <si>
    <t xml:space="preserve">    </t>
  </si>
  <si>
    <t>Prev actual</t>
  </si>
  <si>
    <t xml:space="preserve"> </t>
  </si>
  <si>
    <t>2 month prev</t>
  </si>
  <si>
    <t>April</t>
  </si>
  <si>
    <t>May</t>
  </si>
  <si>
    <t>FX</t>
  </si>
  <si>
    <t>AVG FX RATE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</si>
  <si>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</si>
  <si>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</si>
  <si>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</si>
  <si>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</si>
  <si>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</si>
  <si>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</si>
  <si>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</si>
  <si>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</si>
  <si>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</si>
  <si>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</si>
  <si>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EPS RESCUE</t>
  </si>
  <si>
    <t>EPS INSPECTOR</t>
  </si>
  <si>
    <t>DPT INSPECTOR</t>
  </si>
  <si>
    <t>DPT RESCUE $</t>
  </si>
  <si>
    <t>FX RATE</t>
  </si>
  <si>
    <t>GDS</t>
  </si>
  <si>
    <t>scroll:</t>
  </si>
  <si>
    <t xml:space="preserve">VARIATION </t>
  </si>
  <si>
    <t>zoom:</t>
  </si>
  <si>
    <t>DINASSA fuel</t>
  </si>
  <si>
    <t>FAGER fuel</t>
  </si>
  <si>
    <t>chart</t>
  </si>
  <si>
    <t>ACTUAL TOTAL</t>
  </si>
  <si>
    <t>BUDGET TOTAL</t>
  </si>
  <si>
    <t>OFFSET(REF,ROWS,COLS,HT,WIDTH) COLS0,WIDTH1</t>
  </si>
  <si>
    <t>ISLAND FEE</t>
  </si>
  <si>
    <t>YOY CHANGE</t>
  </si>
  <si>
    <t>QTR 1</t>
  </si>
  <si>
    <t>QTR 2</t>
  </si>
  <si>
    <t>MANUAL HANDLING</t>
  </si>
  <si>
    <t>RESCUES</t>
  </si>
  <si>
    <t>QTR 3</t>
  </si>
  <si>
    <t>QTR 4</t>
  </si>
  <si>
    <t>FUEL DELIVERY</t>
  </si>
  <si>
    <t xml:space="preserve">PROVINCE DELIVERIES &amp; ISLAND FEES </t>
  </si>
  <si>
    <t>SUB-CONTRACTOR</t>
  </si>
  <si>
    <t>FY 21</t>
  </si>
  <si>
    <t>FX AVERAGE</t>
  </si>
  <si>
    <t>USD ONLY</t>
  </si>
  <si>
    <t>legend</t>
  </si>
  <si>
    <t>YEAR TOTAL</t>
  </si>
  <si>
    <t>OTHER CONTRACTOR</t>
  </si>
  <si>
    <t>FUEL DELIVERED GALS</t>
  </si>
  <si>
    <t>FUEL CONSUMPTION GALS</t>
  </si>
  <si>
    <t>USD</t>
  </si>
  <si>
    <t>RFS INSPECTOR</t>
  </si>
  <si>
    <t>REDZONE ERNSO</t>
  </si>
  <si>
    <t>MONTHLY CONTRACTOR</t>
  </si>
  <si>
    <t>MISCELLANOUS</t>
  </si>
  <si>
    <t>ANNUAL PAYMENT</t>
  </si>
  <si>
    <t>EDH SITES</t>
  </si>
  <si>
    <t>PIPING REPAIRS</t>
  </si>
  <si>
    <t>RFS PHONE AND BONUS</t>
  </si>
  <si>
    <t>GPS</t>
  </si>
  <si>
    <t>MARINE EXPRESS</t>
  </si>
  <si>
    <t>APPLICATION MAINTENANCE</t>
  </si>
  <si>
    <t>MONCASH</t>
  </si>
  <si>
    <t>LET ME DO IT</t>
  </si>
  <si>
    <t>ISLAND FEES</t>
  </si>
  <si>
    <t>MONCASH OPERATIONS FEE</t>
  </si>
  <si>
    <t>CONTRACTOR RESCUE</t>
  </si>
  <si>
    <t>REFUELING SUPERVISION</t>
  </si>
  <si>
    <t>WORLD AGENCY REDZONE CONTRACTOR</t>
  </si>
  <si>
    <t>FUEL AND DELIVERY</t>
  </si>
  <si>
    <t>TOTAL $</t>
  </si>
  <si>
    <t>actual total fy22</t>
  </si>
  <si>
    <t>BUDGET TOTAL FY21</t>
  </si>
  <si>
    <t>ACTUAL TOTAL FY21</t>
  </si>
  <si>
    <t>select OPEX category</t>
  </si>
  <si>
    <t>estimated</t>
  </si>
  <si>
    <t>FY 2022</t>
  </si>
  <si>
    <t>FY 22</t>
  </si>
  <si>
    <t>ISLAND</t>
  </si>
  <si>
    <t>QoQ CHANGE</t>
  </si>
  <si>
    <t>YoY change</t>
  </si>
  <si>
    <t>Wages &amp; benefits</t>
  </si>
  <si>
    <t>Rent &amp; leases</t>
  </si>
  <si>
    <t>Utilities</t>
  </si>
  <si>
    <t>Maintenance and Repairs</t>
  </si>
  <si>
    <t>Marketing &amp; Advertising</t>
  </si>
  <si>
    <t>R&amp;D</t>
  </si>
  <si>
    <t>Wages &amp; Benefits</t>
  </si>
  <si>
    <t>Rent &amp; Leases</t>
  </si>
  <si>
    <t>Maintenance &amp; Repairs</t>
  </si>
  <si>
    <t>Depreciation</t>
  </si>
  <si>
    <t>JUNE</t>
  </si>
  <si>
    <t>FY2023</t>
  </si>
  <si>
    <t>FY 2023</t>
  </si>
  <si>
    <t>ACTUAL V BUDGET DASHBOARD FY2023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</si>
</sst>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HTG]\ #,##0_);\([$HTG]\ #,##0\)"/>
    <numFmt numFmtId="165" formatCode="_(* #,##0_);_(* \(#,##0\);_(* &quot;-&quot;??_);_(@_)"/>
    <numFmt numFmtId="166" formatCode="0.0%"/>
    <numFmt numFmtId="167" formatCode="#,##0\ [$G-3C0C]"/>
    <numFmt numFmtId="168" formatCode="_(&quot;$&quot;* #,##0_);_(&quot;$&quot;* \(#,##0\);_(&quot;$&quot;* &quot;-&quot;??_);_(@_)"/>
    <numFmt numFmtId="169" formatCode="&quot;$&quot;#,##0.00"/>
    <numFmt numFmtId="170" formatCode="[$HTG]\ #,##0.00_);\([$HTG]\ #,##0.00\)"/>
    <numFmt numFmtId="171" formatCode="[$HTG]\ #,##0.0_);\([$HTG]\ #,##0.0\)"/>
    <numFmt numFmtId="172" formatCode="_(&quot;$&quot;* #,##0.0_);_(&quot;$&quot;* \(#,##0.0\);_(&quot;$&quot;* &quot;-&quot;??_);_(@_)"/>
    <numFmt numFmtId="173" formatCode="_([$HTG]\ * #,##0.0_);_([$HTG]\ * \(#,##0.0\);_([$HTG]\ * &quot;-&quot;?_);_(@_)"/>
    <numFmt numFmtId="174" formatCode="[$HTG-3C0C]\ #,##0.00,,&quot;M&quot;;\(&quot;$&quot;#,##0.00,,&quot;M&quot;\);"/>
    <numFmt numFmtId="175" formatCode="[$HTG-3C0C]\ #,##0.0,,&quot;M&quot;;\(&quot;$&quot;#,##0.0,,&quot;M&quot;\);"/>
    <numFmt numFmtId="176" formatCode="[$HTG-3C0C]\ #,##0,,&quot;M&quot;;\(&quot;$&quot;#,##0,,&quot;M&quot;\);"/>
    <numFmt numFmtId="177" formatCode="&quot;$&quot;#,#00.00,\ &quot;K&quot;"/>
    <numFmt numFmtId="178" formatCode="[$$]\ #,##0.00,,&quot;M&quot;;\(&quot;$&quot;#,##0.00,,&quot;M&quot;\);"/>
    <numFmt numFmtId="182" formatCode="0.0000"/>
    <numFmt numFmtId="184" formatCode="[$$-380A]\ #,##0.00"/>
  </numFmts>
  <fonts count="40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0"/>
      <color theme="1"/>
      <name val="Tw Cen MT"/>
      <family val="2"/>
      <scheme val="minor"/>
    </font>
    <font>
      <b/>
      <sz val="10"/>
      <color theme="1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8"/>
      <color theme="3"/>
      <name val="Tw Cen MT Condensed"/>
      <family val="2"/>
      <scheme val="major"/>
    </font>
    <font>
      <i/>
      <sz val="11"/>
      <color rgb="FF7F7F7F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i/>
      <sz val="10"/>
      <color theme="1" tint="4.9989318521683403E-2"/>
      <name val="Tw Cen MT"/>
      <family val="2"/>
      <scheme val="minor"/>
    </font>
    <font>
      <b/>
      <i/>
      <sz val="10"/>
      <color theme="1"/>
      <name val="Tw Cen MT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w Cen MT"/>
      <family val="2"/>
      <scheme val="minor"/>
    </font>
    <font>
      <i/>
      <sz val="11"/>
      <color theme="1" tint="4.9989318521683403E-2"/>
      <name val="Tw Cen MT"/>
      <family val="2"/>
      <scheme val="minor"/>
    </font>
    <font>
      <sz val="10"/>
      <color theme="0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0"/>
      <color theme="2"/>
      <name val="Tw Cen MT"/>
      <family val="2"/>
      <scheme val="minor"/>
    </font>
    <font>
      <sz val="9"/>
      <color theme="1"/>
      <name val="Tw Cen MT"/>
      <family val="2"/>
      <scheme val="minor"/>
    </font>
    <font>
      <b/>
      <sz val="9"/>
      <color rgb="FF3F3F3F"/>
      <name val="Tw Cen MT"/>
      <family val="2"/>
      <scheme val="minor"/>
    </font>
    <font>
      <b/>
      <sz val="10"/>
      <color rgb="FF3F3F3F"/>
      <name val="Tw Cen MT"/>
      <family val="2"/>
      <scheme val="minor"/>
    </font>
    <font>
      <sz val="11"/>
      <color theme="1"/>
      <name val="Bahnschrift Light"/>
      <family val="2"/>
    </font>
    <font>
      <sz val="10"/>
      <color theme="1"/>
      <name val="Bahnschrift Light"/>
      <family val="2"/>
    </font>
    <font>
      <i/>
      <sz val="11"/>
      <color rgb="FF7F7F7F"/>
      <name val="Bahnschrift Light"/>
      <family val="2"/>
    </font>
    <font>
      <sz val="11"/>
      <color theme="1" tint="4.9989318521683403E-2"/>
      <name val="Tw Cen MT"/>
      <family val="2"/>
      <scheme val="minor"/>
    </font>
    <font>
      <sz val="16"/>
      <color theme="1" tint="4.9989318521683403E-2"/>
      <name val="Century Gothic"/>
      <family val="2"/>
    </font>
    <font>
      <b/>
      <sz val="11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1"/>
      <color rgb="FF7F7F7F"/>
      <name val="Tw Cen MT"/>
      <family val="2"/>
      <scheme val="minor"/>
    </font>
    <font>
      <sz val="11"/>
      <color theme="3" tint="-0.249977111117893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theme="1" tint="4.9989318521683403E-2"/>
      <name val="Century Gothic"/>
      <family val="2"/>
    </font>
    <font>
      <sz val="12"/>
      <color theme="1"/>
      <name val="Tw Cen MT"/>
      <family val="2"/>
      <scheme val="minor"/>
    </font>
    <font>
      <sz val="11"/>
      <color rgb="FFFF0000"/>
      <name val="Bahnschrift Light"/>
      <family val="2"/>
    </font>
    <font>
      <sz val="11"/>
      <color theme="0" tint="-0.14999847407452621"/>
      <name val="Tw Cen MT"/>
      <family val="2"/>
      <scheme val="minor"/>
    </font>
    <font>
      <b/>
      <sz val="16"/>
      <color theme="1"/>
      <name val="Tw Cen MT"/>
      <family val="2"/>
      <scheme val="minor"/>
    </font>
    <font>
      <sz val="16"/>
      <color theme="1" tint="4.9989318521683403E-2"/>
      <name val="Tw Cen MT"/>
      <family val="2"/>
      <scheme val="minor"/>
    </font>
    <font>
      <sz val="10"/>
      <color theme="0" tint="-0.14999847407452621"/>
      <name val="Tw Cen MT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16">
    <xf numFmtId="0" fontId="0" fillId="0" borderId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6" borderId="13" applyNumberFormat="0" applyAlignment="0" applyProtection="0"/>
    <xf numFmtId="44" fontId="1" fillId="0" borderId="0" applyFont="0" applyFill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32" fillId="16" borderId="0" applyNumberFormat="0" applyBorder="0" applyAlignment="0" applyProtection="0"/>
  </cellStyleXfs>
  <cellXfs count="148">
    <xf numFmtId="0" fontId="0" fillId="0" borderId="0" xfId="0"/>
    <xf numFmtId="0" fontId="0" fillId="0" borderId="0" xfId="0" applyFill="1"/>
    <xf numFmtId="0" fontId="0" fillId="2" borderId="10" xfId="2" applyFont="1" applyBorder="1" applyAlignment="1">
      <alignment horizontal="center" vertical="center" wrapText="1"/>
    </xf>
    <xf numFmtId="1" fontId="0" fillId="0" borderId="9" xfId="0" applyNumberFormat="1" applyBorder="1"/>
    <xf numFmtId="164" fontId="5" fillId="0" borderId="9" xfId="3" applyNumberFormat="1" applyFont="1" applyBorder="1" applyAlignment="1">
      <alignment horizontal="center" vertical="center"/>
    </xf>
    <xf numFmtId="14" fontId="1" fillId="3" borderId="0" xfId="6" applyNumberFormat="1"/>
    <xf numFmtId="0" fontId="7" fillId="0" borderId="0" xfId="5"/>
    <xf numFmtId="0" fontId="0" fillId="2" borderId="9" xfId="2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9" fontId="6" fillId="0" borderId="9" xfId="4" applyFont="1" applyBorder="1" applyAlignment="1">
      <alignment horizontal="center" vertical="center"/>
    </xf>
    <xf numFmtId="1" fontId="0" fillId="0" borderId="14" xfId="0" applyNumberFormat="1" applyBorder="1"/>
    <xf numFmtId="0" fontId="0" fillId="2" borderId="0" xfId="2" applyFont="1" applyBorder="1" applyAlignment="1">
      <alignment horizontal="center" vertical="center" wrapText="1"/>
    </xf>
    <xf numFmtId="0" fontId="0" fillId="2" borderId="11" xfId="2" applyFont="1" applyBorder="1" applyAlignment="1">
      <alignment horizontal="center" vertical="center" wrapText="1"/>
    </xf>
    <xf numFmtId="0" fontId="0" fillId="2" borderId="12" xfId="2" applyFont="1" applyBorder="1" applyAlignment="1">
      <alignment horizontal="center" vertical="center" wrapText="1"/>
    </xf>
    <xf numFmtId="1" fontId="0" fillId="0" borderId="15" xfId="0" applyNumberFormat="1" applyBorder="1"/>
    <xf numFmtId="164" fontId="5" fillId="0" borderId="16" xfId="3" applyNumberFormat="1" applyFont="1" applyBorder="1" applyAlignment="1">
      <alignment horizontal="center" vertical="center"/>
    </xf>
    <xf numFmtId="4" fontId="0" fillId="0" borderId="0" xfId="0" applyNumberFormat="1"/>
    <xf numFmtId="164" fontId="5" fillId="0" borderId="0" xfId="3" applyNumberFormat="1" applyFont="1" applyBorder="1" applyAlignment="1">
      <alignment horizontal="center" vertical="center"/>
    </xf>
    <xf numFmtId="0" fontId="0" fillId="0" borderId="9" xfId="0" applyBorder="1"/>
    <xf numFmtId="169" fontId="5" fillId="0" borderId="9" xfId="3" applyNumberFormat="1" applyFont="1" applyBorder="1" applyAlignment="1">
      <alignment horizontal="center" vertical="center"/>
    </xf>
    <xf numFmtId="170" fontId="1" fillId="8" borderId="12" xfId="11" applyNumberFormat="1" applyBorder="1" applyAlignment="1">
      <alignment horizontal="center" vertical="center"/>
    </xf>
    <xf numFmtId="164" fontId="5" fillId="0" borderId="12" xfId="3" applyNumberFormat="1" applyFont="1" applyBorder="1" applyAlignment="1">
      <alignment horizontal="center" vertical="center"/>
    </xf>
    <xf numFmtId="0" fontId="15" fillId="2" borderId="9" xfId="2" applyFont="1" applyBorder="1" applyAlignment="1">
      <alignment horizontal="center" vertical="center" wrapText="1"/>
    </xf>
    <xf numFmtId="0" fontId="2" fillId="9" borderId="0" xfId="0" applyFont="1" applyFill="1"/>
    <xf numFmtId="164" fontId="0" fillId="0" borderId="0" xfId="0" applyNumberFormat="1"/>
    <xf numFmtId="9" fontId="0" fillId="0" borderId="0" xfId="0" applyNumberFormat="1"/>
    <xf numFmtId="0" fontId="5" fillId="0" borderId="0" xfId="0" applyFont="1"/>
    <xf numFmtId="0" fontId="19" fillId="13" borderId="0" xfId="0" applyFont="1" applyFill="1"/>
    <xf numFmtId="0" fontId="5" fillId="0" borderId="0" xfId="0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6" fillId="0" borderId="8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/>
    </xf>
    <xf numFmtId="0" fontId="3" fillId="10" borderId="0" xfId="12" applyFont="1"/>
    <xf numFmtId="17" fontId="17" fillId="14" borderId="9" xfId="14" applyNumberFormat="1" applyFont="1" applyFill="1" applyBorder="1" applyAlignment="1">
      <alignment horizontal="center" vertical="center"/>
    </xf>
    <xf numFmtId="17" fontId="4" fillId="11" borderId="9" xfId="13" applyNumberFormat="1" applyBorder="1" applyAlignment="1">
      <alignment horizontal="center" vertical="center"/>
    </xf>
    <xf numFmtId="171" fontId="20" fillId="0" borderId="9" xfId="3" applyNumberFormat="1" applyFont="1" applyBorder="1" applyAlignment="1">
      <alignment horizontal="center" vertical="center"/>
    </xf>
    <xf numFmtId="171" fontId="21" fillId="6" borderId="13" xfId="9" applyNumberFormat="1" applyFont="1" applyAlignment="1">
      <alignment horizontal="center" vertical="center"/>
    </xf>
    <xf numFmtId="169" fontId="20" fillId="0" borderId="9" xfId="3" applyNumberFormat="1" applyFont="1" applyBorder="1" applyAlignment="1">
      <alignment horizontal="center" vertical="center"/>
    </xf>
    <xf numFmtId="169" fontId="21" fillId="6" borderId="13" xfId="9" applyNumberFormat="1" applyFont="1" applyAlignment="1">
      <alignment horizontal="center" vertical="center"/>
    </xf>
    <xf numFmtId="164" fontId="20" fillId="0" borderId="9" xfId="3" applyNumberFormat="1" applyFont="1" applyBorder="1" applyAlignment="1">
      <alignment horizontal="center" vertical="center"/>
    </xf>
    <xf numFmtId="170" fontId="20" fillId="0" borderId="9" xfId="3" applyNumberFormat="1" applyFont="1" applyBorder="1" applyAlignment="1">
      <alignment horizontal="center" vertical="center"/>
    </xf>
    <xf numFmtId="164" fontId="22" fillId="6" borderId="13" xfId="9" applyNumberFormat="1" applyFont="1" applyAlignment="1">
      <alignment horizontal="center" vertical="center"/>
    </xf>
    <xf numFmtId="171" fontId="22" fillId="6" borderId="13" xfId="9" applyNumberFormat="1" applyFont="1" applyAlignment="1">
      <alignment horizontal="center" vertical="center"/>
    </xf>
    <xf numFmtId="0" fontId="23" fillId="0" borderId="0" xfId="0" applyFont="1"/>
    <xf numFmtId="0" fontId="23" fillId="0" borderId="17" xfId="0" applyFont="1" applyBorder="1"/>
    <xf numFmtId="9" fontId="24" fillId="0" borderId="0" xfId="4" applyFont="1" applyAlignment="1">
      <alignment horizontal="right" vertical="center"/>
    </xf>
    <xf numFmtId="44" fontId="23" fillId="0" borderId="0" xfId="10" applyFont="1"/>
    <xf numFmtId="44" fontId="23" fillId="0" borderId="0" xfId="0" applyNumberFormat="1" applyFont="1"/>
    <xf numFmtId="0" fontId="23" fillId="0" borderId="17" xfId="0" applyFont="1" applyBorder="1" applyAlignment="1">
      <alignment horizontal="center"/>
    </xf>
    <xf numFmtId="0" fontId="23" fillId="0" borderId="2" xfId="0" applyFont="1" applyBorder="1" applyAlignment="1">
      <alignment horizontal="centerContinuous"/>
    </xf>
    <xf numFmtId="0" fontId="23" fillId="0" borderId="7" xfId="0" applyFont="1" applyBorder="1" applyAlignment="1">
      <alignment horizontal="centerContinuous"/>
    </xf>
    <xf numFmtId="0" fontId="23" fillId="0" borderId="5" xfId="0" applyFont="1" applyBorder="1" applyAlignment="1">
      <alignment horizontal="centerContinuous"/>
    </xf>
    <xf numFmtId="0" fontId="23" fillId="0" borderId="0" xfId="0" applyFont="1" applyBorder="1"/>
    <xf numFmtId="17" fontId="4" fillId="11" borderId="12" xfId="13" applyNumberFormat="1" applyBorder="1" applyAlignment="1">
      <alignment horizontal="center" vertical="center"/>
    </xf>
    <xf numFmtId="0" fontId="6" fillId="0" borderId="2" xfId="0" applyFont="1" applyBorder="1" applyAlignment="1">
      <alignment horizontal="centerContinuous"/>
    </xf>
    <xf numFmtId="0" fontId="6" fillId="0" borderId="7" xfId="0" applyFont="1" applyBorder="1" applyAlignment="1">
      <alignment horizontal="centerContinuous"/>
    </xf>
    <xf numFmtId="0" fontId="6" fillId="0" borderId="4" xfId="0" applyFont="1" applyBorder="1" applyAlignment="1">
      <alignment horizontal="centerContinuous"/>
    </xf>
    <xf numFmtId="44" fontId="23" fillId="0" borderId="0" xfId="10" applyFont="1" applyAlignment="1">
      <alignment vertical="center"/>
    </xf>
    <xf numFmtId="172" fontId="23" fillId="0" borderId="0" xfId="0" applyNumberFormat="1" applyFont="1" applyAlignment="1">
      <alignment vertical="center"/>
    </xf>
    <xf numFmtId="0" fontId="23" fillId="0" borderId="0" xfId="0" applyFont="1" applyAlignment="1">
      <alignment horizontal="right" vertical="center"/>
    </xf>
    <xf numFmtId="171" fontId="23" fillId="0" borderId="0" xfId="3" applyNumberFormat="1" applyFont="1" applyBorder="1" applyAlignment="1">
      <alignment vertical="center"/>
    </xf>
    <xf numFmtId="173" fontId="23" fillId="0" borderId="0" xfId="3" applyNumberFormat="1" applyFont="1" applyBorder="1" applyAlignment="1">
      <alignment vertical="center"/>
    </xf>
    <xf numFmtId="9" fontId="24" fillId="5" borderId="0" xfId="4" applyFont="1" applyFill="1" applyAlignment="1">
      <alignment horizontal="center" vertical="center"/>
    </xf>
    <xf numFmtId="0" fontId="25" fillId="0" borderId="0" xfId="8" applyFont="1" applyAlignment="1">
      <alignment horizontal="center" vertical="center" wrapText="1"/>
    </xf>
    <xf numFmtId="0" fontId="25" fillId="0" borderId="0" xfId="8" applyFont="1" applyAlignment="1">
      <alignment horizontal="center" vertical="center"/>
    </xf>
    <xf numFmtId="0" fontId="23" fillId="0" borderId="0" xfId="0" applyFont="1" applyAlignment="1">
      <alignment horizontal="right"/>
    </xf>
    <xf numFmtId="0" fontId="23" fillId="5" borderId="0" xfId="0" applyFont="1" applyFill="1" applyAlignment="1">
      <alignment horizontal="right"/>
    </xf>
    <xf numFmtId="0" fontId="23" fillId="0" borderId="18" xfId="0" applyFont="1" applyBorder="1"/>
    <xf numFmtId="0" fontId="23" fillId="0" borderId="18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/>
    </xf>
    <xf numFmtId="0" fontId="23" fillId="0" borderId="17" xfId="0" applyFont="1" applyBorder="1" applyAlignment="1">
      <alignment horizontal="center" vertical="center"/>
    </xf>
    <xf numFmtId="0" fontId="0" fillId="0" borderId="0" xfId="0" applyFont="1"/>
    <xf numFmtId="172" fontId="0" fillId="0" borderId="0" xfId="0" applyNumberFormat="1" applyFont="1"/>
    <xf numFmtId="165" fontId="0" fillId="0" borderId="0" xfId="3" applyNumberFormat="1" applyFont="1"/>
    <xf numFmtId="9" fontId="1" fillId="0" borderId="0" xfId="4" applyFont="1" applyAlignment="1">
      <alignment horizontal="right" vertical="center"/>
    </xf>
    <xf numFmtId="0" fontId="0" fillId="0" borderId="0" xfId="0" applyFont="1" applyBorder="1"/>
    <xf numFmtId="165" fontId="0" fillId="0" borderId="0" xfId="3" applyNumberFormat="1" applyFont="1" applyBorder="1"/>
    <xf numFmtId="9" fontId="1" fillId="0" borderId="0" xfId="4" applyFont="1" applyBorder="1" applyAlignment="1">
      <alignment horizontal="right" vertical="center"/>
    </xf>
    <xf numFmtId="0" fontId="0" fillId="15" borderId="0" xfId="0" applyFont="1" applyFill="1" applyBorder="1"/>
    <xf numFmtId="0" fontId="3" fillId="15" borderId="0" xfId="0" applyFont="1" applyFill="1" applyBorder="1" applyAlignment="1">
      <alignment horizontal="center" vertical="center"/>
    </xf>
    <xf numFmtId="172" fontId="0" fillId="0" borderId="0" xfId="0" applyNumberFormat="1" applyFont="1" applyAlignment="1">
      <alignment vertical="center"/>
    </xf>
    <xf numFmtId="9" fontId="5" fillId="0" borderId="0" xfId="4" applyNumberFormat="1" applyFont="1" applyAlignment="1">
      <alignment horizontal="right" vertical="center"/>
    </xf>
    <xf numFmtId="0" fontId="3" fillId="0" borderId="0" xfId="0" applyFont="1"/>
    <xf numFmtId="0" fontId="2" fillId="9" borderId="0" xfId="0" applyFont="1" applyFill="1" applyAlignment="1">
      <alignment wrapText="1"/>
    </xf>
    <xf numFmtId="44" fontId="0" fillId="0" borderId="9" xfId="10" applyFont="1" applyBorder="1"/>
    <xf numFmtId="170" fontId="0" fillId="0" borderId="0" xfId="0" applyNumberFormat="1"/>
    <xf numFmtId="169" fontId="5" fillId="0" borderId="12" xfId="3" applyNumberFormat="1" applyFont="1" applyBorder="1" applyAlignment="1">
      <alignment horizontal="center" vertical="center"/>
    </xf>
    <xf numFmtId="0" fontId="0" fillId="0" borderId="0" xfId="0" applyFont="1" applyFill="1"/>
    <xf numFmtId="0" fontId="26" fillId="0" borderId="0" xfId="0" applyFont="1" applyFill="1"/>
    <xf numFmtId="0" fontId="27" fillId="0" borderId="0" xfId="7" applyFont="1" applyFill="1" applyAlignment="1">
      <alignment horizontal="centerContinuous"/>
    </xf>
    <xf numFmtId="0" fontId="8" fillId="0" borderId="0" xfId="7" applyFill="1" applyAlignment="1">
      <alignment horizontal="centerContinuous"/>
    </xf>
    <xf numFmtId="0" fontId="0" fillId="0" borderId="0" xfId="0" applyFont="1" applyFill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 applyProtection="1">
      <protection locked="0"/>
    </xf>
    <xf numFmtId="0" fontId="16" fillId="0" borderId="0" xfId="8" applyFont="1" applyFill="1" applyProtection="1">
      <protection locked="0"/>
    </xf>
    <xf numFmtId="0" fontId="18" fillId="0" borderId="0" xfId="0" applyFont="1" applyFill="1" applyProtection="1">
      <protection locked="0"/>
    </xf>
    <xf numFmtId="169" fontId="29" fillId="0" borderId="9" xfId="0" applyNumberFormat="1" applyFont="1" applyBorder="1" applyAlignment="1">
      <alignment horizontal="center" vertical="center"/>
    </xf>
    <xf numFmtId="0" fontId="28" fillId="0" borderId="19" xfId="0" applyFont="1" applyFill="1" applyBorder="1"/>
    <xf numFmtId="0" fontId="30" fillId="0" borderId="0" xfId="8" applyFont="1" applyFill="1" applyAlignment="1">
      <alignment horizontal="centerContinuous"/>
    </xf>
    <xf numFmtId="0" fontId="0" fillId="0" borderId="0" xfId="0" applyFont="1" applyFill="1" applyAlignment="1">
      <alignment horizontal="centerContinuous"/>
    </xf>
    <xf numFmtId="0" fontId="31" fillId="0" borderId="0" xfId="0" applyFont="1" applyFill="1" applyBorder="1"/>
    <xf numFmtId="0" fontId="4" fillId="0" borderId="0" xfId="0" applyFont="1" applyFill="1" applyProtection="1">
      <protection locked="0"/>
    </xf>
    <xf numFmtId="0" fontId="4" fillId="0" borderId="0" xfId="0" applyFont="1" applyFill="1"/>
    <xf numFmtId="0" fontId="0" fillId="0" borderId="0" xfId="0" applyFill="1" applyAlignment="1">
      <alignment horizontal="centerContinuous"/>
    </xf>
    <xf numFmtId="0" fontId="33" fillId="17" borderId="0" xfId="0" applyFont="1" applyFill="1" applyBorder="1" applyAlignment="1" applyProtection="1">
      <alignment horizontal="centerContinuous" vertical="center"/>
      <protection locked="0"/>
    </xf>
    <xf numFmtId="0" fontId="0" fillId="7" borderId="0" xfId="0" applyFill="1"/>
    <xf numFmtId="0" fontId="0" fillId="7" borderId="0" xfId="0" applyFill="1" applyBorder="1"/>
    <xf numFmtId="0" fontId="0" fillId="7" borderId="0" xfId="0" applyFont="1" applyFill="1"/>
    <xf numFmtId="0" fontId="26" fillId="7" borderId="0" xfId="0" applyFont="1" applyFill="1"/>
    <xf numFmtId="9" fontId="34" fillId="0" borderId="0" xfId="0" applyNumberFormat="1" applyFont="1" applyFill="1" applyAlignment="1">
      <alignment horizontal="right"/>
    </xf>
    <xf numFmtId="0" fontId="9" fillId="0" borderId="0" xfId="8" applyFill="1"/>
    <xf numFmtId="164" fontId="5" fillId="18" borderId="9" xfId="3" applyNumberFormat="1" applyFont="1" applyFill="1" applyBorder="1" applyAlignment="1">
      <alignment horizontal="center" vertical="center"/>
    </xf>
    <xf numFmtId="169" fontId="5" fillId="18" borderId="9" xfId="3" applyNumberFormat="1" applyFont="1" applyFill="1" applyBorder="1" applyAlignment="1">
      <alignment horizontal="center" vertical="center"/>
    </xf>
    <xf numFmtId="0" fontId="0" fillId="18" borderId="0" xfId="0" applyFill="1"/>
    <xf numFmtId="0" fontId="0" fillId="0" borderId="0" xfId="0" applyFont="1" applyFill="1" applyProtection="1">
      <protection locked="0"/>
    </xf>
    <xf numFmtId="0" fontId="6" fillId="0" borderId="5" xfId="0" applyFont="1" applyBorder="1" applyAlignment="1">
      <alignment horizontal="centerContinuous"/>
    </xf>
    <xf numFmtId="0" fontId="35" fillId="0" borderId="0" xfId="0" applyFont="1"/>
    <xf numFmtId="0" fontId="35" fillId="4" borderId="0" xfId="0" applyFont="1" applyFill="1" applyBorder="1"/>
    <xf numFmtId="168" fontId="20" fillId="0" borderId="9" xfId="10" applyNumberFormat="1" applyFont="1" applyBorder="1" applyAlignment="1">
      <alignment horizontal="center" vertical="center"/>
    </xf>
    <xf numFmtId="44" fontId="22" fillId="6" borderId="13" xfId="10" applyFont="1" applyFill="1" applyBorder="1" applyAlignment="1">
      <alignment horizontal="center" vertical="center"/>
    </xf>
    <xf numFmtId="168" fontId="3" fillId="0" borderId="1" xfId="1" applyNumberFormat="1" applyAlignment="1">
      <alignment horizontal="center" vertical="center"/>
    </xf>
    <xf numFmtId="44" fontId="3" fillId="6" borderId="1" xfId="1" applyNumberFormat="1" applyFill="1" applyAlignment="1">
      <alignment horizontal="center" vertical="center"/>
    </xf>
    <xf numFmtId="0" fontId="23" fillId="0" borderId="4" xfId="0" applyFont="1" applyBorder="1" applyAlignment="1" applyProtection="1">
      <alignment horizontal="center"/>
    </xf>
    <xf numFmtId="0" fontId="36" fillId="7" borderId="0" xfId="0" applyFont="1" applyFill="1"/>
    <xf numFmtId="0" fontId="36" fillId="0" borderId="0" xfId="0" applyFont="1" applyFill="1"/>
    <xf numFmtId="17" fontId="36" fillId="7" borderId="0" xfId="13" applyNumberFormat="1" applyFont="1" applyFill="1" applyBorder="1" applyAlignment="1">
      <alignment horizontal="center" vertical="center"/>
    </xf>
    <xf numFmtId="164" fontId="37" fillId="0" borderId="0" xfId="3" applyNumberFormat="1" applyFont="1" applyBorder="1" applyAlignment="1">
      <alignment horizontal="center" vertical="center"/>
    </xf>
    <xf numFmtId="17" fontId="38" fillId="0" borderId="0" xfId="0" applyNumberFormat="1" applyFont="1" applyFill="1" applyAlignment="1">
      <alignment horizontal="left"/>
    </xf>
    <xf numFmtId="9" fontId="32" fillId="16" borderId="0" xfId="15" applyNumberFormat="1" applyAlignment="1">
      <alignment horizontal="center" vertical="center"/>
    </xf>
    <xf numFmtId="0" fontId="0" fillId="7" borderId="0" xfId="0" applyFill="1" applyProtection="1">
      <protection locked="0"/>
    </xf>
    <xf numFmtId="0" fontId="36" fillId="7" borderId="0" xfId="0" applyFont="1" applyFill="1" applyProtection="1">
      <protection locked="0"/>
    </xf>
    <xf numFmtId="175" fontId="36" fillId="7" borderId="0" xfId="0" applyNumberFormat="1" applyFont="1" applyFill="1" applyBorder="1" applyAlignment="1">
      <alignment horizontal="right" vertical="center" wrapText="1"/>
    </xf>
    <xf numFmtId="167" fontId="36" fillId="7" borderId="0" xfId="0" applyNumberFormat="1" applyFont="1" applyFill="1" applyBorder="1" applyAlignment="1">
      <alignment horizontal="right" vertical="center" wrapText="1"/>
    </xf>
    <xf numFmtId="166" fontId="36" fillId="7" borderId="0" xfId="4" applyNumberFormat="1" applyFont="1" applyFill="1"/>
    <xf numFmtId="177" fontId="36" fillId="7" borderId="0" xfId="10" applyNumberFormat="1" applyFont="1" applyFill="1" applyBorder="1" applyAlignment="1">
      <alignment horizontal="right" vertical="center" wrapText="1"/>
    </xf>
    <xf numFmtId="168" fontId="36" fillId="7" borderId="0" xfId="10" applyNumberFormat="1" applyFont="1" applyFill="1" applyBorder="1" applyAlignment="1">
      <alignment horizontal="right" vertical="center" wrapText="1"/>
    </xf>
    <xf numFmtId="176" fontId="36" fillId="7" borderId="0" xfId="0" applyNumberFormat="1" applyFont="1" applyFill="1" applyBorder="1" applyAlignment="1">
      <alignment horizontal="right" vertical="center" wrapText="1"/>
    </xf>
    <xf numFmtId="174" fontId="36" fillId="7" borderId="0" xfId="0" applyNumberFormat="1" applyFont="1" applyFill="1" applyBorder="1" applyAlignment="1">
      <alignment horizontal="right" vertical="center" wrapText="1"/>
    </xf>
    <xf numFmtId="167" fontId="39" fillId="7" borderId="0" xfId="0" applyNumberFormat="1" applyFont="1" applyFill="1" applyBorder="1" applyAlignment="1">
      <alignment horizontal="right" vertical="center" wrapText="1"/>
    </xf>
    <xf numFmtId="178" fontId="36" fillId="7" borderId="0" xfId="0" applyNumberFormat="1" applyFont="1" applyFill="1" applyBorder="1" applyAlignment="1">
      <alignment horizontal="right" vertical="center" wrapText="1"/>
    </xf>
    <xf numFmtId="184" fontId="36" fillId="7" borderId="0" xfId="0" applyNumberFormat="1" applyFont="1" applyFill="1"/>
    <xf numFmtId="9" fontId="36" fillId="7" borderId="0" xfId="4" applyFont="1" applyFill="1"/>
    <xf numFmtId="182" fontId="36" fillId="7" borderId="0" xfId="4" applyNumberFormat="1" applyFont="1" applyFill="1"/>
    <xf numFmtId="0" fontId="36" fillId="7" borderId="0" xfId="15" applyFont="1" applyFill="1" applyBorder="1" applyAlignment="1">
      <alignment horizontal="left" vertical="center"/>
    </xf>
    <xf numFmtId="164" fontId="39" fillId="7" borderId="0" xfId="3" applyNumberFormat="1" applyFont="1" applyFill="1" applyBorder="1" applyAlignment="1">
      <alignment horizontal="center" vertical="center"/>
    </xf>
  </cellXfs>
  <cellStyles count="16">
    <cellStyle name="20% - Accent1" xfId="2" builtinId="30"/>
    <cellStyle name="20% - Accent4" xfId="12" builtinId="42"/>
    <cellStyle name="20% - Accent6" xfId="6" builtinId="50"/>
    <cellStyle name="40% - Accent3" xfId="11" builtinId="39"/>
    <cellStyle name="40% - Accent6" xfId="14" builtinId="51"/>
    <cellStyle name="Accent6" xfId="13" builtinId="49"/>
    <cellStyle name="Bad" xfId="15" builtinId="27"/>
    <cellStyle name="Comma" xfId="3" builtinId="3"/>
    <cellStyle name="Currency" xfId="10" builtinId="4"/>
    <cellStyle name="Explanatory Text" xfId="8" builtinId="53"/>
    <cellStyle name="Heading 4" xfId="5" builtinId="19"/>
    <cellStyle name="Normal" xfId="0" builtinId="0"/>
    <cellStyle name="Output" xfId="9" builtinId="21"/>
    <cellStyle name="Percent" xfId="4" builtinId="5"/>
    <cellStyle name="Title" xfId="7" builtinId="15"/>
    <cellStyle name="Total" xfId="1" builtinId="25"/>
  </cellStyles>
  <dxfs count="34">
    <dxf>
      <numFmt numFmtId="179" formatCode="_([$HTG]\ * #,##0.00_);_([$HTG]\ * \(#,##0.00\);_([$HTG]\ * &quot;-&quot;??_);_(@_)"/>
    </dxf>
    <dxf>
      <numFmt numFmtId="179" formatCode="_([$HTG]\ * #,##0.00_);_([$HTG]\ * \(#,##0.00\);_([$HTG]\ * &quot;-&quot;??_);_(@_)"/>
    </dxf>
    <dxf>
      <numFmt numFmtId="179" formatCode="_([$HTG]\ * #,##0.00_);_([$HTG]\ * \(#,##0.00\);_([$HTG]\ * &quot;-&quot;??_);_(@_)"/>
    </dxf>
    <dxf>
      <numFmt numFmtId="179" formatCode="_([$HTG]\ * #,##0.00_);_([$HTG]\ * \(#,##0.00\);_([$HTG]\ * &quot;-&quot;??_);_(@_)"/>
    </dxf>
    <dxf>
      <numFmt numFmtId="180" formatCode="&quot;$&quot;#,##0"/>
    </dxf>
    <dxf>
      <font>
        <color rgb="FF00B050"/>
      </font>
      <fill>
        <patternFill patternType="none">
          <bgColor auto="1"/>
        </patternFill>
      </fill>
    </dxf>
    <dxf>
      <font>
        <color rgb="FFFF6600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70" formatCode="[$HTG]\ #,##0.00_);\([$HTG]\ #,##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9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9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9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9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0" formatCode="[$HTG]\ #,##0.00_);\([$HTG]\ #,##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9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9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numFmt numFmtId="164" formatCode="[$HTG]\ #,##0_);\([$HTG]\ 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w Cen MT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80B941"/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DASHBOARD!$AG$5</c:f>
              <c:strCache>
                <c:ptCount val="1"/>
                <c:pt idx="0">
                  <c:v>Actual</c:v>
                </c:pt>
              </c:strCache>
            </c:strRef>
          </c:tx>
          <c:spPr>
            <a:gradFill flip="none" rotWithShape="1">
              <a:gsLst>
                <a:gs pos="0">
                  <a:srgbClr val="1CADE4">
                    <a:tint val="66000"/>
                    <a:satMod val="160000"/>
                  </a:srgbClr>
                </a:gs>
                <a:gs pos="50000">
                  <a:srgbClr val="1CADE4">
                    <a:tint val="44500"/>
                    <a:satMod val="160000"/>
                  </a:srgbClr>
                </a:gs>
                <a:gs pos="100000">
                  <a:srgbClr val="1CADE4">
                    <a:tint val="23500"/>
                    <a:satMod val="160000"/>
                  </a:srgbClr>
                </a:gs>
              </a:gsLst>
              <a:lin ang="0" scaled="1"/>
              <a:tileRect/>
            </a:gradFill>
            <a:ln w="6350">
              <a:solidFill>
                <a:sysClr val="windowText" lastClr="000000">
                  <a:lumMod val="85000"/>
                  <a:lumOff val="15000"/>
                </a:sys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DASHBOARD!$AF$6:$AF$11</c:f>
              <c:strCache>
                <c:ptCount val="6"/>
                <c:pt idx="0">
                  <c:v>Wages &amp; Benefits</c:v>
                </c:pt>
                <c:pt idx="1">
                  <c:v>Rent &amp; Leases</c:v>
                </c:pt>
                <c:pt idx="2">
                  <c:v>Utilities</c:v>
                </c:pt>
                <c:pt idx="3">
                  <c:v>Maintenance &amp; Repairs</c:v>
                </c:pt>
                <c:pt idx="4">
                  <c:v>Marketing &amp; Advertising</c:v>
                </c:pt>
                <c:pt idx="5">
                  <c:v>Depreciation</c:v>
                </c:pt>
              </c:strCache>
            </c:strRef>
          </c:cat>
          <c:val>
            <c:numRef>
              <c:f>DASHBOARD!$AK$6:$AK$11</c:f>
              <c:numCache>
                <c:formatCode>0.0%</c:formatCode>
                <c:ptCount val="6"/>
                <c:pt idx="0">
                  <c:v>0.72879561494123779</c:v>
                </c:pt>
                <c:pt idx="1">
                  <c:v>2.1908313609017075E-2</c:v>
                </c:pt>
                <c:pt idx="2">
                  <c:v>7.2972887147063917E-2</c:v>
                </c:pt>
                <c:pt idx="3">
                  <c:v>1.5001652469854259E-2</c:v>
                </c:pt>
                <c:pt idx="4">
                  <c:v>4.9330371219372719E-2</c:v>
                </c:pt>
                <c:pt idx="5">
                  <c:v>0.1119911606134544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C-42A8-9B80-4CD1A2E092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812474144"/>
        <c:axId val="1812474560"/>
      </c:barChart>
      <c:catAx>
        <c:axId val="18124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74560"/>
        <c:crosses val="autoZero"/>
        <c:auto val="1"/>
        <c:lblAlgn val="ctr"/>
        <c:lblOffset val="100"/>
        <c:noMultiLvlLbl val="0"/>
      </c:catAx>
      <c:valAx>
        <c:axId val="1812474560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181247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OVERVIEW ACTUAL V BUDGET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DATA_CALCS!$Z$3</c:f>
              <c:strCache>
                <c:ptCount val="1"/>
                <c:pt idx="0">
                  <c:v>ACTUAL TOTAL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[0]!SCROLLY1</c:f>
              <c:numCache>
                <c:formatCode>[$HTG]\ #,##0_);\([$HTG]\ #,##0\)</c:formatCode>
                <c:ptCount val="12"/>
                <c:pt idx="0">
                  <c:v>94111917.29341726</c:v>
                </c:pt>
                <c:pt idx="1">
                  <c:v>100617757.39299601</c:v>
                </c:pt>
                <c:pt idx="2">
                  <c:v>101497736.10529234</c:v>
                </c:pt>
                <c:pt idx="3">
                  <c:v>105926061.00123166</c:v>
                </c:pt>
                <c:pt idx="4">
                  <c:v>101745665.10412683</c:v>
                </c:pt>
                <c:pt idx="5">
                  <c:v>106379179.08352329</c:v>
                </c:pt>
                <c:pt idx="6">
                  <c:v>100910093.12721118</c:v>
                </c:pt>
                <c:pt idx="7">
                  <c:v>108879094.55858415</c:v>
                </c:pt>
                <c:pt idx="8">
                  <c:v>113244241.74460062</c:v>
                </c:pt>
                <c:pt idx="9">
                  <c:v>100712606.17331563</c:v>
                </c:pt>
                <c:pt idx="10">
                  <c:v>105624197.08558922</c:v>
                </c:pt>
                <c:pt idx="11">
                  <c:v>108175747.74976905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8-4183-81C5-E6CA62823991}"/>
            </c:ext>
          </c:extLst>
        </c:ser>
        <c:ser>
          <c:idx val="1"/>
          <c:order val="1"/>
          <c:tx>
            <c:strRef>
              <c:f>DATA_CALCS!$AA$3</c:f>
              <c:strCache>
                <c:ptCount val="1"/>
                <c:pt idx="0">
                  <c:v>BUDGET TOTAL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strRef>
              <c:f>[0]!SCROLLX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[0]!SCROLLY2</c:f>
              <c:numCache>
                <c:formatCode>[$HTG]\ #,##0_);\([$HTG]\ #,##0\)</c:formatCode>
                <c:ptCount val="12"/>
                <c:pt idx="0">
                  <c:v>96034800.407769233</c:v>
                </c:pt>
                <c:pt idx="1">
                  <c:v>96100474.837384611</c:v>
                </c:pt>
                <c:pt idx="2">
                  <c:v>96512952.813600004</c:v>
                </c:pt>
                <c:pt idx="3">
                  <c:v>96297810.740775228</c:v>
                </c:pt>
                <c:pt idx="4">
                  <c:v>96609531.94535026</c:v>
                </c:pt>
                <c:pt idx="5">
                  <c:v>105938801.47410274</c:v>
                </c:pt>
                <c:pt idx="6">
                  <c:v>106549373.42251731</c:v>
                </c:pt>
                <c:pt idx="7">
                  <c:v>106985797.77977309</c:v>
                </c:pt>
                <c:pt idx="8">
                  <c:v>110139122.09577239</c:v>
                </c:pt>
                <c:pt idx="9">
                  <c:v>107383198.90849778</c:v>
                </c:pt>
                <c:pt idx="10">
                  <c:v>107377174.19809556</c:v>
                </c:pt>
                <c:pt idx="11">
                  <c:v>106841536.58293428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8-4183-81C5-E6CA6282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15"/>
        <c:axId val="1473564976"/>
        <c:axId val="1473540016"/>
      </c:barChart>
      <c:lineChart>
        <c:grouping val="standard"/>
        <c:varyColors val="0"/>
        <c:ser>
          <c:idx val="2"/>
          <c:order val="2"/>
          <c:tx>
            <c:strRef>
              <c:f>DATA_CALCS!$AB$3</c:f>
              <c:strCache>
                <c:ptCount val="1"/>
                <c:pt idx="0">
                  <c:v>VARIATION 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>
              <a:outerShdw blurRad="50800" dist="38100" dir="2700000" algn="ctr" rotWithShape="0">
                <a:srgbClr val="000000">
                  <a:alpha val="20000"/>
                </a:srgbClr>
              </a:outerShdw>
            </a:effectLst>
          </c:spPr>
          <c:marker>
            <c:symbol val="diamond"/>
            <c:size val="8"/>
            <c:spPr>
              <a:gradFill flip="none" rotWithShape="1"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46000">
                    <a:schemeClr val="accent2">
                      <a:lumMod val="95000"/>
                      <a:lumOff val="5000"/>
                    </a:schemeClr>
                  </a:gs>
                  <a:gs pos="100000">
                    <a:schemeClr val="accent2">
                      <a:lumMod val="60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>
                <a:outerShdw blurRad="50800" dist="38100" dir="2700000" algn="ctr" rotWithShape="0">
                  <a:srgbClr val="000000">
                    <a:alpha val="20000"/>
                  </a:srgbClr>
                </a:outerShdw>
              </a:effectLst>
            </c:spPr>
          </c:marker>
          <c:dLbls>
            <c:spPr>
              <a:solidFill>
                <a:schemeClr val="bg1">
                  <a:alpha val="61000"/>
                </a:schemeClr>
              </a:solidFill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[0]!SCROLLX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[0]!SCROLLY3</c:f>
              <c:numCache>
                <c:formatCode>0%</c:formatCode>
                <c:ptCount val="12"/>
                <c:pt idx="0">
                  <c:v>-2.0022774100506291E-2</c:v>
                </c:pt>
                <c:pt idx="1">
                  <c:v>4.7005829713695726E-2</c:v>
                </c:pt>
                <c:pt idx="2">
                  <c:v>5.1648852784762243E-2</c:v>
                </c:pt>
                <c:pt idx="3">
                  <c:v>9.9984103339324962E-2</c:v>
                </c:pt>
                <c:pt idx="4">
                  <c:v>5.3163834410065836E-2</c:v>
                </c:pt>
                <c:pt idx="5">
                  <c:v>4.1569057162517114E-3</c:v>
                </c:pt>
                <c:pt idx="6">
                  <c:v>-5.2926451973995085E-2</c:v>
                </c:pt>
                <c:pt idx="7">
                  <c:v>1.7696711321519138E-2</c:v>
                </c:pt>
                <c:pt idx="8">
                  <c:v>2.8192703825332434E-2</c:v>
                </c:pt>
                <c:pt idx="9">
                  <c:v>-6.2119519654710839E-2</c:v>
                </c:pt>
                <c:pt idx="10">
                  <c:v>-1.6325416696777215E-2</c:v>
                </c:pt>
                <c:pt idx="11">
                  <c:v>1.2487757191690223E-2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DF8-4183-81C5-E6CA6282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554576"/>
        <c:axId val="1473542096"/>
      </c:lineChart>
      <c:catAx>
        <c:axId val="14735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540016"/>
        <c:crosses val="autoZero"/>
        <c:auto val="1"/>
        <c:lblAlgn val="ctr"/>
        <c:lblOffset val="100"/>
        <c:noMultiLvlLbl val="0"/>
      </c:catAx>
      <c:valAx>
        <c:axId val="1473540016"/>
        <c:scaling>
          <c:orientation val="minMax"/>
          <c:min val="35000000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round/>
            </a:ln>
            <a:effectLst/>
          </c:spPr>
        </c:majorGridlines>
        <c:numFmt formatCode="[$HTG]\ #,##0_);\([$HTG]\ 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564976"/>
        <c:crosses val="autoZero"/>
        <c:crossBetween val="between"/>
        <c:majorUnit val="20000000"/>
      </c:valAx>
      <c:valAx>
        <c:axId val="147354209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554576"/>
        <c:crosses val="max"/>
        <c:crossBetween val="between"/>
      </c:valAx>
      <c:catAx>
        <c:axId val="1473554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7354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DASHBOARD!$AI$23</c:f>
              <c:strCache>
                <c:ptCount val="1"/>
                <c:pt idx="0">
                  <c:v>Wages &amp; Benefits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tx1">
                  <a:lumMod val="95000"/>
                  <a:lumOff val="5000"/>
                </a:schemeClr>
              </a:solidFill>
              <a:ln w="95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marker>
          <c:cat>
            <c:numRef>
              <c:f>DASHBOARD!$AH$24:$AS$24</c:f>
              <c:numCache>
                <c:formatCode>mmm\-yy</c:formatCode>
                <c:ptCount val="12"/>
                <c:pt idx="0">
                  <c:v>44652</c:v>
                </c:pt>
                <c:pt idx="1">
                  <c:v>44682</c:v>
                </c:pt>
                <c:pt idx="2">
                  <c:v>44713</c:v>
                </c:pt>
                <c:pt idx="3">
                  <c:v>44743</c:v>
                </c:pt>
                <c:pt idx="4">
                  <c:v>44774</c:v>
                </c:pt>
                <c:pt idx="5">
                  <c:v>44805</c:v>
                </c:pt>
                <c:pt idx="6">
                  <c:v>44835</c:v>
                </c:pt>
                <c:pt idx="7">
                  <c:v>44866</c:v>
                </c:pt>
                <c:pt idx="8">
                  <c:v>44896</c:v>
                </c:pt>
                <c:pt idx="9">
                  <c:v>44927</c:v>
                </c:pt>
                <c:pt idx="10">
                  <c:v>44958</c:v>
                </c:pt>
                <c:pt idx="11">
                  <c:v>44986</c:v>
                </c:pt>
              </c:numCache>
            </c:numRef>
          </c:cat>
          <c:val>
            <c:numRef>
              <c:f>DASHBOARD!$AH$25:$AS$25</c:f>
              <c:numCache>
                <c:formatCode>General</c:formatCode>
                <c:ptCount val="12"/>
                <c:pt idx="0">
                  <c:v>62729638</c:v>
                </c:pt>
                <c:pt idx="1">
                  <c:v>72551001</c:v>
                </c:pt>
                <c:pt idx="2">
                  <c:v>73971105</c:v>
                </c:pt>
                <c:pt idx="3">
                  <c:v>73897678</c:v>
                </c:pt>
                <c:pt idx="4">
                  <c:v>72710299</c:v>
                </c:pt>
                <c:pt idx="5">
                  <c:v>73547018</c:v>
                </c:pt>
                <c:pt idx="6">
                  <c:v>73353338</c:v>
                </c:pt>
                <c:pt idx="7">
                  <c:v>73750600</c:v>
                </c:pt>
                <c:pt idx="8">
                  <c:v>81025630</c:v>
                </c:pt>
                <c:pt idx="9">
                  <c:v>72492566</c:v>
                </c:pt>
                <c:pt idx="10">
                  <c:v>76626230</c:v>
                </c:pt>
                <c:pt idx="11">
                  <c:v>79985453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89E-4A6A-A46E-7E9EC3CCA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297407"/>
        <c:axId val="1734291583"/>
      </c:lineChart>
      <c:dateAx>
        <c:axId val="1734297407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291583"/>
        <c:crosses val="autoZero"/>
        <c:auto val="1"/>
        <c:lblOffset val="100"/>
        <c:baseTimeUnit val="months"/>
      </c:dateAx>
      <c:valAx>
        <c:axId val="17342915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429740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'YOY ANALYSIS'!$C$5</c:f>
              <c:strCache>
                <c:ptCount val="1"/>
                <c:pt idx="0">
                  <c:v>Wages &amp; Benefits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'YOY ANALYSIS'!$D$3:$K$4</c:f>
              <c:multiLvlStrCache>
                <c:ptCount val="8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</c:lvl>
                <c:lvl>
                  <c:pt idx="0">
                    <c:v>FY 21</c:v>
                  </c:pt>
                  <c:pt idx="4">
                    <c:v>FY 22</c:v>
                  </c:pt>
                </c:lvl>
              </c:multiLvlStrCache>
            </c:multiLvlStrRef>
          </c:cat>
          <c:val>
            <c:numRef>
              <c:f>'YOY ANALYSIS'!$D$5:$K$5</c:f>
              <c:numCache>
                <c:formatCode>_([$HTG]\ * #,##0.0_);_([$HTG]\ * \(#,##0.0\);_([$HTG]\ * "-"?_);_(@_)</c:formatCode>
                <c:ptCount val="8"/>
                <c:pt idx="0">
                  <c:v>166954140</c:v>
                </c:pt>
                <c:pt idx="1">
                  <c:v>166954140</c:v>
                </c:pt>
                <c:pt idx="2">
                  <c:v>166954140</c:v>
                </c:pt>
                <c:pt idx="3">
                  <c:v>166954140</c:v>
                </c:pt>
                <c:pt idx="4" formatCode="_(&quot;$&quot;* #,##0.00_);_(&quot;$&quot;* \(#,##0.00\);_(&quot;$&quot;* &quot;-&quot;??_);_(@_)">
                  <c:v>209251744</c:v>
                </c:pt>
                <c:pt idx="5" formatCode="_(&quot;$&quot;* #,##0.00_);_(&quot;$&quot;* \(#,##0.00\);_(&quot;$&quot;* &quot;-&quot;??_);_(@_)">
                  <c:v>220154995</c:v>
                </c:pt>
                <c:pt idx="6" formatCode="_(&quot;$&quot;* #,##0.00_);_(&quot;$&quot;* \(#,##0.00\);_(&quot;$&quot;* &quot;-&quot;??_);_(@_)">
                  <c:v>228129568</c:v>
                </c:pt>
                <c:pt idx="7" formatCode="_(&quot;$&quot;* #,##0.00_);_(&quot;$&quot;* \(#,##0.00\);_(&quot;$&quot;* &quot;-&quot;??_);_(@_)">
                  <c:v>229104249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6-4FDF-9899-161A9BA51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680416"/>
        <c:axId val="1297684160"/>
      </c:barChart>
      <c:catAx>
        <c:axId val="12976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684160"/>
        <c:crosses val="autoZero"/>
        <c:auto val="1"/>
        <c:lblAlgn val="ctr"/>
        <c:lblOffset val="100"/>
        <c:noMultiLvlLbl val="0"/>
      </c:catAx>
      <c:valAx>
        <c:axId val="129768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68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'YOY ANALYSIS'!$C$36</c:f>
              <c:strCache>
                <c:ptCount val="1"/>
                <c:pt idx="0">
                  <c:v>FUEL DELIVERY</c:v>
                </c:pt>
              </c:strCache>
            </c:strRef>
          </c:tx>
          <c:spPr>
            <a:solidFill>
              <a:srgbClr val="C00000"/>
            </a:solidFill>
            <a:ln w="6350"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'YOY ANALYSIS'!$D$36:$E$36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'YOY ANALYSIS'!$D$35:$E$35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8DF-4D09-AA79-3DF445D9AC78}"/>
            </c:ext>
          </c:extLst>
        </c:ser>
        <c:ser>
          <c:idx val="1"/>
          <c:order val="1"/>
          <c:tx>
            <c:strRef>
              <c:f>'YOY ANALYSIS'!$C$37</c:f>
              <c:strCache>
                <c:ptCount val="1"/>
                <c:pt idx="0">
                  <c:v>OTHER CONTRACTOR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3175">
              <a:noFill/>
              <a:prstDash val="sysDash"/>
            </a:ln>
            <a:effectLst/>
          </c:spPr>
          <c:invertIfNegative val="0"/>
          <c:val>
            <c:numRef>
              <c:f>'YOY ANALYSIS'!$D$37:$E$37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'YOY ANALYSIS'!$D$35:$E$35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8DF-4D09-AA79-3DF445D9A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6067536"/>
        <c:axId val="1026064624"/>
      </c:barChart>
      <c:lineChart>
        <c:grouping val="stacked"/>
        <c:varyColors val="0"/>
        <c:ser>
          <c:idx val="2"/>
          <c:order val="2"/>
          <c:tx>
            <c:strRef>
              <c:f>'YOY ANALYSIS'!$C$40</c:f>
              <c:strCache>
                <c:ptCount val="1"/>
                <c:pt idx="0">
                  <c:v>FUEL DELIVERED GALS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'YOY ANALYSIS'!$D$40:$E$40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'YOY ANALYSIS'!$D$35:$E$35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48DF-4D09-AA79-3DF445D9A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673344"/>
        <c:axId val="1297659200"/>
      </c:lineChart>
      <c:catAx>
        <c:axId val="102606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64624"/>
        <c:crosses val="autoZero"/>
        <c:auto val="1"/>
        <c:lblAlgn val="ctr"/>
        <c:lblOffset val="100"/>
        <c:noMultiLvlLbl val="0"/>
      </c:catAx>
      <c:valAx>
        <c:axId val="1026064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067536"/>
        <c:crosses val="autoZero"/>
        <c:crossBetween val="between"/>
      </c:valAx>
      <c:valAx>
        <c:axId val="1297659200"/>
        <c:scaling>
          <c:orientation val="minMax"/>
          <c:min val="20000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673344"/>
        <c:crosses val="max"/>
        <c:crossBetween val="between"/>
      </c:valAx>
      <c:catAx>
        <c:axId val="1297673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765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plotArea>
      <cx:plotAreaRegion>
        <cx:series layoutId="sunburst" uniqueId="{BFB203E1-8869-4F76-816B-F523444CBD5F}">
          <cx:dataLabels pos="ctr">
            <cx:visibility seriesName="0" categoryName="1" value="0"/>
            <cx:separator>, </cx:separator>
          </cx:dataLabels>
          <cx:dataId val="0"/>
        </cx:series>
      </cx:plotAreaRegion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plotArea>
      <cx:plotAreaRegion>
        <cx:series layoutId="sunburst" uniqueId="{BFB203E1-8869-4F76-816B-F523444CBD5F}">
          <cx:dataLabels pos="ctr">
            <cx:visibility seriesName="0" categoryName="1" value="0"/>
          </cx:dataLabels>
          <cx:dataId val="0"/>
        </cx:series>
      </cx:plotAreaRegion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C$50" horiz="1" max="12" page="10" val="0"/>
</file>

<file path=xl/ctrlProps/ctrlProp2.xml><?xml version="1.0" encoding="utf-8"?>
<formControlPr xmlns="http://schemas.microsoft.com/office/spreadsheetml/2009/9/main" objectType="Scroll" dx="26" fmlaLink="$D$50" horiz="1" max="12" min="3" page="10" val="12"/>
</file>

<file path=xl/ctrlProps/ctrlProp3.xml><?xml version="1.0" encoding="utf-8"?>
<formControlPr xmlns="http://schemas.microsoft.com/office/spreadsheetml/2009/9/main" objectType="Spin" dx="26" fmlaLink="$AD$6" max="6" min="1" page="1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BUDGET!A1"/><Relationship Id="rId3" Type="http://schemas.openxmlformats.org/officeDocument/2006/relationships/image" Target="../media/image2.png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actual"/><Relationship Id="rId5" Type="http://schemas.openxmlformats.org/officeDocument/2006/relationships/image" Target="../media/image4.png"/><Relationship Id="rId10" Type="http://schemas.openxmlformats.org/officeDocument/2006/relationships/image" Target="../media/image5.png"/><Relationship Id="rId4" Type="http://schemas.openxmlformats.org/officeDocument/2006/relationships/image" Target="../media/image3.png"/><Relationship Id="rId9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279403</xdr:colOff>
      <xdr:row>8</xdr:row>
      <xdr:rowOff>97366</xdr:rowOff>
    </xdr:from>
    <xdr:to>
      <xdr:col>24</xdr:col>
      <xdr:colOff>152402</xdr:colOff>
      <xdr:row>16</xdr:row>
      <xdr:rowOff>122767</xdr:rowOff>
    </xdr:to>
    <xdr:sp macro="" textlink="$AL$17">
      <xdr:nvSpPr>
        <xdr:cNvPr id="16" name="Flowchart: Connector 15"/>
        <xdr:cNvSpPr/>
      </xdr:nvSpPr>
      <xdr:spPr>
        <a:xfrm>
          <a:off x="13699070" y="1629833"/>
          <a:ext cx="2616199" cy="1464734"/>
        </a:xfrm>
        <a:prstGeom prst="flowChartConnector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fld id="{8D044A4C-CFC8-4E03-8C9F-538200ED3542}" type="TxLink">
            <a:rPr lang="en-US" sz="2800" b="0" i="0" u="none" strike="noStrike">
              <a:solidFill>
                <a:srgbClr val="C00000"/>
              </a:solidFill>
              <a:latin typeface="Century Gothic" panose="020B0502020202020204" pitchFamily="34" charset="0"/>
            </a:rPr>
            <a:pPr algn="ctr"/>
            <a:t>▲2%</a:t>
          </a:fld>
          <a:endParaRPr lang="en-US" sz="2800">
            <a:solidFill>
              <a:srgbClr val="C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24</xdr:col>
      <xdr:colOff>188691</xdr:colOff>
      <xdr:row>8</xdr:row>
      <xdr:rowOff>88899</xdr:rowOff>
    </xdr:from>
    <xdr:to>
      <xdr:col>27</xdr:col>
      <xdr:colOff>747490</xdr:colOff>
      <xdr:row>16</xdr:row>
      <xdr:rowOff>114300</xdr:rowOff>
    </xdr:to>
    <xdr:sp macro="" textlink="$AL$18">
      <xdr:nvSpPr>
        <xdr:cNvPr id="48" name="Flowchart: Connector 47"/>
        <xdr:cNvSpPr/>
      </xdr:nvSpPr>
      <xdr:spPr>
        <a:xfrm>
          <a:off x="16353977" y="1602013"/>
          <a:ext cx="3628570" cy="1440544"/>
        </a:xfrm>
        <a:prstGeom prst="flowChartConnector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ctr"/>
        <a:lstStyle/>
        <a:p>
          <a:pPr algn="ctr"/>
          <a:fld id="{1E728907-5BC7-46C7-B13E-25AFBCEBFDC0}" type="TxLink">
            <a:rPr lang="en-US" sz="2800" b="0" i="0" u="none" strike="noStrike">
              <a:solidFill>
                <a:srgbClr val="C00000"/>
              </a:solidFill>
              <a:latin typeface="Century Gothic" panose="020B0502020202020204" pitchFamily="34" charset="0"/>
            </a:rPr>
            <a:pPr algn="ctr"/>
            <a:t>▲8%</a:t>
          </a:fld>
          <a:endParaRPr lang="en-US" sz="6000">
            <a:solidFill>
              <a:srgbClr val="C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24</xdr:col>
      <xdr:colOff>457200</xdr:colOff>
      <xdr:row>8</xdr:row>
      <xdr:rowOff>92075</xdr:rowOff>
    </xdr:from>
    <xdr:to>
      <xdr:col>27</xdr:col>
      <xdr:colOff>617220</xdr:colOff>
      <xdr:row>10</xdr:row>
      <xdr:rowOff>73025</xdr:rowOff>
    </xdr:to>
    <xdr:sp macro="" textlink="">
      <xdr:nvSpPr>
        <xdr:cNvPr id="52" name="TextBox 51"/>
        <xdr:cNvSpPr txBox="1"/>
      </xdr:nvSpPr>
      <xdr:spPr>
        <a:xfrm>
          <a:off x="16558260" y="1608455"/>
          <a:ext cx="2194560" cy="3314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/>
            <a:t>FY21 TOTAL OPEX</a:t>
          </a:r>
        </a:p>
      </xdr:txBody>
    </xdr:sp>
    <xdr:clientData/>
  </xdr:twoCellAnchor>
  <xdr:twoCellAnchor>
    <xdr:from>
      <xdr:col>20</xdr:col>
      <xdr:colOff>499110</xdr:colOff>
      <xdr:row>8</xdr:row>
      <xdr:rowOff>92075</xdr:rowOff>
    </xdr:from>
    <xdr:to>
      <xdr:col>23</xdr:col>
      <xdr:colOff>659130</xdr:colOff>
      <xdr:row>10</xdr:row>
      <xdr:rowOff>73025</xdr:rowOff>
    </xdr:to>
    <xdr:sp macro="" textlink="">
      <xdr:nvSpPr>
        <xdr:cNvPr id="47" name="TextBox 46"/>
        <xdr:cNvSpPr txBox="1"/>
      </xdr:nvSpPr>
      <xdr:spPr>
        <a:xfrm>
          <a:off x="13887450" y="1608455"/>
          <a:ext cx="2194560" cy="3314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/>
            <a:t>FY23 TOTAL BUDGET</a:t>
          </a:r>
        </a:p>
      </xdr:txBody>
    </xdr:sp>
    <xdr:clientData/>
  </xdr:twoCellAnchor>
  <xdr:twoCellAnchor>
    <xdr:from>
      <xdr:col>16</xdr:col>
      <xdr:colOff>297180</xdr:colOff>
      <xdr:row>8</xdr:row>
      <xdr:rowOff>114935</xdr:rowOff>
    </xdr:from>
    <xdr:to>
      <xdr:col>20</xdr:col>
      <xdr:colOff>342900</xdr:colOff>
      <xdr:row>10</xdr:row>
      <xdr:rowOff>95885</xdr:rowOff>
    </xdr:to>
    <xdr:sp macro="" textlink="">
      <xdr:nvSpPr>
        <xdr:cNvPr id="45" name="TextBox 44"/>
        <xdr:cNvSpPr txBox="1"/>
      </xdr:nvSpPr>
      <xdr:spPr>
        <a:xfrm>
          <a:off x="10972800" y="1631315"/>
          <a:ext cx="2758440" cy="3314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/>
            <a:t>FY23 TOTAL OPEX</a:t>
          </a:r>
        </a:p>
      </xdr:txBody>
    </xdr:sp>
    <xdr:clientData/>
  </xdr:twoCellAnchor>
  <xdr:twoCellAnchor>
    <xdr:from>
      <xdr:col>16</xdr:col>
      <xdr:colOff>70485</xdr:colOff>
      <xdr:row>0</xdr:row>
      <xdr:rowOff>0</xdr:rowOff>
    </xdr:from>
    <xdr:to>
      <xdr:col>16</xdr:col>
      <xdr:colOff>70485</xdr:colOff>
      <xdr:row>52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0611485" y="0"/>
          <a:ext cx="0" cy="9347200"/>
        </a:xfrm>
        <a:prstGeom prst="line">
          <a:avLst/>
        </a:prstGeom>
        <a:ln w="57150">
          <a:solidFill>
            <a:schemeClr val="bg1">
              <a:lumMod val="85000"/>
            </a:schemeClr>
          </a:solidFill>
        </a:ln>
        <a:effectLst>
          <a:softEdge rad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632460</xdr:colOff>
      <xdr:row>5</xdr:row>
      <xdr:rowOff>160020</xdr:rowOff>
    </xdr:from>
    <xdr:to>
      <xdr:col>27</xdr:col>
      <xdr:colOff>1600200</xdr:colOff>
      <xdr:row>5</xdr:row>
      <xdr:rowOff>160020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>
          <a:off x="899160" y="1131570"/>
          <a:ext cx="18817590" cy="0"/>
        </a:xfrm>
        <a:prstGeom prst="line">
          <a:avLst/>
        </a:prstGeom>
        <a:ln w="571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</xdr:colOff>
      <xdr:row>5</xdr:row>
      <xdr:rowOff>41910</xdr:rowOff>
    </xdr:from>
    <xdr:to>
      <xdr:col>10</xdr:col>
      <xdr:colOff>501015</xdr:colOff>
      <xdr:row>6</xdr:row>
      <xdr:rowOff>108585</xdr:rowOff>
    </xdr:to>
    <xdr:sp macro="" textlink="">
      <xdr:nvSpPr>
        <xdr:cNvPr id="7" name="TextBox 6"/>
        <xdr:cNvSpPr txBox="1"/>
      </xdr:nvSpPr>
      <xdr:spPr>
        <a:xfrm>
          <a:off x="3796665" y="1013460"/>
          <a:ext cx="31432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expenses allocated by month %</a:t>
          </a:r>
        </a:p>
      </xdr:txBody>
    </xdr:sp>
    <xdr:clientData/>
  </xdr:twoCellAnchor>
  <xdr:twoCellAnchor>
    <xdr:from>
      <xdr:col>1</xdr:col>
      <xdr:colOff>643468</xdr:colOff>
      <xdr:row>50</xdr:row>
      <xdr:rowOff>141752</xdr:rowOff>
    </xdr:from>
    <xdr:to>
      <xdr:col>28</xdr:col>
      <xdr:colOff>5235</xdr:colOff>
      <xdr:row>50</xdr:row>
      <xdr:rowOff>141752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10168" y="9120652"/>
          <a:ext cx="19757967" cy="0"/>
        </a:xfrm>
        <a:prstGeom prst="line">
          <a:avLst/>
        </a:prstGeom>
        <a:ln w="571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7</xdr:row>
      <xdr:rowOff>7620</xdr:rowOff>
    </xdr:from>
    <xdr:to>
      <xdr:col>12</xdr:col>
      <xdr:colOff>632460</xdr:colOff>
      <xdr:row>22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655320</xdr:colOff>
          <xdr:row>46</xdr:row>
          <xdr:rowOff>167640</xdr:rowOff>
        </xdr:from>
        <xdr:to>
          <xdr:col>11</xdr:col>
          <xdr:colOff>320040</xdr:colOff>
          <xdr:row>47</xdr:row>
          <xdr:rowOff>137160</xdr:rowOff>
        </xdr:to>
        <xdr:sp macro="" textlink="">
          <xdr:nvSpPr>
            <xdr:cNvPr id="2054" name="Scroll Bar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2</xdr:col>
      <xdr:colOff>28576</xdr:colOff>
      <xdr:row>23</xdr:row>
      <xdr:rowOff>47625</xdr:rowOff>
    </xdr:from>
    <xdr:to>
      <xdr:col>15</xdr:col>
      <xdr:colOff>533400</xdr:colOff>
      <xdr:row>46</xdr:row>
      <xdr:rowOff>76200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662940</xdr:colOff>
          <xdr:row>48</xdr:row>
          <xdr:rowOff>0</xdr:rowOff>
        </xdr:from>
        <xdr:to>
          <xdr:col>11</xdr:col>
          <xdr:colOff>320040</xdr:colOff>
          <xdr:row>48</xdr:row>
          <xdr:rowOff>167640</xdr:rowOff>
        </xdr:to>
        <xdr:sp macro="" textlink="">
          <xdr:nvSpPr>
            <xdr:cNvPr id="2055" name="Scroll Bar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13</xdr:col>
      <xdr:colOff>80014</xdr:colOff>
      <xdr:row>14</xdr:row>
      <xdr:rowOff>99405</xdr:rowOff>
    </xdr:from>
    <xdr:to>
      <xdr:col>15</xdr:col>
      <xdr:colOff>537214</xdr:colOff>
      <xdr:row>16</xdr:row>
      <xdr:rowOff>114645</xdr:rowOff>
    </xdr:to>
    <xdr:sp macro="" textlink="AG8">
      <xdr:nvSpPr>
        <xdr:cNvPr id="38" name="Rounded Rectangle 37"/>
        <xdr:cNvSpPr/>
      </xdr:nvSpPr>
      <xdr:spPr>
        <a:xfrm flipH="1">
          <a:off x="8576314" y="2702905"/>
          <a:ext cx="1828800" cy="370840"/>
        </a:xfrm>
        <a:prstGeom prst="roundRect">
          <a:avLst/>
        </a:prstGeom>
        <a:noFill/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3B2070E-72A2-415F-BF3A-4B0DFFB56ED9}" type="TxLink">
            <a:rPr lang="en-US" sz="16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/>
            </a:rPr>
            <a:pPr algn="ctr"/>
            <a:t>HTG 7M</a:t>
          </a:fld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80014</xdr:colOff>
      <xdr:row>12</xdr:row>
      <xdr:rowOff>56854</xdr:rowOff>
    </xdr:from>
    <xdr:to>
      <xdr:col>15</xdr:col>
      <xdr:colOff>537214</xdr:colOff>
      <xdr:row>14</xdr:row>
      <xdr:rowOff>72094</xdr:rowOff>
    </xdr:to>
    <xdr:sp macro="" textlink="AG9">
      <xdr:nvSpPr>
        <xdr:cNvPr id="39" name="Rounded Rectangle 38"/>
        <xdr:cNvSpPr/>
      </xdr:nvSpPr>
      <xdr:spPr>
        <a:xfrm flipH="1">
          <a:off x="8576314" y="2274274"/>
          <a:ext cx="1828800" cy="365760"/>
        </a:xfrm>
        <a:prstGeom prst="roundRect">
          <a:avLst/>
        </a:prstGeom>
        <a:noFill/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F563FB4-5B04-43F5-A48C-964916C81E8C}" type="TxLink">
            <a:rPr lang="en-US" sz="1600" b="0" i="0" u="none" strike="noStrike" cap="none" spc="0">
              <a:ln w="0"/>
              <a:solidFill>
                <a:srgbClr val="0D0D0D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pPr algn="ctr"/>
            <a:t>HTG 1.5M</a:t>
          </a:fld>
          <a:endParaRPr lang="en-US" sz="4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80014</xdr:colOff>
      <xdr:row>10</xdr:row>
      <xdr:rowOff>17574</xdr:rowOff>
    </xdr:from>
    <xdr:to>
      <xdr:col>15</xdr:col>
      <xdr:colOff>537214</xdr:colOff>
      <xdr:row>12</xdr:row>
      <xdr:rowOff>31660</xdr:rowOff>
    </xdr:to>
    <xdr:sp macro="" textlink="AG10">
      <xdr:nvSpPr>
        <xdr:cNvPr id="40" name="Rounded Rectangle 39"/>
        <xdr:cNvSpPr/>
      </xdr:nvSpPr>
      <xdr:spPr>
        <a:xfrm flipH="1">
          <a:off x="8576314" y="1884474"/>
          <a:ext cx="1828800" cy="364606"/>
        </a:xfrm>
        <a:prstGeom prst="roundRect">
          <a:avLst/>
        </a:prstGeom>
        <a:noFill/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16CE8E7-8B10-4CF0-8BDA-75194E2D8BAD}" type="TxLink">
            <a:rPr lang="en-US" sz="1600" b="0" i="0" u="none" strike="noStrike" cap="none" spc="0">
              <a:ln w="0"/>
              <a:solidFill>
                <a:srgbClr val="0D0D0D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pPr algn="ctr"/>
            <a:t>HTG 5.0M</a:t>
          </a:fld>
          <a:endParaRPr lang="en-US" sz="4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80014</xdr:colOff>
      <xdr:row>7</xdr:row>
      <xdr:rowOff>152400</xdr:rowOff>
    </xdr:from>
    <xdr:to>
      <xdr:col>15</xdr:col>
      <xdr:colOff>537214</xdr:colOff>
      <xdr:row>9</xdr:row>
      <xdr:rowOff>167640</xdr:rowOff>
    </xdr:to>
    <xdr:sp macro="" textlink="AG11">
      <xdr:nvSpPr>
        <xdr:cNvPr id="41" name="Rounded Rectangle 40"/>
        <xdr:cNvSpPr/>
      </xdr:nvSpPr>
      <xdr:spPr>
        <a:xfrm flipH="1">
          <a:off x="8576314" y="1493520"/>
          <a:ext cx="1828800" cy="365760"/>
        </a:xfrm>
        <a:prstGeom prst="roundRect">
          <a:avLst/>
        </a:prstGeom>
        <a:noFill/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8C8CB2B-A8E9-4422-B95E-4F8AA65C7C59}" type="TxLink">
            <a:rPr lang="en-US" sz="16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pPr algn="ctr"/>
            <a:t>HTG 11.4M</a:t>
          </a:fld>
          <a:endParaRPr lang="en-US" sz="4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80014</xdr:colOff>
      <xdr:row>16</xdr:row>
      <xdr:rowOff>146189</xdr:rowOff>
    </xdr:from>
    <xdr:to>
      <xdr:col>15</xdr:col>
      <xdr:colOff>537214</xdr:colOff>
      <xdr:row>18</xdr:row>
      <xdr:rowOff>161429</xdr:rowOff>
    </xdr:to>
    <xdr:sp macro="" textlink="AG7">
      <xdr:nvSpPr>
        <xdr:cNvPr id="42" name="Rounded Rectangle 41"/>
        <xdr:cNvSpPr/>
      </xdr:nvSpPr>
      <xdr:spPr>
        <a:xfrm flipH="1">
          <a:off x="8580547" y="3101056"/>
          <a:ext cx="1828800" cy="370840"/>
        </a:xfrm>
        <a:prstGeom prst="roundRect">
          <a:avLst/>
        </a:prstGeom>
        <a:noFill/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3D2856C-E522-40E6-9D65-5DD59111AD19}" type="TxLink">
            <a:rPr lang="en-US" sz="1600" b="0" i="0" u="none" strike="noStrike" cap="none" spc="0">
              <a:ln w="0"/>
              <a:solidFill>
                <a:srgbClr val="0D0D0D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pPr algn="ctr"/>
            <a:t>$18.33 K</a:t>
          </a:fld>
          <a:endParaRPr lang="en-US" sz="4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74511</xdr:colOff>
      <xdr:row>19</xdr:row>
      <xdr:rowOff>12210</xdr:rowOff>
    </xdr:from>
    <xdr:to>
      <xdr:col>15</xdr:col>
      <xdr:colOff>536791</xdr:colOff>
      <xdr:row>21</xdr:row>
      <xdr:rowOff>27450</xdr:rowOff>
    </xdr:to>
    <xdr:sp macro="" textlink="AG6">
      <xdr:nvSpPr>
        <xdr:cNvPr id="43" name="Rounded Rectangle 42"/>
        <xdr:cNvSpPr/>
      </xdr:nvSpPr>
      <xdr:spPr>
        <a:xfrm flipH="1">
          <a:off x="8570811" y="3456450"/>
          <a:ext cx="1833880" cy="365760"/>
        </a:xfrm>
        <a:prstGeom prst="roundRect">
          <a:avLst/>
        </a:prstGeom>
        <a:noFill/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B73CF29-4986-4DC4-81EB-EF9C3C159B63}" type="TxLink">
            <a:rPr lang="en-US" sz="16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pPr algn="ctr"/>
            <a:t>HTG 74.0M</a:t>
          </a:fld>
          <a:endParaRPr lang="en-US" sz="4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64772</xdr:colOff>
      <xdr:row>21</xdr:row>
      <xdr:rowOff>31111</xdr:rowOff>
    </xdr:from>
    <xdr:to>
      <xdr:col>27</xdr:col>
      <xdr:colOff>1604010</xdr:colOff>
      <xdr:row>21</xdr:row>
      <xdr:rowOff>31111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>
          <a:off x="10732772" y="3764911"/>
          <a:ext cx="9083038" cy="0"/>
        </a:xfrm>
        <a:prstGeom prst="line">
          <a:avLst/>
        </a:prstGeom>
        <a:ln w="571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1604010</xdr:colOff>
      <xdr:row>0</xdr:row>
      <xdr:rowOff>0</xdr:rowOff>
    </xdr:from>
    <xdr:to>
      <xdr:col>27</xdr:col>
      <xdr:colOff>1604010</xdr:colOff>
      <xdr:row>52</xdr:row>
      <xdr:rowOff>167640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9731143" y="0"/>
          <a:ext cx="0" cy="9430173"/>
        </a:xfrm>
        <a:prstGeom prst="line">
          <a:avLst/>
        </a:prstGeom>
        <a:ln w="571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664845</xdr:colOff>
      <xdr:row>0</xdr:row>
      <xdr:rowOff>0</xdr:rowOff>
    </xdr:from>
    <xdr:to>
      <xdr:col>1</xdr:col>
      <xdr:colOff>664845</xdr:colOff>
      <xdr:row>53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31545" y="0"/>
          <a:ext cx="0" cy="9512300"/>
        </a:xfrm>
        <a:prstGeom prst="line">
          <a:avLst/>
        </a:prstGeom>
        <a:ln w="57150">
          <a:solidFill>
            <a:schemeClr val="bg1">
              <a:lumMod val="85000"/>
            </a:schemeClr>
          </a:solidFill>
        </a:ln>
        <a:effectLst>
          <a:softEdge rad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464820</xdr:colOff>
      <xdr:row>48</xdr:row>
      <xdr:rowOff>129540</xdr:rowOff>
    </xdr:from>
    <xdr:to>
      <xdr:col>4</xdr:col>
      <xdr:colOff>15240</xdr:colOff>
      <xdr:row>50</xdr:row>
      <xdr:rowOff>3810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8564880"/>
          <a:ext cx="236220" cy="236220"/>
        </a:xfrm>
        <a:prstGeom prst="rect">
          <a:avLst/>
        </a:prstGeom>
      </xdr:spPr>
    </xdr:pic>
    <xdr:clientData/>
  </xdr:twoCellAnchor>
  <xdr:twoCellAnchor editAs="oneCell">
    <xdr:from>
      <xdr:col>15</xdr:col>
      <xdr:colOff>558165</xdr:colOff>
      <xdr:row>2</xdr:row>
      <xdr:rowOff>238125</xdr:rowOff>
    </xdr:from>
    <xdr:to>
      <xdr:col>15</xdr:col>
      <xdr:colOff>792480</xdr:colOff>
      <xdr:row>4</xdr:row>
      <xdr:rowOff>1905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065" y="581025"/>
          <a:ext cx="234315" cy="232410"/>
        </a:xfrm>
        <a:prstGeom prst="rect">
          <a:avLst/>
        </a:prstGeom>
      </xdr:spPr>
    </xdr:pic>
    <xdr:clientData/>
  </xdr:twoCellAnchor>
  <xdr:twoCellAnchor editAs="oneCell">
    <xdr:from>
      <xdr:col>15</xdr:col>
      <xdr:colOff>266701</xdr:colOff>
      <xdr:row>0</xdr:row>
      <xdr:rowOff>19050</xdr:rowOff>
    </xdr:from>
    <xdr:to>
      <xdr:col>15</xdr:col>
      <xdr:colOff>601980</xdr:colOff>
      <xdr:row>1</xdr:row>
      <xdr:rowOff>163829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1" y="19050"/>
          <a:ext cx="335279" cy="327659"/>
        </a:xfrm>
        <a:prstGeom prst="rect">
          <a:avLst/>
        </a:prstGeom>
      </xdr:spPr>
    </xdr:pic>
    <xdr:clientData/>
  </xdr:twoCellAnchor>
  <xdr:twoCellAnchor>
    <xdr:from>
      <xdr:col>17</xdr:col>
      <xdr:colOff>349914</xdr:colOff>
      <xdr:row>47</xdr:row>
      <xdr:rowOff>76109</xdr:rowOff>
    </xdr:from>
    <xdr:to>
      <xdr:col>21</xdr:col>
      <xdr:colOff>397811</xdr:colOff>
      <xdr:row>49</xdr:row>
      <xdr:rowOff>70667</xdr:rowOff>
    </xdr:to>
    <xdr:sp macro="" textlink="">
      <xdr:nvSpPr>
        <xdr:cNvPr id="6" name="TextBox 5"/>
        <xdr:cNvSpPr txBox="1"/>
      </xdr:nvSpPr>
      <xdr:spPr>
        <a:xfrm>
          <a:off x="11714600" y="8283938"/>
          <a:ext cx="2791097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YOY</a:t>
          </a:r>
          <a:r>
            <a:rPr lang="en-US" sz="1400" b="1" baseline="0"/>
            <a:t> </a:t>
          </a:r>
          <a:r>
            <a:rPr lang="en-US" sz="1200" b="0" baseline="0"/>
            <a:t>change</a:t>
          </a:r>
          <a:r>
            <a:rPr lang="en-US" sz="1400" b="1" baseline="0"/>
            <a:t>%</a:t>
          </a:r>
          <a:endParaRPr lang="en-US" sz="1400" b="1"/>
        </a:p>
      </xdr:txBody>
    </xdr:sp>
    <xdr:clientData/>
  </xdr:twoCellAnchor>
  <xdr:twoCellAnchor>
    <xdr:from>
      <xdr:col>17</xdr:col>
      <xdr:colOff>104109</xdr:colOff>
      <xdr:row>3</xdr:row>
      <xdr:rowOff>58941</xdr:rowOff>
    </xdr:from>
    <xdr:to>
      <xdr:col>19</xdr:col>
      <xdr:colOff>576549</xdr:colOff>
      <xdr:row>8</xdr:row>
      <xdr:rowOff>97041</xdr:rowOff>
    </xdr:to>
    <xdr:sp macro="" textlink="$AJ$16">
      <xdr:nvSpPr>
        <xdr:cNvPr id="26" name="Rounded Rectangle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1457909" y="699021"/>
          <a:ext cx="1828800" cy="9144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2">
              <a:lumMod val="90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F6BB434A-F0C8-4EC4-A212-6DA39842BE59}" type="TxLink">
            <a:rPr lang="en-US" sz="2000" b="0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Century Gothic" panose="020B0502020202020204" pitchFamily="34" charset="0"/>
              <a:ea typeface="+mn-ea"/>
              <a:cs typeface="+mn-cs"/>
            </a:rPr>
            <a:pPr marL="0" indent="0" algn="ctr"/>
            <a:t>$ 9.32M</a:t>
          </a:fld>
          <a:endParaRPr lang="fr-WINDIES" sz="1600" b="0" i="0" u="none" strike="noStrike">
            <a:solidFill>
              <a:schemeClr val="tx1">
                <a:lumMod val="95000"/>
                <a:lumOff val="5000"/>
              </a:schemeClr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294399</xdr:colOff>
      <xdr:row>28</xdr:row>
      <xdr:rowOff>58059</xdr:rowOff>
    </xdr:from>
    <xdr:to>
      <xdr:col>21</xdr:col>
      <xdr:colOff>522999</xdr:colOff>
      <xdr:row>49</xdr:row>
      <xdr:rowOff>58059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6" name="Chart 6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671799</xdr:colOff>
      <xdr:row>3</xdr:row>
      <xdr:rowOff>49416</xdr:rowOff>
    </xdr:from>
    <xdr:to>
      <xdr:col>23</xdr:col>
      <xdr:colOff>466059</xdr:colOff>
      <xdr:row>8</xdr:row>
      <xdr:rowOff>87516</xdr:rowOff>
    </xdr:to>
    <xdr:sp macro="" textlink="$AJ$17">
      <xdr:nvSpPr>
        <xdr:cNvPr id="46" name="Rounded Rectangle 4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4060139" y="689496"/>
          <a:ext cx="1828800" cy="9144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2">
              <a:lumMod val="90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3F755931-D060-41AB-BAA5-28244D97ED3A}" type="TxLink">
            <a:rPr lang="en-US" sz="2000" b="0" i="0" u="none" strike="noStrike">
              <a:solidFill>
                <a:srgbClr val="0D0D0D"/>
              </a:solidFill>
              <a:latin typeface="Century Gothic" panose="020B0502020202020204" pitchFamily="34" charset="0"/>
              <a:ea typeface="+mn-ea"/>
              <a:cs typeface="+mn-cs"/>
            </a:rPr>
            <a:pPr marL="0" indent="0" algn="ctr"/>
            <a:t>$ 9.18M</a:t>
          </a:fld>
          <a:endParaRPr lang="fr-WINDIES" sz="2800" b="1" i="0" u="none" strike="noStrike">
            <a:solidFill>
              <a:srgbClr val="000000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576549</xdr:colOff>
      <xdr:row>3</xdr:row>
      <xdr:rowOff>39891</xdr:rowOff>
    </xdr:from>
    <xdr:to>
      <xdr:col>27</xdr:col>
      <xdr:colOff>370809</xdr:colOff>
      <xdr:row>8</xdr:row>
      <xdr:rowOff>77991</xdr:rowOff>
    </xdr:to>
    <xdr:sp macro="" textlink="$AJ$18">
      <xdr:nvSpPr>
        <xdr:cNvPr id="51" name="Rounded Rectangle 50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6741835" y="682148"/>
          <a:ext cx="2864031" cy="90895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2">
              <a:lumMod val="90000"/>
            </a:schemeClr>
          </a:solidFill>
        </a:ln>
        <a:effectLst>
          <a:reflection blurRad="6350" stA="52000" endA="300" endPos="35000" dir="5400000" sy="-100000" algn="bl" rotWithShape="0"/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B0CE50A4-CA19-454A-B19D-1C920797802D}" type="TxLink">
            <a:rPr lang="en-US" sz="2000" b="0" i="0" u="none" strike="noStrike">
              <a:solidFill>
                <a:srgbClr val="0D0D0D"/>
              </a:solidFill>
              <a:latin typeface="Century Gothic" panose="020B0502020202020204" pitchFamily="34" charset="0"/>
              <a:ea typeface="+mn-ea"/>
              <a:cs typeface="+mn-cs"/>
            </a:rPr>
            <a:pPr marL="0" indent="0" algn="ctr"/>
            <a:t>$ 8.61M</a:t>
          </a:fld>
          <a:endParaRPr lang="fr-WINDIES" sz="5400" b="1" i="0" u="none" strike="noStrike">
            <a:solidFill>
              <a:srgbClr val="000000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45720</xdr:colOff>
          <xdr:row>22</xdr:row>
          <xdr:rowOff>106680</xdr:rowOff>
        </xdr:from>
        <xdr:to>
          <xdr:col>18</xdr:col>
          <xdr:colOff>7620</xdr:colOff>
          <xdr:row>26</xdr:row>
          <xdr:rowOff>91440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23</xdr:col>
      <xdr:colOff>638176</xdr:colOff>
      <xdr:row>43</xdr:row>
      <xdr:rowOff>160564</xdr:rowOff>
    </xdr:from>
    <xdr:to>
      <xdr:col>25</xdr:col>
      <xdr:colOff>629588</xdr:colOff>
      <xdr:row>45</xdr:row>
      <xdr:rowOff>49803</xdr:rowOff>
    </xdr:to>
    <xdr:sp macro="" textlink="">
      <xdr:nvSpPr>
        <xdr:cNvPr id="35" name="TextBox 34"/>
        <xdr:cNvSpPr txBox="1"/>
      </xdr:nvSpPr>
      <xdr:spPr>
        <a:xfrm>
          <a:off x="16116301" y="7561489"/>
          <a:ext cx="1363012" cy="2321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r>
            <a:rPr lang="en-US" sz="1600" b="0">
              <a:latin typeface="+mn-lt"/>
            </a:rPr>
            <a:t>Peak</a:t>
          </a:r>
          <a:r>
            <a:rPr lang="en-US" sz="1600" b="1">
              <a:latin typeface="+mn-lt"/>
            </a:rPr>
            <a:t> </a:t>
          </a:r>
          <a:r>
            <a:rPr lang="en-US" sz="1600" b="0">
              <a:latin typeface="+mn-lt"/>
            </a:rPr>
            <a:t>FY2023</a:t>
          </a:r>
        </a:p>
      </xdr:txBody>
    </xdr:sp>
    <xdr:clientData/>
  </xdr:twoCellAnchor>
  <xdr:twoCellAnchor>
    <xdr:from>
      <xdr:col>23</xdr:col>
      <xdr:colOff>614800</xdr:colOff>
      <xdr:row>20</xdr:row>
      <xdr:rowOff>129328</xdr:rowOff>
    </xdr:from>
    <xdr:to>
      <xdr:col>27</xdr:col>
      <xdr:colOff>662697</xdr:colOff>
      <xdr:row>22</xdr:row>
      <xdr:rowOff>116627</xdr:rowOff>
    </xdr:to>
    <xdr:sp macro="" textlink="">
      <xdr:nvSpPr>
        <xdr:cNvPr id="36" name="TextBox 35"/>
        <xdr:cNvSpPr txBox="1"/>
      </xdr:nvSpPr>
      <xdr:spPr>
        <a:xfrm>
          <a:off x="16094286" y="3754271"/>
          <a:ext cx="2791097" cy="3356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Year</a:t>
          </a:r>
          <a:r>
            <a:rPr lang="en-US" sz="1400" b="1" baseline="0"/>
            <a:t> trend</a:t>
          </a:r>
          <a:endParaRPr lang="en-US" sz="1400" b="1"/>
        </a:p>
      </xdr:txBody>
    </xdr:sp>
    <xdr:clientData/>
  </xdr:twoCellAnchor>
  <xdr:twoCellAnchor>
    <xdr:from>
      <xdr:col>22</xdr:col>
      <xdr:colOff>250370</xdr:colOff>
      <xdr:row>22</xdr:row>
      <xdr:rowOff>65315</xdr:rowOff>
    </xdr:from>
    <xdr:to>
      <xdr:col>27</xdr:col>
      <xdr:colOff>1347650</xdr:colOff>
      <xdr:row>41</xdr:row>
      <xdr:rowOff>76201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655110</xdr:colOff>
      <xdr:row>45</xdr:row>
      <xdr:rowOff>177497</xdr:rowOff>
    </xdr:from>
    <xdr:to>
      <xdr:col>25</xdr:col>
      <xdr:colOff>646522</xdr:colOff>
      <xdr:row>47</xdr:row>
      <xdr:rowOff>66736</xdr:rowOff>
    </xdr:to>
    <xdr:sp macro="" textlink="">
      <xdr:nvSpPr>
        <xdr:cNvPr id="49" name="TextBox 48"/>
        <xdr:cNvSpPr txBox="1"/>
      </xdr:nvSpPr>
      <xdr:spPr>
        <a:xfrm>
          <a:off x="16132177" y="8263164"/>
          <a:ext cx="1363012" cy="2448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r>
            <a:rPr lang="en-US" sz="1400" b="0">
              <a:latin typeface="+mn-lt"/>
            </a:rPr>
            <a:t>YoY </a:t>
          </a:r>
          <a:r>
            <a:rPr lang="en-US" sz="1600" b="0">
              <a:latin typeface="+mn-lt"/>
            </a:rPr>
            <a:t>change</a:t>
          </a:r>
          <a:r>
            <a:rPr lang="en-US" sz="1400" b="0">
              <a:latin typeface="+mn-lt"/>
            </a:rPr>
            <a:t> %</a:t>
          </a:r>
        </a:p>
      </xdr:txBody>
    </xdr:sp>
    <xdr:clientData/>
  </xdr:twoCellAnchor>
  <xdr:twoCellAnchor editAs="oneCell">
    <xdr:from>
      <xdr:col>2</xdr:col>
      <xdr:colOff>152398</xdr:colOff>
      <xdr:row>0</xdr:row>
      <xdr:rowOff>0</xdr:rowOff>
    </xdr:from>
    <xdr:to>
      <xdr:col>4</xdr:col>
      <xdr:colOff>163285</xdr:colOff>
      <xdr:row>7</xdr:row>
      <xdr:rowOff>43544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341" y="0"/>
          <a:ext cx="1382487" cy="1382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734637</xdr:colOff>
      <xdr:row>4</xdr:row>
      <xdr:rowOff>37061</xdr:rowOff>
    </xdr:from>
    <xdr:to>
      <xdr:col>1</xdr:col>
      <xdr:colOff>947997</xdr:colOff>
      <xdr:row>4</xdr:row>
      <xdr:rowOff>151361</xdr:rowOff>
    </xdr:to>
    <xdr:sp macro="" textlink="">
      <xdr:nvSpPr>
        <xdr:cNvPr id="2" name="Right Arrow 1"/>
        <xdr:cNvSpPr/>
      </xdr:nvSpPr>
      <xdr:spPr>
        <a:xfrm>
          <a:off x="1652501" y="755766"/>
          <a:ext cx="213360" cy="1143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1350819</xdr:colOff>
      <xdr:row>1</xdr:row>
      <xdr:rowOff>86590</xdr:rowOff>
    </xdr:from>
    <xdr:to>
      <xdr:col>17</xdr:col>
      <xdr:colOff>566303</xdr:colOff>
      <xdr:row>14</xdr:row>
      <xdr:rowOff>143741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8658</xdr:colOff>
      <xdr:row>1</xdr:row>
      <xdr:rowOff>102176</xdr:rowOff>
    </xdr:from>
    <xdr:to>
      <xdr:col>11</xdr:col>
      <xdr:colOff>17318</xdr:colOff>
      <xdr:row>19</xdr:row>
      <xdr:rowOff>173180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</xdr:row>
      <xdr:rowOff>0</xdr:rowOff>
    </xdr:from>
    <xdr:to>
      <xdr:col>0</xdr:col>
      <xdr:colOff>857251</xdr:colOff>
      <xdr:row>17</xdr:row>
      <xdr:rowOff>47625</xdr:rowOff>
    </xdr:to>
    <xdr:sp macro="" textlink="">
      <xdr:nvSpPr>
        <xdr:cNvPr id="6" name="TextBox 5"/>
        <xdr:cNvSpPr txBox="1"/>
      </xdr:nvSpPr>
      <xdr:spPr>
        <a:xfrm>
          <a:off x="1" y="171450"/>
          <a:ext cx="85725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latin typeface="Calibri Light" panose="020F0302020204030204" pitchFamily="34" charset="0"/>
              <a:cs typeface="Calibri Light" panose="020F0302020204030204" pitchFamily="34" charset="0"/>
            </a:rPr>
            <a:t>GREEN CHECK MARK: SAVINGS ACHEIVED COMPARED</a:t>
          </a:r>
          <a:r>
            <a:rPr lang="en-US" sz="1100" i="1" baseline="0">
              <a:latin typeface="Calibri Light" panose="020F0302020204030204" pitchFamily="34" charset="0"/>
              <a:cs typeface="Calibri Light" panose="020F0302020204030204" pitchFamily="34" charset="0"/>
            </a:rPr>
            <a:t> TO PREVIOUS YEAR</a:t>
          </a:r>
        </a:p>
        <a:p>
          <a:r>
            <a:rPr lang="en-US" sz="1100" i="1" baseline="0">
              <a:latin typeface="Calibri Light" panose="020F0302020204030204" pitchFamily="34" charset="0"/>
              <a:cs typeface="Calibri Light" panose="020F0302020204030204" pitchFamily="34" charset="0"/>
            </a:rPr>
            <a:t>RED CROSS:</a:t>
          </a:r>
        </a:p>
        <a:p>
          <a:r>
            <a:rPr lang="en-US" sz="1100" i="1" baseline="0">
              <a:latin typeface="Calibri Light" panose="020F0302020204030204" pitchFamily="34" charset="0"/>
              <a:cs typeface="Calibri Light" panose="020F0302020204030204" pitchFamily="34" charset="0"/>
            </a:rPr>
            <a:t>INCREASE IN EXPENDITURES</a:t>
          </a:r>
          <a:endParaRPr lang="en-US" sz="1100" i="1"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7</xdr:col>
      <xdr:colOff>1004455</xdr:colOff>
      <xdr:row>34</xdr:row>
      <xdr:rowOff>164524</xdr:rowOff>
    </xdr:from>
    <xdr:to>
      <xdr:col>12</xdr:col>
      <xdr:colOff>233796</xdr:colOff>
      <xdr:row>53</xdr:row>
      <xdr:rowOff>147204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K15" totalsRowShown="0" headerRowDxfId="33" dataDxfId="32" tableBorderDxfId="31" headerRowCellStyle="20% - Accent1" dataCellStyle="Comma">
  <tableColumns count="10">
    <tableColumn id="1" name="MONTH" dataDxfId="30">
      <calculatedColumnFormula>UPPER(TEXT(A4,"MMMM"))</calculatedColumnFormula>
    </tableColumn>
    <tableColumn id="2" name="Wages &amp; Benefits" dataDxfId="29" dataCellStyle="Comma"/>
    <tableColumn id="3" name="Rent &amp; Leases" dataDxfId="28" dataCellStyle="Comma"/>
    <tableColumn id="4" name="Utilities" dataDxfId="27" dataCellStyle="Comma"/>
    <tableColumn id="5" name="Maintenance &amp; Repairs" dataDxfId="26" dataCellStyle="Comma"/>
    <tableColumn id="9" name="Marketing &amp; Advertising" dataDxfId="25" dataCellStyle="Comma"/>
    <tableColumn id="6" name="Depreciation" dataDxfId="24" dataCellStyle="Comma"/>
    <tableColumn id="7" name="TOTAL" dataDxfId="23" dataCellStyle="Comma">
      <calculatedColumnFormula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calculatedColumnFormula>
    </tableColumn>
    <tableColumn id="10" name="TOTAL $" dataDxfId="22" dataCellStyle="Comma">
      <calculatedColumnFormula>Table1[[#This Row],[TOTAL]]/Table1[[#This Row],[AVG FX RATE]]</calculatedColumnFormula>
    </tableColumn>
    <tableColumn id="8" name="AVG FX RATE" dataDxfId="21" dataCellStyle="40% - Accent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budget" displayName="budget" ref="B21:K33" totalsRowShown="0" headerRowDxfId="20" dataDxfId="18" headerRowBorderDxfId="19" tableBorderDxfId="17" headerRowCellStyle="20% - Accent1" dataCellStyle="Comma">
  <tableColumns count="10">
    <tableColumn id="1" name="MONTH" dataDxfId="16">
      <calculatedColumnFormula>UPPER(TEXT(A22,"MMMM"))</calculatedColumnFormula>
    </tableColumn>
    <tableColumn id="2" name="Wages &amp; Benefits" dataDxfId="15" dataCellStyle="Comma"/>
    <tableColumn id="3" name="Rent &amp; Leases" dataDxfId="14" dataCellStyle="Comma"/>
    <tableColumn id="4" name="Utilities" dataDxfId="13" dataCellStyle="Comma"/>
    <tableColumn id="5" name="Maintenance &amp; Repairs" dataDxfId="12" dataCellStyle="Comma"/>
    <tableColumn id="6" name="Marketing &amp; Advertising" dataDxfId="11" dataCellStyle="Comma"/>
    <tableColumn id="7" name="Depreciation" dataDxfId="10" dataCellStyle="Comma"/>
    <tableColumn id="8" name="TOTAL" dataDxfId="9" dataCellStyle="Comma">
      <calculatedColumnFormula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calculatedColumnFormula>
    </tableColumn>
    <tableColumn id="10" name="TOTAL $" dataDxfId="8" dataCellStyle="Comma">
      <calculatedColumnFormula>budget[[#This Row],[TOTAL]]/budget[[#This Row],[AVG FX RATE]]</calculatedColumnFormula>
    </tableColumn>
    <tableColumn id="9" name="AVG FX RATE" dataDxfId="7" dataCellStyle="40% - Accent3">
      <calculatedColumnFormula>K4</calculatedColumnFormula>
    </tableColumn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_rels/themeOverrid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theme/themeOverride1.xml><?xml version="1.0" encoding="utf-8"?>
<a:themeOverride xmlns:a="http://schemas.openxmlformats.org/drawingml/2006/main">
  <a:clrScheme name="Integral">
    <a:dk1>
      <a:sysClr val="windowText" lastClr="000000"/>
    </a:dk1>
    <a:lt1>
      <a:sysClr val="window" lastClr="FFFFFF"/>
    </a:lt1>
    <a:dk2>
      <a:srgbClr val="335B74"/>
    </a:dk2>
    <a:lt2>
      <a:srgbClr val="DFE3E5"/>
    </a:lt2>
    <a:accent1>
      <a:srgbClr val="1CADE4"/>
    </a:accent1>
    <a:accent2>
      <a:srgbClr val="2683C6"/>
    </a:accent2>
    <a:accent3>
      <a:srgbClr val="27CED7"/>
    </a:accent3>
    <a:accent4>
      <a:srgbClr val="42BA97"/>
    </a:accent4>
    <a:accent5>
      <a:srgbClr val="3E8853"/>
    </a:accent5>
    <a:accent6>
      <a:srgbClr val="62A39F"/>
    </a:accent6>
    <a:hlink>
      <a:srgbClr val="6B9F25"/>
    </a:hlink>
    <a:folHlink>
      <a:srgbClr val="B26B02"/>
    </a:folHlink>
  </a:clrScheme>
  <a:fontScheme name="Integral">
    <a:majorFont>
      <a:latin typeface="Tw Cen MT Condensed" panose="020B0606020104020203"/>
      <a:ea typeface=""/>
      <a:cs typeface=""/>
      <a:font script="Grek" typeface="Calibri"/>
      <a:font script="Cyrl" typeface="Calibri"/>
      <a:font script="Jpan" typeface="メイリオ"/>
      <a:font script="Hang" typeface="HY얕은샘물M"/>
      <a:font script="Hans" typeface="华文仿宋"/>
      <a:font script="Hant" typeface="微軟正黑體"/>
      <a:font script="Arab" typeface="Arial"/>
      <a:font script="Hebr" typeface="Levenim MT"/>
      <a:font script="Thai" typeface="FreesiaUPC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ahoma"/>
      <a:font script="Uigh" typeface="Microsoft Uighur"/>
      <a:font script="Geor" typeface="Sylfaen"/>
    </a:majorFont>
    <a:minorFont>
      <a:latin typeface="Tw Cen MT" panose="020B0602020104020603"/>
      <a:ea typeface=""/>
      <a:cs typeface=""/>
      <a:font script="Grek" typeface="Calibri"/>
      <a:font script="Cyrl" typeface="Calibri"/>
      <a:font script="Jpan" typeface="メイリオ"/>
      <a:font script="Hang" typeface="HY얕은샘물M"/>
      <a:font script="Hans" typeface="华文仿宋"/>
      <a:font script="Hant" typeface="微軟正黑體"/>
      <a:font script="Arab" typeface="Arial"/>
      <a:font script="Hebr" typeface="Levenim MT"/>
      <a:font script="Thai" typeface="FreesiaUPC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ahoma"/>
      <a:font script="Uigh" typeface="Microsoft Uighur"/>
      <a:font script="Geor" typeface="Sylfaen"/>
    </a:minorFont>
  </a:fontScheme>
  <a:fmtScheme name="Integral">
    <a:fillStyleLst>
      <a:solidFill>
        <a:schemeClr val="phClr"/>
      </a:solidFill>
      <a:gradFill rotWithShape="1">
        <a:gsLst>
          <a:gs pos="0">
            <a:schemeClr val="phClr">
              <a:tint val="83000"/>
              <a:satMod val="100000"/>
              <a:lumMod val="100000"/>
            </a:schemeClr>
          </a:gs>
          <a:gs pos="100000">
            <a:schemeClr val="phClr">
              <a:tint val="61000"/>
              <a:satMod val="150000"/>
              <a:lumMod val="100000"/>
            </a:schemeClr>
          </a:gs>
        </a:gsLst>
        <a:path path="circle">
          <a:fillToRect l="100000" t="100000" r="100000" b="100000"/>
        </a:path>
      </a:gradFill>
      <a:gradFill rotWithShape="1">
        <a:gsLst>
          <a:gs pos="0">
            <a:schemeClr val="phClr">
              <a:tint val="100000"/>
              <a:shade val="85000"/>
              <a:satMod val="100000"/>
              <a:lumMod val="100000"/>
            </a:schemeClr>
          </a:gs>
          <a:gs pos="100000">
            <a:schemeClr val="phClr">
              <a:tint val="90000"/>
              <a:shade val="100000"/>
              <a:satMod val="150000"/>
              <a:lumMod val="100000"/>
            </a:schemeClr>
          </a:gs>
        </a:gsLst>
        <a:path path="circle">
          <a:fillToRect l="100000" t="100000" r="100000" b="100000"/>
        </a:path>
      </a:gradFill>
    </a:fillStyleLst>
    <a:lnStyleLst>
      <a:ln w="9525" cap="flat" cmpd="sng" algn="ctr">
        <a:solidFill>
          <a:schemeClr val="phClr"/>
        </a:solidFill>
        <a:prstDash val="solid"/>
      </a:ln>
      <a:ln w="15875" cap="flat" cmpd="sng" algn="ctr">
        <a:solidFill>
          <a:schemeClr val="phClr"/>
        </a:solidFill>
        <a:prstDash val="solid"/>
      </a:ln>
      <a:ln w="19050" cap="flat" cmpd="sng" algn="ctr">
        <a:solidFill>
          <a:schemeClr val="phClr"/>
        </a:solidFill>
        <a:prstDash val="solid"/>
      </a:ln>
    </a:lnStyleLst>
    <a:effectStyleLst>
      <a:effectStyle>
        <a:effectLst/>
      </a:effectStyle>
      <a:effectStyle>
        <a:effectLst>
          <a:outerShdw blurRad="50800" dist="12700" dir="5400000" algn="ctr" rotWithShape="0">
            <a:srgbClr val="000000">
              <a:alpha val="50000"/>
            </a:srgbClr>
          </a:outerShdw>
        </a:effectLst>
      </a:effectStyle>
      <a:effectStyle>
        <a:effectLst>
          <a:outerShdw blurRad="76200" dist="25400" dir="5400000" algn="ctr" rotWithShape="0">
            <a:srgbClr val="000000">
              <a:alpha val="60000"/>
            </a:srgbClr>
          </a:outerShdw>
        </a:effectLst>
        <a:scene3d>
          <a:camera prst="orthographicFront">
            <a:rot lat="0" lon="0" rev="0"/>
          </a:camera>
          <a:lightRig rig="flat" dir="t">
            <a:rot lat="0" lon="0" rev="3600000"/>
          </a:lightRig>
        </a:scene3d>
        <a:sp3d contourW="12700" prstMaterial="flat">
          <a:bevelT w="38100" h="44450" prst="angle"/>
          <a:contourClr>
            <a:schemeClr val="phClr">
              <a:shade val="35000"/>
              <a:satMod val="160000"/>
            </a:schemeClr>
          </a:contourClr>
        </a:sp3d>
      </a:effectStyle>
    </a:effectStyleLst>
    <a:bgFillStyleLst>
      <a:solidFill>
        <a:schemeClr val="phClr"/>
      </a:solidFill>
      <a:solidFill>
        <a:schemeClr val="phClr">
          <a:tint val="95000"/>
          <a:shade val="85000"/>
          <a:satMod val="125000"/>
        </a:schemeClr>
      </a:solidFill>
      <a:blipFill rotWithShape="1">
        <a:blip xmlns:r="http://schemas.openxmlformats.org/officeDocument/2006/relationships" r:embed="rId1">
          <a:duotone>
            <a:schemeClr val="phClr">
              <a:tint val="95000"/>
              <a:shade val="74000"/>
              <a:satMod val="230000"/>
            </a:schemeClr>
            <a:schemeClr val="phClr">
              <a:tint val="92000"/>
              <a:shade val="69000"/>
              <a:satMod val="250000"/>
            </a:schemeClr>
          </a:duotone>
        </a:blip>
        <a:tile tx="0" ty="0" sx="40000" sy="40000" flip="none" algn="tl"/>
      </a:blip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W187"/>
  <sheetViews>
    <sheetView showGridLines="0" tabSelected="1" zoomScale="70" zoomScaleNormal="70" workbookViewId="0">
      <selection activeCell="P3" sqref="P3"/>
    </sheetView>
  </sheetViews>
  <sheetFormatPr defaultColWidth="0" defaultRowHeight="13.8" x14ac:dyDescent="0.25"/>
  <cols>
    <col min="1" max="1" width="3.5" style="108" customWidth="1"/>
    <col min="2" max="2" width="9" style="109" customWidth="1"/>
    <col min="3" max="15" width="9" style="1" customWidth="1"/>
    <col min="16" max="16" width="10.59765625" style="1" customWidth="1"/>
    <col min="17" max="26" width="9" style="88" customWidth="1"/>
    <col min="27" max="27" width="22.296875" style="88" customWidth="1"/>
    <col min="28" max="28" width="18.69921875" style="89" customWidth="1"/>
    <col min="29" max="29" width="13.296875" style="89" customWidth="1"/>
    <col min="30" max="30" width="18" style="126" customWidth="1"/>
    <col min="31" max="31" width="19.59765625" style="126" customWidth="1"/>
    <col min="32" max="32" width="34.59765625" style="126" customWidth="1"/>
    <col min="33" max="33" width="10.09765625" style="126" customWidth="1"/>
    <col min="34" max="34" width="15.5" style="126" customWidth="1"/>
    <col min="35" max="35" width="25.59765625" style="126" customWidth="1"/>
    <col min="36" max="36" width="21" style="126" customWidth="1"/>
    <col min="37" max="37" width="14" style="126" customWidth="1"/>
    <col min="38" max="38" width="12.09765625" style="126" customWidth="1"/>
    <col min="39" max="39" width="23.5" style="126" customWidth="1"/>
    <col min="40" max="40" width="14.5" style="126" customWidth="1"/>
    <col min="41" max="42" width="12.59765625" style="126" customWidth="1"/>
    <col min="43" max="44" width="9" style="126" customWidth="1"/>
    <col min="45" max="46" width="9" style="127" customWidth="1"/>
    <col min="47" max="49" width="9" style="1" customWidth="1"/>
    <col min="50" max="16384" width="9" style="1" hidden="1"/>
  </cols>
  <sheetData>
    <row r="1" spans="3:49" x14ac:dyDescent="0.25">
      <c r="AC1" s="111"/>
      <c r="AS1" s="126"/>
      <c r="AT1" s="126"/>
      <c r="AU1" s="108"/>
      <c r="AV1" s="108"/>
      <c r="AW1" s="108"/>
    </row>
    <row r="2" spans="3:49" x14ac:dyDescent="0.25">
      <c r="P2" s="103"/>
      <c r="AC2" s="111"/>
      <c r="AS2" s="126"/>
      <c r="AT2" s="126"/>
      <c r="AU2" s="108"/>
      <c r="AV2" s="108"/>
      <c r="AW2" s="108"/>
    </row>
    <row r="3" spans="3:49" ht="22.8" x14ac:dyDescent="0.4">
      <c r="C3" s="90" t="s">
        <v>112</v>
      </c>
      <c r="D3" s="91"/>
      <c r="E3" s="106"/>
      <c r="F3" s="91"/>
      <c r="G3" s="106"/>
      <c r="H3" s="91"/>
      <c r="I3" s="91"/>
      <c r="J3" s="91"/>
      <c r="K3" s="91"/>
      <c r="L3" s="106"/>
      <c r="M3" s="106"/>
      <c r="N3" s="101"/>
      <c r="O3" s="102"/>
      <c r="P3" s="107" t="s">
        <v>109</v>
      </c>
      <c r="AC3" s="111"/>
      <c r="AS3" s="126"/>
      <c r="AT3" s="126"/>
      <c r="AU3" s="108"/>
      <c r="AV3" s="108"/>
      <c r="AW3" s="108"/>
    </row>
    <row r="4" spans="3:49" x14ac:dyDescent="0.25">
      <c r="P4" s="103"/>
      <c r="AC4" s="111"/>
      <c r="AI4" s="126" t="s">
        <v>38</v>
      </c>
      <c r="AS4" s="126"/>
      <c r="AT4" s="126"/>
      <c r="AU4" s="108"/>
      <c r="AV4" s="108"/>
      <c r="AW4" s="108"/>
    </row>
    <row r="5" spans="3:49" x14ac:dyDescent="0.25">
      <c r="AC5" s="111"/>
      <c r="AF5" s="126" t="s">
        <v>18</v>
      </c>
      <c r="AG5" s="126" t="s">
        <v>0</v>
      </c>
      <c r="AH5" s="126" t="s">
        <v>13</v>
      </c>
      <c r="AI5" s="126" t="s">
        <v>39</v>
      </c>
      <c r="AJ5" s="126" t="s">
        <v>39</v>
      </c>
      <c r="AK5" s="126" t="s">
        <v>14</v>
      </c>
      <c r="AL5" s="126" t="s">
        <v>15</v>
      </c>
      <c r="AM5" s="126">
        <f>INDEX(Table1[],MATCH(DASHBOARD!$P$3,Table1[MONTH],0),10)</f>
        <v>121.33159999999999</v>
      </c>
      <c r="AN5" s="126" t="s">
        <v>19</v>
      </c>
      <c r="AO5" s="126" t="s">
        <v>17</v>
      </c>
      <c r="AP5" s="126" t="s">
        <v>0</v>
      </c>
      <c r="AS5" s="126"/>
      <c r="AT5" s="126"/>
      <c r="AU5" s="108"/>
      <c r="AV5" s="108"/>
      <c r="AW5" s="108"/>
    </row>
    <row r="6" spans="3:49" x14ac:dyDescent="0.25">
      <c r="AC6" s="111"/>
      <c r="AD6" s="133">
        <v>1</v>
      </c>
      <c r="AE6" s="126">
        <v>1</v>
      </c>
      <c r="AF6" s="126" t="str">
        <f t="array" ref="AF6:AF11">TRANSPOSE(DATA_CALCS!C3:H3)</f>
        <v>Wages &amp; Benefits</v>
      </c>
      <c r="AG6" s="134">
        <f>INDEX(DATA_CALCS!$C$4:$I$15,MATCH(DASHBOARD!$P$3,DATA_CALCS!$B$4:$B$15,0),MATCH(DASHBOARD!$AF6,DATA_CALCS!$C$3:$I$3,0))</f>
        <v>73971105</v>
      </c>
      <c r="AH6" s="134">
        <f>INDEX(DATA_CALCS!$C$22:$H$33,MATCH(DASHBOARD!$P$3,DATA_CALCS!$B$22:$B$33,0),MATCH(DASHBOARD!$AF6,DATA_CALCS!$C$21:$H$21,0))</f>
        <v>69000000</v>
      </c>
      <c r="AI6" s="135">
        <f>AG6</f>
        <v>73971105</v>
      </c>
      <c r="AJ6" s="135">
        <f>AH6</f>
        <v>69000000</v>
      </c>
      <c r="AK6" s="136">
        <f t="shared" ref="AK6:AK11" si="0">IFERROR(AI6/$AI$12,"-")</f>
        <v>0.72879561494123779</v>
      </c>
      <c r="AL6" s="136">
        <f>IFERROR(AJ6/$AJ$11,"-")</f>
        <v>0.26036718666810893</v>
      </c>
      <c r="AN6" s="135">
        <f>IF($P$3="April","-",IF($P$3="May","-",INDEX(DATA_CALCS!$C$4:$I$15,MATCH(DASHBOARD!$P$3,DATA_CALCS!$B$4:$B$15,0)-2,MATCH(DASHBOARD!$AF6,DATA_CALCS!$C$3:$I$3,0))))</f>
        <v>62729638</v>
      </c>
      <c r="AO6" s="135">
        <f>IF($P$3="April","-",INDEX(DATA_CALCS!$C$4:$I$15,MATCH(DASHBOARD!$P$3,DATA_CALCS!$B$4:$B$15,0)-1,MATCH(DASHBOARD!$AF6,DATA_CALCS!$C$3:$I$3,0)))</f>
        <v>72551001</v>
      </c>
      <c r="AP6" s="135">
        <f>INDEX(DATA_CALCS!$C$4:$I$15,MATCH(DASHBOARD!$P$3,DATA_CALCS!$B$4:$B$15,0),MATCH(DASHBOARD!$AF6,DATA_CALCS!$C$3:$I$3,0))</f>
        <v>73971105</v>
      </c>
      <c r="AS6" s="126"/>
      <c r="AT6" s="126"/>
      <c r="AU6" s="108"/>
      <c r="AV6" s="108"/>
      <c r="AW6" s="108"/>
    </row>
    <row r="7" spans="3:49" x14ac:dyDescent="0.25">
      <c r="AC7" s="111"/>
      <c r="AE7" s="126">
        <v>2</v>
      </c>
      <c r="AF7" s="126" t="str">
        <v>Rent &amp; Leases</v>
      </c>
      <c r="AG7" s="137">
        <f>INDEX(DATA_CALCS!$C$4:$I$15,MATCH(DASHBOARD!$P$3,DATA_CALCS!$B$4:$B$15,0),MATCH(DASHBOARD!$AF7,DATA_CALCS!$C$3:$I$3,0))</f>
        <v>18327</v>
      </c>
      <c r="AH7" s="138">
        <f>INDEX(DATA_CALCS!$C$22:$H$33,MATCH(DASHBOARD!$P$3,DATA_CALCS!$B$22:$B$33,0),MATCH(DASHBOARD!$AF7,DATA_CALCS!$C$21:$H$21,0))</f>
        <v>16500</v>
      </c>
      <c r="AI7" s="135">
        <f>AG7*FX_RATE</f>
        <v>2223644.2331999997</v>
      </c>
      <c r="AJ7" s="135">
        <f>AH7*FX_RATE</f>
        <v>2001971.4</v>
      </c>
      <c r="AK7" s="136">
        <f t="shared" si="0"/>
        <v>2.1908313609017075E-2</v>
      </c>
      <c r="AL7" s="136">
        <f>IFERROR(AJ7/$AJ$11,"-")</f>
        <v>7.5543139305509471E-3</v>
      </c>
      <c r="AN7" s="135">
        <f>IF($P$3="April","-",IF($P$3="May","-",INDEX(DATA_CALCS!$C$4:$I$15,MATCH(DASHBOARD!$P$3,DATA_CALCS!$B$4:$B$15,0)-2,MATCH(DASHBOARD!$AF7,DATA_CALCS!$C$3:$I$3,0))))</f>
        <v>15595</v>
      </c>
      <c r="AO7" s="135">
        <f>IF($P$3="April","-",INDEX(DATA_CALCS!$C$4:$I$15,MATCH(DASHBOARD!$P$3,DATA_CALCS!$B$4:$B$15,0)-1,MATCH(DASHBOARD!$AF7,DATA_CALCS!$C$3:$I$3,0)))</f>
        <v>17982</v>
      </c>
      <c r="AP7" s="135">
        <f>INDEX(DATA_CALCS!$C$4:$I$15,MATCH(DASHBOARD!$P$3,DATA_CALCS!$B$4:$B$15,0),MATCH(DASHBOARD!$AF7,DATA_CALCS!$C$3:$I$3,0))</f>
        <v>18327</v>
      </c>
      <c r="AS7" s="126"/>
      <c r="AT7" s="126"/>
      <c r="AU7" s="108"/>
      <c r="AV7" s="108"/>
      <c r="AW7" s="108"/>
    </row>
    <row r="8" spans="3:49" x14ac:dyDescent="0.25">
      <c r="AC8" s="111"/>
      <c r="AE8" s="126">
        <v>3</v>
      </c>
      <c r="AF8" s="126" t="str">
        <v>Utilities</v>
      </c>
      <c r="AG8" s="139">
        <f>INDEX(DATA_CALCS!$C$4:$I$15,MATCH(DASHBOARD!$P$3,DATA_CALCS!$B$4:$B$15,0),MATCH(DASHBOARD!$AF8,DATA_CALCS!$C$3:$I$3,0))</f>
        <v>7406582.8424939727</v>
      </c>
      <c r="AH8" s="139">
        <f>INDEX(DATA_CALCS!$C$22:$H$33,MATCH(DASHBOARD!$P$3,DATA_CALCS!$B$22:$B$33,0),MATCH(DASHBOARD!$AF8,DATA_CALCS!$C$21:$H$21,0))</f>
        <v>7350000</v>
      </c>
      <c r="AI8" s="134">
        <f>AG8</f>
        <v>7406582.8424939727</v>
      </c>
      <c r="AJ8" s="134">
        <f>AH8</f>
        <v>7350000</v>
      </c>
      <c r="AK8" s="136">
        <f t="shared" si="0"/>
        <v>7.2972887147063917E-2</v>
      </c>
      <c r="AL8" s="136">
        <f>IFERROR(AJ8/$AJ$11,"-")</f>
        <v>2.7734765536385517E-2</v>
      </c>
      <c r="AN8" s="135">
        <f>IF($P$3="April","-",IF($P$3="May","-",INDEX(DATA_CALCS!$C$4:$I$15,MATCH(DASHBOARD!$P$3,DATA_CALCS!$B$4:$B$15,0)-2,MATCH(DASHBOARD!$AF8,DATA_CALCS!$C$3:$I$3,0))))</f>
        <v>7252212.5919370102</v>
      </c>
      <c r="AO8" s="135">
        <f>IF($P$3="April","-",INDEX(DATA_CALCS!$C$4:$I$15,MATCH(DASHBOARD!$P$3,DATA_CALCS!$B$4:$B$15,0)-1,MATCH(DASHBOARD!$AF8,DATA_CALCS!$C$3:$I$3,0)))</f>
        <v>7373187.9634998627</v>
      </c>
      <c r="AP8" s="135">
        <f>INDEX(DATA_CALCS!$C$4:$I$15,MATCH(DASHBOARD!$P$3,DATA_CALCS!$B$4:$B$15,0),MATCH(DASHBOARD!$AF8,DATA_CALCS!$C$3:$I$3,0))</f>
        <v>7406582.8424939727</v>
      </c>
      <c r="AS8" s="126"/>
      <c r="AT8" s="126"/>
      <c r="AU8" s="108"/>
      <c r="AV8" s="108"/>
      <c r="AW8" s="108"/>
    </row>
    <row r="9" spans="3:49" x14ac:dyDescent="0.25">
      <c r="C9" s="92"/>
      <c r="D9" s="93"/>
      <c r="E9" s="92"/>
      <c r="F9" s="92"/>
      <c r="G9" s="94"/>
      <c r="H9" s="92"/>
      <c r="J9" s="93"/>
      <c r="K9" s="92"/>
      <c r="M9" s="94"/>
      <c r="N9" s="92"/>
      <c r="P9" s="94"/>
      <c r="AC9" s="111"/>
      <c r="AE9" s="126">
        <v>4</v>
      </c>
      <c r="AF9" s="126" t="str">
        <v>Maintenance &amp; Repairs</v>
      </c>
      <c r="AG9" s="134">
        <f>INDEX(DATA_CALCS!$C$4:$I$15,MATCH(DASHBOARD!$P$3,DATA_CALCS!$B$4:$B$15,0),MATCH(DASHBOARD!$AF9,DATA_CALCS!$C$3:$I$3,0))</f>
        <v>1522633.7635285745</v>
      </c>
      <c r="AH9" s="134">
        <f>INDEX(DATA_CALCS!$C$22:$H$33,MATCH(DASHBOARD!$P$3,DATA_CALCS!$B$22:$B$33,0),MATCH(DASHBOARD!$AF9,DATA_CALCS!$C$21:$H$21,0))</f>
        <v>1500000</v>
      </c>
      <c r="AI9" s="135">
        <f>AG9</f>
        <v>1522633.7635285745</v>
      </c>
      <c r="AJ9" s="135">
        <f>AH9*FX_RATE</f>
        <v>181997400</v>
      </c>
      <c r="AK9" s="136">
        <f t="shared" si="0"/>
        <v>1.5001652469854259E-2</v>
      </c>
      <c r="AL9" s="136">
        <f>IFERROR(AJ9/$AJ$11,"-")</f>
        <v>0.68675581186826795</v>
      </c>
      <c r="AN9" s="135">
        <f>IF($P$3="April","-",IF($P$3="May","-",INDEX(DATA_CALCS!$C$4:$I$15,MATCH(DASHBOARD!$P$3,DATA_CALCS!$B$4:$B$15,0)-2,MATCH(DASHBOARD!$AF9,DATA_CALCS!$C$3:$I$3,0))))</f>
        <v>1333360.9048859216</v>
      </c>
      <c r="AO9" s="135">
        <f>IF($P$3="April","-",INDEX(DATA_CALCS!$C$4:$I$15,MATCH(DASHBOARD!$P$3,DATA_CALCS!$B$4:$B$15,0)-1,MATCH(DASHBOARD!$AF9,DATA_CALCS!$C$3:$I$3,0)))</f>
        <v>1498723.4521586287</v>
      </c>
      <c r="AP9" s="135">
        <f>INDEX(DATA_CALCS!$C$4:$I$15,MATCH(DASHBOARD!$P$3,DATA_CALCS!$B$4:$B$15,0),MATCH(DASHBOARD!$AF9,DATA_CALCS!$C$3:$I$3,0))</f>
        <v>1522633.7635285745</v>
      </c>
      <c r="AS9" s="126"/>
      <c r="AT9" s="126"/>
      <c r="AU9" s="108"/>
      <c r="AV9" s="108"/>
      <c r="AW9" s="108"/>
    </row>
    <row r="10" spans="3:49" x14ac:dyDescent="0.25">
      <c r="AC10" s="111"/>
      <c r="AE10" s="126">
        <v>5</v>
      </c>
      <c r="AF10" s="126" t="str">
        <v>Marketing &amp; Advertising</v>
      </c>
      <c r="AG10" s="134">
        <f>INDEX(DATA_CALCS!$C$4:$I$15,MATCH(DASHBOARD!$P$3,DATA_CALCS!$B$4:$B$15,0),MATCH(DASHBOARD!$AF10,DATA_CALCS!$C$3:$I$3,0))</f>
        <v>5006921</v>
      </c>
      <c r="AH10" s="140">
        <f>INDEX(DATA_CALCS!$C$22:$H$33,MATCH(DASHBOARD!$P$3,DATA_CALCS!$B$22:$B$33,0),MATCH(DASHBOARD!$AF10,DATA_CALCS!$C$21:$H$21,0))</f>
        <v>38415.230769230766</v>
      </c>
      <c r="AI10" s="135">
        <f>AG10*FX_RATE/FX_RATE</f>
        <v>5006921</v>
      </c>
      <c r="AJ10" s="135">
        <f>AH10*FX_RATE</f>
        <v>4660981.4135999996</v>
      </c>
      <c r="AK10" s="136">
        <f t="shared" si="0"/>
        <v>4.9330371219372719E-2</v>
      </c>
      <c r="AL10" s="136">
        <f>IFERROR(AJ10/$AJ$11,"-")</f>
        <v>1.7587921996686628E-2</v>
      </c>
      <c r="AN10" s="135">
        <f>IF($P$3="April","-",IF($P$3="May","-",INDEX(DATA_CALCS!$C$4:$I$15,MATCH(DASHBOARD!$P$3,DATA_CALCS!$B$4:$B$15,0)-2,MATCH(DASHBOARD!$AF10,DATA_CALCS!$C$3:$I$3,0))))</f>
        <v>4710703</v>
      </c>
      <c r="AO10" s="135">
        <f>IF($P$3="April","-",INDEX(DATA_CALCS!$C$4:$I$15,MATCH(DASHBOARD!$P$3,DATA_CALCS!$B$4:$B$15,0)-1,MATCH(DASHBOARD!$AF10,DATA_CALCS!$C$3:$I$3,0)))</f>
        <v>4786685</v>
      </c>
      <c r="AP10" s="135">
        <f>INDEX(DATA_CALCS!$C$4:$I$15,MATCH(DASHBOARD!$P$3,DATA_CALCS!$B$4:$B$15,0),MATCH(DASHBOARD!$AF10,DATA_CALCS!$C$3:$I$3,0))</f>
        <v>5006921</v>
      </c>
      <c r="AS10" s="126"/>
      <c r="AT10" s="126"/>
      <c r="AU10" s="108"/>
      <c r="AV10" s="108"/>
      <c r="AW10" s="108"/>
    </row>
    <row r="11" spans="3:49" x14ac:dyDescent="0.25">
      <c r="C11" s="95"/>
      <c r="AC11" s="111"/>
      <c r="AE11" s="126">
        <v>6</v>
      </c>
      <c r="AF11" s="126" t="str">
        <v>Depreciation</v>
      </c>
      <c r="AG11" s="134">
        <f>INDEX(DATA_CALCS!$C$4:$I$15,MATCH(DASHBOARD!$P$3,DATA_CALCS!$B$4:$B$15,0),MATCH(DASHBOARD!$AF11,DATA_CALCS!$C$3:$I$3,0))</f>
        <v>11366849.266069803</v>
      </c>
      <c r="AH11" s="134">
        <f>INDEX(DATA_CALCS!$C$4:$I$15,MATCH(DASHBOARD!$P$3,DATA_CALCS!$B$4:$B$15,0),MATCH(DASHBOARD!$AF11,DATA_CALCS!$C$3:$I$3,0))</f>
        <v>11366849.266069803</v>
      </c>
      <c r="AI11" s="135">
        <f>AG11*FX_RATE/FX_RATE</f>
        <v>11366849.266069803</v>
      </c>
      <c r="AJ11" s="141">
        <f>SUM(AJ6:AJ10)</f>
        <v>265010352.8136</v>
      </c>
      <c r="AK11" s="136">
        <f t="shared" si="0"/>
        <v>0.1119911606134544</v>
      </c>
      <c r="AL11" s="136">
        <f>SUM(AL6:AL10)</f>
        <v>1</v>
      </c>
      <c r="AS11" s="126"/>
      <c r="AT11" s="126"/>
      <c r="AU11" s="108"/>
      <c r="AV11" s="108"/>
      <c r="AW11" s="108"/>
    </row>
    <row r="12" spans="3:49" ht="15.6" x14ac:dyDescent="0.3">
      <c r="C12" s="95"/>
      <c r="W12" s="112"/>
      <c r="AC12" s="111"/>
      <c r="AF12" s="126" t="s">
        <v>11</v>
      </c>
      <c r="AG12" s="141"/>
      <c r="AH12" s="141"/>
      <c r="AI12" s="141">
        <f>SUM(AI6:AI11)</f>
        <v>101497736.10529234</v>
      </c>
      <c r="AJ12" s="141"/>
      <c r="AK12" s="136">
        <f>SUM(AK6:AK11)</f>
        <v>1.0000000000000002</v>
      </c>
      <c r="AL12" s="136"/>
      <c r="AS12" s="126"/>
      <c r="AT12" s="126"/>
      <c r="AU12" s="108"/>
      <c r="AV12" s="108"/>
      <c r="AW12" s="108"/>
    </row>
    <row r="13" spans="3:49" x14ac:dyDescent="0.25">
      <c r="C13" s="95"/>
      <c r="AC13" s="111"/>
      <c r="AG13" s="141"/>
      <c r="AH13" s="141"/>
      <c r="AI13" s="141"/>
      <c r="AJ13" s="141"/>
      <c r="AK13" s="136"/>
      <c r="AL13" s="136"/>
      <c r="AS13" s="126"/>
      <c r="AT13" s="126"/>
      <c r="AU13" s="108"/>
      <c r="AV13" s="108"/>
      <c r="AW13" s="108"/>
    </row>
    <row r="14" spans="3:49" x14ac:dyDescent="0.25">
      <c r="C14" s="95"/>
      <c r="AC14" s="111"/>
      <c r="AG14" s="141"/>
      <c r="AH14" s="141"/>
      <c r="AI14" s="141"/>
      <c r="AJ14" s="141"/>
      <c r="AK14" s="136"/>
      <c r="AL14" s="136"/>
      <c r="AS14" s="126"/>
      <c r="AT14" s="126"/>
      <c r="AU14" s="108"/>
      <c r="AV14" s="108"/>
      <c r="AW14" s="108"/>
    </row>
    <row r="15" spans="3:49" x14ac:dyDescent="0.25">
      <c r="AC15" s="111"/>
      <c r="AG15" s="141"/>
      <c r="AH15" s="141"/>
      <c r="AI15" s="141"/>
      <c r="AJ15" s="141"/>
      <c r="AK15" s="136"/>
      <c r="AL15" s="136"/>
      <c r="AS15" s="126"/>
      <c r="AT15" s="126"/>
      <c r="AU15" s="108"/>
      <c r="AV15" s="108"/>
      <c r="AW15" s="108"/>
    </row>
    <row r="16" spans="3:49" x14ac:dyDescent="0.25">
      <c r="AC16" s="111"/>
      <c r="AI16" s="126" t="s">
        <v>89</v>
      </c>
      <c r="AJ16" s="142">
        <f>SUM(Table1[TOTAL $])</f>
        <v>9318333.2632652111</v>
      </c>
      <c r="AK16" s="143"/>
      <c r="AS16" s="126"/>
      <c r="AT16" s="126"/>
      <c r="AU16" s="108"/>
      <c r="AV16" s="108"/>
      <c r="AW16" s="108"/>
    </row>
    <row r="17" spans="19:49" x14ac:dyDescent="0.25">
      <c r="AC17" s="111"/>
      <c r="AF17" s="126" t="str">
        <f>AF6</f>
        <v>Wages &amp; Benefits</v>
      </c>
      <c r="AG17" s="144">
        <f t="shared" ref="AG17:AG22" si="1">IFERROR(AG6/AH6,"-")</f>
        <v>1.0720449999999999</v>
      </c>
      <c r="AI17" s="126" t="s">
        <v>90</v>
      </c>
      <c r="AJ17" s="142">
        <f>SUM(budget[TOTAL $])</f>
        <v>9178075.7278489061</v>
      </c>
      <c r="AK17" s="145">
        <f>($AJ$16-AJ17)/AJ17</f>
        <v>1.5281801934878745E-2</v>
      </c>
      <c r="AL17" s="146" t="str">
        <f>IF(AK17&gt;0,"▲","▼")&amp;TEXT(AK17,"0%;(0%)")</f>
        <v>▲2%</v>
      </c>
      <c r="AS17" s="126"/>
      <c r="AT17" s="126"/>
      <c r="AU17" s="108"/>
      <c r="AV17" s="108"/>
      <c r="AW17" s="108"/>
    </row>
    <row r="18" spans="19:49" x14ac:dyDescent="0.25">
      <c r="AC18" s="111"/>
      <c r="AF18" s="126" t="str">
        <f t="shared" ref="AF18:AF22" si="2">AF7</f>
        <v>Rent &amp; Leases</v>
      </c>
      <c r="AG18" s="144">
        <f t="shared" si="1"/>
        <v>1.1107272727272728</v>
      </c>
      <c r="AI18" s="126" t="s">
        <v>91</v>
      </c>
      <c r="AJ18" s="142">
        <v>8614550</v>
      </c>
      <c r="AK18" s="145">
        <f>($AJ$16-AJ18)/AJ18</f>
        <v>8.1697043172912237E-2</v>
      </c>
      <c r="AL18" s="146" t="str">
        <f>IF(AK18&gt;0,"▲","▼")&amp;TEXT(AK18,"0%;(0%)")</f>
        <v>▲8%</v>
      </c>
      <c r="AS18" s="126"/>
      <c r="AT18" s="126"/>
      <c r="AU18" s="108"/>
      <c r="AV18" s="108"/>
      <c r="AW18" s="108"/>
    </row>
    <row r="19" spans="19:49" x14ac:dyDescent="0.25">
      <c r="AC19" s="111"/>
      <c r="AF19" s="126" t="str">
        <f t="shared" si="2"/>
        <v>Utilities</v>
      </c>
      <c r="AG19" s="144">
        <f t="shared" si="1"/>
        <v>1.0076983459175473</v>
      </c>
      <c r="AS19" s="126"/>
      <c r="AT19" s="126"/>
      <c r="AU19" s="108"/>
      <c r="AV19" s="108"/>
      <c r="AW19" s="108"/>
    </row>
    <row r="20" spans="19:49" x14ac:dyDescent="0.25">
      <c r="AC20" s="111"/>
      <c r="AF20" s="126" t="str">
        <f t="shared" si="2"/>
        <v>Maintenance &amp; Repairs</v>
      </c>
      <c r="AG20" s="144">
        <f t="shared" si="1"/>
        <v>1.0150891756857163</v>
      </c>
      <c r="AS20" s="126"/>
      <c r="AT20" s="126"/>
      <c r="AU20" s="108"/>
      <c r="AV20" s="108"/>
      <c r="AW20" s="108"/>
    </row>
    <row r="21" spans="19:49" x14ac:dyDescent="0.25">
      <c r="AC21" s="111"/>
      <c r="AF21" s="126" t="str">
        <f t="shared" si="2"/>
        <v>Marketing &amp; Advertising</v>
      </c>
      <c r="AG21" s="144">
        <f t="shared" si="1"/>
        <v>130.33687159339846</v>
      </c>
      <c r="AS21" s="126"/>
      <c r="AT21" s="126"/>
      <c r="AU21" s="108"/>
      <c r="AV21" s="108"/>
      <c r="AW21" s="108"/>
    </row>
    <row r="22" spans="19:49" x14ac:dyDescent="0.25">
      <c r="AC22" s="111"/>
      <c r="AF22" s="126" t="str">
        <f t="shared" si="2"/>
        <v>Depreciation</v>
      </c>
      <c r="AG22" s="144">
        <f t="shared" si="1"/>
        <v>1</v>
      </c>
      <c r="AO22" s="126" t="s">
        <v>23</v>
      </c>
      <c r="AS22" s="126"/>
      <c r="AT22" s="126"/>
      <c r="AU22" s="108"/>
      <c r="AV22" s="108"/>
      <c r="AW22" s="108"/>
    </row>
    <row r="23" spans="19:49" x14ac:dyDescent="0.25">
      <c r="AC23" s="111"/>
      <c r="AG23" s="144"/>
      <c r="AI23" s="126" t="str">
        <f>S25</f>
        <v>Wages &amp; Benefits</v>
      </c>
      <c r="AS23" s="126"/>
      <c r="AT23" s="126"/>
      <c r="AU23" s="108"/>
      <c r="AV23" s="108"/>
      <c r="AW23" s="108"/>
    </row>
    <row r="24" spans="19:49" x14ac:dyDescent="0.25">
      <c r="S24" s="113" t="s">
        <v>92</v>
      </c>
      <c r="AC24" s="111"/>
      <c r="AH24" s="128">
        <v>44652</v>
      </c>
      <c r="AI24" s="128">
        <v>44682</v>
      </c>
      <c r="AJ24" s="128">
        <v>44713</v>
      </c>
      <c r="AK24" s="128">
        <v>44743</v>
      </c>
      <c r="AL24" s="128">
        <v>44774</v>
      </c>
      <c r="AM24" s="128">
        <v>44805</v>
      </c>
      <c r="AN24" s="128">
        <v>44835</v>
      </c>
      <c r="AO24" s="128">
        <v>44866</v>
      </c>
      <c r="AP24" s="128">
        <v>44896</v>
      </c>
      <c r="AQ24" s="128">
        <v>44927</v>
      </c>
      <c r="AR24" s="128">
        <v>44958</v>
      </c>
      <c r="AS24" s="128">
        <v>44986</v>
      </c>
      <c r="AT24" s="126"/>
      <c r="AU24" s="108"/>
      <c r="AV24" s="108"/>
      <c r="AW24" s="108"/>
    </row>
    <row r="25" spans="19:49" x14ac:dyDescent="0.25">
      <c r="S25" s="117" t="str">
        <f>VLOOKUP($AD$6,$AE$6:$AF$11,2,0)</f>
        <v>Wages &amp; Benefits</v>
      </c>
      <c r="AC25" s="111"/>
      <c r="AH25" s="126">
        <f>INDEX('YOY DATA'!$D$20:$O$25,MATCH(DASHBOARD!$AI$23,'YOY DATA'!$C$20:$C$25,0),MATCH(DASHBOARD!AH$24,'YOY DATA'!$D$19:$O$19,0))</f>
        <v>62729638</v>
      </c>
      <c r="AI25" s="126">
        <f>INDEX('YOY DATA'!$D$20:$O$25,MATCH(DASHBOARD!$AI$23,'YOY DATA'!$C$20:$C$25,0),MATCH(DASHBOARD!AI$24,'YOY DATA'!$D$19:$O$19,0))</f>
        <v>72551001</v>
      </c>
      <c r="AJ25" s="126">
        <f>INDEX('YOY DATA'!$D$20:$O$25,MATCH(DASHBOARD!$AI$23,'YOY DATA'!$C$20:$C$25,0),MATCH(DASHBOARD!AJ$24,'YOY DATA'!$D$19:$O$19,0))</f>
        <v>73971105</v>
      </c>
      <c r="AK25" s="126">
        <f>INDEX('YOY DATA'!$D$20:$O$25,MATCH(DASHBOARD!$AI$23,'YOY DATA'!$C$20:$C$25,0),MATCH(DASHBOARD!AK$24,'YOY DATA'!$D$19:$O$19,0))</f>
        <v>73897678</v>
      </c>
      <c r="AL25" s="126">
        <f>INDEX('YOY DATA'!$D$20:$O$25,MATCH(DASHBOARD!$AI$23,'YOY DATA'!$C$20:$C$25,0),MATCH(DASHBOARD!AL$24,'YOY DATA'!$D$19:$O$19,0))</f>
        <v>72710299</v>
      </c>
      <c r="AM25" s="126">
        <f>INDEX('YOY DATA'!$D$20:$O$25,MATCH(DASHBOARD!$AI$23,'YOY DATA'!$C$20:$C$25,0),MATCH(DASHBOARD!AM$24,'YOY DATA'!$D$19:$O$19,0))</f>
        <v>73547018</v>
      </c>
      <c r="AN25" s="126">
        <f>INDEX('YOY DATA'!$D$20:$O$25,MATCH(DASHBOARD!$AI$23,'YOY DATA'!$C$20:$C$25,0),MATCH(DASHBOARD!AN$24,'YOY DATA'!$D$19:$O$19,0))</f>
        <v>73353338</v>
      </c>
      <c r="AO25" s="126">
        <f>INDEX('YOY DATA'!$D$20:$O$25,MATCH(DASHBOARD!$AI$23,'YOY DATA'!$C$20:$C$25,0),MATCH(DASHBOARD!AO$24,'YOY DATA'!$D$19:$O$19,0))</f>
        <v>73750600</v>
      </c>
      <c r="AP25" s="126">
        <f>INDEX('YOY DATA'!$D$20:$O$25,MATCH(DASHBOARD!$AI$23,'YOY DATA'!$C$20:$C$25,0),MATCH(DASHBOARD!AP$24,'YOY DATA'!$D$19:$O$19,0))</f>
        <v>81025630</v>
      </c>
      <c r="AQ25" s="126">
        <f>INDEX('YOY DATA'!$D$20:$O$25,MATCH(DASHBOARD!$AI$23,'YOY DATA'!$C$20:$C$25,0),MATCH(DASHBOARD!AQ$24,'YOY DATA'!$D$19:$O$19,0))</f>
        <v>72492566</v>
      </c>
      <c r="AR25" s="126">
        <f>INDEX('YOY DATA'!$D$20:$O$25,MATCH(DASHBOARD!$AI$23,'YOY DATA'!$C$20:$C$25,0),MATCH(DASHBOARD!AR$24,'YOY DATA'!$D$19:$O$19,0))</f>
        <v>76626230</v>
      </c>
      <c r="AS25" s="126">
        <f>INDEX('YOY DATA'!$D$20:$O$25,MATCH(DASHBOARD!$AI$23,'YOY DATA'!$C$20:$C$25,0),MATCH(DASHBOARD!AS$24,'YOY DATA'!$D$19:$O$19,0))</f>
        <v>79985453</v>
      </c>
      <c r="AT25" s="126"/>
      <c r="AU25" s="108"/>
      <c r="AV25" s="108"/>
      <c r="AW25" s="108"/>
    </row>
    <row r="26" spans="19:49" ht="4.5" customHeight="1" x14ac:dyDescent="0.25">
      <c r="AC26" s="111"/>
      <c r="AS26" s="126"/>
      <c r="AT26" s="126"/>
      <c r="AU26" s="108"/>
      <c r="AV26" s="108"/>
      <c r="AW26" s="108"/>
    </row>
    <row r="27" spans="19:49" x14ac:dyDescent="0.25">
      <c r="AC27" s="111"/>
      <c r="AS27" s="126"/>
      <c r="AT27" s="126"/>
      <c r="AU27" s="108"/>
      <c r="AV27" s="108"/>
      <c r="AW27" s="108"/>
    </row>
    <row r="28" spans="19:49" x14ac:dyDescent="0.25">
      <c r="AC28" s="111"/>
      <c r="AH28" s="147">
        <f>LARGE(AH25:AS25,1)</f>
        <v>81025630</v>
      </c>
      <c r="AI28" s="128" t="str">
        <f ca="1">TEXT(OFFSET(INDEX(AH25:AS25,MATCH(AH28,AH25:AS25,0)),-1,0),"MMMM")</f>
        <v>December</v>
      </c>
      <c r="AS28" s="126"/>
      <c r="AT28" s="126"/>
      <c r="AU28" s="108"/>
      <c r="AV28" s="108"/>
      <c r="AW28" s="108"/>
    </row>
    <row r="29" spans="19:49" x14ac:dyDescent="0.25">
      <c r="AC29" s="111"/>
      <c r="AS29" s="126"/>
      <c r="AT29" s="126"/>
      <c r="AU29" s="108"/>
      <c r="AV29" s="108"/>
      <c r="AW29" s="108"/>
    </row>
    <row r="30" spans="19:49" x14ac:dyDescent="0.25">
      <c r="X30"/>
      <c r="Y30"/>
      <c r="Z30"/>
      <c r="AA30"/>
      <c r="AC30" s="111"/>
      <c r="AS30" s="126"/>
      <c r="AT30" s="126"/>
      <c r="AU30" s="108"/>
      <c r="AV30" s="108"/>
      <c r="AW30" s="108"/>
    </row>
    <row r="31" spans="19:49" x14ac:dyDescent="0.25">
      <c r="X31"/>
      <c r="Y31"/>
      <c r="Z31"/>
      <c r="AA31"/>
      <c r="AC31" s="111"/>
      <c r="AS31" s="126"/>
      <c r="AT31" s="126"/>
      <c r="AU31" s="108"/>
      <c r="AV31" s="108"/>
      <c r="AW31" s="108"/>
    </row>
    <row r="32" spans="19:49" x14ac:dyDescent="0.25">
      <c r="X32"/>
      <c r="Y32"/>
      <c r="Z32"/>
      <c r="AA32"/>
      <c r="AC32" s="111"/>
      <c r="AS32" s="126"/>
      <c r="AT32" s="126"/>
      <c r="AU32" s="108"/>
      <c r="AV32" s="108"/>
      <c r="AW32" s="108"/>
    </row>
    <row r="33" spans="3:49" x14ac:dyDescent="0.25">
      <c r="X33"/>
      <c r="Y33"/>
      <c r="Z33"/>
      <c r="AA33"/>
      <c r="AC33" s="111"/>
      <c r="AS33" s="126"/>
      <c r="AT33" s="126"/>
      <c r="AU33" s="108"/>
      <c r="AV33" s="108"/>
      <c r="AW33" s="108"/>
    </row>
    <row r="34" spans="3:49" x14ac:dyDescent="0.25">
      <c r="X34"/>
      <c r="Y34"/>
      <c r="Z34"/>
      <c r="AA34"/>
      <c r="AC34" s="111"/>
      <c r="AS34" s="126"/>
      <c r="AT34" s="126"/>
      <c r="AU34" s="108"/>
      <c r="AV34" s="108"/>
      <c r="AW34" s="108"/>
    </row>
    <row r="35" spans="3:49" x14ac:dyDescent="0.25">
      <c r="X35"/>
      <c r="Y35"/>
      <c r="Z35"/>
      <c r="AA35"/>
      <c r="AC35" s="111"/>
      <c r="AS35" s="126"/>
      <c r="AT35" s="126"/>
      <c r="AU35" s="108"/>
      <c r="AV35" s="108"/>
      <c r="AW35" s="108"/>
    </row>
    <row r="36" spans="3:49" x14ac:dyDescent="0.25">
      <c r="X36"/>
      <c r="Y36"/>
      <c r="Z36"/>
      <c r="AA36"/>
      <c r="AC36" s="111"/>
      <c r="AS36" s="126"/>
      <c r="AT36" s="126"/>
      <c r="AU36" s="108"/>
      <c r="AV36" s="108"/>
      <c r="AW36" s="108"/>
    </row>
    <row r="37" spans="3:49" x14ac:dyDescent="0.25">
      <c r="X37"/>
      <c r="Y37"/>
      <c r="Z37"/>
      <c r="AA37"/>
      <c r="AC37" s="111"/>
      <c r="AS37" s="126"/>
      <c r="AT37" s="126"/>
      <c r="AU37" s="108"/>
      <c r="AV37" s="108"/>
      <c r="AW37" s="108"/>
    </row>
    <row r="38" spans="3:49" x14ac:dyDescent="0.25">
      <c r="AC38" s="111"/>
      <c r="AS38" s="126"/>
      <c r="AT38" s="126"/>
      <c r="AU38" s="108"/>
      <c r="AV38" s="108"/>
      <c r="AW38" s="108"/>
    </row>
    <row r="39" spans="3:49" x14ac:dyDescent="0.25">
      <c r="AC39" s="111"/>
      <c r="AS39" s="126"/>
      <c r="AT39" s="126"/>
      <c r="AU39" s="108"/>
      <c r="AV39" s="108"/>
      <c r="AW39" s="108"/>
    </row>
    <row r="40" spans="3:49" x14ac:dyDescent="0.25">
      <c r="AC40" s="111"/>
      <c r="AS40" s="126"/>
      <c r="AT40" s="126"/>
      <c r="AU40" s="108"/>
      <c r="AV40" s="108"/>
      <c r="AW40" s="108"/>
    </row>
    <row r="41" spans="3:49" x14ac:dyDescent="0.25">
      <c r="AC41" s="111"/>
      <c r="AS41" s="126"/>
      <c r="AT41" s="126"/>
      <c r="AU41" s="108"/>
      <c r="AV41" s="108"/>
      <c r="AW41" s="108"/>
    </row>
    <row r="42" spans="3:49" x14ac:dyDescent="0.25">
      <c r="X42"/>
      <c r="Y42"/>
      <c r="Z42"/>
      <c r="AC42" s="111"/>
      <c r="AS42" s="126"/>
      <c r="AT42" s="126"/>
      <c r="AU42" s="108"/>
      <c r="AV42" s="108"/>
      <c r="AW42" s="108"/>
    </row>
    <row r="43" spans="3:49" x14ac:dyDescent="0.25">
      <c r="X43"/>
      <c r="Y43"/>
      <c r="Z43"/>
      <c r="AC43" s="111"/>
      <c r="AS43" s="126"/>
      <c r="AT43" s="126"/>
      <c r="AU43" s="108"/>
      <c r="AV43" s="108"/>
      <c r="AW43" s="108"/>
    </row>
    <row r="44" spans="3:49" x14ac:dyDescent="0.25">
      <c r="X44"/>
      <c r="Y44"/>
      <c r="Z44"/>
      <c r="AC44" s="111"/>
      <c r="AS44" s="126"/>
      <c r="AT44" s="126"/>
      <c r="AU44" s="108"/>
      <c r="AV44" s="108"/>
      <c r="AW44" s="108"/>
    </row>
    <row r="45" spans="3:49" ht="20.399999999999999" x14ac:dyDescent="0.35">
      <c r="X45"/>
      <c r="Y45"/>
      <c r="Z45"/>
      <c r="AA45" s="129">
        <f>AH28</f>
        <v>81025630</v>
      </c>
      <c r="AB45" s="130" t="str">
        <f ca="1">AI28</f>
        <v>December</v>
      </c>
      <c r="AC45" s="111"/>
      <c r="AS45" s="126"/>
      <c r="AT45" s="126"/>
      <c r="AU45" s="108"/>
      <c r="AV45" s="108"/>
      <c r="AW45" s="108"/>
    </row>
    <row r="46" spans="3:49" x14ac:dyDescent="0.25">
      <c r="X46"/>
      <c r="Y46"/>
      <c r="Z46"/>
      <c r="AC46" s="111"/>
      <c r="AS46" s="126"/>
      <c r="AT46" s="126"/>
      <c r="AU46" s="108"/>
      <c r="AV46" s="108"/>
      <c r="AW46" s="108"/>
    </row>
    <row r="47" spans="3:49" x14ac:dyDescent="0.25">
      <c r="C47" s="96"/>
      <c r="D47" s="96"/>
      <c r="E47" s="96"/>
      <c r="F47" s="96"/>
      <c r="G47" s="96"/>
      <c r="H47" s="96"/>
      <c r="I47" s="96"/>
      <c r="J47" s="96"/>
      <c r="K47" s="96"/>
      <c r="L47" s="96"/>
      <c r="AA47" s="131">
        <f ca="1">'YOY ANALYSIS'!G13</f>
        <v>0.32767081427270983</v>
      </c>
      <c r="AC47" s="111"/>
      <c r="AS47" s="126"/>
      <c r="AT47" s="126"/>
      <c r="AU47" s="108"/>
      <c r="AV47" s="108"/>
      <c r="AW47" s="108"/>
    </row>
    <row r="48" spans="3:49" x14ac:dyDescent="0.25">
      <c r="C48" s="97" t="s">
        <v>40</v>
      </c>
      <c r="D48" s="96"/>
      <c r="E48" s="96"/>
      <c r="F48" s="96"/>
      <c r="G48" s="96"/>
      <c r="H48" s="96"/>
      <c r="I48" s="96"/>
      <c r="J48" s="96"/>
      <c r="K48" s="96"/>
      <c r="L48" s="96"/>
      <c r="AC48" s="111"/>
      <c r="AS48" s="126"/>
      <c r="AT48" s="126"/>
      <c r="AU48" s="108"/>
      <c r="AV48" s="108"/>
      <c r="AW48" s="108"/>
    </row>
    <row r="49" spans="2:49" x14ac:dyDescent="0.25">
      <c r="C49" s="96" t="s">
        <v>42</v>
      </c>
      <c r="D49" s="96"/>
      <c r="E49" s="96"/>
      <c r="F49" s="96"/>
      <c r="G49" s="96"/>
      <c r="H49" s="96"/>
      <c r="I49" s="96"/>
      <c r="J49" s="96"/>
      <c r="K49" s="96"/>
      <c r="L49" s="96"/>
      <c r="AC49" s="111"/>
      <c r="AS49" s="126"/>
      <c r="AT49" s="126"/>
      <c r="AU49" s="108"/>
      <c r="AV49" s="108"/>
      <c r="AW49" s="108"/>
    </row>
    <row r="50" spans="2:49" x14ac:dyDescent="0.25">
      <c r="C50" s="104">
        <v>0</v>
      </c>
      <c r="D50" s="104">
        <v>12</v>
      </c>
      <c r="E50" s="98"/>
      <c r="F50" s="96"/>
      <c r="G50" s="96"/>
      <c r="H50" s="96"/>
      <c r="I50" s="96"/>
      <c r="J50" s="96"/>
      <c r="K50" s="96"/>
      <c r="L50" s="96"/>
      <c r="AC50" s="111"/>
      <c r="AS50" s="126"/>
      <c r="AT50" s="126"/>
      <c r="AU50" s="108"/>
      <c r="AV50" s="108"/>
      <c r="AW50" s="108"/>
    </row>
    <row r="51" spans="2:49" x14ac:dyDescent="0.25">
      <c r="C51" s="104">
        <f>IF(D50+C50&gt;=12,12-D50,C50)</f>
        <v>0</v>
      </c>
      <c r="D51" s="105"/>
      <c r="E51" s="96"/>
      <c r="F51" s="96"/>
      <c r="G51" s="96"/>
      <c r="H51" s="96"/>
      <c r="I51" s="96"/>
      <c r="J51" s="96"/>
      <c r="K51" s="96"/>
      <c r="L51" s="96"/>
      <c r="AC51" s="111"/>
      <c r="AS51" s="126"/>
      <c r="AT51" s="126"/>
      <c r="AU51" s="108"/>
      <c r="AV51" s="108"/>
      <c r="AW51" s="108"/>
    </row>
    <row r="52" spans="2:49" s="108" customFormat="1" x14ac:dyDescent="0.25">
      <c r="B52" s="109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1"/>
      <c r="AC52" s="111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</row>
    <row r="53" spans="2:49" x14ac:dyDescent="0.25"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1"/>
      <c r="AC53" s="111"/>
      <c r="AS53" s="126"/>
      <c r="AT53" s="126"/>
      <c r="AU53" s="108"/>
      <c r="AV53" s="108"/>
      <c r="AW53" s="108"/>
    </row>
    <row r="54" spans="2:49" x14ac:dyDescent="0.25"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1"/>
      <c r="AC54" s="111"/>
      <c r="AS54" s="126"/>
      <c r="AT54" s="126"/>
      <c r="AU54" s="108"/>
      <c r="AV54" s="108"/>
      <c r="AW54" s="108"/>
    </row>
    <row r="55" spans="2:49" x14ac:dyDescent="0.25"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1"/>
      <c r="AC55" s="111"/>
      <c r="AS55" s="126"/>
      <c r="AT55" s="126"/>
      <c r="AU55" s="108"/>
      <c r="AV55" s="108"/>
      <c r="AW55" s="108"/>
    </row>
    <row r="56" spans="2:49" x14ac:dyDescent="0.25"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1"/>
      <c r="AC56" s="111"/>
      <c r="AS56" s="126"/>
      <c r="AT56" s="126"/>
      <c r="AU56" s="108"/>
      <c r="AV56" s="108"/>
      <c r="AW56" s="108"/>
    </row>
    <row r="57" spans="2:49" x14ac:dyDescent="0.25"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1"/>
      <c r="AC57" s="111"/>
      <c r="AS57" s="126"/>
      <c r="AT57" s="126"/>
      <c r="AU57" s="108"/>
      <c r="AV57" s="108"/>
      <c r="AW57" s="108"/>
    </row>
    <row r="58" spans="2:49" x14ac:dyDescent="0.25"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1"/>
      <c r="AC58" s="111"/>
      <c r="AS58" s="126"/>
      <c r="AT58" s="126"/>
      <c r="AU58" s="108"/>
      <c r="AV58" s="108"/>
      <c r="AW58" s="108"/>
    </row>
    <row r="59" spans="2:49" x14ac:dyDescent="0.25"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1"/>
      <c r="AC59" s="111"/>
      <c r="AS59" s="126"/>
      <c r="AT59" s="126"/>
      <c r="AU59" s="108"/>
      <c r="AV59" s="108"/>
      <c r="AW59" s="108"/>
    </row>
    <row r="60" spans="2:49" x14ac:dyDescent="0.25"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1"/>
      <c r="AC60" s="111"/>
      <c r="AS60" s="126"/>
      <c r="AT60" s="126"/>
      <c r="AU60" s="108"/>
      <c r="AV60" s="108"/>
      <c r="AW60" s="108"/>
    </row>
    <row r="61" spans="2:49" x14ac:dyDescent="0.25"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1"/>
      <c r="AC61" s="111"/>
      <c r="AS61" s="126"/>
      <c r="AT61" s="126"/>
      <c r="AU61" s="108"/>
      <c r="AV61" s="108"/>
      <c r="AW61" s="108"/>
    </row>
    <row r="62" spans="2:49" x14ac:dyDescent="0.25"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1"/>
      <c r="AC62" s="111"/>
      <c r="AS62" s="126"/>
      <c r="AT62" s="126"/>
      <c r="AU62" s="108"/>
      <c r="AV62" s="108"/>
      <c r="AW62" s="108"/>
    </row>
    <row r="63" spans="2:49" x14ac:dyDescent="0.25"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1"/>
      <c r="AC63" s="111"/>
      <c r="AS63" s="126"/>
      <c r="AT63" s="126"/>
      <c r="AU63" s="108"/>
      <c r="AV63" s="108"/>
      <c r="AW63" s="108"/>
    </row>
    <row r="64" spans="2:49" x14ac:dyDescent="0.25"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1"/>
      <c r="AC64" s="111"/>
      <c r="AS64" s="126"/>
      <c r="AT64" s="126"/>
      <c r="AU64" s="108"/>
      <c r="AV64" s="108"/>
      <c r="AW64" s="108"/>
    </row>
    <row r="65" spans="3:49" x14ac:dyDescent="0.25"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1"/>
      <c r="AC65" s="111"/>
      <c r="AS65" s="126"/>
      <c r="AT65" s="126"/>
      <c r="AU65" s="108"/>
      <c r="AV65" s="108"/>
      <c r="AW65" s="108"/>
    </row>
    <row r="66" spans="3:49" x14ac:dyDescent="0.25"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1"/>
      <c r="AC66" s="111"/>
      <c r="AS66" s="126"/>
      <c r="AT66" s="126"/>
      <c r="AU66" s="108"/>
      <c r="AV66" s="108"/>
      <c r="AW66" s="108"/>
    </row>
    <row r="67" spans="3:49" x14ac:dyDescent="0.25"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1"/>
      <c r="AC67" s="111"/>
      <c r="AS67" s="126"/>
      <c r="AT67" s="126"/>
      <c r="AU67" s="108"/>
      <c r="AV67" s="108"/>
      <c r="AW67" s="108"/>
    </row>
    <row r="68" spans="3:49" x14ac:dyDescent="0.25"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1"/>
      <c r="AC68" s="111"/>
      <c r="AS68" s="126"/>
      <c r="AT68" s="126"/>
      <c r="AU68" s="108"/>
      <c r="AV68" s="108"/>
      <c r="AW68" s="108"/>
    </row>
    <row r="69" spans="3:49" x14ac:dyDescent="0.25"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1"/>
      <c r="AC69" s="111"/>
      <c r="AS69" s="126"/>
      <c r="AT69" s="126"/>
      <c r="AU69" s="108"/>
      <c r="AV69" s="108"/>
      <c r="AW69" s="108"/>
    </row>
    <row r="70" spans="3:49" x14ac:dyDescent="0.25"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1"/>
      <c r="AC70" s="111"/>
      <c r="AS70" s="126"/>
      <c r="AT70" s="126"/>
      <c r="AU70" s="108"/>
      <c r="AV70" s="108"/>
      <c r="AW70" s="108"/>
    </row>
    <row r="71" spans="3:49" x14ac:dyDescent="0.25"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1"/>
      <c r="AC71" s="111"/>
      <c r="AS71" s="126"/>
      <c r="AT71" s="126"/>
      <c r="AU71" s="108"/>
      <c r="AV71" s="108"/>
      <c r="AW71" s="108"/>
    </row>
    <row r="72" spans="3:49" x14ac:dyDescent="0.25"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1"/>
      <c r="AC72" s="111"/>
      <c r="AS72" s="126"/>
      <c r="AT72" s="126"/>
      <c r="AU72" s="108"/>
      <c r="AV72" s="108"/>
      <c r="AW72" s="108"/>
    </row>
    <row r="73" spans="3:49" x14ac:dyDescent="0.25"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1"/>
      <c r="AC73" s="111"/>
      <c r="AS73" s="126"/>
      <c r="AT73" s="126"/>
      <c r="AU73" s="108"/>
      <c r="AV73" s="108"/>
      <c r="AW73" s="108"/>
    </row>
    <row r="74" spans="3:49" x14ac:dyDescent="0.25"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1"/>
      <c r="AC74" s="111"/>
      <c r="AS74" s="126"/>
      <c r="AT74" s="126"/>
      <c r="AU74" s="108"/>
      <c r="AV74" s="108"/>
      <c r="AW74" s="108"/>
    </row>
    <row r="75" spans="3:49" x14ac:dyDescent="0.25"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1"/>
      <c r="AC75" s="111"/>
      <c r="AS75" s="126"/>
      <c r="AT75" s="126"/>
      <c r="AU75" s="108"/>
      <c r="AV75" s="108"/>
      <c r="AW75" s="108"/>
    </row>
    <row r="76" spans="3:49" x14ac:dyDescent="0.25"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1"/>
      <c r="AC76" s="111"/>
      <c r="AS76" s="126"/>
      <c r="AT76" s="126"/>
      <c r="AU76" s="108"/>
      <c r="AV76" s="108"/>
      <c r="AW76" s="108"/>
    </row>
    <row r="77" spans="3:49" x14ac:dyDescent="0.25"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1"/>
      <c r="AC77" s="111"/>
      <c r="AS77" s="126"/>
      <c r="AT77" s="126"/>
      <c r="AU77" s="108"/>
      <c r="AV77" s="108"/>
      <c r="AW77" s="108"/>
    </row>
    <row r="78" spans="3:49" x14ac:dyDescent="0.25"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1"/>
      <c r="AC78" s="111"/>
      <c r="AS78" s="126"/>
      <c r="AT78" s="126"/>
      <c r="AU78" s="108"/>
      <c r="AV78" s="108"/>
      <c r="AW78" s="108"/>
    </row>
    <row r="79" spans="3:49" x14ac:dyDescent="0.25"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1"/>
      <c r="AC79" s="111"/>
      <c r="AS79" s="126"/>
      <c r="AT79" s="126"/>
      <c r="AU79" s="108"/>
      <c r="AV79" s="108"/>
      <c r="AW79" s="108"/>
    </row>
    <row r="80" spans="3:49" x14ac:dyDescent="0.25"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1"/>
      <c r="AC80" s="111"/>
      <c r="AS80" s="126"/>
      <c r="AT80" s="126"/>
      <c r="AU80" s="108"/>
      <c r="AV80" s="108"/>
      <c r="AW80" s="108"/>
    </row>
    <row r="81" spans="3:49" x14ac:dyDescent="0.25"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1"/>
      <c r="AC81" s="111"/>
      <c r="AS81" s="126"/>
      <c r="AT81" s="126"/>
      <c r="AU81" s="108"/>
      <c r="AV81" s="108"/>
      <c r="AW81" s="108"/>
    </row>
    <row r="82" spans="3:49" x14ac:dyDescent="0.25"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1"/>
      <c r="AC82" s="111"/>
      <c r="AS82" s="126"/>
      <c r="AT82" s="126"/>
      <c r="AU82" s="108"/>
      <c r="AV82" s="108"/>
      <c r="AW82" s="108"/>
    </row>
    <row r="83" spans="3:49" x14ac:dyDescent="0.25"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1"/>
      <c r="AC83" s="111"/>
      <c r="AS83" s="126"/>
      <c r="AT83" s="126"/>
      <c r="AU83" s="108"/>
      <c r="AV83" s="108"/>
      <c r="AW83" s="108"/>
    </row>
    <row r="84" spans="3:49" x14ac:dyDescent="0.25"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1"/>
      <c r="AC84" s="111"/>
      <c r="AS84" s="126"/>
      <c r="AT84" s="126"/>
      <c r="AU84" s="108"/>
      <c r="AV84" s="108"/>
      <c r="AW84" s="108"/>
    </row>
    <row r="85" spans="3:49" x14ac:dyDescent="0.25"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1"/>
      <c r="AC85" s="111"/>
      <c r="AS85" s="126"/>
      <c r="AT85" s="126"/>
      <c r="AU85" s="108"/>
      <c r="AV85" s="108"/>
      <c r="AW85" s="108"/>
    </row>
    <row r="86" spans="3:49" x14ac:dyDescent="0.25"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1"/>
      <c r="AC86" s="111"/>
      <c r="AS86" s="126"/>
      <c r="AT86" s="126"/>
      <c r="AU86" s="108"/>
      <c r="AV86" s="108"/>
      <c r="AW86" s="108"/>
    </row>
    <row r="87" spans="3:49" x14ac:dyDescent="0.25"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1"/>
      <c r="AC87" s="111"/>
      <c r="AS87" s="126"/>
      <c r="AT87" s="126"/>
      <c r="AU87" s="108"/>
      <c r="AV87" s="108"/>
      <c r="AW87" s="108"/>
    </row>
    <row r="88" spans="3:49" x14ac:dyDescent="0.25"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1"/>
      <c r="AC88" s="111"/>
      <c r="AS88" s="126"/>
      <c r="AT88" s="126"/>
      <c r="AU88" s="108"/>
      <c r="AV88" s="108"/>
      <c r="AW88" s="108"/>
    </row>
    <row r="89" spans="3:49" x14ac:dyDescent="0.25"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1"/>
      <c r="AC89" s="111"/>
      <c r="AS89" s="126"/>
      <c r="AT89" s="126"/>
      <c r="AU89" s="108"/>
      <c r="AV89" s="108"/>
      <c r="AW89" s="108"/>
    </row>
    <row r="90" spans="3:49" x14ac:dyDescent="0.25"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1"/>
      <c r="AC90" s="111"/>
      <c r="AS90" s="126"/>
      <c r="AT90" s="126"/>
      <c r="AU90" s="108"/>
      <c r="AV90" s="108"/>
      <c r="AW90" s="108"/>
    </row>
    <row r="91" spans="3:49" x14ac:dyDescent="0.25"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1"/>
      <c r="AC91" s="111"/>
      <c r="AS91" s="126"/>
      <c r="AT91" s="126"/>
      <c r="AU91" s="108"/>
      <c r="AV91" s="108"/>
      <c r="AW91" s="108"/>
    </row>
    <row r="92" spans="3:49" x14ac:dyDescent="0.25"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1"/>
      <c r="AC92" s="111"/>
      <c r="AS92" s="126"/>
      <c r="AT92" s="126"/>
      <c r="AU92" s="108"/>
      <c r="AV92" s="108"/>
      <c r="AW92" s="108"/>
    </row>
    <row r="93" spans="3:49" x14ac:dyDescent="0.25"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1"/>
      <c r="AC93" s="111"/>
      <c r="AS93" s="126"/>
      <c r="AT93" s="126"/>
      <c r="AU93" s="108"/>
      <c r="AV93" s="108"/>
      <c r="AW93" s="108"/>
    </row>
    <row r="94" spans="3:49" x14ac:dyDescent="0.25"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1"/>
      <c r="AC94" s="111"/>
      <c r="AS94" s="126"/>
      <c r="AT94" s="126"/>
      <c r="AU94" s="108"/>
      <c r="AV94" s="108"/>
      <c r="AW94" s="108"/>
    </row>
    <row r="95" spans="3:49" x14ac:dyDescent="0.25"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1"/>
      <c r="AC95" s="111"/>
      <c r="AS95" s="126"/>
      <c r="AT95" s="126"/>
      <c r="AU95" s="108"/>
      <c r="AV95" s="108"/>
      <c r="AW95" s="108"/>
    </row>
    <row r="96" spans="3:49" x14ac:dyDescent="0.25"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1"/>
      <c r="AC96" s="111"/>
      <c r="AS96" s="126"/>
      <c r="AT96" s="126"/>
      <c r="AU96" s="108"/>
      <c r="AV96" s="108"/>
      <c r="AW96" s="108"/>
    </row>
    <row r="97" spans="3:49" x14ac:dyDescent="0.25"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1"/>
      <c r="AC97" s="111"/>
      <c r="AS97" s="126"/>
      <c r="AT97" s="126"/>
      <c r="AU97" s="108"/>
      <c r="AV97" s="108"/>
      <c r="AW97" s="108"/>
    </row>
    <row r="98" spans="3:49" x14ac:dyDescent="0.25"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1"/>
      <c r="AC98" s="111"/>
      <c r="AS98" s="126"/>
      <c r="AT98" s="126"/>
      <c r="AU98" s="108"/>
      <c r="AV98" s="108"/>
      <c r="AW98" s="108"/>
    </row>
    <row r="99" spans="3:49" x14ac:dyDescent="0.25"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1"/>
      <c r="AC99" s="111"/>
      <c r="AS99" s="126"/>
      <c r="AT99" s="126"/>
      <c r="AU99" s="108"/>
      <c r="AV99" s="108"/>
      <c r="AW99" s="108"/>
    </row>
    <row r="100" spans="3:49" x14ac:dyDescent="0.25"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1"/>
      <c r="AC100" s="111"/>
      <c r="AS100" s="126"/>
      <c r="AT100" s="126"/>
      <c r="AU100" s="108"/>
      <c r="AV100" s="108"/>
      <c r="AW100" s="108"/>
    </row>
    <row r="101" spans="3:49" x14ac:dyDescent="0.25"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1"/>
      <c r="AC101" s="111"/>
      <c r="AS101" s="126"/>
      <c r="AT101" s="126"/>
      <c r="AU101" s="108"/>
      <c r="AV101" s="108"/>
      <c r="AW101" s="108"/>
    </row>
    <row r="102" spans="3:49" x14ac:dyDescent="0.25"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1"/>
      <c r="AC102" s="111"/>
      <c r="AS102" s="126"/>
      <c r="AT102" s="126"/>
      <c r="AU102" s="108"/>
      <c r="AV102" s="108"/>
      <c r="AW102" s="108"/>
    </row>
    <row r="103" spans="3:49" x14ac:dyDescent="0.25"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1"/>
      <c r="AC103" s="111"/>
      <c r="AS103" s="126"/>
      <c r="AT103" s="126"/>
      <c r="AU103" s="108"/>
      <c r="AV103" s="108"/>
      <c r="AW103" s="108"/>
    </row>
    <row r="104" spans="3:49" x14ac:dyDescent="0.25"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1"/>
      <c r="AC104" s="111"/>
      <c r="AS104" s="126"/>
      <c r="AT104" s="126"/>
      <c r="AU104" s="108"/>
      <c r="AV104" s="108"/>
      <c r="AW104" s="108"/>
    </row>
    <row r="105" spans="3:49" x14ac:dyDescent="0.25"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1"/>
      <c r="AC105" s="111"/>
      <c r="AS105" s="126"/>
      <c r="AT105" s="126"/>
      <c r="AU105" s="108"/>
      <c r="AV105" s="108"/>
      <c r="AW105" s="108"/>
    </row>
    <row r="106" spans="3:49" x14ac:dyDescent="0.25"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1"/>
      <c r="AC106" s="111"/>
      <c r="AS106" s="126"/>
      <c r="AT106" s="126"/>
      <c r="AU106" s="108"/>
      <c r="AV106" s="108"/>
      <c r="AW106" s="108"/>
    </row>
    <row r="107" spans="3:49" x14ac:dyDescent="0.25"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1"/>
      <c r="AC107" s="111"/>
      <c r="AS107" s="126"/>
      <c r="AT107" s="126"/>
      <c r="AU107" s="108"/>
      <c r="AV107" s="108"/>
      <c r="AW107" s="108"/>
    </row>
    <row r="108" spans="3:49" x14ac:dyDescent="0.25"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1"/>
      <c r="AC108" s="111"/>
      <c r="AS108" s="126"/>
      <c r="AT108" s="126"/>
      <c r="AU108" s="108"/>
      <c r="AV108" s="108"/>
      <c r="AW108" s="108"/>
    </row>
    <row r="109" spans="3:49" x14ac:dyDescent="0.25"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1"/>
      <c r="AC109" s="111"/>
      <c r="AS109" s="126"/>
      <c r="AT109" s="126"/>
      <c r="AU109" s="108"/>
      <c r="AV109" s="108"/>
      <c r="AW109" s="108"/>
    </row>
    <row r="110" spans="3:49" x14ac:dyDescent="0.25"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1"/>
      <c r="AC110" s="111"/>
      <c r="AS110" s="126"/>
      <c r="AT110" s="126"/>
      <c r="AU110" s="108"/>
      <c r="AV110" s="108"/>
      <c r="AW110" s="108"/>
    </row>
    <row r="111" spans="3:49" x14ac:dyDescent="0.25"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1"/>
      <c r="AC111" s="111"/>
      <c r="AS111" s="126"/>
      <c r="AT111" s="126"/>
      <c r="AU111" s="108"/>
      <c r="AV111" s="108"/>
      <c r="AW111" s="108"/>
    </row>
    <row r="112" spans="3:49" x14ac:dyDescent="0.25"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1"/>
      <c r="AC112" s="111"/>
      <c r="AS112" s="126"/>
      <c r="AT112" s="126"/>
      <c r="AU112" s="108"/>
      <c r="AV112" s="108"/>
      <c r="AW112" s="108"/>
    </row>
    <row r="113" spans="3:49" x14ac:dyDescent="0.25"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1"/>
      <c r="AC113" s="111"/>
      <c r="AS113" s="126"/>
      <c r="AT113" s="126"/>
      <c r="AU113" s="108"/>
      <c r="AV113" s="108"/>
      <c r="AW113" s="108"/>
    </row>
    <row r="114" spans="3:49" x14ac:dyDescent="0.25"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1"/>
      <c r="AC114" s="111"/>
      <c r="AS114" s="126"/>
      <c r="AT114" s="126"/>
      <c r="AU114" s="108"/>
      <c r="AV114" s="108"/>
      <c r="AW114" s="108"/>
    </row>
    <row r="115" spans="3:49" x14ac:dyDescent="0.25"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1"/>
      <c r="AC115" s="111"/>
      <c r="AS115" s="126"/>
      <c r="AT115" s="126"/>
      <c r="AU115" s="108"/>
      <c r="AV115" s="108"/>
      <c r="AW115" s="108"/>
    </row>
    <row r="116" spans="3:49" x14ac:dyDescent="0.25"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1"/>
      <c r="AC116" s="111"/>
      <c r="AS116" s="126"/>
      <c r="AT116" s="126"/>
      <c r="AU116" s="108"/>
      <c r="AV116" s="108"/>
      <c r="AW116" s="108"/>
    </row>
    <row r="117" spans="3:49" x14ac:dyDescent="0.25"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1"/>
      <c r="AC117" s="111"/>
      <c r="AS117" s="126"/>
      <c r="AT117" s="126"/>
      <c r="AU117" s="108"/>
      <c r="AV117" s="108"/>
      <c r="AW117" s="108"/>
    </row>
    <row r="118" spans="3:49" x14ac:dyDescent="0.25"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1"/>
      <c r="AC118" s="111"/>
      <c r="AS118" s="126"/>
      <c r="AT118" s="126"/>
      <c r="AU118" s="108"/>
      <c r="AV118" s="108"/>
      <c r="AW118" s="108"/>
    </row>
    <row r="119" spans="3:49" x14ac:dyDescent="0.25"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1"/>
      <c r="AC119" s="111"/>
      <c r="AS119" s="126"/>
      <c r="AT119" s="126"/>
      <c r="AU119" s="108"/>
      <c r="AV119" s="108"/>
      <c r="AW119" s="108"/>
    </row>
    <row r="120" spans="3:49" x14ac:dyDescent="0.25"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1"/>
      <c r="AC120" s="111"/>
      <c r="AS120" s="126"/>
      <c r="AT120" s="126"/>
      <c r="AU120" s="108"/>
      <c r="AV120" s="108"/>
      <c r="AW120" s="108"/>
    </row>
    <row r="121" spans="3:49" x14ac:dyDescent="0.25"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1"/>
      <c r="AC121" s="111"/>
      <c r="AS121" s="126"/>
      <c r="AT121" s="126"/>
      <c r="AU121" s="108"/>
      <c r="AV121" s="108"/>
      <c r="AW121" s="108"/>
    </row>
    <row r="122" spans="3:49" x14ac:dyDescent="0.25"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1"/>
      <c r="AC122" s="111"/>
      <c r="AS122" s="126"/>
      <c r="AT122" s="126"/>
      <c r="AU122" s="108"/>
      <c r="AV122" s="108"/>
      <c r="AW122" s="108"/>
    </row>
    <row r="123" spans="3:49" x14ac:dyDescent="0.25"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1"/>
      <c r="AC123" s="111"/>
      <c r="AS123" s="126"/>
      <c r="AT123" s="126"/>
      <c r="AU123" s="108"/>
      <c r="AV123" s="108"/>
      <c r="AW123" s="108"/>
    </row>
    <row r="124" spans="3:49" x14ac:dyDescent="0.25"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1"/>
      <c r="AC124" s="111"/>
      <c r="AS124" s="126"/>
      <c r="AT124" s="126"/>
      <c r="AU124" s="108"/>
      <c r="AV124" s="108"/>
      <c r="AW124" s="108"/>
    </row>
    <row r="125" spans="3:49" x14ac:dyDescent="0.25"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1"/>
      <c r="AC125" s="111"/>
      <c r="AS125" s="126"/>
      <c r="AT125" s="126"/>
      <c r="AU125" s="108"/>
      <c r="AV125" s="108"/>
      <c r="AW125" s="108"/>
    </row>
    <row r="126" spans="3:49" x14ac:dyDescent="0.25"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1"/>
      <c r="AC126" s="111"/>
      <c r="AS126" s="126"/>
      <c r="AT126" s="126"/>
      <c r="AU126" s="108"/>
      <c r="AV126" s="108"/>
      <c r="AW126" s="108"/>
    </row>
    <row r="127" spans="3:49" x14ac:dyDescent="0.25"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1"/>
      <c r="AC127" s="111"/>
      <c r="AS127" s="126"/>
      <c r="AT127" s="126"/>
      <c r="AU127" s="108"/>
      <c r="AV127" s="108"/>
      <c r="AW127" s="108"/>
    </row>
    <row r="128" spans="3:49" x14ac:dyDescent="0.25"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1"/>
      <c r="AC128" s="111"/>
      <c r="AS128" s="126"/>
      <c r="AT128" s="126"/>
      <c r="AU128" s="108"/>
      <c r="AV128" s="108"/>
      <c r="AW128" s="108"/>
    </row>
    <row r="129" spans="3:49" x14ac:dyDescent="0.25"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1"/>
      <c r="AC129" s="111"/>
      <c r="AS129" s="126"/>
      <c r="AT129" s="126"/>
      <c r="AU129" s="108"/>
      <c r="AV129" s="108"/>
      <c r="AW129" s="108"/>
    </row>
    <row r="130" spans="3:49" x14ac:dyDescent="0.25"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1"/>
      <c r="AC130" s="111"/>
      <c r="AS130" s="126"/>
      <c r="AT130" s="126"/>
      <c r="AU130" s="108"/>
      <c r="AV130" s="108"/>
      <c r="AW130" s="108"/>
    </row>
    <row r="131" spans="3:49" x14ac:dyDescent="0.25"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1"/>
      <c r="AC131" s="111"/>
      <c r="AS131" s="126"/>
      <c r="AT131" s="126"/>
      <c r="AU131" s="108"/>
      <c r="AV131" s="108"/>
      <c r="AW131" s="108"/>
    </row>
    <row r="132" spans="3:49" x14ac:dyDescent="0.25"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1"/>
      <c r="AC132" s="111"/>
      <c r="AS132" s="126"/>
      <c r="AT132" s="126"/>
      <c r="AU132" s="108"/>
      <c r="AV132" s="108"/>
      <c r="AW132" s="108"/>
    </row>
    <row r="133" spans="3:49" x14ac:dyDescent="0.25"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1"/>
      <c r="AC133" s="111"/>
      <c r="AS133" s="126"/>
      <c r="AT133" s="126"/>
      <c r="AU133" s="108"/>
      <c r="AV133" s="108"/>
      <c r="AW133" s="108"/>
    </row>
    <row r="134" spans="3:49" x14ac:dyDescent="0.25"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1"/>
      <c r="AC134" s="111"/>
      <c r="AS134" s="126"/>
      <c r="AT134" s="126"/>
      <c r="AU134" s="108"/>
      <c r="AV134" s="108"/>
      <c r="AW134" s="108"/>
    </row>
    <row r="135" spans="3:49" x14ac:dyDescent="0.25"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1"/>
      <c r="AC135" s="111"/>
      <c r="AS135" s="126"/>
      <c r="AT135" s="126"/>
      <c r="AU135" s="108"/>
      <c r="AV135" s="108"/>
      <c r="AW135" s="108"/>
    </row>
    <row r="136" spans="3:49" x14ac:dyDescent="0.25"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1"/>
      <c r="AC136" s="111"/>
      <c r="AS136" s="126"/>
      <c r="AT136" s="126"/>
      <c r="AU136" s="108"/>
      <c r="AV136" s="108"/>
      <c r="AW136" s="108"/>
    </row>
    <row r="137" spans="3:49" x14ac:dyDescent="0.25"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1"/>
      <c r="AC137" s="111"/>
      <c r="AS137" s="126"/>
      <c r="AT137" s="126"/>
      <c r="AU137" s="108"/>
      <c r="AV137" s="108"/>
      <c r="AW137" s="108"/>
    </row>
    <row r="138" spans="3:49" x14ac:dyDescent="0.25"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1"/>
      <c r="AC138" s="111"/>
      <c r="AS138" s="126"/>
      <c r="AT138" s="126"/>
      <c r="AU138" s="108"/>
      <c r="AV138" s="108"/>
      <c r="AW138" s="108"/>
    </row>
    <row r="139" spans="3:49" x14ac:dyDescent="0.25"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1"/>
      <c r="AC139" s="111"/>
      <c r="AS139" s="126"/>
      <c r="AT139" s="126"/>
      <c r="AU139" s="108"/>
      <c r="AV139" s="108"/>
      <c r="AW139" s="108"/>
    </row>
    <row r="140" spans="3:49" x14ac:dyDescent="0.25"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1"/>
      <c r="AC140" s="111"/>
      <c r="AS140" s="126"/>
      <c r="AT140" s="126"/>
      <c r="AU140" s="108"/>
      <c r="AV140" s="108"/>
      <c r="AW140" s="108"/>
    </row>
    <row r="141" spans="3:49" x14ac:dyDescent="0.25"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1"/>
      <c r="AC141" s="111"/>
      <c r="AS141" s="126"/>
      <c r="AT141" s="126"/>
      <c r="AU141" s="108"/>
      <c r="AV141" s="108"/>
      <c r="AW141" s="108"/>
    </row>
    <row r="142" spans="3:49" x14ac:dyDescent="0.25"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1"/>
      <c r="AC142" s="111"/>
      <c r="AS142" s="126"/>
      <c r="AT142" s="126"/>
      <c r="AU142" s="108"/>
      <c r="AV142" s="108"/>
      <c r="AW142" s="108"/>
    </row>
    <row r="143" spans="3:49" x14ac:dyDescent="0.25"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1"/>
      <c r="AC143" s="111"/>
      <c r="AS143" s="126"/>
      <c r="AT143" s="126"/>
      <c r="AU143" s="108"/>
      <c r="AV143" s="108"/>
      <c r="AW143" s="108"/>
    </row>
    <row r="144" spans="3:49" x14ac:dyDescent="0.25"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1"/>
      <c r="AC144" s="111"/>
      <c r="AS144" s="126"/>
      <c r="AT144" s="126"/>
      <c r="AU144" s="108"/>
      <c r="AV144" s="108"/>
      <c r="AW144" s="108"/>
    </row>
    <row r="145" spans="3:49" x14ac:dyDescent="0.25"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1"/>
      <c r="AC145" s="111"/>
      <c r="AS145" s="126"/>
      <c r="AT145" s="126"/>
      <c r="AU145" s="108"/>
      <c r="AV145" s="108"/>
      <c r="AW145" s="108"/>
    </row>
    <row r="146" spans="3:49" x14ac:dyDescent="0.25"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1"/>
      <c r="AC146" s="111"/>
      <c r="AS146" s="126"/>
      <c r="AT146" s="126"/>
      <c r="AU146" s="108"/>
      <c r="AV146" s="108"/>
      <c r="AW146" s="108"/>
    </row>
    <row r="147" spans="3:49" x14ac:dyDescent="0.25"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1"/>
      <c r="AC147" s="111"/>
      <c r="AS147" s="126"/>
      <c r="AT147" s="126"/>
      <c r="AU147" s="108"/>
      <c r="AV147" s="108"/>
      <c r="AW147" s="108"/>
    </row>
    <row r="148" spans="3:49" x14ac:dyDescent="0.25"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1"/>
      <c r="AC148" s="111"/>
      <c r="AS148" s="126"/>
      <c r="AT148" s="126"/>
      <c r="AU148" s="108"/>
      <c r="AV148" s="108"/>
      <c r="AW148" s="108"/>
    </row>
    <row r="149" spans="3:49" x14ac:dyDescent="0.25"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1"/>
      <c r="AC149" s="111"/>
      <c r="AS149" s="126"/>
      <c r="AT149" s="126"/>
      <c r="AU149" s="108"/>
      <c r="AV149" s="108"/>
      <c r="AW149" s="108"/>
    </row>
    <row r="150" spans="3:49" x14ac:dyDescent="0.25"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1"/>
      <c r="AC150" s="111"/>
      <c r="AS150" s="126"/>
      <c r="AT150" s="126"/>
      <c r="AU150" s="108"/>
      <c r="AV150" s="108"/>
      <c r="AW150" s="108"/>
    </row>
    <row r="151" spans="3:49" x14ac:dyDescent="0.25"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1"/>
      <c r="AC151" s="111"/>
      <c r="AS151" s="126"/>
      <c r="AT151" s="126"/>
      <c r="AU151" s="108"/>
      <c r="AV151" s="108"/>
      <c r="AW151" s="108"/>
    </row>
    <row r="152" spans="3:49" x14ac:dyDescent="0.25"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1"/>
      <c r="AC152" s="111"/>
      <c r="AS152" s="126"/>
      <c r="AT152" s="126"/>
      <c r="AU152" s="108"/>
      <c r="AV152" s="108"/>
      <c r="AW152" s="108"/>
    </row>
    <row r="153" spans="3:49" x14ac:dyDescent="0.25"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1"/>
      <c r="AC153" s="111"/>
      <c r="AS153" s="126"/>
      <c r="AT153" s="126"/>
      <c r="AU153" s="108"/>
      <c r="AV153" s="108"/>
      <c r="AW153" s="108"/>
    </row>
    <row r="154" spans="3:49" x14ac:dyDescent="0.25"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1"/>
      <c r="AC154" s="111"/>
      <c r="AS154" s="126"/>
      <c r="AT154" s="126"/>
      <c r="AU154" s="108"/>
      <c r="AV154" s="108"/>
      <c r="AW154" s="108"/>
    </row>
    <row r="155" spans="3:49" x14ac:dyDescent="0.25"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1"/>
      <c r="AC155" s="111"/>
      <c r="AS155" s="126"/>
      <c r="AT155" s="126"/>
      <c r="AU155" s="108"/>
      <c r="AV155" s="108"/>
      <c r="AW155" s="108"/>
    </row>
    <row r="156" spans="3:49" x14ac:dyDescent="0.25"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1"/>
      <c r="AC156" s="111"/>
      <c r="AS156" s="126"/>
      <c r="AT156" s="126"/>
      <c r="AU156" s="108"/>
      <c r="AV156" s="108"/>
      <c r="AW156" s="108"/>
    </row>
    <row r="157" spans="3:49" x14ac:dyDescent="0.25"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1"/>
      <c r="AC157" s="111"/>
      <c r="AS157" s="126"/>
      <c r="AT157" s="126"/>
      <c r="AU157" s="108"/>
      <c r="AV157" s="108"/>
      <c r="AW157" s="108"/>
    </row>
    <row r="158" spans="3:49" x14ac:dyDescent="0.25"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1"/>
      <c r="AC158" s="111"/>
      <c r="AS158" s="126"/>
      <c r="AT158" s="126"/>
      <c r="AU158" s="108"/>
      <c r="AV158" s="108"/>
      <c r="AW158" s="108"/>
    </row>
    <row r="159" spans="3:49" x14ac:dyDescent="0.25"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1"/>
      <c r="AC159" s="111"/>
      <c r="AS159" s="126"/>
      <c r="AT159" s="126"/>
      <c r="AU159" s="108"/>
      <c r="AV159" s="108"/>
      <c r="AW159" s="108"/>
    </row>
    <row r="160" spans="3:49" x14ac:dyDescent="0.25"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1"/>
      <c r="AC160" s="111"/>
      <c r="AS160" s="126"/>
      <c r="AT160" s="126"/>
      <c r="AU160" s="108"/>
      <c r="AV160" s="108"/>
      <c r="AW160" s="108"/>
    </row>
    <row r="161" spans="3:49" x14ac:dyDescent="0.25"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1"/>
      <c r="AC161" s="111"/>
      <c r="AS161" s="126"/>
      <c r="AT161" s="126"/>
      <c r="AU161" s="108"/>
      <c r="AV161" s="108"/>
      <c r="AW161" s="108"/>
    </row>
    <row r="162" spans="3:49" x14ac:dyDescent="0.25"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1"/>
      <c r="AC162" s="111"/>
      <c r="AS162" s="126"/>
      <c r="AT162" s="126"/>
      <c r="AU162" s="108"/>
      <c r="AV162" s="108"/>
      <c r="AW162" s="108"/>
    </row>
    <row r="163" spans="3:49" x14ac:dyDescent="0.25"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1"/>
      <c r="AC163" s="111"/>
      <c r="AS163" s="126"/>
      <c r="AT163" s="126"/>
      <c r="AU163" s="108"/>
      <c r="AV163" s="108"/>
      <c r="AW163" s="108"/>
    </row>
    <row r="164" spans="3:49" x14ac:dyDescent="0.25"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1"/>
      <c r="AC164" s="111"/>
      <c r="AS164" s="126"/>
      <c r="AT164" s="126"/>
      <c r="AU164" s="108"/>
      <c r="AV164" s="108"/>
      <c r="AW164" s="108"/>
    </row>
    <row r="165" spans="3:49" x14ac:dyDescent="0.25"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1"/>
      <c r="AC165" s="111"/>
      <c r="AS165" s="126"/>
      <c r="AT165" s="126"/>
      <c r="AU165" s="108"/>
      <c r="AV165" s="108"/>
      <c r="AW165" s="108"/>
    </row>
    <row r="166" spans="3:49" x14ac:dyDescent="0.25"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1"/>
      <c r="AC166" s="111"/>
      <c r="AS166" s="126"/>
      <c r="AT166" s="126"/>
      <c r="AU166" s="108"/>
      <c r="AV166" s="108"/>
      <c r="AW166" s="108"/>
    </row>
    <row r="167" spans="3:49" x14ac:dyDescent="0.25"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1"/>
      <c r="AC167" s="111"/>
      <c r="AS167" s="126"/>
      <c r="AT167" s="126"/>
      <c r="AU167" s="108"/>
      <c r="AV167" s="108"/>
      <c r="AW167" s="108"/>
    </row>
    <row r="168" spans="3:49" x14ac:dyDescent="0.25"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1"/>
      <c r="AC168" s="111"/>
      <c r="AS168" s="126"/>
      <c r="AT168" s="126"/>
      <c r="AU168" s="108"/>
      <c r="AV168" s="108"/>
      <c r="AW168" s="108"/>
    </row>
    <row r="169" spans="3:49" x14ac:dyDescent="0.25"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1"/>
      <c r="AC169" s="111"/>
      <c r="AS169" s="126"/>
      <c r="AT169" s="126"/>
      <c r="AU169" s="108"/>
      <c r="AV169" s="108"/>
      <c r="AW169" s="108"/>
    </row>
    <row r="170" spans="3:49" x14ac:dyDescent="0.25"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1"/>
      <c r="AC170" s="111"/>
      <c r="AS170" s="126"/>
      <c r="AT170" s="126"/>
      <c r="AU170" s="108"/>
      <c r="AV170" s="108"/>
      <c r="AW170" s="108"/>
    </row>
    <row r="171" spans="3:49" x14ac:dyDescent="0.25"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1"/>
      <c r="AC171" s="111"/>
      <c r="AS171" s="126"/>
      <c r="AT171" s="126"/>
      <c r="AU171" s="108"/>
      <c r="AV171" s="108"/>
      <c r="AW171" s="108"/>
    </row>
    <row r="172" spans="3:49" x14ac:dyDescent="0.25"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1"/>
      <c r="AC172" s="111"/>
      <c r="AS172" s="126"/>
      <c r="AT172" s="126"/>
      <c r="AU172" s="108"/>
      <c r="AV172" s="108"/>
      <c r="AW172" s="108"/>
    </row>
    <row r="173" spans="3:49" x14ac:dyDescent="0.25"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1"/>
      <c r="AC173" s="111"/>
      <c r="AS173" s="126"/>
      <c r="AT173" s="126"/>
      <c r="AU173" s="108"/>
      <c r="AV173" s="108"/>
      <c r="AW173" s="108"/>
    </row>
    <row r="174" spans="3:49" x14ac:dyDescent="0.25"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1"/>
      <c r="AC174" s="111"/>
      <c r="AS174" s="126"/>
      <c r="AT174" s="126"/>
      <c r="AU174" s="108"/>
      <c r="AV174" s="108"/>
      <c r="AW174" s="108"/>
    </row>
    <row r="175" spans="3:49" x14ac:dyDescent="0.25"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1"/>
      <c r="AC175" s="111"/>
      <c r="AS175" s="126"/>
      <c r="AT175" s="126"/>
      <c r="AU175" s="108"/>
      <c r="AV175" s="108"/>
      <c r="AW175" s="108"/>
    </row>
    <row r="176" spans="3:49" x14ac:dyDescent="0.25"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1"/>
      <c r="AC176" s="111"/>
      <c r="AS176" s="126"/>
      <c r="AT176" s="126"/>
      <c r="AU176" s="108"/>
      <c r="AV176" s="108"/>
      <c r="AW176" s="108"/>
    </row>
    <row r="177" spans="3:49" x14ac:dyDescent="0.25"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1"/>
      <c r="AC177" s="111"/>
      <c r="AS177" s="126"/>
      <c r="AT177" s="126"/>
      <c r="AU177" s="108"/>
      <c r="AV177" s="108"/>
      <c r="AW177" s="108"/>
    </row>
    <row r="178" spans="3:49" x14ac:dyDescent="0.25"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1"/>
      <c r="AC178" s="111"/>
      <c r="AS178" s="126"/>
      <c r="AT178" s="126"/>
      <c r="AU178" s="108"/>
      <c r="AV178" s="108"/>
      <c r="AW178" s="108"/>
    </row>
    <row r="179" spans="3:49" x14ac:dyDescent="0.25"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1"/>
      <c r="AC179" s="111"/>
      <c r="AS179" s="126"/>
      <c r="AT179" s="126"/>
      <c r="AU179" s="108"/>
      <c r="AV179" s="108"/>
      <c r="AW179" s="108"/>
    </row>
    <row r="180" spans="3:49" x14ac:dyDescent="0.25"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1"/>
      <c r="AC180" s="111"/>
      <c r="AS180" s="126"/>
      <c r="AT180" s="126"/>
      <c r="AU180" s="108"/>
      <c r="AV180" s="108"/>
      <c r="AW180" s="108"/>
    </row>
    <row r="181" spans="3:49" x14ac:dyDescent="0.25"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1"/>
      <c r="AC181" s="111"/>
      <c r="AS181" s="126"/>
      <c r="AT181" s="126"/>
      <c r="AU181" s="108"/>
      <c r="AV181" s="108"/>
      <c r="AW181" s="108"/>
    </row>
    <row r="182" spans="3:49" x14ac:dyDescent="0.25"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1"/>
      <c r="AC182" s="111"/>
      <c r="AS182" s="126"/>
      <c r="AT182" s="126"/>
      <c r="AU182" s="108"/>
      <c r="AV182" s="108"/>
      <c r="AW182" s="108"/>
    </row>
    <row r="183" spans="3:49" x14ac:dyDescent="0.25"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1"/>
      <c r="AC183" s="111"/>
      <c r="AS183" s="126"/>
      <c r="AT183" s="126"/>
      <c r="AU183" s="108"/>
      <c r="AV183" s="108"/>
      <c r="AW183" s="108"/>
    </row>
    <row r="184" spans="3:49" x14ac:dyDescent="0.25"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1"/>
      <c r="AC184" s="111"/>
      <c r="AS184" s="126"/>
      <c r="AT184" s="126"/>
      <c r="AU184" s="108"/>
      <c r="AV184" s="108"/>
      <c r="AW184" s="108"/>
    </row>
    <row r="185" spans="3:49" x14ac:dyDescent="0.25"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1"/>
      <c r="AC185" s="111"/>
      <c r="AS185" s="126"/>
      <c r="AT185" s="126"/>
      <c r="AU185" s="108"/>
      <c r="AV185" s="108"/>
      <c r="AW185" s="108"/>
    </row>
    <row r="186" spans="3:49" x14ac:dyDescent="0.25"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1"/>
      <c r="AC186" s="111"/>
      <c r="AS186" s="126"/>
      <c r="AT186" s="126"/>
      <c r="AU186" s="108"/>
      <c r="AV186" s="108"/>
      <c r="AW186" s="108"/>
    </row>
    <row r="187" spans="3:49" x14ac:dyDescent="0.25"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1"/>
      <c r="AC187" s="111"/>
      <c r="AS187" s="126"/>
      <c r="AT187" s="126"/>
      <c r="AU187" s="108"/>
      <c r="AV187" s="108"/>
      <c r="AW187" s="108"/>
    </row>
  </sheetData>
  <sheetProtection algorithmName="SHA-512" hashValue="yo0ptXwD5oPnJ+KNISoRY0nw9auR28EgbisKidwq9DrEU48v6eyg0ncQrX81QpoC8DGOi7QGKQH4sJv50H6Aww==" saltValue="MGGf2KSi2mdJDlSsXSnDgQ==" spinCount="100000" sheet="1" objects="1" scenarios="1"/>
  <conditionalFormatting sqref="AL17:AL18">
    <cfRule type="expression" dxfId="6" priority="3">
      <formula>$K$2&lt;0</formula>
    </cfRule>
    <cfRule type="expression" dxfId="5" priority="4">
      <formula>$K$2&gt;0</formula>
    </cfRule>
  </conditionalFormatting>
  <conditionalFormatting sqref="AA45">
    <cfRule type="expression" dxfId="4" priority="2">
      <formula>$S$25="CONTRACTOR RESCUE"</formula>
    </cfRule>
  </conditionalFormatting>
  <pageMargins left="0.25" right="0.25" top="0.75" bottom="0.75" header="0.3" footer="0.3"/>
  <pageSetup orientation="landscape" r:id="rId1"/>
  <ignoredErrors>
    <ignoredError sqref="S25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Scroll Bar 6">
              <controlPr locked="0" defaultSize="0" autoPict="0">
                <anchor moveWithCells="1">
                  <from>
                    <xdr:col>2</xdr:col>
                    <xdr:colOff>655320</xdr:colOff>
                    <xdr:row>46</xdr:row>
                    <xdr:rowOff>167640</xdr:rowOff>
                  </from>
                  <to>
                    <xdr:col>11</xdr:col>
                    <xdr:colOff>320040</xdr:colOff>
                    <xdr:row>47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Scroll Bar 7">
              <controlPr locked="0" defaultSize="0" autoPict="0">
                <anchor moveWithCells="1">
                  <from>
                    <xdr:col>2</xdr:col>
                    <xdr:colOff>662940</xdr:colOff>
                    <xdr:row>48</xdr:row>
                    <xdr:rowOff>0</xdr:rowOff>
                  </from>
                  <to>
                    <xdr:col>11</xdr:col>
                    <xdr:colOff>320040</xdr:colOff>
                    <xdr:row>48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Spinner 10">
              <controlPr defaultSize="0" autoPict="0">
                <anchor moveWithCells="1" sizeWithCells="1">
                  <from>
                    <xdr:col>17</xdr:col>
                    <xdr:colOff>45720</xdr:colOff>
                    <xdr:row>22</xdr:row>
                    <xdr:rowOff>106680</xdr:rowOff>
                  </from>
                  <to>
                    <xdr:col>18</xdr:col>
                    <xdr:colOff>7620</xdr:colOff>
                    <xdr:row>26</xdr:row>
                    <xdr:rowOff>91440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E7F41069-B91C-408A-B8AD-E07BB484E471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1</xm:f>
              </x14:cfvo>
              <x14:cfIcon iconSet="3Triangles" iconId="2"/>
              <x14:cfIcon iconSet="3Symbols2" iconId="2"/>
              <x14:cfIcon iconSet="3Symbols" iconId="1"/>
            </x14:iconSet>
          </x14:cfRule>
          <xm:sqref>D9</xm:sqref>
        </x14:conditionalFormatting>
        <x14:conditionalFormatting xmlns:xm="http://schemas.microsoft.com/office/excel/2006/main">
          <x14:cfRule type="iconSet" priority="12" id="{F50EE2A8-5109-42B3-812D-B2328F949A79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1</xm:f>
              </x14:cfvo>
              <x14:cfIcon iconSet="3Triangles" iconId="2"/>
              <x14:cfIcon iconSet="3Symbols2" iconId="2"/>
              <x14:cfIcon iconSet="3Symbols" iconId="1"/>
            </x14:iconSet>
          </x14:cfRule>
          <xm:sqref>G9</xm:sqref>
        </x14:conditionalFormatting>
        <x14:conditionalFormatting xmlns:xm="http://schemas.microsoft.com/office/excel/2006/main">
          <x14:cfRule type="iconSet" priority="11" id="{0A242D0D-B860-4583-A3C7-98792A78DE0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1</xm:f>
              </x14:cfvo>
              <x14:cfIcon iconSet="3Triangles" iconId="2"/>
              <x14:cfIcon iconSet="3Symbols2" iconId="2"/>
              <x14:cfIcon iconSet="3Symbols" iconId="1"/>
            </x14:iconSet>
          </x14:cfRule>
          <xm:sqref>J9</xm:sqref>
        </x14:conditionalFormatting>
        <x14:conditionalFormatting xmlns:xm="http://schemas.microsoft.com/office/excel/2006/main">
          <x14:cfRule type="iconSet" priority="8" id="{8728B9AB-639F-4EB3-B2B5-AA900B5B55F8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1</xm:f>
              </x14:cfvo>
              <x14:cfIcon iconSet="3Triangles" iconId="2"/>
              <x14:cfIcon iconSet="3Symbols2" iconId="2"/>
              <x14:cfIcon iconSet="3Symbols" iconId="1"/>
            </x14:iconSet>
          </x14:cfRule>
          <xm:sqref>M9</xm:sqref>
        </x14:conditionalFormatting>
        <x14:conditionalFormatting xmlns:xm="http://schemas.microsoft.com/office/excel/2006/main">
          <x14:cfRule type="iconSet" priority="7" id="{C6F1C7EC-ECB6-44B9-9DDA-2E889B77563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1</xm:f>
              </x14:cfvo>
              <x14:cfIcon iconSet="3Triangles" iconId="2"/>
              <x14:cfIcon iconSet="3Symbols2" iconId="2"/>
              <x14:cfIcon iconSet="3Symbols" iconId="1"/>
            </x14:iconSet>
          </x14:cfRule>
          <xm:sqref>P9</xm:sqref>
        </x14:conditionalFormatting>
        <x14:conditionalFormatting xmlns:xm="http://schemas.microsoft.com/office/excel/2006/main">
          <x14:cfRule type="iconSet" priority="5" id="{C1BE2CCC-BDA5-41C8-8240-3CD9B04982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W12</xm:sqref>
        </x14:conditionalFormatting>
        <x14:conditionalFormatting xmlns:xm="http://schemas.microsoft.com/office/excel/2006/main">
          <x14:cfRule type="iconSet" priority="1" id="{85A0A267-580D-4FE2-8084-D413D5F40082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AA47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DATA_CALCS!$B$4:$B$15</xm:f>
          </x14:formula1>
          <xm:sqref>P3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2:AS51"/>
  <sheetViews>
    <sheetView zoomScaleNormal="100" workbookViewId="0">
      <selection activeCell="D6" sqref="D6"/>
    </sheetView>
  </sheetViews>
  <sheetFormatPr defaultRowHeight="13.8" x14ac:dyDescent="0.25"/>
  <cols>
    <col min="1" max="1" width="16.5" customWidth="1"/>
    <col min="2" max="2" width="17.59765625" customWidth="1"/>
    <col min="3" max="3" width="18.5" customWidth="1"/>
    <col min="4" max="5" width="14.69921875" customWidth="1"/>
    <col min="6" max="6" width="18.296875" customWidth="1"/>
    <col min="7" max="7" width="16.09765625" customWidth="1"/>
    <col min="8" max="10" width="15" customWidth="1"/>
    <col min="11" max="11" width="10.59765625" customWidth="1"/>
    <col min="12" max="12" width="17.5" customWidth="1"/>
    <col min="13" max="13" width="20.59765625" bestFit="1" customWidth="1"/>
    <col min="14" max="14" width="13.69921875" customWidth="1"/>
    <col min="15" max="15" width="14.796875" customWidth="1"/>
    <col min="16" max="16" width="16.5" customWidth="1"/>
    <col min="17" max="17" width="14.5" customWidth="1"/>
    <col min="18" max="18" width="16.296875" customWidth="1"/>
    <col min="19" max="19" width="14.59765625" customWidth="1"/>
    <col min="20" max="20" width="15.59765625" customWidth="1"/>
    <col min="21" max="21" width="16" customWidth="1"/>
    <col min="22" max="22" width="17" customWidth="1"/>
    <col min="23" max="23" width="16.5" customWidth="1"/>
    <col min="24" max="24" width="14.5" customWidth="1"/>
    <col min="25" max="25" width="15.09765625" customWidth="1"/>
    <col min="26" max="27" width="16.296875" customWidth="1"/>
    <col min="28" max="28" width="18.09765625" customWidth="1"/>
    <col min="29" max="29" width="13.796875" customWidth="1"/>
    <col min="31" max="31" width="7.296875" customWidth="1"/>
  </cols>
  <sheetData>
    <row r="2" spans="1:45" x14ac:dyDescent="0.25">
      <c r="A2" s="6" t="s">
        <v>7</v>
      </c>
      <c r="L2" s="6" t="s">
        <v>8</v>
      </c>
      <c r="X2" t="s">
        <v>45</v>
      </c>
    </row>
    <row r="3" spans="1:45" ht="27.6" x14ac:dyDescent="0.25">
      <c r="A3" s="8" t="s">
        <v>9</v>
      </c>
      <c r="B3" s="11" t="s">
        <v>10</v>
      </c>
      <c r="C3" s="7" t="s">
        <v>105</v>
      </c>
      <c r="D3" s="12" t="s">
        <v>106</v>
      </c>
      <c r="E3" s="12" t="s">
        <v>101</v>
      </c>
      <c r="F3" s="12" t="s">
        <v>107</v>
      </c>
      <c r="G3" s="12" t="s">
        <v>103</v>
      </c>
      <c r="H3" s="13" t="s">
        <v>108</v>
      </c>
      <c r="I3" s="7" t="s">
        <v>11</v>
      </c>
      <c r="J3" s="7" t="s">
        <v>88</v>
      </c>
      <c r="K3" s="22" t="s">
        <v>23</v>
      </c>
      <c r="N3" s="8" t="s">
        <v>9</v>
      </c>
      <c r="O3" s="2" t="s">
        <v>10</v>
      </c>
      <c r="P3" s="2" t="s">
        <v>3</v>
      </c>
      <c r="Q3" s="2" t="s">
        <v>4</v>
      </c>
      <c r="R3" s="2" t="s">
        <v>5</v>
      </c>
      <c r="S3" s="2" t="s">
        <v>6</v>
      </c>
      <c r="T3" s="7" t="s">
        <v>1</v>
      </c>
      <c r="U3" s="7" t="s">
        <v>11</v>
      </c>
      <c r="Y3" t="s">
        <v>10</v>
      </c>
      <c r="Z3" t="s">
        <v>46</v>
      </c>
      <c r="AA3" t="s">
        <v>47</v>
      </c>
      <c r="AB3" t="s">
        <v>41</v>
      </c>
    </row>
    <row r="4" spans="1:45" x14ac:dyDescent="0.25">
      <c r="A4" s="5">
        <v>44652</v>
      </c>
      <c r="B4" s="10" t="str">
        <f t="shared" ref="B4:B15" si="0">UPPER(TEXT(A4,"MMMM"))</f>
        <v>APRIL</v>
      </c>
      <c r="C4" s="4">
        <v>62729638</v>
      </c>
      <c r="D4" s="19">
        <v>15595</v>
      </c>
      <c r="E4" s="4">
        <v>7252212.5919370102</v>
      </c>
      <c r="F4" s="4">
        <v>1333360.9048859216</v>
      </c>
      <c r="G4" s="4">
        <v>4710703</v>
      </c>
      <c r="H4" s="21">
        <v>16329623.719094342</v>
      </c>
      <c r="I4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94111917.29341726</v>
      </c>
      <c r="J4" s="19">
        <f>Table1[[#This Row],[TOTAL]]/Table1[[#This Row],[AVG FX RATE]]</f>
        <v>835625.61692542268</v>
      </c>
      <c r="K4" s="20">
        <v>112.6245</v>
      </c>
      <c r="N4" s="5">
        <v>43556</v>
      </c>
      <c r="O4" s="3" t="str">
        <f>TEXT(N4,"MMMM")</f>
        <v>April</v>
      </c>
      <c r="P4" s="9">
        <f t="shared" ref="P4:P15" si="1">IFERROR((C4-C22)/C22,"-")</f>
        <v>-9.0874811594202895E-2</v>
      </c>
      <c r="Q4" s="9">
        <f t="shared" ref="Q4:Q15" si="2">IFERROR((D4-D22)/D22,"-")</f>
        <v>-5.4848484848484848E-2</v>
      </c>
      <c r="R4" s="9">
        <f t="shared" ref="R4:R15" si="3">IFERROR((E4-E22)/E22,"-")</f>
        <v>-1.3304409260270725E-2</v>
      </c>
      <c r="S4" s="9">
        <f t="shared" ref="S4:S15" si="4">IFERROR((F4-F22)/F22,"-")</f>
        <v>-0.11109273007605225</v>
      </c>
      <c r="T4" s="9">
        <f t="shared" ref="T4:T15" si="5">IFERROR((H4-G22)/G22,"-")</f>
        <v>424.08201544304637</v>
      </c>
      <c r="U4" s="9">
        <f t="shared" ref="U4:U15" si="6">IFERROR((I4-I22)/I22,"-")</f>
        <v>-2.0022774100506291E-2</v>
      </c>
      <c r="Y4" t="s">
        <v>20</v>
      </c>
      <c r="Z4" s="24">
        <f>Table1[[#This Row],[TOTAL]]</f>
        <v>94111917.29341726</v>
      </c>
      <c r="AA4" s="24">
        <f>I22</f>
        <v>96034800.407769233</v>
      </c>
      <c r="AB4" s="25">
        <f t="shared" ref="AB4:AB15" si="7">U4</f>
        <v>-2.0022774100506291E-2</v>
      </c>
      <c r="AS4" t="s">
        <v>48</v>
      </c>
    </row>
    <row r="5" spans="1:45" x14ac:dyDescent="0.25">
      <c r="A5" s="5">
        <f t="shared" ref="A5:A15" si="8">EDATE(A4,1)</f>
        <v>44682</v>
      </c>
      <c r="B5" s="10" t="str">
        <f t="shared" si="0"/>
        <v>MAY</v>
      </c>
      <c r="C5" s="4">
        <v>72551001</v>
      </c>
      <c r="D5" s="19">
        <v>17982</v>
      </c>
      <c r="E5" s="4">
        <v>7373187.9634998627</v>
      </c>
      <c r="F5" s="4">
        <v>1498723.4521586287</v>
      </c>
      <c r="G5" s="4">
        <v>4786685</v>
      </c>
      <c r="H5" s="21">
        <v>12365124.258137522</v>
      </c>
      <c r="I5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100617757.39299601</v>
      </c>
      <c r="J5" s="19">
        <f>Table1[[#This Row],[TOTAL]]/Table1[[#This Row],[AVG FX RATE]]</f>
        <v>885598.08153982391</v>
      </c>
      <c r="K5" s="20">
        <v>113.6156</v>
      </c>
      <c r="N5" s="5">
        <f t="shared" ref="N5:N15" si="9">EDATE(N4,1)</f>
        <v>43586</v>
      </c>
      <c r="O5" s="3" t="str">
        <f t="shared" ref="O5:O13" si="10">TEXT(N5,"MMMM")</f>
        <v>May</v>
      </c>
      <c r="P5" s="9">
        <f t="shared" si="1"/>
        <v>5.1463782608695649E-2</v>
      </c>
      <c r="Q5" s="9">
        <f t="shared" si="2"/>
        <v>8.9818181818181825E-2</v>
      </c>
      <c r="R5" s="9">
        <f t="shared" si="3"/>
        <v>3.1548249659677143E-3</v>
      </c>
      <c r="S5" s="9">
        <f t="shared" si="4"/>
        <v>-8.5103189424751331E-4</v>
      </c>
      <c r="T5" s="9">
        <f t="shared" si="5"/>
        <v>320.05338757060389</v>
      </c>
      <c r="U5" s="9">
        <f t="shared" si="6"/>
        <v>4.7005829713695726E-2</v>
      </c>
      <c r="Y5" t="s">
        <v>21</v>
      </c>
      <c r="Z5" s="24">
        <f>Table1[[#This Row],[TOTAL]]</f>
        <v>100617757.39299601</v>
      </c>
      <c r="AA5" s="24">
        <f t="shared" ref="AA5:AA15" si="11">I23</f>
        <v>96100474.837384611</v>
      </c>
      <c r="AB5" s="25">
        <f t="shared" si="7"/>
        <v>4.7005829713695726E-2</v>
      </c>
    </row>
    <row r="6" spans="1:45" x14ac:dyDescent="0.25">
      <c r="A6" s="5">
        <f t="shared" si="8"/>
        <v>44713</v>
      </c>
      <c r="B6" s="10" t="str">
        <f t="shared" si="0"/>
        <v>JUNE</v>
      </c>
      <c r="C6" s="4">
        <v>73971105</v>
      </c>
      <c r="D6" s="19">
        <v>18327</v>
      </c>
      <c r="E6" s="4">
        <v>7406582.8424939727</v>
      </c>
      <c r="F6" s="4">
        <v>1522633.7635285745</v>
      </c>
      <c r="G6" s="4">
        <v>5006921</v>
      </c>
      <c r="H6" s="21">
        <v>11366849.266069803</v>
      </c>
      <c r="I6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101497736.10529234</v>
      </c>
      <c r="J6" s="19">
        <f>Table1[[#This Row],[TOTAL]]/Table1[[#This Row],[AVG FX RATE]]</f>
        <v>836531.75351921795</v>
      </c>
      <c r="K6" s="20">
        <v>121.33159999999999</v>
      </c>
      <c r="N6" s="5">
        <f t="shared" si="9"/>
        <v>43617</v>
      </c>
      <c r="O6" s="3" t="str">
        <f t="shared" si="10"/>
        <v>June</v>
      </c>
      <c r="P6" s="9">
        <f t="shared" si="1"/>
        <v>7.2044999999999998E-2</v>
      </c>
      <c r="Q6" s="9">
        <f t="shared" si="2"/>
        <v>0.11072727272727273</v>
      </c>
      <c r="R6" s="9">
        <f t="shared" si="3"/>
        <v>7.6983459175473121E-3</v>
      </c>
      <c r="S6" s="9">
        <f t="shared" si="4"/>
        <v>1.5089175685716327E-2</v>
      </c>
      <c r="T6" s="9">
        <f t="shared" si="5"/>
        <v>294.8943377004062</v>
      </c>
      <c r="U6" s="9">
        <f t="shared" si="6"/>
        <v>5.1648852784762243E-2</v>
      </c>
      <c r="Y6" t="s">
        <v>24</v>
      </c>
      <c r="Z6" s="24">
        <f>Table1[[#This Row],[TOTAL]]</f>
        <v>101497736.10529234</v>
      </c>
      <c r="AA6" s="24">
        <f t="shared" si="11"/>
        <v>96512952.813600004</v>
      </c>
      <c r="AB6" s="25">
        <f t="shared" si="7"/>
        <v>5.1648852784762243E-2</v>
      </c>
    </row>
    <row r="7" spans="1:45" x14ac:dyDescent="0.25">
      <c r="A7" s="5">
        <f t="shared" si="8"/>
        <v>44743</v>
      </c>
      <c r="B7" s="10" t="str">
        <f t="shared" si="0"/>
        <v>JULY</v>
      </c>
      <c r="C7" s="4">
        <v>73897678</v>
      </c>
      <c r="D7" s="19">
        <v>17309</v>
      </c>
      <c r="E7" s="4">
        <v>7404911.9541001618</v>
      </c>
      <c r="F7" s="4">
        <v>1521397.4722328202</v>
      </c>
      <c r="G7" s="4">
        <v>5099531</v>
      </c>
      <c r="H7" s="21">
        <v>15986411.025698671</v>
      </c>
      <c r="I7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105926061.00123166</v>
      </c>
      <c r="J7" s="19">
        <f>Table1[[#This Row],[TOTAL]]/Table1[[#This Row],[AVG FX RATE]]</f>
        <v>909402.06287523266</v>
      </c>
      <c r="K7" s="20">
        <v>116.47880000000001</v>
      </c>
      <c r="N7" s="5">
        <f t="shared" si="9"/>
        <v>43647</v>
      </c>
      <c r="O7" s="3" t="str">
        <f t="shared" si="10"/>
        <v>July</v>
      </c>
      <c r="P7" s="9">
        <f t="shared" si="1"/>
        <v>7.0980840579710144E-2</v>
      </c>
      <c r="Q7" s="9">
        <f t="shared" si="2"/>
        <v>4.9030303030303028E-2</v>
      </c>
      <c r="R7" s="9">
        <f t="shared" si="3"/>
        <v>7.4710141632873183E-3</v>
      </c>
      <c r="S7" s="9">
        <f t="shared" si="4"/>
        <v>1.4264981488546822E-2</v>
      </c>
      <c r="T7" s="9">
        <f t="shared" si="5"/>
        <v>410.42615520217532</v>
      </c>
      <c r="U7" s="9">
        <f t="shared" si="6"/>
        <v>9.9984103339324962E-2</v>
      </c>
      <c r="Y7" t="s">
        <v>25</v>
      </c>
      <c r="Z7" s="24">
        <f>Table1[[#This Row],[TOTAL]]</f>
        <v>105926061.00123166</v>
      </c>
      <c r="AA7" s="24">
        <f t="shared" si="11"/>
        <v>96297810.740775228</v>
      </c>
      <c r="AB7" s="25">
        <f t="shared" si="7"/>
        <v>9.9984103339324962E-2</v>
      </c>
    </row>
    <row r="8" spans="1:45" x14ac:dyDescent="0.25">
      <c r="A8" s="5">
        <f t="shared" si="8"/>
        <v>44774</v>
      </c>
      <c r="B8" s="10" t="str">
        <f t="shared" si="0"/>
        <v>AUGUST</v>
      </c>
      <c r="C8" s="4">
        <v>72710299</v>
      </c>
      <c r="D8" s="19">
        <v>17020</v>
      </c>
      <c r="E8" s="4">
        <v>7376995.1475569932</v>
      </c>
      <c r="F8" s="4">
        <v>1501405.5445103622</v>
      </c>
      <c r="G8" s="4">
        <v>5168776</v>
      </c>
      <c r="H8" s="21">
        <v>12909877.21205947</v>
      </c>
      <c r="I8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101745665.10412683</v>
      </c>
      <c r="J8" s="19">
        <f>Table1[[#This Row],[TOTAL]]/Table1[[#This Row],[AVG FX RATE]]</f>
        <v>833229.58892905433</v>
      </c>
      <c r="K8" s="20">
        <v>122.11</v>
      </c>
      <c r="N8" s="5">
        <f t="shared" si="9"/>
        <v>43678</v>
      </c>
      <c r="O8" s="3" t="str">
        <f t="shared" si="10"/>
        <v>August</v>
      </c>
      <c r="P8" s="9">
        <f t="shared" si="1"/>
        <v>5.3772449275362316E-2</v>
      </c>
      <c r="Q8" s="9">
        <f t="shared" si="2"/>
        <v>3.1515151515151517E-2</v>
      </c>
      <c r="R8" s="9">
        <f t="shared" si="3"/>
        <v>3.6728091914276432E-3</v>
      </c>
      <c r="S8" s="9">
        <f t="shared" si="4"/>
        <v>9.3702967357480274E-4</v>
      </c>
      <c r="T8" s="9">
        <f t="shared" si="5"/>
        <v>331.24850386690679</v>
      </c>
      <c r="U8" s="9">
        <f t="shared" si="6"/>
        <v>5.3163834410065836E-2</v>
      </c>
      <c r="Y8" t="s">
        <v>26</v>
      </c>
      <c r="Z8" s="24">
        <f>Table1[[#This Row],[TOTAL]]</f>
        <v>101745665.10412683</v>
      </c>
      <c r="AA8" s="24">
        <f t="shared" si="11"/>
        <v>96609531.94535026</v>
      </c>
      <c r="AB8" s="25">
        <f t="shared" si="7"/>
        <v>5.3163834410065836E-2</v>
      </c>
    </row>
    <row r="9" spans="1:45" x14ac:dyDescent="0.25">
      <c r="A9" s="5">
        <f t="shared" si="8"/>
        <v>44805</v>
      </c>
      <c r="B9" s="10" t="str">
        <f t="shared" si="0"/>
        <v>SEPTEMBER</v>
      </c>
      <c r="C9" s="4">
        <v>73547018</v>
      </c>
      <c r="D9" s="19">
        <v>18224</v>
      </c>
      <c r="E9" s="4">
        <v>7396816.9194616536</v>
      </c>
      <c r="F9" s="4">
        <v>1515493.4184979538</v>
      </c>
      <c r="G9" s="4">
        <v>5665051</v>
      </c>
      <c r="H9" s="21">
        <v>15793209.347163694</v>
      </c>
      <c r="I9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106379179.08352329</v>
      </c>
      <c r="J9" s="19">
        <f>Table1[[#This Row],[TOTAL]]/Table1[[#This Row],[AVG FX RATE]]</f>
        <v>787561.63530627487</v>
      </c>
      <c r="K9" s="20">
        <v>135.07409999999999</v>
      </c>
      <c r="N9" s="5">
        <f t="shared" si="9"/>
        <v>43709</v>
      </c>
      <c r="O9" s="3" t="str">
        <f t="shared" si="10"/>
        <v>September</v>
      </c>
      <c r="P9" s="9">
        <f t="shared" si="1"/>
        <v>-5.2534389694041866E-2</v>
      </c>
      <c r="Q9" s="9">
        <f t="shared" si="2"/>
        <v>0.10448484848484849</v>
      </c>
      <c r="R9" s="9">
        <f t="shared" si="3"/>
        <v>6.3696489063474245E-3</v>
      </c>
      <c r="S9" s="9">
        <f t="shared" si="4"/>
        <v>1.0328945665302531E-2</v>
      </c>
      <c r="T9" s="9">
        <f t="shared" si="5"/>
        <v>406.49215252653801</v>
      </c>
      <c r="U9" s="9">
        <f t="shared" si="6"/>
        <v>4.1569057162517114E-3</v>
      </c>
      <c r="Y9" t="s">
        <v>27</v>
      </c>
      <c r="Z9" s="24">
        <f>Table1[[#This Row],[TOTAL]]</f>
        <v>106379179.08352329</v>
      </c>
      <c r="AA9" s="24">
        <f t="shared" si="11"/>
        <v>105938801.47410274</v>
      </c>
      <c r="AB9" s="25">
        <f t="shared" si="7"/>
        <v>4.1569057162517114E-3</v>
      </c>
    </row>
    <row r="10" spans="1:45" x14ac:dyDescent="0.25">
      <c r="A10" s="5">
        <f t="shared" si="8"/>
        <v>44835</v>
      </c>
      <c r="B10" s="10" t="str">
        <f t="shared" si="0"/>
        <v>OCTOBER</v>
      </c>
      <c r="C10" s="4">
        <v>73353338</v>
      </c>
      <c r="D10" s="19">
        <v>18177</v>
      </c>
      <c r="E10" s="4">
        <v>7392277.2911770986</v>
      </c>
      <c r="F10" s="4">
        <v>1512232.3986806804</v>
      </c>
      <c r="G10" s="4">
        <v>5824058</v>
      </c>
      <c r="H10" s="21">
        <v>10239915.329453403</v>
      </c>
      <c r="I10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100910093.12721118</v>
      </c>
      <c r="J10" s="19">
        <f>Table1[[#This Row],[TOTAL]]/Table1[[#This Row],[AVG FX RATE]]</f>
        <v>708674.62396043609</v>
      </c>
      <c r="K10" s="20">
        <v>142.39269999999999</v>
      </c>
      <c r="N10" s="5">
        <f t="shared" si="9"/>
        <v>43739</v>
      </c>
      <c r="O10" s="3" t="str">
        <f t="shared" si="10"/>
        <v>October</v>
      </c>
      <c r="P10" s="9">
        <f t="shared" si="1"/>
        <v>-5.5029462157809982E-2</v>
      </c>
      <c r="Q10" s="9">
        <f t="shared" si="2"/>
        <v>3.8685714285714289E-2</v>
      </c>
      <c r="R10" s="9">
        <f t="shared" si="3"/>
        <v>5.7520124050474339E-3</v>
      </c>
      <c r="S10" s="9">
        <f t="shared" si="4"/>
        <v>8.1549324537869543E-3</v>
      </c>
      <c r="T10" s="9">
        <f t="shared" si="5"/>
        <v>260.18923157785275</v>
      </c>
      <c r="U10" s="9">
        <f t="shared" si="6"/>
        <v>-5.2926451973995085E-2</v>
      </c>
      <c r="Y10" t="s">
        <v>28</v>
      </c>
      <c r="Z10" s="24">
        <f>Table1[[#This Row],[TOTAL]]</f>
        <v>100910093.12721118</v>
      </c>
      <c r="AA10" s="24">
        <f t="shared" si="11"/>
        <v>106549373.42251731</v>
      </c>
      <c r="AB10" s="25">
        <f t="shared" si="7"/>
        <v>-5.2926451973995085E-2</v>
      </c>
    </row>
    <row r="11" spans="1:45" x14ac:dyDescent="0.25">
      <c r="A11" s="5">
        <f t="shared" si="8"/>
        <v>44866</v>
      </c>
      <c r="B11" s="10" t="str">
        <f t="shared" si="0"/>
        <v>NOVEMBER</v>
      </c>
      <c r="C11" s="4">
        <v>73750600</v>
      </c>
      <c r="D11" s="19">
        <v>16738</v>
      </c>
      <c r="E11" s="4">
        <v>7276650.2883999143</v>
      </c>
      <c r="F11" s="4">
        <v>1412542.335150647</v>
      </c>
      <c r="G11" s="4">
        <v>6176470</v>
      </c>
      <c r="H11" s="21">
        <v>17746246.854233589</v>
      </c>
      <c r="I11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108879094.55858415</v>
      </c>
      <c r="J11" s="19">
        <f>Table1[[#This Row],[TOTAL]]/Table1[[#This Row],[AVG FX RATE]]</f>
        <v>724163.19186882058</v>
      </c>
      <c r="K11" s="20">
        <v>150.35159999999999</v>
      </c>
      <c r="N11" s="5">
        <f t="shared" si="9"/>
        <v>43770</v>
      </c>
      <c r="O11" s="3" t="str">
        <f t="shared" si="10"/>
        <v>November</v>
      </c>
      <c r="P11" s="9">
        <f t="shared" si="1"/>
        <v>-4.9911755233494365E-2</v>
      </c>
      <c r="Q11" s="9">
        <f t="shared" si="2"/>
        <v>-4.354285714285714E-2</v>
      </c>
      <c r="R11" s="9">
        <f t="shared" si="3"/>
        <v>-9.9795525986511192E-3</v>
      </c>
      <c r="S11" s="9">
        <f t="shared" si="4"/>
        <v>-5.8305109899568684E-2</v>
      </c>
      <c r="T11" s="9">
        <f t="shared" si="5"/>
        <v>452.79894678466576</v>
      </c>
      <c r="U11" s="9">
        <f t="shared" si="6"/>
        <v>1.7696711321519138E-2</v>
      </c>
      <c r="Y11" t="s">
        <v>29</v>
      </c>
      <c r="Z11" s="24">
        <f>Table1[[#This Row],[TOTAL]]</f>
        <v>108879094.55858415</v>
      </c>
      <c r="AA11" s="24">
        <f t="shared" si="11"/>
        <v>106985797.77977309</v>
      </c>
      <c r="AB11" s="25">
        <f t="shared" si="7"/>
        <v>1.7696711321519138E-2</v>
      </c>
    </row>
    <row r="12" spans="1:45" x14ac:dyDescent="0.25">
      <c r="A12" s="5">
        <f t="shared" si="8"/>
        <v>44896</v>
      </c>
      <c r="B12" s="10" t="str">
        <f t="shared" si="0"/>
        <v>DECEMBER</v>
      </c>
      <c r="C12" s="4">
        <v>81025630</v>
      </c>
      <c r="D12" s="19">
        <v>16802</v>
      </c>
      <c r="E12" s="4">
        <v>7279679.250465407</v>
      </c>
      <c r="F12" s="4">
        <v>1416995.4758872336</v>
      </c>
      <c r="G12" s="4">
        <v>6325390</v>
      </c>
      <c r="H12" s="21">
        <v>14629319.032247979</v>
      </c>
      <c r="I12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113244241.74460062</v>
      </c>
      <c r="J12" s="19">
        <f>Table1[[#This Row],[TOTAL]]/Table1[[#This Row],[AVG FX RATE]]</f>
        <v>741161.19026788278</v>
      </c>
      <c r="K12" s="20">
        <v>152.79300000000001</v>
      </c>
      <c r="N12" s="5">
        <f t="shared" si="9"/>
        <v>43800</v>
      </c>
      <c r="O12" s="3" t="str">
        <f t="shared" si="10"/>
        <v>December</v>
      </c>
      <c r="P12" s="9">
        <f t="shared" si="1"/>
        <v>4.9690542635658919E-3</v>
      </c>
      <c r="Q12" s="9">
        <f t="shared" si="2"/>
        <v>-3.9885714285714288E-2</v>
      </c>
      <c r="R12" s="9">
        <f t="shared" si="3"/>
        <v>-9.5674489162711519E-3</v>
      </c>
      <c r="S12" s="9">
        <f t="shared" si="4"/>
        <v>-5.5336349408510919E-2</v>
      </c>
      <c r="T12" s="9">
        <f t="shared" si="5"/>
        <v>372.14962805889417</v>
      </c>
      <c r="U12" s="9">
        <f t="shared" si="6"/>
        <v>2.8192703825332434E-2</v>
      </c>
      <c r="Y12" t="s">
        <v>30</v>
      </c>
      <c r="Z12" s="24">
        <f>Table1[[#This Row],[TOTAL]]</f>
        <v>113244241.74460062</v>
      </c>
      <c r="AA12" s="24">
        <f t="shared" si="11"/>
        <v>110139122.09577239</v>
      </c>
      <c r="AB12" s="25">
        <f t="shared" si="7"/>
        <v>2.8192703825332434E-2</v>
      </c>
    </row>
    <row r="13" spans="1:45" x14ac:dyDescent="0.25">
      <c r="A13" s="5">
        <f t="shared" si="8"/>
        <v>44927</v>
      </c>
      <c r="B13" s="10" t="str">
        <f t="shared" si="0"/>
        <v>JANUARY</v>
      </c>
      <c r="C13" s="4">
        <v>72492566</v>
      </c>
      <c r="D13" s="19">
        <v>17967</v>
      </c>
      <c r="E13" s="4">
        <v>7371791.741691336</v>
      </c>
      <c r="F13" s="4">
        <v>1497739.5630139653</v>
      </c>
      <c r="G13" s="4">
        <v>6354370</v>
      </c>
      <c r="H13" s="21">
        <v>10191179.339510318</v>
      </c>
      <c r="I13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100712606.17331563</v>
      </c>
      <c r="J13" s="19">
        <f>Table1[[#This Row],[TOTAL]]/Table1[[#This Row],[AVG FX RATE]]</f>
        <v>645108.55730476778</v>
      </c>
      <c r="K13" s="20">
        <v>156.1173</v>
      </c>
      <c r="N13" s="5">
        <f t="shared" si="9"/>
        <v>43831</v>
      </c>
      <c r="O13" s="3" t="str">
        <f t="shared" si="10"/>
        <v>January</v>
      </c>
      <c r="P13" s="9">
        <f t="shared" si="1"/>
        <v>-6.611831239935588E-2</v>
      </c>
      <c r="Q13" s="9">
        <f t="shared" si="2"/>
        <v>2.6685714285714285E-2</v>
      </c>
      <c r="R13" s="9">
        <f t="shared" si="3"/>
        <v>2.96486281514776E-3</v>
      </c>
      <c r="S13" s="9">
        <f t="shared" si="4"/>
        <v>-1.506957990689824E-3</v>
      </c>
      <c r="T13" s="9">
        <f t="shared" si="5"/>
        <v>256.60714877368036</v>
      </c>
      <c r="U13" s="9">
        <f t="shared" si="6"/>
        <v>-6.2119519654710839E-2</v>
      </c>
      <c r="Y13" t="s">
        <v>31</v>
      </c>
      <c r="Z13" s="24">
        <f>Table1[[#This Row],[TOTAL]]</f>
        <v>100712606.17331563</v>
      </c>
      <c r="AA13" s="24">
        <f t="shared" si="11"/>
        <v>107383198.90849778</v>
      </c>
      <c r="AB13" s="25">
        <f t="shared" si="7"/>
        <v>-6.2119519654710839E-2</v>
      </c>
    </row>
    <row r="14" spans="1:45" x14ac:dyDescent="0.25">
      <c r="A14" s="5">
        <f t="shared" si="8"/>
        <v>44958</v>
      </c>
      <c r="B14" s="14" t="str">
        <f t="shared" si="0"/>
        <v>FEBRUARY</v>
      </c>
      <c r="C14" s="4">
        <v>76626230</v>
      </c>
      <c r="D14" s="19">
        <v>18972</v>
      </c>
      <c r="E14" s="4">
        <v>7457770.0125125889</v>
      </c>
      <c r="F14" s="4">
        <v>1567338.178191676</v>
      </c>
      <c r="G14" s="4">
        <v>6530871</v>
      </c>
      <c r="H14" s="21">
        <v>10466647.078884941</v>
      </c>
      <c r="I14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105624197.08558922</v>
      </c>
      <c r="J14" s="19">
        <f>Table1[[#This Row],[TOTAL]]/Table1[[#This Row],[AVG FX RATE]]</f>
        <v>673503.43743202242</v>
      </c>
      <c r="K14" s="20">
        <v>156.828</v>
      </c>
      <c r="N14" s="5">
        <f t="shared" si="9"/>
        <v>43862</v>
      </c>
      <c r="O14" s="3" t="str">
        <f>TEXT(N14,"MMMM")</f>
        <v>February</v>
      </c>
      <c r="P14" s="9">
        <f t="shared" si="1"/>
        <v>-1.2866602254428341E-2</v>
      </c>
      <c r="Q14" s="9">
        <f t="shared" si="2"/>
        <v>8.4114285714285711E-2</v>
      </c>
      <c r="R14" s="9">
        <f t="shared" si="3"/>
        <v>1.4662586736406649E-2</v>
      </c>
      <c r="S14" s="9">
        <f t="shared" si="4"/>
        <v>4.4892118794450694E-2</v>
      </c>
      <c r="T14" s="9">
        <f t="shared" si="5"/>
        <v>265.57153489538103</v>
      </c>
      <c r="U14" s="9">
        <f t="shared" si="6"/>
        <v>-1.6325416696777215E-2</v>
      </c>
      <c r="Y14" t="s">
        <v>32</v>
      </c>
      <c r="Z14" s="24">
        <f>Table1[[#This Row],[TOTAL]]</f>
        <v>105624197.08558922</v>
      </c>
      <c r="AA14" s="24">
        <f t="shared" si="11"/>
        <v>107377174.19809556</v>
      </c>
      <c r="AB14" s="25">
        <f t="shared" si="7"/>
        <v>-1.6325416696777215E-2</v>
      </c>
    </row>
    <row r="15" spans="1:45" x14ac:dyDescent="0.25">
      <c r="A15" s="5">
        <f t="shared" si="8"/>
        <v>44986</v>
      </c>
      <c r="B15" s="10" t="str">
        <f t="shared" si="0"/>
        <v>MARCH</v>
      </c>
      <c r="C15" s="4">
        <v>79985453</v>
      </c>
      <c r="D15" s="19">
        <v>18788</v>
      </c>
      <c r="E15" s="4">
        <v>7490272.2251045257</v>
      </c>
      <c r="F15" s="4">
        <v>1623897.5065462</v>
      </c>
      <c r="G15" s="4">
        <v>6291061</v>
      </c>
      <c r="H15" s="21">
        <v>10030281.033318322</v>
      </c>
      <c r="I15" s="21">
        <f>Table1[[#This Row],[Wages &amp; Benefits]]+Table1[[#This Row],[Utilities]]+Table1[[#This Row],[Maintenance &amp; Repairs]]+Table1[[#This Row],[Marketing &amp; Advertising]]+Table1[[#This Row],[Depreciation]]+(Table1[[#This Row],[Rent &amp; Leases]]*Table1[[#This Row],[AVG FX RATE]])</f>
        <v>108175747.74976905</v>
      </c>
      <c r="J15" s="19">
        <f>Table1[[#This Row],[TOTAL]]/Table1[[#This Row],[AVG FX RATE]]</f>
        <v>737773.52333625499</v>
      </c>
      <c r="K15" s="20">
        <v>146.62459999999999</v>
      </c>
      <c r="N15" s="5">
        <f t="shared" si="9"/>
        <v>43891</v>
      </c>
      <c r="O15" s="3" t="str">
        <f>TEXT(N15,"MMMM")</f>
        <v>March</v>
      </c>
      <c r="P15" s="9">
        <f t="shared" si="1"/>
        <v>3.0408412238325282E-2</v>
      </c>
      <c r="Q15" s="9">
        <f t="shared" si="2"/>
        <v>7.3599999999999999E-2</v>
      </c>
      <c r="R15" s="9">
        <f t="shared" si="3"/>
        <v>1.9084656476806214E-2</v>
      </c>
      <c r="S15" s="9">
        <f t="shared" si="4"/>
        <v>8.2598337697466676E-2</v>
      </c>
      <c r="T15" s="9">
        <f t="shared" si="5"/>
        <v>252.54004794856368</v>
      </c>
      <c r="U15" s="9">
        <f t="shared" si="6"/>
        <v>1.2487757191690223E-2</v>
      </c>
      <c r="Y15" t="s">
        <v>33</v>
      </c>
      <c r="Z15" s="24">
        <f>Table1[[#This Row],[TOTAL]]</f>
        <v>108175747.74976905</v>
      </c>
      <c r="AA15" s="24">
        <f t="shared" si="11"/>
        <v>106841536.58293428</v>
      </c>
      <c r="AB15" s="25">
        <f t="shared" si="7"/>
        <v>1.2487757191690223E-2</v>
      </c>
    </row>
    <row r="16" spans="1:45" x14ac:dyDescent="0.25">
      <c r="C16" s="17"/>
      <c r="D16" s="17"/>
      <c r="E16" s="17"/>
      <c r="F16" s="17"/>
      <c r="G16" s="17"/>
      <c r="H16" s="17"/>
    </row>
    <row r="19" spans="1:30" x14ac:dyDescent="0.25">
      <c r="M19" s="83" t="s">
        <v>71</v>
      </c>
    </row>
    <row r="20" spans="1:30" x14ac:dyDescent="0.25">
      <c r="A20" s="6" t="s">
        <v>12</v>
      </c>
    </row>
    <row r="21" spans="1:30" ht="27.6" x14ac:dyDescent="0.25">
      <c r="A21" s="8" t="s">
        <v>9</v>
      </c>
      <c r="B21" s="7" t="s">
        <v>10</v>
      </c>
      <c r="C21" s="7" t="s">
        <v>105</v>
      </c>
      <c r="D21" s="12" t="s">
        <v>106</v>
      </c>
      <c r="E21" s="12" t="s">
        <v>101</v>
      </c>
      <c r="F21" s="12" t="s">
        <v>107</v>
      </c>
      <c r="G21" s="12" t="s">
        <v>103</v>
      </c>
      <c r="H21" s="13" t="s">
        <v>108</v>
      </c>
      <c r="I21" s="7" t="s">
        <v>11</v>
      </c>
      <c r="J21" s="7" t="s">
        <v>88</v>
      </c>
      <c r="K21" s="22" t="s">
        <v>23</v>
      </c>
      <c r="N21" s="23" t="s">
        <v>10</v>
      </c>
      <c r="O21" s="23" t="s">
        <v>43</v>
      </c>
      <c r="P21" s="23" t="s">
        <v>44</v>
      </c>
      <c r="Q21" s="23" t="s">
        <v>37</v>
      </c>
      <c r="R21" s="23" t="s">
        <v>36</v>
      </c>
      <c r="S21" s="23" t="s">
        <v>34</v>
      </c>
      <c r="T21" s="23" t="s">
        <v>35</v>
      </c>
      <c r="U21" s="23" t="s">
        <v>80</v>
      </c>
      <c r="V21" s="23" t="s">
        <v>49</v>
      </c>
      <c r="W21" s="23" t="s">
        <v>69</v>
      </c>
      <c r="X21" s="23" t="s">
        <v>70</v>
      </c>
    </row>
    <row r="22" spans="1:30" x14ac:dyDescent="0.25">
      <c r="A22" s="5">
        <v>44652</v>
      </c>
      <c r="B22" s="10" t="str">
        <f t="shared" ref="B22:B33" si="12">UPPER(TEXT(A22,"MMMM"))</f>
        <v>APRIL</v>
      </c>
      <c r="C22" s="21">
        <v>69000000</v>
      </c>
      <c r="D22" s="19">
        <v>16500</v>
      </c>
      <c r="E22" s="21">
        <v>7350000</v>
      </c>
      <c r="F22" s="21">
        <v>1500000</v>
      </c>
      <c r="G22" s="87">
        <v>38415.230769230766</v>
      </c>
      <c r="H22" s="21">
        <v>12000000</v>
      </c>
      <c r="I22" s="21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96034800.407769233</v>
      </c>
      <c r="J22" s="19">
        <f>budget[[#This Row],[TOTAL]]/budget[[#This Row],[AVG FX RATE]]</f>
        <v>852699.01671278663</v>
      </c>
      <c r="K22" s="20">
        <f t="shared" ref="K22:K33" si="13">K4</f>
        <v>112.6245</v>
      </c>
      <c r="N22" s="18" t="s">
        <v>20</v>
      </c>
      <c r="O22" s="4">
        <v>96815215.040000007</v>
      </c>
      <c r="P22" s="4">
        <v>14733707.300000001</v>
      </c>
      <c r="Q22" s="19">
        <v>13531.18</v>
      </c>
      <c r="R22" s="19">
        <v>23000</v>
      </c>
      <c r="S22" s="19">
        <v>2700</v>
      </c>
      <c r="T22" s="19">
        <v>6147.9</v>
      </c>
      <c r="U22" s="4">
        <v>1411770</v>
      </c>
      <c r="V22" s="4">
        <v>161100</v>
      </c>
      <c r="W22" s="4">
        <v>780796</v>
      </c>
      <c r="X22" s="4">
        <v>218892.96</v>
      </c>
      <c r="AA22">
        <v>14733707.300000001</v>
      </c>
      <c r="AC22">
        <f>AA22+AB22</f>
        <v>14733707.300000001</v>
      </c>
      <c r="AD22">
        <v>218892.96</v>
      </c>
    </row>
    <row r="23" spans="1:30" x14ac:dyDescent="0.25">
      <c r="A23" s="5">
        <f t="shared" ref="A23:A33" si="14">EDATE(A22,1)</f>
        <v>44682</v>
      </c>
      <c r="B23" s="10" t="str">
        <f t="shared" si="12"/>
        <v>MAY</v>
      </c>
      <c r="C23" s="21">
        <v>69000000</v>
      </c>
      <c r="D23" s="19">
        <v>16500</v>
      </c>
      <c r="E23" s="21">
        <v>7350000</v>
      </c>
      <c r="F23" s="21">
        <v>1500000</v>
      </c>
      <c r="G23" s="19">
        <v>38514.230769230766</v>
      </c>
      <c r="H23" s="21">
        <v>12000000</v>
      </c>
      <c r="I23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96100474.837384611</v>
      </c>
      <c r="J23" s="19">
        <f>budget[[#This Row],[TOTAL]]/budget[[#This Row],[AVG FX RATE]]</f>
        <v>845838.7302217707</v>
      </c>
      <c r="K23" s="20">
        <f t="shared" si="13"/>
        <v>113.6156</v>
      </c>
      <c r="N23" s="18" t="s">
        <v>21</v>
      </c>
      <c r="O23" s="4">
        <v>107738867.8</v>
      </c>
      <c r="P23" s="4">
        <v>14929392.4</v>
      </c>
      <c r="Q23" s="19">
        <v>14552.63</v>
      </c>
      <c r="R23" s="19">
        <v>23000</v>
      </c>
      <c r="S23" s="19">
        <v>2520</v>
      </c>
      <c r="T23" s="19">
        <v>6147.9</v>
      </c>
      <c r="U23" s="4">
        <v>1651075</v>
      </c>
      <c r="V23" s="4">
        <v>391500</v>
      </c>
      <c r="W23" s="4">
        <v>780796</v>
      </c>
      <c r="X23" s="4">
        <v>259079.04000000001</v>
      </c>
      <c r="AA23">
        <v>14929392.4</v>
      </c>
      <c r="AC23">
        <f t="shared" ref="AC23:AC30" si="15">AA23+AB23</f>
        <v>14929392.4</v>
      </c>
      <c r="AD23">
        <v>259079.04000000001</v>
      </c>
    </row>
    <row r="24" spans="1:30" x14ac:dyDescent="0.25">
      <c r="A24" s="5">
        <f t="shared" si="14"/>
        <v>44713</v>
      </c>
      <c r="B24" s="10" t="str">
        <f t="shared" si="12"/>
        <v>JUNE</v>
      </c>
      <c r="C24" s="21">
        <v>69000000</v>
      </c>
      <c r="D24" s="19">
        <v>16500</v>
      </c>
      <c r="E24" s="21">
        <v>7350000</v>
      </c>
      <c r="F24" s="21">
        <v>1500000</v>
      </c>
      <c r="G24" s="19">
        <v>38415.230769230766</v>
      </c>
      <c r="H24" s="21">
        <v>12000000</v>
      </c>
      <c r="I24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96512952.813600004</v>
      </c>
      <c r="J24" s="19">
        <f>budget[[#This Row],[TOTAL]]/budget[[#This Row],[AVG FX RATE]]</f>
        <v>795447.78782773821</v>
      </c>
      <c r="K24" s="20">
        <f t="shared" si="13"/>
        <v>121.33159999999999</v>
      </c>
      <c r="N24" s="18" t="s">
        <v>24</v>
      </c>
      <c r="O24" s="4">
        <v>122017103.0865</v>
      </c>
      <c r="P24" s="4">
        <v>10118875</v>
      </c>
      <c r="Q24" s="19">
        <v>12355</v>
      </c>
      <c r="R24" s="19">
        <v>23000</v>
      </c>
      <c r="S24" s="19">
        <v>1620</v>
      </c>
      <c r="T24" s="19">
        <v>6147.9</v>
      </c>
      <c r="U24" s="4">
        <v>1719708</v>
      </c>
      <c r="V24" s="4">
        <v>305100</v>
      </c>
      <c r="W24" s="4">
        <v>780796</v>
      </c>
      <c r="X24" s="4">
        <v>234388.44</v>
      </c>
      <c r="AA24">
        <v>14681875</v>
      </c>
      <c r="AB24">
        <v>-4563000</v>
      </c>
      <c r="AC24">
        <f t="shared" si="15"/>
        <v>10118875</v>
      </c>
      <c r="AD24">
        <v>234388.44</v>
      </c>
    </row>
    <row r="25" spans="1:30" x14ac:dyDescent="0.25">
      <c r="A25" s="5">
        <f t="shared" si="14"/>
        <v>44743</v>
      </c>
      <c r="B25" s="10" t="str">
        <f t="shared" si="12"/>
        <v>JULY</v>
      </c>
      <c r="C25" s="21">
        <v>69000000</v>
      </c>
      <c r="D25" s="19">
        <v>16500</v>
      </c>
      <c r="E25" s="21">
        <v>7350000</v>
      </c>
      <c r="F25" s="21">
        <v>1500000</v>
      </c>
      <c r="G25" s="19">
        <v>38856.088324873097</v>
      </c>
      <c r="H25" s="21">
        <v>12000000</v>
      </c>
      <c r="I25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96297810.740775228</v>
      </c>
      <c r="J25" s="19">
        <f>budget[[#This Row],[TOTAL]]/budget[[#This Row],[AVG FX RATE]]</f>
        <v>826741.09572536137</v>
      </c>
      <c r="K25" s="20">
        <f t="shared" si="13"/>
        <v>116.47880000000001</v>
      </c>
      <c r="N25" s="18" t="s">
        <v>25</v>
      </c>
      <c r="O25" s="4">
        <v>108636594.55</v>
      </c>
      <c r="P25" s="4">
        <v>9607582.4000000004</v>
      </c>
      <c r="Q25" s="19">
        <v>12330</v>
      </c>
      <c r="R25" s="19">
        <v>23000</v>
      </c>
      <c r="S25" s="19">
        <v>1200</v>
      </c>
      <c r="T25" s="19">
        <v>6147.9</v>
      </c>
      <c r="U25" s="4">
        <v>1422193</v>
      </c>
      <c r="V25" s="4">
        <v>353700</v>
      </c>
      <c r="W25" s="4">
        <v>780796</v>
      </c>
      <c r="X25" s="4">
        <v>460028.8</v>
      </c>
      <c r="AA25">
        <v>15691582.4</v>
      </c>
      <c r="AB25">
        <v>-6084000</v>
      </c>
      <c r="AC25">
        <f t="shared" si="15"/>
        <v>9607582.4000000004</v>
      </c>
      <c r="AD25">
        <v>460028.8</v>
      </c>
    </row>
    <row r="26" spans="1:30" x14ac:dyDescent="0.25">
      <c r="A26" s="5">
        <f t="shared" si="14"/>
        <v>44774</v>
      </c>
      <c r="B26" s="10" t="str">
        <f t="shared" si="12"/>
        <v>AUGUST</v>
      </c>
      <c r="C26" s="21">
        <v>69000000</v>
      </c>
      <c r="D26" s="19">
        <v>16500</v>
      </c>
      <c r="E26" s="21">
        <v>7350000</v>
      </c>
      <c r="F26" s="21">
        <v>1500000</v>
      </c>
      <c r="G26" s="19">
        <v>38856.088324873097</v>
      </c>
      <c r="H26" s="21">
        <v>12000000</v>
      </c>
      <c r="I26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96609531.94535026</v>
      </c>
      <c r="J26" s="19">
        <f>budget[[#This Row],[TOTAL]]/budget[[#This Row],[AVG FX RATE]]</f>
        <v>791168.06113627274</v>
      </c>
      <c r="K26" s="20">
        <f t="shared" si="13"/>
        <v>122.11</v>
      </c>
      <c r="N26" s="18" t="s">
        <v>26</v>
      </c>
      <c r="O26" s="4">
        <v>123565985.81890702</v>
      </c>
      <c r="P26" s="4">
        <v>11084879</v>
      </c>
      <c r="Q26" s="19">
        <v>16030.4</v>
      </c>
      <c r="R26" s="19">
        <v>23000</v>
      </c>
      <c r="S26" s="19">
        <v>2580</v>
      </c>
      <c r="T26" s="19">
        <v>6147.9</v>
      </c>
      <c r="U26" s="4">
        <v>2231251</v>
      </c>
      <c r="V26" s="4">
        <v>2424000</v>
      </c>
      <c r="W26" s="4">
        <v>780796</v>
      </c>
      <c r="X26" s="4">
        <v>358840.48</v>
      </c>
      <c r="AA26">
        <v>17168879</v>
      </c>
      <c r="AB26">
        <v>-6084000</v>
      </c>
      <c r="AC26">
        <f t="shared" si="15"/>
        <v>11084879</v>
      </c>
      <c r="AD26">
        <v>358840.48</v>
      </c>
    </row>
    <row r="27" spans="1:30" x14ac:dyDescent="0.25">
      <c r="A27" s="5">
        <f t="shared" si="14"/>
        <v>44805</v>
      </c>
      <c r="B27" s="10" t="str">
        <f t="shared" si="12"/>
        <v>SEPTEMBER</v>
      </c>
      <c r="C27" s="21">
        <v>77625000</v>
      </c>
      <c r="D27" s="19">
        <v>16500</v>
      </c>
      <c r="E27" s="21">
        <v>7350000</v>
      </c>
      <c r="F27" s="21">
        <v>1500000</v>
      </c>
      <c r="G27" s="19">
        <v>38757.088324873097</v>
      </c>
      <c r="H27" s="21">
        <v>12000000</v>
      </c>
      <c r="I27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105938801.47410274</v>
      </c>
      <c r="J27" s="19">
        <f>budget[[#This Row],[TOTAL]]/budget[[#This Row],[AVG FX RATE]]</f>
        <v>784301.36846444092</v>
      </c>
      <c r="K27" s="20">
        <f t="shared" si="13"/>
        <v>135.07409999999999</v>
      </c>
      <c r="N27" s="18" t="s">
        <v>27</v>
      </c>
      <c r="O27" s="4">
        <v>115877659.02</v>
      </c>
      <c r="P27" s="4">
        <v>5472456.5999999996</v>
      </c>
      <c r="Q27" s="19">
        <v>16455</v>
      </c>
      <c r="R27" s="19">
        <v>23000</v>
      </c>
      <c r="S27" s="19">
        <v>1800</v>
      </c>
      <c r="T27" s="19">
        <v>6147.9</v>
      </c>
      <c r="U27" s="4">
        <v>2270463.96</v>
      </c>
      <c r="V27" s="4">
        <v>1666000</v>
      </c>
      <c r="W27" s="4">
        <v>780796</v>
      </c>
      <c r="X27" s="4">
        <v>432124</v>
      </c>
      <c r="AA27">
        <v>13077456.6</v>
      </c>
      <c r="AB27">
        <v>-7605000</v>
      </c>
      <c r="AC27">
        <f t="shared" si="15"/>
        <v>5472456.5999999996</v>
      </c>
      <c r="AD27">
        <v>432124</v>
      </c>
    </row>
    <row r="28" spans="1:30" x14ac:dyDescent="0.25">
      <c r="A28" s="5">
        <f t="shared" si="14"/>
        <v>44835</v>
      </c>
      <c r="B28" s="10" t="str">
        <f t="shared" si="12"/>
        <v>OCTOBER</v>
      </c>
      <c r="C28" s="21">
        <v>77625000</v>
      </c>
      <c r="D28" s="19">
        <v>17500</v>
      </c>
      <c r="E28" s="21">
        <v>7350000</v>
      </c>
      <c r="F28" s="21">
        <v>1500000</v>
      </c>
      <c r="G28" s="19">
        <v>39204.967477386941</v>
      </c>
      <c r="H28" s="21">
        <v>12000000</v>
      </c>
      <c r="I28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106549373.42251731</v>
      </c>
      <c r="J28" s="19">
        <f>budget[[#This Row],[TOTAL]]/budget[[#This Row],[AVG FX RATE]]</f>
        <v>748278.34167423833</v>
      </c>
      <c r="K28" s="20">
        <f t="shared" si="13"/>
        <v>142.39269999999999</v>
      </c>
      <c r="N28" s="18" t="s">
        <v>28</v>
      </c>
      <c r="O28" s="4">
        <v>69839345.560000002</v>
      </c>
      <c r="P28" s="4">
        <v>1503018.4000000004</v>
      </c>
      <c r="Q28" s="19">
        <v>19208</v>
      </c>
      <c r="R28" s="19">
        <v>23000</v>
      </c>
      <c r="S28" s="19">
        <v>5360</v>
      </c>
      <c r="T28" s="19">
        <v>6147.9</v>
      </c>
      <c r="U28" s="4">
        <v>1573459</v>
      </c>
      <c r="V28" s="4">
        <v>1262000</v>
      </c>
      <c r="W28" s="4">
        <v>780796</v>
      </c>
      <c r="X28" s="4">
        <v>363353.76</v>
      </c>
      <c r="AA28">
        <v>10629018.4</v>
      </c>
      <c r="AB28">
        <v>-9126000</v>
      </c>
      <c r="AC28">
        <f t="shared" si="15"/>
        <v>1503018.4000000004</v>
      </c>
      <c r="AD28">
        <v>363353.76</v>
      </c>
    </row>
    <row r="29" spans="1:30" x14ac:dyDescent="0.25">
      <c r="A29" s="5">
        <f t="shared" si="14"/>
        <v>44866</v>
      </c>
      <c r="B29" s="10" t="str">
        <f t="shared" si="12"/>
        <v>NOVEMBER</v>
      </c>
      <c r="C29" s="21">
        <v>77625000</v>
      </c>
      <c r="D29" s="19">
        <v>17500</v>
      </c>
      <c r="E29" s="21">
        <v>7350000</v>
      </c>
      <c r="F29" s="21">
        <v>1500000</v>
      </c>
      <c r="G29" s="19">
        <v>39105.967477386941</v>
      </c>
      <c r="H29" s="21">
        <v>12000000</v>
      </c>
      <c r="I29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106985797.77977309</v>
      </c>
      <c r="J29" s="19">
        <f>budget[[#This Row],[TOTAL]]/budget[[#This Row],[AVG FX RATE]]</f>
        <v>711570.73007386085</v>
      </c>
      <c r="K29" s="20">
        <f t="shared" si="13"/>
        <v>150.35159999999999</v>
      </c>
      <c r="N29" s="18" t="s">
        <v>29</v>
      </c>
      <c r="O29" s="4">
        <v>136322547.00999999</v>
      </c>
      <c r="P29" s="4">
        <v>3381590.2900000028</v>
      </c>
      <c r="Q29" s="19">
        <v>17560</v>
      </c>
      <c r="R29" s="19">
        <v>23000</v>
      </c>
      <c r="S29" s="19">
        <v>2400</v>
      </c>
      <c r="T29" s="19">
        <v>6147.9</v>
      </c>
      <c r="U29" s="4">
        <v>2842700</v>
      </c>
      <c r="V29" s="4">
        <v>1092000</v>
      </c>
      <c r="W29" s="4">
        <v>780796</v>
      </c>
      <c r="X29" s="4">
        <v>451742.71999999997</v>
      </c>
      <c r="AA29">
        <v>17533090.900000002</v>
      </c>
      <c r="AB29">
        <v>-14151500.609999999</v>
      </c>
      <c r="AC29">
        <f t="shared" si="15"/>
        <v>3381590.2900000028</v>
      </c>
      <c r="AD29">
        <v>451742.71999999997</v>
      </c>
    </row>
    <row r="30" spans="1:30" x14ac:dyDescent="0.25">
      <c r="A30" s="5">
        <f t="shared" si="14"/>
        <v>44896</v>
      </c>
      <c r="B30" s="10" t="str">
        <f t="shared" si="12"/>
        <v>DECEMBER</v>
      </c>
      <c r="C30" s="21">
        <v>80625000</v>
      </c>
      <c r="D30" s="19">
        <v>17500</v>
      </c>
      <c r="E30" s="21">
        <v>7350000</v>
      </c>
      <c r="F30" s="21">
        <v>1500000</v>
      </c>
      <c r="G30" s="19">
        <v>39204.967477386941</v>
      </c>
      <c r="H30" s="21">
        <v>12000000</v>
      </c>
      <c r="I30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110139122.09577239</v>
      </c>
      <c r="J30" s="19">
        <f>budget[[#This Row],[TOTAL]]/budget[[#This Row],[AVG FX RATE]]</f>
        <v>720838.79559778515</v>
      </c>
      <c r="K30" s="20">
        <f t="shared" si="13"/>
        <v>152.79300000000001</v>
      </c>
      <c r="N30" s="18" t="s">
        <v>30</v>
      </c>
      <c r="O30" s="4">
        <v>189869124.12</v>
      </c>
      <c r="P30" s="4">
        <v>22873482.100000001</v>
      </c>
      <c r="Q30" s="19">
        <v>17543.14</v>
      </c>
      <c r="R30" s="19">
        <v>23000</v>
      </c>
      <c r="S30" s="19">
        <v>2460</v>
      </c>
      <c r="T30" s="19">
        <v>6147.9</v>
      </c>
      <c r="U30" s="4">
        <v>2417903</v>
      </c>
      <c r="V30" s="4">
        <v>1504000</v>
      </c>
      <c r="W30" s="4">
        <v>780796</v>
      </c>
      <c r="X30" s="4">
        <v>515963.36</v>
      </c>
      <c r="AA30">
        <v>29700149.100000001</v>
      </c>
      <c r="AB30">
        <v>-6826667</v>
      </c>
      <c r="AC30">
        <f t="shared" si="15"/>
        <v>22873482.100000001</v>
      </c>
      <c r="AD30">
        <v>515963.36</v>
      </c>
    </row>
    <row r="31" spans="1:30" x14ac:dyDescent="0.25">
      <c r="A31" s="5">
        <f t="shared" si="14"/>
        <v>44927</v>
      </c>
      <c r="B31" s="10" t="str">
        <f t="shared" si="12"/>
        <v>JANUARY</v>
      </c>
      <c r="C31" s="21">
        <v>77625000</v>
      </c>
      <c r="D31" s="19">
        <v>17500</v>
      </c>
      <c r="E31" s="21">
        <v>7350000</v>
      </c>
      <c r="F31" s="21">
        <v>1500000</v>
      </c>
      <c r="G31" s="19">
        <v>39560.933724179107</v>
      </c>
      <c r="H31" s="21">
        <v>12000000</v>
      </c>
      <c r="I31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107383198.90849778</v>
      </c>
      <c r="J31" s="19">
        <f>budget[[#This Row],[TOTAL]]/budget[[#This Row],[AVG FX RATE]]</f>
        <v>687836.6389150836</v>
      </c>
      <c r="K31" s="20">
        <f t="shared" si="13"/>
        <v>156.1173</v>
      </c>
      <c r="N31" s="18" t="s">
        <v>31</v>
      </c>
      <c r="O31" s="114">
        <v>217879283.23911113</v>
      </c>
      <c r="P31" s="4">
        <v>9855054</v>
      </c>
      <c r="Q31" s="19">
        <v>14050</v>
      </c>
      <c r="R31" s="19">
        <v>23000</v>
      </c>
      <c r="S31" s="19">
        <v>1980</v>
      </c>
      <c r="T31" s="19">
        <v>6147.9</v>
      </c>
      <c r="U31" s="4">
        <v>2440054.66</v>
      </c>
      <c r="V31" s="114">
        <f>11130*200</f>
        <v>2226000</v>
      </c>
      <c r="W31" s="4">
        <v>780796</v>
      </c>
      <c r="X31" s="4">
        <v>445412</v>
      </c>
    </row>
    <row r="32" spans="1:30" x14ac:dyDescent="0.25">
      <c r="A32" s="5">
        <f t="shared" si="14"/>
        <v>44958</v>
      </c>
      <c r="B32" s="10" t="str">
        <f t="shared" si="12"/>
        <v>FEBRUARY</v>
      </c>
      <c r="C32" s="21">
        <v>77625000</v>
      </c>
      <c r="D32" s="19">
        <v>17500</v>
      </c>
      <c r="E32" s="21">
        <v>7350000</v>
      </c>
      <c r="F32" s="21">
        <v>1500000</v>
      </c>
      <c r="G32" s="19">
        <v>39263.933724179107</v>
      </c>
      <c r="H32" s="21">
        <v>12000000</v>
      </c>
      <c r="I32" s="4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107377174.19809556</v>
      </c>
      <c r="J32" s="19">
        <f>budget[[#This Row],[TOTAL]]/budget[[#This Row],[AVG FX RATE]]</f>
        <v>684681.14238589769</v>
      </c>
      <c r="K32" s="20">
        <f t="shared" si="13"/>
        <v>156.828</v>
      </c>
      <c r="N32" s="18" t="s">
        <v>32</v>
      </c>
      <c r="O32" s="114">
        <v>208911915.18655232</v>
      </c>
      <c r="P32" s="4">
        <v>18381769</v>
      </c>
      <c r="Q32" s="19">
        <v>11423.33</v>
      </c>
      <c r="R32" s="19">
        <v>23000</v>
      </c>
      <c r="S32" s="19">
        <v>1920</v>
      </c>
      <c r="T32" s="19">
        <v>6147.9</v>
      </c>
      <c r="U32" s="4">
        <v>2315155.33</v>
      </c>
      <c r="V32" s="114">
        <f>10090*200</f>
        <v>2018000</v>
      </c>
      <c r="W32" s="4">
        <v>950663.63</v>
      </c>
      <c r="X32" s="4">
        <v>415284.32</v>
      </c>
    </row>
    <row r="33" spans="1:29" x14ac:dyDescent="0.25">
      <c r="A33" s="5">
        <f t="shared" si="14"/>
        <v>44986</v>
      </c>
      <c r="B33" s="10" t="str">
        <f t="shared" si="12"/>
        <v>MARCH</v>
      </c>
      <c r="C33" s="21">
        <v>77625000</v>
      </c>
      <c r="D33" s="19">
        <v>17500</v>
      </c>
      <c r="E33" s="21">
        <v>7350000</v>
      </c>
      <c r="F33" s="21">
        <v>1500000</v>
      </c>
      <c r="G33" s="19">
        <v>39560.933724179107</v>
      </c>
      <c r="H33" s="21">
        <v>12000000</v>
      </c>
      <c r="I33" s="15">
        <f>budget[[#This Row],[Wages &amp; Benefits]]+budget[[#This Row],[Utilities]]+budget[[#This Row],[Maintenance &amp; Repairs]]+budget[[#This Row],[Depreciation]]+(budget[[#This Row],[Rent &amp; Leases]]+budget[[#This Row],[Marketing &amp; Advertising]])*budget[[#This Row],[AVG FX RATE]]</f>
        <v>106841536.58293428</v>
      </c>
      <c r="J33" s="19">
        <f>budget[[#This Row],[TOTAL]]/budget[[#This Row],[AVG FX RATE]]</f>
        <v>728674.01911367045</v>
      </c>
      <c r="K33" s="20">
        <f t="shared" si="13"/>
        <v>146.62459999999999</v>
      </c>
      <c r="N33" s="18" t="s">
        <v>33</v>
      </c>
      <c r="O33" s="114">
        <v>240363521.16803312</v>
      </c>
      <c r="P33" s="4">
        <v>23418020</v>
      </c>
      <c r="Q33" s="115">
        <v>10650</v>
      </c>
      <c r="R33" s="19">
        <v>23000</v>
      </c>
      <c r="S33" s="115">
        <v>1750</v>
      </c>
      <c r="T33" s="19">
        <v>6147.9</v>
      </c>
      <c r="U33" s="4">
        <v>3132976</v>
      </c>
      <c r="V33" s="114">
        <f>9800*200</f>
        <v>1960000</v>
      </c>
      <c r="W33" s="4">
        <v>950663.63</v>
      </c>
      <c r="X33" s="4">
        <v>494683.2</v>
      </c>
    </row>
    <row r="34" spans="1:29" x14ac:dyDescent="0.25">
      <c r="AA34">
        <v>28313777</v>
      </c>
      <c r="AB34">
        <v>-18458723</v>
      </c>
      <c r="AC34">
        <f>SUM(AA34:AB34)</f>
        <v>9855054</v>
      </c>
    </row>
    <row r="35" spans="1:29" x14ac:dyDescent="0.25">
      <c r="O35" t="s">
        <v>63</v>
      </c>
      <c r="P35" s="116" t="s">
        <v>93</v>
      </c>
    </row>
    <row r="36" spans="1:29" x14ac:dyDescent="0.25">
      <c r="N36" s="83" t="s">
        <v>72</v>
      </c>
    </row>
    <row r="37" spans="1:29" x14ac:dyDescent="0.25">
      <c r="O37" s="16"/>
      <c r="V37" s="83" t="s">
        <v>73</v>
      </c>
      <c r="W37" t="s">
        <v>81</v>
      </c>
    </row>
    <row r="38" spans="1:29" ht="41.4" x14ac:dyDescent="0.25">
      <c r="A38">
        <v>1248741.1724871795</v>
      </c>
      <c r="B38" s="86">
        <f t="shared" ref="B38:B49" si="16">A38*K22</f>
        <v>140638850.18078235</v>
      </c>
      <c r="C38">
        <v>1400000</v>
      </c>
      <c r="D38">
        <v>6800</v>
      </c>
      <c r="E38">
        <v>110433196.7969968</v>
      </c>
      <c r="F38">
        <v>55647.769441058546</v>
      </c>
      <c r="G38">
        <v>38415.230769230766</v>
      </c>
      <c r="K38">
        <v>82.733800000000002</v>
      </c>
      <c r="N38" s="23" t="s">
        <v>10</v>
      </c>
      <c r="O38" s="23" t="s">
        <v>74</v>
      </c>
      <c r="P38" s="23" t="s">
        <v>75</v>
      </c>
      <c r="Q38" s="23" t="s">
        <v>76</v>
      </c>
      <c r="R38" s="23" t="s">
        <v>77</v>
      </c>
      <c r="S38" s="23" t="s">
        <v>78</v>
      </c>
      <c r="T38" s="84" t="s">
        <v>86</v>
      </c>
      <c r="V38" s="84" t="s">
        <v>79</v>
      </c>
      <c r="W38" s="85">
        <v>7679.6</v>
      </c>
    </row>
    <row r="39" spans="1:29" x14ac:dyDescent="0.25">
      <c r="A39">
        <v>1286767.1480487178</v>
      </c>
      <c r="B39" s="86">
        <f t="shared" si="16"/>
        <v>146196821.58584389</v>
      </c>
      <c r="C39" s="16">
        <v>1400000</v>
      </c>
      <c r="D39">
        <v>6800</v>
      </c>
      <c r="E39" s="16">
        <v>113978542.18538149</v>
      </c>
      <c r="F39">
        <v>57311.228198651166</v>
      </c>
      <c r="G39">
        <v>38514.230769230766</v>
      </c>
      <c r="K39">
        <v>88.099800000000002</v>
      </c>
      <c r="M39" t="s">
        <v>16</v>
      </c>
      <c r="N39" s="18" t="s">
        <v>20</v>
      </c>
      <c r="O39" s="4">
        <v>0</v>
      </c>
      <c r="P39" s="19">
        <v>0</v>
      </c>
      <c r="Q39" s="4">
        <v>13500</v>
      </c>
      <c r="R39" s="19">
        <v>154</v>
      </c>
      <c r="S39" s="19">
        <v>0</v>
      </c>
      <c r="T39" s="4"/>
    </row>
    <row r="40" spans="1:29" x14ac:dyDescent="0.25">
      <c r="A40">
        <v>1248741.1724871795</v>
      </c>
      <c r="B40" s="86">
        <f t="shared" si="16"/>
        <v>151511764.44374546</v>
      </c>
      <c r="C40" s="16">
        <v>1400000</v>
      </c>
      <c r="D40">
        <v>6800</v>
      </c>
      <c r="E40" s="16">
        <v>110406003.45679483</v>
      </c>
      <c r="F40">
        <v>55926.67549441212</v>
      </c>
      <c r="G40">
        <v>38415.230769230766</v>
      </c>
      <c r="K40">
        <v>91.220699999999994</v>
      </c>
      <c r="N40" s="18" t="s">
        <v>21</v>
      </c>
      <c r="O40" s="4">
        <v>27078235.960000001</v>
      </c>
      <c r="P40" s="19">
        <v>32748.353800000001</v>
      </c>
      <c r="Q40" s="4">
        <v>13500</v>
      </c>
      <c r="R40" s="19">
        <v>154</v>
      </c>
      <c r="S40" s="19">
        <v>0</v>
      </c>
      <c r="T40" s="4"/>
    </row>
    <row r="41" spans="1:29" x14ac:dyDescent="0.25">
      <c r="A41">
        <v>1273662.9130431472</v>
      </c>
      <c r="B41" s="86">
        <f t="shared" si="16"/>
        <v>148354727.71577016</v>
      </c>
      <c r="C41">
        <v>1400000</v>
      </c>
      <c r="D41">
        <v>6800</v>
      </c>
      <c r="E41">
        <v>113698521.33333725</v>
      </c>
      <c r="F41">
        <v>58576.115750383149</v>
      </c>
      <c r="G41">
        <v>38856.088324873097</v>
      </c>
      <c r="K41">
        <v>93.684399999999997</v>
      </c>
      <c r="N41" s="18" t="s">
        <v>24</v>
      </c>
      <c r="O41" s="4">
        <v>0</v>
      </c>
      <c r="P41" s="19">
        <v>5124.76</v>
      </c>
      <c r="Q41" s="4">
        <v>13500</v>
      </c>
      <c r="R41" s="19">
        <v>154</v>
      </c>
      <c r="S41" s="19">
        <v>0</v>
      </c>
      <c r="T41" s="4"/>
    </row>
    <row r="42" spans="1:29" x14ac:dyDescent="0.25">
      <c r="A42">
        <v>1248882.9450228428</v>
      </c>
      <c r="B42" s="86">
        <f t="shared" si="16"/>
        <v>152501096.41673934</v>
      </c>
      <c r="C42">
        <v>1400000</v>
      </c>
      <c r="D42">
        <v>6800</v>
      </c>
      <c r="E42">
        <v>111362719.69047345</v>
      </c>
      <c r="F42">
        <v>57509.869992655549</v>
      </c>
      <c r="G42">
        <v>38856.088324873097</v>
      </c>
      <c r="K42">
        <v>96.227500000000006</v>
      </c>
      <c r="N42" s="18" t="s">
        <v>25</v>
      </c>
      <c r="O42" s="4">
        <v>13500000</v>
      </c>
      <c r="P42" s="19">
        <v>875</v>
      </c>
      <c r="Q42" s="4">
        <v>288238</v>
      </c>
      <c r="R42" s="19">
        <v>154</v>
      </c>
      <c r="S42" s="19">
        <v>0</v>
      </c>
      <c r="T42" s="4"/>
    </row>
    <row r="43" spans="1:29" x14ac:dyDescent="0.25">
      <c r="A43">
        <v>1188061.7595685283</v>
      </c>
      <c r="B43" s="86">
        <f t="shared" si="16"/>
        <v>160476372.91813532</v>
      </c>
      <c r="C43">
        <v>1400000</v>
      </c>
      <c r="D43">
        <v>6800</v>
      </c>
      <c r="E43">
        <v>105631158.62629157</v>
      </c>
      <c r="F43">
        <v>54877.121738156995</v>
      </c>
      <c r="G43">
        <v>38757.088324873097</v>
      </c>
      <c r="K43">
        <v>97.401799999999994</v>
      </c>
      <c r="N43" s="18" t="s">
        <v>26</v>
      </c>
      <c r="O43" s="4">
        <v>4500000</v>
      </c>
      <c r="P43" s="19">
        <v>7809.93</v>
      </c>
      <c r="Q43" s="4">
        <v>13500</v>
      </c>
      <c r="R43" s="19">
        <v>154</v>
      </c>
      <c r="S43" s="19">
        <v>0</v>
      </c>
      <c r="T43" s="4"/>
    </row>
    <row r="44" spans="1:29" x14ac:dyDescent="0.25">
      <c r="A44">
        <v>1159550.9184396986</v>
      </c>
      <c r="B44" s="86">
        <f t="shared" si="16"/>
        <v>165111586.06410846</v>
      </c>
      <c r="C44">
        <v>1400000</v>
      </c>
      <c r="D44">
        <v>6800</v>
      </c>
      <c r="E44">
        <v>103914156.21685977</v>
      </c>
      <c r="F44">
        <v>54051.571898394344</v>
      </c>
      <c r="G44">
        <v>39204.967477386941</v>
      </c>
      <c r="K44">
        <v>98.537499999999994</v>
      </c>
      <c r="N44" s="18" t="s">
        <v>27</v>
      </c>
      <c r="O44" s="4">
        <v>4500000</v>
      </c>
      <c r="P44" s="19">
        <v>0</v>
      </c>
      <c r="Q44" s="4">
        <v>13500</v>
      </c>
      <c r="R44" s="19">
        <v>154</v>
      </c>
      <c r="S44" s="19">
        <v>0</v>
      </c>
      <c r="T44" s="4"/>
    </row>
    <row r="45" spans="1:29" x14ac:dyDescent="0.25">
      <c r="A45">
        <v>1124663.244396985</v>
      </c>
      <c r="B45" s="86">
        <f t="shared" si="16"/>
        <v>169094918.25627774</v>
      </c>
      <c r="C45">
        <v>1400000</v>
      </c>
      <c r="D45">
        <v>6800</v>
      </c>
      <c r="E45">
        <v>100556184.30052145</v>
      </c>
      <c r="F45">
        <v>52912.359326417725</v>
      </c>
      <c r="G45">
        <v>39105.967477386941</v>
      </c>
      <c r="K45">
        <v>98.723600000000005</v>
      </c>
      <c r="N45" s="18" t="s">
        <v>28</v>
      </c>
      <c r="O45" s="4">
        <v>4500000</v>
      </c>
      <c r="P45" s="19">
        <v>0</v>
      </c>
      <c r="Q45" s="4">
        <f>234238.8+13500</f>
        <v>247738.8</v>
      </c>
      <c r="R45" s="19">
        <v>154</v>
      </c>
      <c r="S45" s="19">
        <v>0</v>
      </c>
      <c r="T45" s="4"/>
    </row>
    <row r="46" spans="1:29" x14ac:dyDescent="0.25">
      <c r="A46">
        <v>1159550.9184396986</v>
      </c>
      <c r="B46" s="86">
        <f t="shared" si="16"/>
        <v>177171263.48115689</v>
      </c>
      <c r="C46">
        <v>1400000</v>
      </c>
      <c r="D46">
        <v>6800</v>
      </c>
      <c r="E46">
        <v>103833201.48704909</v>
      </c>
      <c r="F46">
        <v>54865.187273376105</v>
      </c>
      <c r="G46">
        <v>39204.967477386941</v>
      </c>
      <c r="K46">
        <v>100.1117</v>
      </c>
      <c r="N46" s="18" t="s">
        <v>29</v>
      </c>
      <c r="O46" s="4">
        <v>0</v>
      </c>
      <c r="P46" s="19">
        <v>0</v>
      </c>
      <c r="Q46" s="4">
        <v>13500</v>
      </c>
      <c r="R46" s="19">
        <v>154</v>
      </c>
      <c r="S46" s="19">
        <v>143243.51</v>
      </c>
      <c r="T46" s="4"/>
    </row>
    <row r="47" spans="1:29" x14ac:dyDescent="0.25">
      <c r="A47">
        <v>1147973.2973606968</v>
      </c>
      <c r="B47" s="86">
        <f t="shared" si="16"/>
        <v>179218491.6560491</v>
      </c>
      <c r="C47">
        <v>1400000</v>
      </c>
      <c r="D47">
        <v>6800</v>
      </c>
      <c r="E47">
        <v>103718356.21538101</v>
      </c>
      <c r="F47">
        <v>54457.918707353558</v>
      </c>
      <c r="G47">
        <v>39560.933724179107</v>
      </c>
      <c r="K47">
        <v>101.20780000000001</v>
      </c>
      <c r="N47" s="18" t="s">
        <v>30</v>
      </c>
      <c r="O47" s="4">
        <v>0</v>
      </c>
      <c r="P47" s="19">
        <v>0</v>
      </c>
      <c r="Q47" s="4">
        <v>13500</v>
      </c>
      <c r="R47" s="19">
        <v>154</v>
      </c>
      <c r="S47" s="19">
        <v>58207.5</v>
      </c>
      <c r="T47" s="4"/>
    </row>
    <row r="48" spans="1:29" x14ac:dyDescent="0.25">
      <c r="A48">
        <v>1044351.6983383086</v>
      </c>
      <c r="B48" s="86">
        <f t="shared" si="16"/>
        <v>163783588.14700025</v>
      </c>
      <c r="C48">
        <v>1400000</v>
      </c>
      <c r="D48">
        <v>6800</v>
      </c>
      <c r="E48">
        <v>93778723.508379906</v>
      </c>
      <c r="F48">
        <v>49738.137665075745</v>
      </c>
      <c r="G48">
        <v>39263.933724179107</v>
      </c>
      <c r="K48">
        <v>102.08280000000001</v>
      </c>
      <c r="N48" s="18" t="s">
        <v>31</v>
      </c>
      <c r="O48" s="4">
        <v>0</v>
      </c>
      <c r="P48" s="19">
        <v>0</v>
      </c>
      <c r="Q48" s="4">
        <v>250207.85</v>
      </c>
      <c r="R48" s="19">
        <v>154</v>
      </c>
      <c r="S48" s="19">
        <v>87553.68</v>
      </c>
      <c r="T48" s="4"/>
    </row>
    <row r="49" spans="1:20" x14ac:dyDescent="0.25">
      <c r="A49">
        <v>1147973.2973606968</v>
      </c>
      <c r="B49" s="86">
        <f t="shared" si="16"/>
        <v>168321125.53619322</v>
      </c>
      <c r="C49">
        <v>1400000</v>
      </c>
      <c r="D49">
        <v>6800</v>
      </c>
      <c r="E49">
        <v>103739748.29907566</v>
      </c>
      <c r="F49">
        <v>54245.062153177918</v>
      </c>
      <c r="G49">
        <v>39560.933724179107</v>
      </c>
      <c r="K49">
        <v>104.1374</v>
      </c>
      <c r="N49" s="18" t="s">
        <v>32</v>
      </c>
      <c r="O49" s="4">
        <v>0</v>
      </c>
      <c r="P49" s="19">
        <v>0</v>
      </c>
      <c r="Q49" s="4">
        <v>16940</v>
      </c>
      <c r="R49" s="19">
        <v>154</v>
      </c>
      <c r="S49" s="19">
        <v>23637.5</v>
      </c>
      <c r="T49" s="4"/>
    </row>
    <row r="50" spans="1:20" x14ac:dyDescent="0.25">
      <c r="N50" s="18" t="s">
        <v>33</v>
      </c>
      <c r="O50" s="4">
        <v>0</v>
      </c>
      <c r="P50" s="19">
        <v>0</v>
      </c>
      <c r="Q50" s="4">
        <v>17600</v>
      </c>
      <c r="R50" s="19">
        <v>0</v>
      </c>
      <c r="S50" s="19">
        <v>6325</v>
      </c>
      <c r="T50" s="4"/>
    </row>
    <row r="51" spans="1:20" x14ac:dyDescent="0.25">
      <c r="N51" s="100" t="s">
        <v>2</v>
      </c>
      <c r="O51" s="100"/>
      <c r="P51" s="100"/>
      <c r="Q51" s="100"/>
      <c r="R51" s="100"/>
      <c r="S51" s="99"/>
      <c r="T51" s="100"/>
    </row>
  </sheetData>
  <pageMargins left="0.7" right="0.7" top="0.75" bottom="0.75" header="0.3" footer="0.3"/>
  <pageSetup orientation="portrait" r:id="rId1"/>
  <legacy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A185BA77-9278-4DF8-BF37-7488CD69BC5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2"/>
              <x14:cfIcon iconSet="3TrafficLights1" iconId="1"/>
              <x14:cfIcon iconSet="3Symbols" iconId="0"/>
            </x14:iconSet>
          </x14:cfRule>
          <xm:sqref>P4:U15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30" sqref="B30"/>
    </sheetView>
  </sheetViews>
  <sheetFormatPr defaultRowHeight="13.8" outlineLevelRow="1" x14ac:dyDescent="0.25"/>
  <cols>
    <col min="1" max="1" width="8.796875" style="26" customWidth="1"/>
    <col min="2" max="2" width="29.5" style="26" customWidth="1"/>
    <col min="3" max="3" width="34.5" customWidth="1"/>
    <col min="4" max="4" width="15.296875" customWidth="1"/>
    <col min="5" max="15" width="13.69921875" customWidth="1"/>
    <col min="16" max="16" width="18.796875" style="26" customWidth="1"/>
    <col min="17" max="17" width="11.796875" style="26" customWidth="1"/>
    <col min="18" max="16384" width="8.796875" style="26"/>
  </cols>
  <sheetData>
    <row r="1" spans="3:19" ht="13.2" x14ac:dyDescent="0.25"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3:19" ht="13.2" x14ac:dyDescent="0.25"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3:19" ht="13.2" x14ac:dyDescent="0.25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3:19" ht="14.4" thickBot="1" x14ac:dyDescent="0.3">
      <c r="C4" s="27" t="s">
        <v>94</v>
      </c>
    </row>
    <row r="5" spans="3:19" ht="13.2" x14ac:dyDescent="0.25">
      <c r="C5" s="26"/>
      <c r="D5" s="30" t="s">
        <v>51</v>
      </c>
      <c r="E5" s="31"/>
      <c r="F5" s="32"/>
      <c r="G5" s="30" t="s">
        <v>52</v>
      </c>
      <c r="H5" s="31"/>
      <c r="I5" s="32"/>
      <c r="J5" s="30" t="s">
        <v>55</v>
      </c>
      <c r="K5" s="31"/>
      <c r="L5" s="32"/>
      <c r="M5" s="30" t="s">
        <v>56</v>
      </c>
      <c r="N5" s="31"/>
      <c r="O5" s="32"/>
    </row>
    <row r="6" spans="3:19" ht="13.2" x14ac:dyDescent="0.25">
      <c r="C6" s="26"/>
      <c r="D6" s="34">
        <v>44287</v>
      </c>
      <c r="E6" s="34">
        <v>44317</v>
      </c>
      <c r="F6" s="34">
        <v>44348</v>
      </c>
      <c r="G6" s="34">
        <v>44378</v>
      </c>
      <c r="H6" s="34">
        <v>44409</v>
      </c>
      <c r="I6" s="34">
        <v>44440</v>
      </c>
      <c r="J6" s="34">
        <v>44470</v>
      </c>
      <c r="K6" s="34">
        <v>44501</v>
      </c>
      <c r="L6" s="34">
        <v>44531</v>
      </c>
      <c r="M6" s="34">
        <v>44562</v>
      </c>
      <c r="N6" s="34">
        <v>44593</v>
      </c>
      <c r="O6" s="34">
        <v>44621</v>
      </c>
      <c r="P6" s="34" t="s">
        <v>94</v>
      </c>
    </row>
    <row r="7" spans="3:19" x14ac:dyDescent="0.25">
      <c r="C7" s="33" t="str">
        <f>C20</f>
        <v>Wages &amp; Benefits</v>
      </c>
      <c r="D7" s="36">
        <v>55651380</v>
      </c>
      <c r="E7" s="36">
        <v>55651380</v>
      </c>
      <c r="F7" s="36">
        <v>55651380</v>
      </c>
      <c r="G7" s="36">
        <v>55651380</v>
      </c>
      <c r="H7" s="36">
        <v>55651380</v>
      </c>
      <c r="I7" s="36">
        <v>55651380</v>
      </c>
      <c r="J7" s="36">
        <v>55651380</v>
      </c>
      <c r="K7" s="36">
        <v>55651380</v>
      </c>
      <c r="L7" s="36">
        <v>55651380</v>
      </c>
      <c r="M7" s="36">
        <v>55651380</v>
      </c>
      <c r="N7" s="36">
        <v>55651380</v>
      </c>
      <c r="O7" s="36">
        <v>55651380</v>
      </c>
      <c r="P7" s="37">
        <f>SUM(D7:O7)</f>
        <v>667816560</v>
      </c>
      <c r="S7"/>
    </row>
    <row r="8" spans="3:19" x14ac:dyDescent="0.25">
      <c r="C8" s="33" t="str">
        <f>C21</f>
        <v>Rent &amp; Leases</v>
      </c>
      <c r="D8" s="38">
        <v>12805</v>
      </c>
      <c r="E8" s="38">
        <v>12805</v>
      </c>
      <c r="F8" s="38">
        <v>12805</v>
      </c>
      <c r="G8" s="38">
        <v>12805</v>
      </c>
      <c r="H8" s="38">
        <v>12805</v>
      </c>
      <c r="I8" s="38">
        <v>12805</v>
      </c>
      <c r="J8" s="38">
        <v>12805</v>
      </c>
      <c r="K8" s="38">
        <v>12805</v>
      </c>
      <c r="L8" s="38">
        <v>12805</v>
      </c>
      <c r="M8" s="38">
        <v>12805</v>
      </c>
      <c r="N8" s="38">
        <v>12805</v>
      </c>
      <c r="O8" s="38">
        <v>12805</v>
      </c>
      <c r="P8" s="39">
        <f t="shared" ref="P8:P13" si="0">SUM(D8:O8)</f>
        <v>153660</v>
      </c>
      <c r="S8"/>
    </row>
    <row r="9" spans="3:19" x14ac:dyDescent="0.25">
      <c r="C9" s="33" t="str">
        <f>C22</f>
        <v>Utilities</v>
      </c>
      <c r="D9" s="36">
        <v>7292524.421753197</v>
      </c>
      <c r="E9" s="36">
        <v>7414172.2416935023</v>
      </c>
      <c r="F9" s="36">
        <v>7447752.7479926143</v>
      </c>
      <c r="G9" s="36">
        <v>7446072.5718720965</v>
      </c>
      <c r="H9" s="36">
        <v>7418000.5881964173</v>
      </c>
      <c r="I9" s="36">
        <v>7437932.540530229</v>
      </c>
      <c r="J9" s="36">
        <v>7433367.6784676351</v>
      </c>
      <c r="K9" s="36">
        <v>7317097.9565204009</v>
      </c>
      <c r="L9" s="36">
        <v>7320143.7552411566</v>
      </c>
      <c r="M9" s="36">
        <v>7412768.2589078648</v>
      </c>
      <c r="N9" s="36">
        <v>7499224.4447622607</v>
      </c>
      <c r="O9" s="36">
        <v>7531907.3227230133</v>
      </c>
      <c r="P9" s="37">
        <f t="shared" si="0"/>
        <v>88970964.528660387</v>
      </c>
      <c r="S9"/>
    </row>
    <row r="10" spans="3:19" x14ac:dyDescent="0.25">
      <c r="C10" s="33" t="str">
        <f>C23</f>
        <v>Maintenance &amp; Repairs</v>
      </c>
      <c r="D10" s="36">
        <v>300718.90966675157</v>
      </c>
      <c r="E10" s="36">
        <v>192020.00342281503</v>
      </c>
      <c r="F10" s="36">
        <v>962563.54981496267</v>
      </c>
      <c r="G10" s="36">
        <v>546483.80681712693</v>
      </c>
      <c r="H10" s="36">
        <v>1092901.973247065</v>
      </c>
      <c r="I10" s="36">
        <v>319679.7273701455</v>
      </c>
      <c r="J10" s="36">
        <v>544354.82408343954</v>
      </c>
      <c r="K10" s="36">
        <v>376814.46335166687</v>
      </c>
      <c r="L10" s="36">
        <v>285093.57785642921</v>
      </c>
      <c r="M10" s="36">
        <v>77506.964512689708</v>
      </c>
      <c r="N10" s="36">
        <v>837288.23586919636</v>
      </c>
      <c r="O10" s="36">
        <v>1483604.1983374769</v>
      </c>
      <c r="P10" s="37">
        <f t="shared" si="0"/>
        <v>7019030.2343497649</v>
      </c>
      <c r="S10"/>
    </row>
    <row r="11" spans="3:19" outlineLevel="1" x14ac:dyDescent="0.25">
      <c r="C11" s="33" t="str">
        <f>C24</f>
        <v>Marketing &amp; Advertising</v>
      </c>
      <c r="D11" s="36">
        <v>3923775.7511999998</v>
      </c>
      <c r="E11" s="36">
        <v>4116784.8974000001</v>
      </c>
      <c r="F11" s="36">
        <v>4286452.1904499996</v>
      </c>
      <c r="G11" s="36">
        <v>4483076.6425999999</v>
      </c>
      <c r="H11" s="36">
        <v>4585010.5066999998</v>
      </c>
      <c r="I11" s="36">
        <v>3424149.7533499999</v>
      </c>
      <c r="J11" s="36">
        <v>2632985.0707999999</v>
      </c>
      <c r="K11" s="36">
        <v>2636727.4098500004</v>
      </c>
      <c r="L11" s="36">
        <v>2887791.6906499998</v>
      </c>
      <c r="M11" s="36">
        <v>2887791.6906499998</v>
      </c>
      <c r="N11" s="36">
        <v>2887791.6906499998</v>
      </c>
      <c r="O11" s="36">
        <v>2887791.6906499998</v>
      </c>
      <c r="P11" s="37">
        <f t="shared" si="0"/>
        <v>41640128.984949999</v>
      </c>
      <c r="S11"/>
    </row>
    <row r="12" spans="3:19" x14ac:dyDescent="0.25">
      <c r="C12" s="33" t="str">
        <f>C25</f>
        <v>Depreciation</v>
      </c>
      <c r="D12" s="36">
        <v>10518373.079155998</v>
      </c>
      <c r="E12" s="36">
        <v>10518373.079155998</v>
      </c>
      <c r="F12" s="36">
        <v>10518373.079155998</v>
      </c>
      <c r="G12" s="36">
        <v>10518373.079155998</v>
      </c>
      <c r="H12" s="36">
        <v>10518373.079155998</v>
      </c>
      <c r="I12" s="36">
        <v>10518373.079155998</v>
      </c>
      <c r="J12" s="36">
        <v>10518373.079155998</v>
      </c>
      <c r="K12" s="36">
        <v>10518373.079155998</v>
      </c>
      <c r="L12" s="36">
        <v>10518373.079155998</v>
      </c>
      <c r="M12" s="36">
        <v>10518373.079155998</v>
      </c>
      <c r="N12" s="36">
        <v>10518373.079155998</v>
      </c>
      <c r="O12" s="36">
        <v>10518373.079155998</v>
      </c>
      <c r="P12" s="37">
        <f t="shared" si="0"/>
        <v>126220476.94987197</v>
      </c>
      <c r="S12"/>
    </row>
    <row r="13" spans="3:19" x14ac:dyDescent="0.25">
      <c r="C13" s="33"/>
      <c r="D13" s="38">
        <f>D12/D14</f>
        <v>105243.93031970285</v>
      </c>
      <c r="E13" s="38">
        <f t="shared" ref="E13:O13" si="1">E12/E14</f>
        <v>98936.113120242881</v>
      </c>
      <c r="F13" s="38">
        <f t="shared" si="1"/>
        <v>94360.319108820899</v>
      </c>
      <c r="G13" s="38">
        <f t="shared" si="1"/>
        <v>90081.403356102659</v>
      </c>
      <c r="H13" s="38">
        <f t="shared" si="1"/>
        <v>87892.32259763655</v>
      </c>
      <c r="I13" s="38">
        <f t="shared" si="1"/>
        <v>121180.94905760324</v>
      </c>
      <c r="J13" s="38">
        <f t="shared" si="1"/>
        <v>164396.84345430558</v>
      </c>
      <c r="K13" s="38">
        <f t="shared" si="1"/>
        <v>163659.3969985327</v>
      </c>
      <c r="L13" s="38">
        <f t="shared" si="1"/>
        <v>147623.59534711644</v>
      </c>
      <c r="M13" s="38">
        <f t="shared" si="1"/>
        <v>145156.08872390544</v>
      </c>
      <c r="N13" s="38">
        <f t="shared" si="1"/>
        <v>142034.22688961745</v>
      </c>
      <c r="O13" s="38">
        <f t="shared" si="1"/>
        <v>135840.13171758445</v>
      </c>
      <c r="P13" s="39">
        <f t="shared" si="0"/>
        <v>1496405.3206911711</v>
      </c>
      <c r="S13"/>
    </row>
    <row r="14" spans="3:19" x14ac:dyDescent="0.25">
      <c r="C14" s="33" t="s">
        <v>22</v>
      </c>
      <c r="D14" s="36">
        <v>99.942800000000005</v>
      </c>
      <c r="E14" s="36">
        <v>106.31480000000001</v>
      </c>
      <c r="F14" s="36">
        <v>111.47029999999999</v>
      </c>
      <c r="G14" s="36">
        <v>116.76519999999999</v>
      </c>
      <c r="H14" s="36">
        <v>119.6734</v>
      </c>
      <c r="I14" s="36">
        <v>86.798900000000003</v>
      </c>
      <c r="J14" s="36">
        <v>63.9816</v>
      </c>
      <c r="K14" s="36">
        <v>64.269900000000007</v>
      </c>
      <c r="L14" s="36">
        <v>71.251300000000001</v>
      </c>
      <c r="M14" s="36">
        <v>72.462500000000006</v>
      </c>
      <c r="N14" s="36">
        <v>74.055199999999999</v>
      </c>
      <c r="O14" s="36">
        <v>77.432000000000002</v>
      </c>
      <c r="P14" s="37">
        <f>AVERAGE(D14:O14)</f>
        <v>88.701491666666655</v>
      </c>
      <c r="S14"/>
    </row>
    <row r="15" spans="3:19" x14ac:dyDescent="0.25">
      <c r="C15" s="26"/>
      <c r="S15"/>
    </row>
    <row r="16" spans="3:19" x14ac:dyDescent="0.25"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/>
      <c r="S16"/>
    </row>
    <row r="17" spans="2:17" ht="14.4" thickBot="1" x14ac:dyDescent="0.3">
      <c r="C17" s="27" t="s">
        <v>110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Q17"/>
    </row>
    <row r="18" spans="2:17" ht="14.4" thickBot="1" x14ac:dyDescent="0.3">
      <c r="C18" s="26"/>
      <c r="D18" s="55"/>
      <c r="E18" s="56" t="s">
        <v>51</v>
      </c>
      <c r="F18" s="57"/>
      <c r="G18" s="55" t="s">
        <v>52</v>
      </c>
      <c r="H18" s="56"/>
      <c r="I18" s="118"/>
      <c r="J18" s="55" t="s">
        <v>55</v>
      </c>
      <c r="K18" s="56"/>
      <c r="L18" s="118"/>
      <c r="M18" s="55" t="s">
        <v>56</v>
      </c>
      <c r="N18" s="56"/>
      <c r="O18" s="118"/>
      <c r="Q18"/>
    </row>
    <row r="19" spans="2:17" x14ac:dyDescent="0.25">
      <c r="B19"/>
      <c r="C19" s="26"/>
      <c r="D19" s="54">
        <v>44652</v>
      </c>
      <c r="E19" s="54">
        <v>44682</v>
      </c>
      <c r="F19" s="54">
        <v>44713</v>
      </c>
      <c r="G19" s="54">
        <v>44743</v>
      </c>
      <c r="H19" s="54">
        <v>44774</v>
      </c>
      <c r="I19" s="54">
        <v>44805</v>
      </c>
      <c r="J19" s="54">
        <v>44835</v>
      </c>
      <c r="K19" s="54">
        <v>44866</v>
      </c>
      <c r="L19" s="54">
        <v>44896</v>
      </c>
      <c r="M19" s="54">
        <v>44927</v>
      </c>
      <c r="N19" s="54">
        <v>44958</v>
      </c>
      <c r="O19" s="54">
        <v>44986</v>
      </c>
      <c r="P19" s="35" t="s">
        <v>111</v>
      </c>
      <c r="Q19"/>
    </row>
    <row r="20" spans="2:17" x14ac:dyDescent="0.25">
      <c r="B20"/>
      <c r="C20" s="33" t="str">
        <f t="array" ref="C20:C25">TRANSPOSE(Table1[[#Headers],[Wages &amp; Benefits]:[Depreciation]])</f>
        <v>Wages &amp; Benefits</v>
      </c>
      <c r="D20" s="40">
        <f t="array" ref="D20:O20">TRANSPOSE(DATA_CALCS!C4:C15)</f>
        <v>62729638</v>
      </c>
      <c r="E20" s="40">
        <v>72551001</v>
      </c>
      <c r="F20" s="40">
        <v>73971105</v>
      </c>
      <c r="G20" s="40">
        <v>73897678</v>
      </c>
      <c r="H20" s="40">
        <v>72710299</v>
      </c>
      <c r="I20" s="40">
        <v>73547018</v>
      </c>
      <c r="J20" s="40">
        <v>73353338</v>
      </c>
      <c r="K20" s="40">
        <v>73750600</v>
      </c>
      <c r="L20" s="40">
        <v>81025630</v>
      </c>
      <c r="M20" s="40">
        <v>72492566</v>
      </c>
      <c r="N20" s="40">
        <v>76626230</v>
      </c>
      <c r="O20" s="40">
        <v>79985453</v>
      </c>
      <c r="P20" s="42">
        <f t="shared" ref="P20:P25" si="2">SUM(D20:O20)</f>
        <v>886640556</v>
      </c>
      <c r="Q20"/>
    </row>
    <row r="21" spans="2:17" x14ac:dyDescent="0.25">
      <c r="B21"/>
      <c r="C21" s="33" t="str">
        <v>Rent &amp; Leases</v>
      </c>
      <c r="D21" s="38">
        <f t="array" ref="D21:O21">TRANSPOSE(DATA_CALCS!D4:D15)</f>
        <v>15595</v>
      </c>
      <c r="E21" s="38">
        <v>17982</v>
      </c>
      <c r="F21" s="38">
        <v>18327</v>
      </c>
      <c r="G21" s="38">
        <v>17309</v>
      </c>
      <c r="H21" s="38">
        <v>17020</v>
      </c>
      <c r="I21" s="38">
        <v>18224</v>
      </c>
      <c r="J21" s="38">
        <v>18177</v>
      </c>
      <c r="K21" s="38">
        <v>16738</v>
      </c>
      <c r="L21" s="38">
        <v>16802</v>
      </c>
      <c r="M21" s="38">
        <v>17967</v>
      </c>
      <c r="N21" s="38">
        <v>18972</v>
      </c>
      <c r="O21" s="38">
        <v>18788</v>
      </c>
      <c r="P21" s="39">
        <f t="shared" si="2"/>
        <v>211901</v>
      </c>
      <c r="Q21"/>
    </row>
    <row r="22" spans="2:17" x14ac:dyDescent="0.25">
      <c r="B22"/>
      <c r="C22" s="33" t="str">
        <v>Utilities</v>
      </c>
      <c r="D22" s="36">
        <f t="array" ref="D22:O22">TRANSPOSE(DATA_CALCS!E4:E15)</f>
        <v>7252212.5919370102</v>
      </c>
      <c r="E22" s="36">
        <v>7373187.9634998627</v>
      </c>
      <c r="F22" s="36">
        <v>7406582.8424939727</v>
      </c>
      <c r="G22" s="36">
        <v>7404911.9541001618</v>
      </c>
      <c r="H22" s="36">
        <v>7376995.1475569932</v>
      </c>
      <c r="I22" s="36">
        <v>7396816.9194616536</v>
      </c>
      <c r="J22" s="36">
        <v>7392277.2911770986</v>
      </c>
      <c r="K22" s="36">
        <v>7276650.2883999143</v>
      </c>
      <c r="L22" s="36">
        <v>7279679.250465407</v>
      </c>
      <c r="M22" s="36">
        <v>7371791.741691336</v>
      </c>
      <c r="N22" s="36">
        <v>7457770.0125125889</v>
      </c>
      <c r="O22" s="36">
        <v>7490272.2251045257</v>
      </c>
      <c r="P22" s="43">
        <f t="shared" si="2"/>
        <v>88479148.228400528</v>
      </c>
      <c r="Q22"/>
    </row>
    <row r="23" spans="2:17" x14ac:dyDescent="0.25">
      <c r="B23"/>
      <c r="C23" s="33" t="str">
        <v>Maintenance &amp; Repairs</v>
      </c>
      <c r="D23" s="36">
        <f t="array" ref="D23:O23">TRANSPOSE(DATA_CALCS!F4:F15)</f>
        <v>1333360.9048859216</v>
      </c>
      <c r="E23" s="36">
        <v>1498723.4521586287</v>
      </c>
      <c r="F23" s="36">
        <v>1522633.7635285745</v>
      </c>
      <c r="G23" s="36">
        <v>1521397.4722328202</v>
      </c>
      <c r="H23" s="36">
        <v>1501405.5445103622</v>
      </c>
      <c r="I23" s="36">
        <v>1515493.4184979538</v>
      </c>
      <c r="J23" s="36">
        <v>1512232.3986806804</v>
      </c>
      <c r="K23" s="36">
        <v>1412542.335150647</v>
      </c>
      <c r="L23" s="36">
        <v>1416995.4758872336</v>
      </c>
      <c r="M23" s="36">
        <v>1497739.5630139653</v>
      </c>
      <c r="N23" s="36">
        <v>1567338.178191676</v>
      </c>
      <c r="O23" s="36">
        <v>1623897.5065462</v>
      </c>
      <c r="P23" s="43">
        <f t="shared" si="2"/>
        <v>17923760.013284665</v>
      </c>
      <c r="Q23"/>
    </row>
    <row r="24" spans="2:17" x14ac:dyDescent="0.25">
      <c r="B24"/>
      <c r="C24" s="33" t="str">
        <v>Marketing &amp; Advertising</v>
      </c>
      <c r="D24" s="36">
        <f t="array" ref="D24:O24">TRANSPOSE(DATA_CALCS!G4:G15)</f>
        <v>4710703</v>
      </c>
      <c r="E24" s="36">
        <v>4786685</v>
      </c>
      <c r="F24" s="36">
        <v>5006921</v>
      </c>
      <c r="G24" s="36">
        <v>5099531</v>
      </c>
      <c r="H24" s="36">
        <v>5168776</v>
      </c>
      <c r="I24" s="36">
        <v>5665051</v>
      </c>
      <c r="J24" s="36">
        <v>5824058</v>
      </c>
      <c r="K24" s="36">
        <v>6176470</v>
      </c>
      <c r="L24" s="36">
        <v>6325390</v>
      </c>
      <c r="M24" s="36">
        <v>6354370</v>
      </c>
      <c r="N24" s="36">
        <v>6530871</v>
      </c>
      <c r="O24" s="36">
        <v>6291061</v>
      </c>
      <c r="P24" s="43">
        <f t="shared" si="2"/>
        <v>67939887</v>
      </c>
      <c r="Q24"/>
    </row>
    <row r="25" spans="2:17" x14ac:dyDescent="0.25">
      <c r="C25" s="33" t="str">
        <v>Depreciation</v>
      </c>
      <c r="D25" s="36">
        <f t="array" ref="D25:O25">TRANSPOSE(DATA_CALCS!H4:H15)</f>
        <v>16329623.719094342</v>
      </c>
      <c r="E25" s="36">
        <v>12365124.258137522</v>
      </c>
      <c r="F25" s="36">
        <v>11366849.266069803</v>
      </c>
      <c r="G25" s="36">
        <v>15986411.025698671</v>
      </c>
      <c r="H25" s="36">
        <v>12909877.21205947</v>
      </c>
      <c r="I25" s="36">
        <v>15793209.347163694</v>
      </c>
      <c r="J25" s="36">
        <v>10239915.329453403</v>
      </c>
      <c r="K25" s="36">
        <v>17746246.854233589</v>
      </c>
      <c r="L25" s="36">
        <v>14629319.032247979</v>
      </c>
      <c r="M25" s="36">
        <v>10191179.339510318</v>
      </c>
      <c r="N25" s="36">
        <v>10466647.078884941</v>
      </c>
      <c r="O25" s="36">
        <v>10030281.033318322</v>
      </c>
      <c r="P25" s="43">
        <f t="shared" si="2"/>
        <v>158054683.49587202</v>
      </c>
    </row>
    <row r="26" spans="2:17" x14ac:dyDescent="0.25">
      <c r="C26" s="33" t="s">
        <v>22</v>
      </c>
      <c r="D26" s="41">
        <f t="array" ref="D26:O26">TRANSPOSE(DATA_CALCS!K4:K15)</f>
        <v>112.6245</v>
      </c>
      <c r="E26" s="41">
        <v>113.6156</v>
      </c>
      <c r="F26" s="41">
        <v>121.33159999999999</v>
      </c>
      <c r="G26" s="41">
        <v>116.47880000000001</v>
      </c>
      <c r="H26" s="41">
        <v>122.11</v>
      </c>
      <c r="I26" s="41">
        <v>135.07409999999999</v>
      </c>
      <c r="J26" s="41">
        <v>142.39269999999999</v>
      </c>
      <c r="K26" s="41">
        <v>150.35159999999999</v>
      </c>
      <c r="L26" s="41">
        <v>152.79300000000001</v>
      </c>
      <c r="M26" s="41">
        <v>156.1173</v>
      </c>
      <c r="N26" s="41">
        <v>156.828</v>
      </c>
      <c r="O26" s="41">
        <v>146.62459999999999</v>
      </c>
      <c r="P26" s="43">
        <f>AVERAGE(D26:O26)</f>
        <v>135.52848333333336</v>
      </c>
    </row>
    <row r="27" spans="2:17" x14ac:dyDescent="0.25">
      <c r="C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/>
    </row>
    <row r="28" spans="2:17" x14ac:dyDescent="0.25">
      <c r="C28" s="26" t="s">
        <v>68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/>
    </row>
    <row r="29" spans="2:17" x14ac:dyDescent="0.25">
      <c r="C29" s="26"/>
      <c r="D29" s="54">
        <v>44652</v>
      </c>
      <c r="E29" s="54">
        <v>44682</v>
      </c>
      <c r="F29" s="54">
        <v>44713</v>
      </c>
      <c r="G29" s="54">
        <v>44743</v>
      </c>
      <c r="H29" s="54">
        <v>44774</v>
      </c>
      <c r="I29" s="54">
        <v>44805</v>
      </c>
      <c r="J29" s="54">
        <v>44835</v>
      </c>
      <c r="K29" s="54">
        <v>44866</v>
      </c>
      <c r="L29" s="54">
        <v>44896</v>
      </c>
      <c r="M29" s="54">
        <v>44927</v>
      </c>
      <c r="N29" s="54">
        <v>44958</v>
      </c>
      <c r="O29" s="54">
        <v>44986</v>
      </c>
      <c r="P29" s="35" t="s">
        <v>94</v>
      </c>
    </row>
    <row r="30" spans="2:17" x14ac:dyDescent="0.25">
      <c r="C30" s="33" t="s">
        <v>99</v>
      </c>
      <c r="D30" s="121">
        <f>D20/D$26</f>
        <v>556980.39058996935</v>
      </c>
      <c r="E30" s="121">
        <f t="shared" ref="E30:O30" si="3">E20/E$26</f>
        <v>638565.4874858734</v>
      </c>
      <c r="F30" s="121">
        <f t="shared" si="3"/>
        <v>609660.67372391035</v>
      </c>
      <c r="G30" s="121">
        <f t="shared" si="3"/>
        <v>634430.28259219695</v>
      </c>
      <c r="H30" s="121">
        <f t="shared" si="3"/>
        <v>595449.17697158305</v>
      </c>
      <c r="I30" s="121">
        <f t="shared" si="3"/>
        <v>544493.85929648986</v>
      </c>
      <c r="J30" s="121">
        <f t="shared" si="3"/>
        <v>515148.16419661965</v>
      </c>
      <c r="K30" s="121">
        <f t="shared" si="3"/>
        <v>490520.88571056112</v>
      </c>
      <c r="L30" s="121">
        <f t="shared" si="3"/>
        <v>530296.74134286249</v>
      </c>
      <c r="M30" s="121">
        <f t="shared" si="3"/>
        <v>464346.78283572674</v>
      </c>
      <c r="N30" s="121">
        <f t="shared" si="3"/>
        <v>488600.44124773634</v>
      </c>
      <c r="O30" s="121">
        <f t="shared" si="3"/>
        <v>545511.82407317741</v>
      </c>
      <c r="P30" s="122">
        <f t="shared" ref="P30:P35" si="4">SUM(D30:O30)</f>
        <v>6614004.7100667069</v>
      </c>
    </row>
    <row r="31" spans="2:17" x14ac:dyDescent="0.25">
      <c r="C31" s="33" t="s">
        <v>100</v>
      </c>
      <c r="D31" s="121">
        <f>D21</f>
        <v>15595</v>
      </c>
      <c r="E31" s="121">
        <f t="shared" ref="E31:O31" si="5">E21</f>
        <v>17982</v>
      </c>
      <c r="F31" s="121">
        <f t="shared" si="5"/>
        <v>18327</v>
      </c>
      <c r="G31" s="121">
        <f t="shared" si="5"/>
        <v>17309</v>
      </c>
      <c r="H31" s="121">
        <f t="shared" si="5"/>
        <v>17020</v>
      </c>
      <c r="I31" s="121">
        <f t="shared" si="5"/>
        <v>18224</v>
      </c>
      <c r="J31" s="121">
        <f t="shared" si="5"/>
        <v>18177</v>
      </c>
      <c r="K31" s="121">
        <f t="shared" si="5"/>
        <v>16738</v>
      </c>
      <c r="L31" s="121">
        <f t="shared" si="5"/>
        <v>16802</v>
      </c>
      <c r="M31" s="121">
        <f t="shared" si="5"/>
        <v>17967</v>
      </c>
      <c r="N31" s="121">
        <f t="shared" si="5"/>
        <v>18972</v>
      </c>
      <c r="O31" s="121">
        <f t="shared" si="5"/>
        <v>18788</v>
      </c>
      <c r="P31" s="122">
        <f t="shared" si="4"/>
        <v>211901</v>
      </c>
    </row>
    <row r="32" spans="2:17" x14ac:dyDescent="0.25">
      <c r="C32" s="33" t="s">
        <v>101</v>
      </c>
      <c r="D32" s="121">
        <f t="shared" ref="D32:O35" si="6">D22/D$26</f>
        <v>64392.850507101124</v>
      </c>
      <c r="E32" s="121">
        <f t="shared" si="6"/>
        <v>64895.911859813816</v>
      </c>
      <c r="F32" s="121">
        <f t="shared" si="6"/>
        <v>61044.13724449338</v>
      </c>
      <c r="G32" s="121">
        <f t="shared" si="6"/>
        <v>63573.044657913386</v>
      </c>
      <c r="H32" s="121">
        <f t="shared" si="6"/>
        <v>60412.702870829526</v>
      </c>
      <c r="I32" s="121">
        <f t="shared" si="6"/>
        <v>54761.178637959863</v>
      </c>
      <c r="J32" s="121">
        <f t="shared" si="6"/>
        <v>51914.72098764262</v>
      </c>
      <c r="K32" s="121">
        <f t="shared" si="6"/>
        <v>48397.558046604856</v>
      </c>
      <c r="L32" s="121">
        <f t="shared" si="6"/>
        <v>47644.062558267768</v>
      </c>
      <c r="M32" s="121">
        <f t="shared" si="6"/>
        <v>47219.569783049898</v>
      </c>
      <c r="N32" s="121">
        <f t="shared" si="6"/>
        <v>47553.817000233306</v>
      </c>
      <c r="O32" s="121">
        <f t="shared" si="6"/>
        <v>51084.689916320494</v>
      </c>
      <c r="P32" s="122">
        <f t="shared" si="4"/>
        <v>662894.24407023017</v>
      </c>
    </row>
    <row r="33" spans="3:16" x14ac:dyDescent="0.25">
      <c r="C33" s="33" t="s">
        <v>102</v>
      </c>
      <c r="D33" s="121">
        <f t="shared" si="6"/>
        <v>11838.995111063061</v>
      </c>
      <c r="E33" s="121">
        <f t="shared" si="6"/>
        <v>13191.17667079722</v>
      </c>
      <c r="F33" s="121">
        <f t="shared" si="6"/>
        <v>12549.358646293089</v>
      </c>
      <c r="G33" s="121">
        <f t="shared" si="6"/>
        <v>13061.582641929863</v>
      </c>
      <c r="H33" s="121">
        <f t="shared" si="6"/>
        <v>12295.516702238656</v>
      </c>
      <c r="I33" s="121">
        <f t="shared" si="6"/>
        <v>11219.718795075843</v>
      </c>
      <c r="J33" s="121">
        <f t="shared" si="6"/>
        <v>10620.153973347515</v>
      </c>
      <c r="K33" s="121">
        <f t="shared" si="6"/>
        <v>9394.9271916670459</v>
      </c>
      <c r="L33" s="121">
        <f t="shared" si="6"/>
        <v>9273.9554553365251</v>
      </c>
      <c r="M33" s="121">
        <f t="shared" si="6"/>
        <v>9593.6809246250432</v>
      </c>
      <c r="N33" s="121">
        <f t="shared" si="6"/>
        <v>9993.9945557660376</v>
      </c>
      <c r="O33" s="121">
        <f t="shared" si="6"/>
        <v>11075.205023892309</v>
      </c>
      <c r="P33" s="122">
        <f t="shared" si="4"/>
        <v>134108.2656920322</v>
      </c>
    </row>
    <row r="34" spans="3:16" customFormat="1" x14ac:dyDescent="0.25">
      <c r="C34" s="33" t="s">
        <v>103</v>
      </c>
      <c r="D34" s="121">
        <f t="shared" si="6"/>
        <v>41826.627421209421</v>
      </c>
      <c r="E34" s="121">
        <f t="shared" si="6"/>
        <v>42130.526089727115</v>
      </c>
      <c r="F34" s="121">
        <f t="shared" si="6"/>
        <v>41266.421937895815</v>
      </c>
      <c r="G34" s="121">
        <f t="shared" si="6"/>
        <v>43780.765255136554</v>
      </c>
      <c r="H34" s="121">
        <f t="shared" si="6"/>
        <v>42328.851035951193</v>
      </c>
      <c r="I34" s="121">
        <f t="shared" si="6"/>
        <v>41940.320165005731</v>
      </c>
      <c r="J34" s="121">
        <f t="shared" si="6"/>
        <v>40901.380478072264</v>
      </c>
      <c r="K34" s="121">
        <f t="shared" si="6"/>
        <v>41080.174737082947</v>
      </c>
      <c r="L34" s="121">
        <f t="shared" si="6"/>
        <v>41398.427938452674</v>
      </c>
      <c r="M34" s="121">
        <f t="shared" si="6"/>
        <v>40702.535849646389</v>
      </c>
      <c r="N34" s="121">
        <f t="shared" si="6"/>
        <v>41643.526666156555</v>
      </c>
      <c r="O34" s="121">
        <f t="shared" si="6"/>
        <v>42905.903920624507</v>
      </c>
      <c r="P34" s="122">
        <f t="shared" si="4"/>
        <v>501905.46149496123</v>
      </c>
    </row>
    <row r="35" spans="3:16" customFormat="1" x14ac:dyDescent="0.25">
      <c r="C35" s="33" t="s">
        <v>104</v>
      </c>
      <c r="D35" s="121">
        <f t="shared" si="6"/>
        <v>144991.75329607981</v>
      </c>
      <c r="E35" s="121">
        <f t="shared" si="6"/>
        <v>108832.9794336123</v>
      </c>
      <c r="F35" s="121">
        <f t="shared" si="6"/>
        <v>93684.161966625383</v>
      </c>
      <c r="G35" s="121">
        <f t="shared" si="6"/>
        <v>137247.38772805582</v>
      </c>
      <c r="H35" s="121">
        <f t="shared" si="6"/>
        <v>105723.34134845197</v>
      </c>
      <c r="I35" s="121">
        <f t="shared" si="6"/>
        <v>116922.55841174359</v>
      </c>
      <c r="J35" s="121">
        <f t="shared" si="6"/>
        <v>71913.204324754028</v>
      </c>
      <c r="K35" s="121">
        <f t="shared" si="6"/>
        <v>118031.64618290454</v>
      </c>
      <c r="L35" s="121">
        <f t="shared" si="6"/>
        <v>95746.002972963281</v>
      </c>
      <c r="M35" s="121">
        <f t="shared" si="6"/>
        <v>65278.987911719698</v>
      </c>
      <c r="N35" s="121">
        <f t="shared" si="6"/>
        <v>66739.657962130106</v>
      </c>
      <c r="O35" s="121">
        <f t="shared" si="6"/>
        <v>68407.900402240295</v>
      </c>
      <c r="P35" s="122">
        <f t="shared" si="4"/>
        <v>1193519.5819412807</v>
      </c>
    </row>
    <row r="36" spans="3:16" customFormat="1" ht="14.4" thickBot="1" x14ac:dyDescent="0.3">
      <c r="C36" s="33" t="s">
        <v>11</v>
      </c>
      <c r="D36" s="123">
        <f>SUM(D30:D35)</f>
        <v>835625.6169254228</v>
      </c>
      <c r="E36" s="123">
        <f t="shared" ref="E36:O36" si="7">SUM(E30:E35)</f>
        <v>885598.08153982379</v>
      </c>
      <c r="F36" s="123">
        <f t="shared" si="7"/>
        <v>836531.75351921795</v>
      </c>
      <c r="G36" s="123">
        <f t="shared" si="7"/>
        <v>909402.06287523254</v>
      </c>
      <c r="H36" s="123">
        <f t="shared" si="7"/>
        <v>833229.58892905433</v>
      </c>
      <c r="I36" s="123">
        <f t="shared" si="7"/>
        <v>787561.63530627498</v>
      </c>
      <c r="J36" s="123">
        <f t="shared" si="7"/>
        <v>708674.62396043609</v>
      </c>
      <c r="K36" s="123">
        <f t="shared" si="7"/>
        <v>724163.19186882046</v>
      </c>
      <c r="L36" s="123">
        <f t="shared" si="7"/>
        <v>741161.19026788266</v>
      </c>
      <c r="M36" s="123">
        <f t="shared" si="7"/>
        <v>645108.55730476778</v>
      </c>
      <c r="N36" s="123">
        <f t="shared" si="7"/>
        <v>673503.43743202242</v>
      </c>
      <c r="O36" s="123">
        <f t="shared" si="7"/>
        <v>737773.52333625511</v>
      </c>
      <c r="P36" s="124">
        <f>SUM(P30:P35)</f>
        <v>9318333.2632652111</v>
      </c>
    </row>
    <row r="37" spans="3:16" customFormat="1" ht="14.4" thickTop="1" x14ac:dyDescent="0.25"/>
    <row r="38" spans="3:16" customFormat="1" x14ac:dyDescent="0.25"/>
    <row r="39" spans="3:16" customFormat="1" x14ac:dyDescent="0.25"/>
    <row r="40" spans="3:16" customFormat="1" hidden="1" x14ac:dyDescent="0.25">
      <c r="C40" t="s">
        <v>96</v>
      </c>
      <c r="D40">
        <v>429300</v>
      </c>
      <c r="E40">
        <v>569250</v>
      </c>
      <c r="F40">
        <v>420750</v>
      </c>
      <c r="G40">
        <v>372645</v>
      </c>
      <c r="H40">
        <v>390150</v>
      </c>
      <c r="I40">
        <v>592650</v>
      </c>
      <c r="J40">
        <v>413910</v>
      </c>
      <c r="K40">
        <v>553050</v>
      </c>
      <c r="L40">
        <v>554040</v>
      </c>
      <c r="M40">
        <v>389250</v>
      </c>
      <c r="N40">
        <v>437400</v>
      </c>
      <c r="O40">
        <v>520155</v>
      </c>
    </row>
    <row r="41" spans="3:16" customFormat="1" x14ac:dyDescent="0.25"/>
    <row r="42" spans="3:16" x14ac:dyDescent="0.25">
      <c r="P42"/>
    </row>
  </sheetData>
  <pageMargins left="0.7" right="0.7" top="0.75" bottom="0.75" header="0.3" footer="0.3"/>
  <pageSetup orientation="portrait" r:id="rId1"/>
  <ignoredErrors>
    <ignoredError sqref="D31:O3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L41"/>
  <sheetViews>
    <sheetView showGridLines="0" zoomScale="88" zoomScaleNormal="88" workbookViewId="0">
      <selection activeCell="C5" sqref="C5"/>
    </sheetView>
  </sheetViews>
  <sheetFormatPr defaultRowHeight="13.8" x14ac:dyDescent="0.25"/>
  <cols>
    <col min="1" max="1" width="12.09765625" style="44" customWidth="1"/>
    <col min="2" max="2" width="13" style="44" customWidth="1"/>
    <col min="3" max="3" width="38.5" style="44" customWidth="1"/>
    <col min="4" max="4" width="18.69921875" style="44" customWidth="1"/>
    <col min="5" max="5" width="19.09765625" style="44" customWidth="1"/>
    <col min="6" max="6" width="19.69921875" style="44" customWidth="1"/>
    <col min="7" max="7" width="22" style="44" customWidth="1"/>
    <col min="8" max="8" width="19.69921875" style="44" customWidth="1"/>
    <col min="9" max="9" width="21" style="44" customWidth="1"/>
    <col min="10" max="10" width="18.796875" style="44" customWidth="1"/>
    <col min="11" max="11" width="18.5" style="44" customWidth="1"/>
    <col min="12" max="12" width="14.69921875" style="44" customWidth="1"/>
    <col min="13" max="16384" width="8.796875" style="44"/>
  </cols>
  <sheetData>
    <row r="1" spans="1:12" x14ac:dyDescent="0.25">
      <c r="A1" s="44" t="s">
        <v>63</v>
      </c>
    </row>
    <row r="2" spans="1:12" ht="14.4" thickBot="1" x14ac:dyDescent="0.3">
      <c r="A2" s="64"/>
      <c r="B2" s="64"/>
    </row>
    <row r="3" spans="1:12" ht="14.4" thickBot="1" x14ac:dyDescent="0.3">
      <c r="A3" s="65"/>
      <c r="B3" s="64"/>
      <c r="D3" s="50" t="s">
        <v>60</v>
      </c>
      <c r="E3" s="51"/>
      <c r="F3" s="51"/>
      <c r="G3" s="52"/>
      <c r="H3" s="50" t="s">
        <v>95</v>
      </c>
      <c r="I3" s="51"/>
      <c r="J3" s="51"/>
      <c r="K3" s="52"/>
      <c r="L3" s="119"/>
    </row>
    <row r="4" spans="1:12" ht="14.4" thickBot="1" x14ac:dyDescent="0.3">
      <c r="C4" s="53"/>
      <c r="D4" s="49" t="s">
        <v>51</v>
      </c>
      <c r="E4" s="49" t="s">
        <v>52</v>
      </c>
      <c r="F4" s="49" t="s">
        <v>55</v>
      </c>
      <c r="G4" s="49" t="s">
        <v>56</v>
      </c>
      <c r="H4" s="49" t="s">
        <v>51</v>
      </c>
      <c r="I4" s="49" t="s">
        <v>52</v>
      </c>
      <c r="J4" s="49" t="s">
        <v>55</v>
      </c>
      <c r="K4" s="49" t="s">
        <v>56</v>
      </c>
      <c r="L4" s="119"/>
    </row>
    <row r="5" spans="1:12" ht="15" thickTop="1" thickBot="1" x14ac:dyDescent="0.3">
      <c r="C5" s="125" t="str">
        <f>DASHBOARD!AI23</f>
        <v>Wages &amp; Benefits</v>
      </c>
      <c r="D5" s="62">
        <f ca="1">SUM(OFFSET('YOY DATA'!D7,MATCH('YOY ANALYSIS'!$C$5,'YOY DATA'!$C$7:$C$14,0)-1,0,1,3))</f>
        <v>166954140</v>
      </c>
      <c r="E5" s="62">
        <f ca="1">SUM(OFFSET('YOY DATA'!G7,MATCH('YOY ANALYSIS'!$C$5,'YOY DATA'!$C$7:$C$14,0)-1,0,1,3))</f>
        <v>166954140</v>
      </c>
      <c r="F5" s="62">
        <f ca="1">SUM(OFFSET('YOY DATA'!J7,MATCH('YOY ANALYSIS'!$C$5,'YOY DATA'!$C$7:$C$14,0)-1,0,1,3))</f>
        <v>166954140</v>
      </c>
      <c r="G5" s="62">
        <f ca="1">SUM(OFFSET('YOY DATA'!M7,MATCH('YOY ANALYSIS'!$C$5,'YOY DATA'!$C$7:$C$14,0)-1,0,1,3))</f>
        <v>166954140</v>
      </c>
      <c r="H5" s="47">
        <f ca="1">SUM(OFFSET('YOY DATA'!$D$20,MATCH('YOY ANALYSIS'!$C$5,'YOY DATA'!$C$20:$C$26,0)-1,0,1,3))</f>
        <v>209251744</v>
      </c>
      <c r="I5" s="47">
        <f ca="1">SUM(OFFSET('YOY DATA'!$G$20,MATCH('YOY ANALYSIS'!$C$5,'YOY DATA'!$C$20:$C$26,0)-1,0,1,3))</f>
        <v>220154995</v>
      </c>
      <c r="J5" s="47">
        <f ca="1">SUM(OFFSET('YOY DATA'!$J$20,MATCH('YOY ANALYSIS'!$C$5,'YOY DATA'!$C$20:$C$26,0)-1,0,1,3))</f>
        <v>228129568</v>
      </c>
      <c r="K5" s="47">
        <f ca="1">SUM(OFFSET('YOY DATA'!$M$20,MATCH('YOY ANALYSIS'!$C$5,'YOY DATA'!$C$20:$C$26,0)-1,0,1,3))</f>
        <v>229104249</v>
      </c>
      <c r="L5" s="119"/>
    </row>
    <row r="6" spans="1:12" x14ac:dyDescent="0.25">
      <c r="C6" s="60" t="s">
        <v>64</v>
      </c>
      <c r="D6" s="62"/>
      <c r="E6" s="62"/>
      <c r="F6" s="62"/>
      <c r="G6" s="62">
        <f ca="1">SUM(D5:G5)</f>
        <v>667816560</v>
      </c>
      <c r="H6" s="120"/>
      <c r="I6" s="120"/>
      <c r="J6" s="120"/>
      <c r="K6" s="120"/>
      <c r="L6" s="119"/>
    </row>
    <row r="7" spans="1:12" ht="14.4" thickBot="1" x14ac:dyDescent="0.3"/>
    <row r="8" spans="1:12" ht="14.4" thickBot="1" x14ac:dyDescent="0.3">
      <c r="D8" s="50" t="s">
        <v>95</v>
      </c>
      <c r="E8" s="51"/>
      <c r="F8" s="51"/>
      <c r="G8" s="52"/>
    </row>
    <row r="9" spans="1:12" ht="14.4" thickBot="1" x14ac:dyDescent="0.3">
      <c r="D9" s="49" t="s">
        <v>51</v>
      </c>
      <c r="E9" s="49" t="s">
        <v>52</v>
      </c>
      <c r="F9" s="49" t="s">
        <v>55</v>
      </c>
      <c r="G9" s="49" t="s">
        <v>56</v>
      </c>
    </row>
    <row r="10" spans="1:12" ht="14.4" thickTop="1" x14ac:dyDescent="0.25">
      <c r="D10" s="62">
        <f ca="1">SUM(OFFSET('YOY DATA'!$D$20,MATCH('YOY ANALYSIS'!$C$5,'YOY DATA'!$C$20:$C$26,0)-1,0,1,3))</f>
        <v>209251744</v>
      </c>
      <c r="E10" s="62">
        <f ca="1">SUM(OFFSET('YOY DATA'!$G$20,MATCH('YOY ANALYSIS'!$C$5,'YOY DATA'!$C$20:$C$26,0)-1,0,1,3))</f>
        <v>220154995</v>
      </c>
      <c r="F10" s="62">
        <f ca="1">SUM(OFFSET('YOY DATA'!$J$20,MATCH('YOY ANALYSIS'!$C$5,'YOY DATA'!$C$20:$C$26,0)-1,0,1,3))</f>
        <v>228129568</v>
      </c>
      <c r="G10" s="62">
        <f ca="1">SUM(OFFSET('YOY DATA'!$M$20,MATCH('YOY ANALYSIS'!$C$5,'YOY DATA'!$C$20:$C$26,0)-1,0,1,3))</f>
        <v>229104249</v>
      </c>
    </row>
    <row r="11" spans="1:12" x14ac:dyDescent="0.25">
      <c r="C11" s="66" t="s">
        <v>64</v>
      </c>
      <c r="D11" s="62"/>
      <c r="E11" s="62"/>
      <c r="F11" s="62"/>
      <c r="G11" s="62">
        <f ca="1">SUM(D10:G10)</f>
        <v>886640556</v>
      </c>
    </row>
    <row r="12" spans="1:12" x14ac:dyDescent="0.25">
      <c r="C12" s="67" t="s">
        <v>97</v>
      </c>
      <c r="D12" s="63">
        <f ca="1">(D10-D5)/D5</f>
        <v>0.25334863813499925</v>
      </c>
      <c r="E12" s="63">
        <f ca="1">(E10-E5)/E5</f>
        <v>0.31865550024695405</v>
      </c>
      <c r="F12" s="63">
        <f ca="1">(F10-F5)/F5</f>
        <v>0.36642055117650874</v>
      </c>
      <c r="G12" s="63">
        <f ca="1">(G10-G5)/G5</f>
        <v>0.37225856753237746</v>
      </c>
    </row>
    <row r="13" spans="1:12" x14ac:dyDescent="0.25">
      <c r="C13" s="44" t="s">
        <v>98</v>
      </c>
      <c r="G13" s="63">
        <f ca="1">(G11-G6)/G6</f>
        <v>0.32767081427270983</v>
      </c>
    </row>
    <row r="16" spans="1:12" ht="14.4" thickBot="1" x14ac:dyDescent="0.3">
      <c r="C16" s="45"/>
      <c r="D16" s="71" t="s">
        <v>60</v>
      </c>
      <c r="E16" s="71" t="s">
        <v>95</v>
      </c>
      <c r="F16" s="71" t="s">
        <v>50</v>
      </c>
    </row>
    <row r="17" spans="3:12" ht="14.4" thickTop="1" x14ac:dyDescent="0.25">
      <c r="C17" s="44" t="s">
        <v>83</v>
      </c>
      <c r="D17" s="62">
        <f>SUM('YOY DATA'!D7:O7)</f>
        <v>667816560</v>
      </c>
      <c r="E17" s="62">
        <f>SUM('YOY DATA'!D20:O20)</f>
        <v>886640556</v>
      </c>
      <c r="F17" s="46">
        <f t="shared" ref="F17:F23" si="0">(E17-D17)/D17</f>
        <v>0.32767081427270983</v>
      </c>
    </row>
    <row r="18" spans="3:12" x14ac:dyDescent="0.25">
      <c r="C18" s="44" t="s">
        <v>84</v>
      </c>
      <c r="D18" s="58">
        <f>SUM('YOY DATA'!D8:O8)</f>
        <v>153660</v>
      </c>
      <c r="E18" s="58">
        <f>SUM('YOY DATA'!D21:O21)</f>
        <v>211901</v>
      </c>
      <c r="F18" s="46">
        <f t="shared" si="0"/>
        <v>0.37902512039567876</v>
      </c>
    </row>
    <row r="19" spans="3:12" x14ac:dyDescent="0.25">
      <c r="C19" s="44" t="s">
        <v>87</v>
      </c>
      <c r="D19" s="62">
        <f>SUM('YOY DATA'!D9:O9)</f>
        <v>88970964.528660387</v>
      </c>
      <c r="E19" s="62">
        <f>SUM('YOY DATA'!D22:O22)</f>
        <v>88479148.228400528</v>
      </c>
      <c r="F19" s="46">
        <f t="shared" si="0"/>
        <v>-5.5278292515467632E-3</v>
      </c>
    </row>
    <row r="20" spans="3:12" x14ac:dyDescent="0.25">
      <c r="C20" s="44" t="s">
        <v>82</v>
      </c>
      <c r="D20" s="62">
        <f>SUM('YOY DATA'!D10:O10)</f>
        <v>7019030.2343497649</v>
      </c>
      <c r="E20" s="62">
        <f>SUM('YOY DATA'!D23:O23)</f>
        <v>17923760.013284665</v>
      </c>
      <c r="F20" s="46">
        <f t="shared" si="0"/>
        <v>1.5535949290500672</v>
      </c>
    </row>
    <row r="21" spans="3:12" x14ac:dyDescent="0.25">
      <c r="C21" s="44" t="s">
        <v>85</v>
      </c>
      <c r="D21" s="62">
        <f>SUM('YOY DATA'!D11:O11)</f>
        <v>41640128.984949999</v>
      </c>
      <c r="E21" s="62">
        <f>SUM('YOY DATA'!D24:O24)</f>
        <v>67939887</v>
      </c>
      <c r="F21" s="46">
        <f t="shared" si="0"/>
        <v>0.63159645890039218</v>
      </c>
    </row>
    <row r="22" spans="3:12" x14ac:dyDescent="0.25">
      <c r="D22" s="62"/>
      <c r="E22" s="62"/>
      <c r="F22" s="46"/>
    </row>
    <row r="23" spans="3:12" x14ac:dyDescent="0.25">
      <c r="C23" s="44" t="s">
        <v>61</v>
      </c>
      <c r="D23" s="61">
        <f>AVERAGE('YOY DATA'!D14:O14)</f>
        <v>88.701491666666655</v>
      </c>
      <c r="E23" s="61">
        <f>AVERAGE('YOY DATA'!D26:O26)</f>
        <v>135.52848333333336</v>
      </c>
      <c r="F23" s="46">
        <f t="shared" si="0"/>
        <v>0.52791661996665074</v>
      </c>
    </row>
    <row r="25" spans="3:12" hidden="1" x14ac:dyDescent="0.25">
      <c r="D25" s="60" t="s">
        <v>62</v>
      </c>
      <c r="E25" s="60" t="s">
        <v>62</v>
      </c>
    </row>
    <row r="26" spans="3:12" ht="14.4" hidden="1" thickBot="1" x14ac:dyDescent="0.3">
      <c r="C26" s="68"/>
      <c r="D26" s="69" t="s">
        <v>60</v>
      </c>
      <c r="E26" s="69" t="s">
        <v>95</v>
      </c>
      <c r="F26" s="70" t="s">
        <v>50</v>
      </c>
    </row>
    <row r="27" spans="3:12" ht="14.4" hidden="1" thickTop="1" x14ac:dyDescent="0.25">
      <c r="C27" s="44" t="s">
        <v>53</v>
      </c>
      <c r="D27" s="59">
        <v>123192.434658699</v>
      </c>
      <c r="E27" s="59">
        <f>E17/E23</f>
        <v>6542097.5295598982</v>
      </c>
      <c r="F27" s="46">
        <f t="shared" ref="F27:F32" si="1">(E27-D27)/D27</f>
        <v>52.104701986648664</v>
      </c>
      <c r="L27" s="48"/>
    </row>
    <row r="28" spans="3:12" hidden="1" x14ac:dyDescent="0.25">
      <c r="C28" s="44" t="s">
        <v>54</v>
      </c>
      <c r="D28" s="59">
        <v>169079.57706634208</v>
      </c>
      <c r="E28" s="59">
        <f>E18</f>
        <v>211901</v>
      </c>
      <c r="F28" s="46">
        <f t="shared" si="1"/>
        <v>0.25326194728329604</v>
      </c>
    </row>
    <row r="29" spans="3:12" hidden="1" x14ac:dyDescent="0.25">
      <c r="C29" s="44" t="s">
        <v>57</v>
      </c>
      <c r="D29" s="59">
        <f>D19/D23</f>
        <v>1003037.974412047</v>
      </c>
      <c r="E29" s="59">
        <f>E19/E23</f>
        <v>652845.40970465506</v>
      </c>
      <c r="F29" s="46">
        <f t="shared" si="1"/>
        <v>-0.34913191089566181</v>
      </c>
    </row>
    <row r="30" spans="3:12" hidden="1" x14ac:dyDescent="0.25">
      <c r="C30" s="44" t="s">
        <v>58</v>
      </c>
      <c r="D30" s="59">
        <v>820493.51291535515</v>
      </c>
      <c r="E30" s="59">
        <f>E20</f>
        <v>17923760.013284665</v>
      </c>
      <c r="F30" s="46">
        <f t="shared" si="1"/>
        <v>20.845096556093967</v>
      </c>
    </row>
    <row r="31" spans="3:12" hidden="1" x14ac:dyDescent="0.25">
      <c r="C31" s="44" t="s">
        <v>59</v>
      </c>
      <c r="D31" s="59">
        <v>445939.49194585753</v>
      </c>
      <c r="E31" s="59">
        <f>E21</f>
        <v>67939887</v>
      </c>
      <c r="F31" s="46">
        <f t="shared" si="1"/>
        <v>151.35225457055668</v>
      </c>
    </row>
    <row r="32" spans="3:12" hidden="1" x14ac:dyDescent="0.25">
      <c r="C32" s="44" t="s">
        <v>11</v>
      </c>
      <c r="D32" s="59">
        <f>SUM(D27:D31)</f>
        <v>2561742.9909983007</v>
      </c>
      <c r="E32" s="59">
        <f>SUM(E27:E31)</f>
        <v>93270490.952549219</v>
      </c>
      <c r="F32" s="46">
        <f t="shared" si="1"/>
        <v>35.408996249932976</v>
      </c>
    </row>
    <row r="33" spans="3:6" hidden="1" x14ac:dyDescent="0.25"/>
    <row r="34" spans="3:6" hidden="1" x14ac:dyDescent="0.25"/>
    <row r="35" spans="3:6" hidden="1" x14ac:dyDescent="0.25">
      <c r="C35" s="79"/>
      <c r="D35" s="80" t="s">
        <v>60</v>
      </c>
      <c r="E35" s="80" t="s">
        <v>95</v>
      </c>
      <c r="F35" s="80" t="s">
        <v>50</v>
      </c>
    </row>
    <row r="36" spans="3:6" hidden="1" x14ac:dyDescent="0.25">
      <c r="C36" s="76" t="s">
        <v>57</v>
      </c>
      <c r="D36" s="81">
        <f>D29+D30</f>
        <v>1823531.487327402</v>
      </c>
      <c r="E36" s="81">
        <f>E29+E30</f>
        <v>18576605.42298932</v>
      </c>
      <c r="F36" s="82">
        <f>(E36-D36)/D36</f>
        <v>9.187159120688122</v>
      </c>
    </row>
    <row r="37" spans="3:6" hidden="1" x14ac:dyDescent="0.25">
      <c r="C37" s="76" t="s">
        <v>65</v>
      </c>
      <c r="D37" s="81">
        <f>D27+D28+D31</f>
        <v>738211.50367089862</v>
      </c>
      <c r="E37" s="81">
        <f>E27+E28+E31</f>
        <v>74693885.529559895</v>
      </c>
      <c r="F37" s="82">
        <f>(E37-D37)/D37</f>
        <v>100.18222915537103</v>
      </c>
    </row>
    <row r="38" spans="3:6" hidden="1" x14ac:dyDescent="0.25">
      <c r="C38" s="76" t="s">
        <v>11</v>
      </c>
      <c r="D38" s="81">
        <f>SUM(D36:D37)</f>
        <v>2561742.9909983007</v>
      </c>
      <c r="E38" s="81">
        <f>SUM(E36:E37)</f>
        <v>93270490.952549219</v>
      </c>
      <c r="F38" s="82">
        <f>(E38-D38)/D38</f>
        <v>35.408996249932976</v>
      </c>
    </row>
    <row r="39" spans="3:6" s="53" customFormat="1" hidden="1" x14ac:dyDescent="0.25">
      <c r="C39" s="72"/>
      <c r="D39" s="73"/>
      <c r="E39" s="73"/>
      <c r="F39" s="75"/>
    </row>
    <row r="40" spans="3:6" hidden="1" x14ac:dyDescent="0.25">
      <c r="C40" s="76" t="s">
        <v>66</v>
      </c>
      <c r="D40" s="77">
        <v>8203167.7000000011</v>
      </c>
      <c r="E40" s="77">
        <v>7751696.6999999993</v>
      </c>
      <c r="F40" s="78">
        <f>(E40-D40)/D40</f>
        <v>-5.5036178280251639E-2</v>
      </c>
    </row>
    <row r="41" spans="3:6" hidden="1" x14ac:dyDescent="0.25">
      <c r="C41" s="72" t="s">
        <v>67</v>
      </c>
      <c r="D41" s="74">
        <v>8203794.2000000011</v>
      </c>
      <c r="E41" s="74">
        <v>7769552.4000000004</v>
      </c>
      <c r="F41" s="75">
        <f>(E41-D41)/D41</f>
        <v>-5.2931825130376954E-2</v>
      </c>
    </row>
  </sheetData>
  <conditionalFormatting sqref="H5:K5">
    <cfRule type="expression" dxfId="3" priority="30">
      <formula>$C$5="FUEL AND DELIVERY"</formula>
    </cfRule>
    <cfRule type="expression" dxfId="2" priority="32">
      <formula>$C$5="MONCASH OPERATIONS FEE"</formula>
    </cfRule>
  </conditionalFormatting>
  <conditionalFormatting sqref="H5:K5">
    <cfRule type="expression" dxfId="1" priority="28">
      <formula>$C$5="FUEL DELIVERY"</formula>
    </cfRule>
    <cfRule type="expression" dxfId="0" priority="29">
      <formula>$C$5="MANUAL HANDLING"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7" id="{94D4CD33-F590-42AD-91E6-37C2AA1A58D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F27:F32</xm:sqref>
        </x14:conditionalFormatting>
        <x14:conditionalFormatting xmlns:xm="http://schemas.microsoft.com/office/excel/2006/main">
          <x14:cfRule type="iconSet" priority="18" id="{7D52CDCF-3ED1-47E8-8D2E-5DB9E407A39E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2"/>
              <x14:cfIcon iconSet="3Triangles" iconId="1"/>
              <x14:cfIcon iconSet="3Symbols" iconId="0"/>
            </x14:iconSet>
          </x14:cfRule>
          <xm:sqref>D12:G12</xm:sqref>
        </x14:conditionalFormatting>
        <x14:conditionalFormatting xmlns:xm="http://schemas.microsoft.com/office/excel/2006/main">
          <x14:cfRule type="iconSet" priority="15" id="{8F09C7A3-1CC8-4723-AD35-7ACD06585EC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F39:F41</xm:sqref>
        </x14:conditionalFormatting>
        <x14:conditionalFormatting xmlns:xm="http://schemas.microsoft.com/office/excel/2006/main">
          <x14:cfRule type="iconSet" priority="14" id="{98013230-AB24-4732-8942-16E4664CF8B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F36:F38</xm:sqref>
        </x14:conditionalFormatting>
        <x14:conditionalFormatting xmlns:xm="http://schemas.microsoft.com/office/excel/2006/main">
          <x14:cfRule type="iconSet" priority="39" id="{92CEE6D6-39AA-43DC-AC7B-404B08515AA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F17:F23</xm:sqref>
        </x14:conditionalFormatting>
        <x14:conditionalFormatting xmlns:xm="http://schemas.microsoft.com/office/excel/2006/main">
          <x14:cfRule type="iconSet" priority="1" id="{93C1829B-507F-4DED-83E5-E902D03BC838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2"/>
              <x14:cfIcon iconSet="3Triangles" iconId="1"/>
              <x14:cfIcon iconSet="3Symbols" iconId="0"/>
            </x14:iconSet>
          </x14:cfRule>
          <xm:sqref>G13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'YOY DATA'!$C$20:$C$25</xm:f>
          </x14:formula1>
          <xm:sqref>C5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A86A6CDC09445B85B1112006651C6" ma:contentTypeVersion="14" ma:contentTypeDescription="Create a new document." ma:contentTypeScope="" ma:versionID="f50ca0228aa99da7c790dcd4205298cc">
  <xsd:schema xmlns:xsd="http://www.w3.org/2001/XMLSchema" xmlns:xs="http://www.w3.org/2001/XMLSchema" xmlns:p="http://schemas.microsoft.com/office/2006/metadata/properties" xmlns:ns3="3ac9efda-190d-4371-bcad-5475188f4c92" xmlns:ns4="94386abe-fc19-472e-bdc9-ce5a6fb4a4fb" targetNamespace="http://schemas.microsoft.com/office/2006/metadata/properties" ma:root="true" ma:fieldsID="b61b307caa037f2b960f363c1e68c6c5" ns3:_="" ns4:_="">
    <xsd:import namespace="3ac9efda-190d-4371-bcad-5475188f4c92"/>
    <xsd:import namespace="94386abe-fc19-472e-bdc9-ce5a6fb4a4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9efda-190d-4371-bcad-5475188f4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86abe-fc19-472e-bdc9-ce5a6fb4a4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CBE59-18C1-4F76-B0AE-7860D4F1F7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52A13B-21CE-43D0-B517-38AEEDBE38DE}">
  <ds:schemaRefs>
    <ds:schemaRef ds:uri="http://purl.org/dc/terms/"/>
    <ds:schemaRef ds:uri="http://www.w3.org/XML/1998/namespace"/>
    <ds:schemaRef ds:uri="http://purl.org/dc/elements/1.1/"/>
    <ds:schemaRef ds:uri="3ac9efda-190d-4371-bcad-5475188f4c9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94386abe-fc19-472e-bdc9-ce5a6fb4a4fb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9B5C93E-F43A-49EC-B179-E8E60E8FE9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9efda-190d-4371-bcad-5475188f4c92"/>
    <ds:schemaRef ds:uri="94386abe-fc19-472e-bdc9-ce5a6fb4a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DATA_CALCS</vt:lpstr>
      <vt:lpstr>YOY DATA</vt:lpstr>
      <vt:lpstr>YOY ANALYSIS</vt:lpstr>
      <vt:lpstr>actual</vt:lpstr>
      <vt:lpstr>FX_RATE</vt:lpstr>
      <vt:lpstr>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Jacques Antoine</dc:creator>
  <cp:keywords/>
  <dc:description/>
  <cp:lastModifiedBy>Jacques Antoine</cp:lastModifiedBy>
  <cp:revision/>
  <cp:lastPrinted>2021-04-12T14:57:45Z</cp:lastPrinted>
  <dcterms:created xsi:type="dcterms:W3CDTF">2020-01-14T20:00:01Z</dcterms:created>
  <dcterms:modified xsi:type="dcterms:W3CDTF">2023-08-21T16:02:59Z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0x010100321A86A6CDC09445B85B1112006651C6</vt:lpwstr>
  </property>
</Properties>
</file>