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oe/Desktop/"/>
    </mc:Choice>
  </mc:AlternateContent>
  <xr:revisionPtr revIDLastSave="0" documentId="8_{3AECCF63-CB69-A348-A428-8B4CCFCA642D}" xr6:coauthVersionLast="47" xr6:coauthVersionMax="47" xr10:uidLastSave="{00000000-0000-0000-0000-000000000000}"/>
  <bookViews>
    <workbookView xWindow="0" yWindow="760" windowWidth="30240" windowHeight="17360" tabRatio="842" xr2:uid="{90990F8A-3AEC-7745-A3DA-2C24D1217999}"/>
  </bookViews>
  <sheets>
    <sheet name="MainForm" sheetId="5" r:id="rId1"/>
    <sheet name="Budget " sheetId="24" r:id="rId2"/>
    <sheet name="Fall" sheetId="1" r:id="rId3"/>
    <sheet name="Winter" sheetId="19" r:id="rId4"/>
    <sheet name="Spring" sheetId="20" r:id="rId5"/>
    <sheet name="Sheet3" sheetId="27" r:id="rId6"/>
    <sheet name="In Coming Funds" sheetId="6" r:id="rId7"/>
    <sheet name="Out Going Funds" sheetId="3" r:id="rId8"/>
    <sheet name="IFC &amp; Nationals Payments" sheetId="9" r:id="rId9"/>
    <sheet name="Vegas 2025" sheetId="26" r:id="rId10"/>
    <sheet name="Vegas 2024" sheetId="22" r:id="rId11"/>
    <sheet name="Vegas" sheetId="21" r:id="rId12"/>
  </sheets>
  <definedNames>
    <definedName name="_xlnm._FilterDatabase" localSheetId="2" hidden="1">Fall!$G$2:$U$138</definedName>
    <definedName name="_xlnm._FilterDatabase" localSheetId="7" hidden="1">'Out Going Funds'!$B$59:$M$100</definedName>
    <definedName name="_xlnm._FilterDatabase" localSheetId="4" hidden="1">Spring!$G$2:$Y$144</definedName>
    <definedName name="_xlnm._FilterDatabase" localSheetId="9" hidden="1">'Vegas 2025'!$C$13:$K$73</definedName>
    <definedName name="_xlnm._FilterDatabase" localSheetId="3" hidden="1">Winter!$G$2:$Y$159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9" i="20" l="1"/>
  <c r="N67" i="20"/>
  <c r="M93" i="20"/>
  <c r="M82" i="3"/>
  <c r="R50" i="26"/>
  <c r="R51" i="26"/>
  <c r="R52" i="26"/>
  <c r="R53" i="26"/>
  <c r="M80" i="3"/>
  <c r="R47" i="26"/>
  <c r="R48" i="26"/>
  <c r="R49" i="26"/>
  <c r="R45" i="26"/>
  <c r="R46" i="26"/>
  <c r="R41" i="26"/>
  <c r="R42" i="26"/>
  <c r="R43" i="26"/>
  <c r="R44" i="26"/>
  <c r="R37" i="26"/>
  <c r="R38" i="26"/>
  <c r="R39" i="26"/>
  <c r="R40" i="26"/>
  <c r="R31" i="26"/>
  <c r="R32" i="26"/>
  <c r="R33" i="26"/>
  <c r="R34" i="26"/>
  <c r="R35" i="26"/>
  <c r="R36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M26" i="6"/>
  <c r="M48" i="3"/>
  <c r="K21" i="26"/>
  <c r="K33" i="26"/>
  <c r="K73" i="20"/>
  <c r="K37" i="26"/>
  <c r="K45" i="26"/>
  <c r="K47" i="26"/>
  <c r="K48" i="26"/>
  <c r="K46" i="26"/>
  <c r="R9" i="26"/>
  <c r="R7" i="26"/>
  <c r="M78" i="3"/>
  <c r="M24" i="6"/>
  <c r="E10" i="24"/>
  <c r="Q8" i="26"/>
  <c r="R8" i="26" s="1"/>
  <c r="P8" i="26"/>
  <c r="P9" i="26"/>
  <c r="Q4" i="26"/>
  <c r="K19" i="26"/>
  <c r="M25" i="6"/>
  <c r="M77" i="3"/>
  <c r="M44" i="3"/>
  <c r="M76" i="3"/>
  <c r="M40" i="3"/>
  <c r="M49" i="20"/>
  <c r="M29" i="20"/>
  <c r="K56" i="26"/>
  <c r="K32" i="26"/>
  <c r="K29" i="26"/>
  <c r="I11" i="3"/>
  <c r="M37" i="3"/>
  <c r="M74" i="3"/>
  <c r="I32" i="24"/>
  <c r="J32" i="24"/>
  <c r="K32" i="24"/>
  <c r="M71" i="3"/>
  <c r="M31" i="3"/>
  <c r="M29" i="3"/>
  <c r="M70" i="3"/>
  <c r="M65" i="3"/>
  <c r="M69" i="3"/>
  <c r="M68" i="3"/>
  <c r="M43" i="20"/>
  <c r="Q43" i="20" s="1"/>
  <c r="M28" i="3"/>
  <c r="M64" i="3"/>
  <c r="K34" i="26"/>
  <c r="J84" i="20"/>
  <c r="K5" i="26"/>
  <c r="M24" i="3"/>
  <c r="G13" i="5"/>
  <c r="K145" i="20"/>
  <c r="E16" i="24"/>
  <c r="M26" i="3"/>
  <c r="M63" i="3"/>
  <c r="I72" i="26"/>
  <c r="D3" i="27"/>
  <c r="D4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3" i="27"/>
  <c r="D24" i="27"/>
  <c r="D25" i="27"/>
  <c r="D26" i="27"/>
  <c r="D27" i="27"/>
  <c r="D28" i="27"/>
  <c r="D29" i="27"/>
  <c r="D30" i="27"/>
  <c r="D31" i="27"/>
  <c r="D32" i="27"/>
  <c r="D33" i="27"/>
  <c r="D34" i="27"/>
  <c r="D2" i="27"/>
  <c r="K42" i="26"/>
  <c r="K43" i="26"/>
  <c r="K44" i="26"/>
  <c r="K49" i="26"/>
  <c r="K50" i="26"/>
  <c r="K51" i="26"/>
  <c r="K52" i="26"/>
  <c r="K54" i="26"/>
  <c r="K57" i="26"/>
  <c r="K58" i="26"/>
  <c r="K60" i="26"/>
  <c r="K61" i="26"/>
  <c r="K62" i="26"/>
  <c r="K63" i="26"/>
  <c r="K64" i="26"/>
  <c r="K65" i="26"/>
  <c r="K66" i="26"/>
  <c r="K67" i="26"/>
  <c r="K68" i="26"/>
  <c r="K69" i="26"/>
  <c r="K70" i="26"/>
  <c r="K71" i="26"/>
  <c r="K53" i="26"/>
  <c r="K15" i="26"/>
  <c r="K55" i="26"/>
  <c r="K59" i="26"/>
  <c r="K14" i="26"/>
  <c r="K16" i="26"/>
  <c r="K17" i="26"/>
  <c r="K18" i="26"/>
  <c r="K20" i="26"/>
  <c r="K22" i="26"/>
  <c r="K23" i="26"/>
  <c r="K24" i="26"/>
  <c r="K25" i="26"/>
  <c r="K26" i="26"/>
  <c r="K27" i="26"/>
  <c r="K28" i="26"/>
  <c r="K30" i="26"/>
  <c r="K31" i="26"/>
  <c r="K35" i="26"/>
  <c r="K36" i="26"/>
  <c r="K38" i="26"/>
  <c r="K39" i="26"/>
  <c r="K40" i="26"/>
  <c r="K41" i="26"/>
  <c r="M6" i="3"/>
  <c r="O59" i="3" s="1"/>
  <c r="Q10" i="26"/>
  <c r="R10" i="26" s="1"/>
  <c r="P11" i="26"/>
  <c r="P10" i="26"/>
  <c r="P7" i="26"/>
  <c r="P6" i="26"/>
  <c r="P5" i="26"/>
  <c r="P4" i="26"/>
  <c r="G73" i="26"/>
  <c r="M23" i="6" s="1"/>
  <c r="G72" i="26"/>
  <c r="E4" i="26" s="1"/>
  <c r="K6" i="26"/>
  <c r="N148" i="19"/>
  <c r="N150" i="19"/>
  <c r="N140" i="19"/>
  <c r="N96" i="19"/>
  <c r="Q96" i="19" s="1"/>
  <c r="N99" i="19"/>
  <c r="Q99" i="19" s="1"/>
  <c r="N58" i="19"/>
  <c r="Q58" i="19" s="1"/>
  <c r="M102" i="19"/>
  <c r="Q102" i="19" s="1"/>
  <c r="N122" i="19"/>
  <c r="Q122" i="19" s="1"/>
  <c r="N17" i="19"/>
  <c r="N91" i="19"/>
  <c r="N155" i="19"/>
  <c r="N157" i="19"/>
  <c r="N149" i="19"/>
  <c r="N139" i="19"/>
  <c r="I44" i="3"/>
  <c r="Q3" i="20"/>
  <c r="Q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6" i="20"/>
  <c r="Q57" i="20"/>
  <c r="Q58" i="20"/>
  <c r="Q59" i="20"/>
  <c r="Q60" i="20"/>
  <c r="Q61" i="20"/>
  <c r="Q62" i="20"/>
  <c r="Q63" i="20"/>
  <c r="Q64" i="20"/>
  <c r="Q65" i="20"/>
  <c r="Q66" i="20"/>
  <c r="Q67" i="20"/>
  <c r="Q68" i="20"/>
  <c r="Q69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Q89" i="20"/>
  <c r="Q90" i="20"/>
  <c r="Q91" i="20"/>
  <c r="Q92" i="20"/>
  <c r="Q93" i="20"/>
  <c r="Q94" i="20"/>
  <c r="Q95" i="20"/>
  <c r="Q96" i="20"/>
  <c r="Q97" i="20"/>
  <c r="Q98" i="20"/>
  <c r="Q99" i="20"/>
  <c r="Q100" i="20"/>
  <c r="Q101" i="20"/>
  <c r="Q102" i="20"/>
  <c r="Q103" i="20"/>
  <c r="Q104" i="20"/>
  <c r="Q105" i="20"/>
  <c r="Q106" i="20"/>
  <c r="Q107" i="20"/>
  <c r="Q108" i="20"/>
  <c r="Q109" i="20"/>
  <c r="Q110" i="20"/>
  <c r="Q111" i="20"/>
  <c r="Q112" i="20"/>
  <c r="Q113" i="20"/>
  <c r="Q114" i="20"/>
  <c r="Q115" i="20"/>
  <c r="Q116" i="20"/>
  <c r="Q117" i="20"/>
  <c r="Q118" i="20"/>
  <c r="Q119" i="20"/>
  <c r="Q120" i="20"/>
  <c r="Q121" i="20"/>
  <c r="Q122" i="20"/>
  <c r="Q123" i="20"/>
  <c r="Q124" i="20"/>
  <c r="Q125" i="20"/>
  <c r="Q126" i="20"/>
  <c r="Q127" i="20"/>
  <c r="Q128" i="20"/>
  <c r="Q129" i="20"/>
  <c r="Q130" i="20"/>
  <c r="Q131" i="20"/>
  <c r="Q132" i="20"/>
  <c r="Q133" i="20"/>
  <c r="Q134" i="20"/>
  <c r="Q135" i="20"/>
  <c r="Q136" i="20"/>
  <c r="Q137" i="20"/>
  <c r="Q138" i="20"/>
  <c r="Q139" i="20"/>
  <c r="Q140" i="20"/>
  <c r="Q141" i="20"/>
  <c r="Q142" i="20"/>
  <c r="Q143" i="20"/>
  <c r="Q144" i="20"/>
  <c r="Z119" i="20"/>
  <c r="J119" i="20" s="1"/>
  <c r="Z126" i="20"/>
  <c r="J126" i="20" s="1"/>
  <c r="Z138" i="20"/>
  <c r="J138" i="20" s="1"/>
  <c r="Z141" i="20"/>
  <c r="J141" i="20" s="1"/>
  <c r="Z27" i="20"/>
  <c r="J27" i="20" s="1"/>
  <c r="Z29" i="20"/>
  <c r="J29" i="20" s="1"/>
  <c r="Z39" i="20"/>
  <c r="J39" i="20" s="1"/>
  <c r="Z47" i="20"/>
  <c r="J47" i="20" s="1"/>
  <c r="Z54" i="20"/>
  <c r="J54" i="20" s="1"/>
  <c r="Z60" i="20"/>
  <c r="J60" i="20" s="1"/>
  <c r="Z64" i="20"/>
  <c r="J64" i="20" s="1"/>
  <c r="Z71" i="20"/>
  <c r="J71" i="20" s="1"/>
  <c r="Z77" i="20"/>
  <c r="J77" i="20" s="1"/>
  <c r="Z87" i="20"/>
  <c r="J87" i="20" s="1"/>
  <c r="Z17" i="20"/>
  <c r="J17" i="20" s="1"/>
  <c r="Z28" i="20"/>
  <c r="J28" i="20" s="1"/>
  <c r="Z30" i="20"/>
  <c r="J30" i="20" s="1"/>
  <c r="Z58" i="20"/>
  <c r="J58" i="20" s="1"/>
  <c r="Z59" i="20"/>
  <c r="J59" i="20" s="1"/>
  <c r="Z18" i="20"/>
  <c r="J18" i="20" s="1"/>
  <c r="Z81" i="20"/>
  <c r="J81" i="20" s="1"/>
  <c r="Z93" i="20"/>
  <c r="J93" i="20" s="1"/>
  <c r="Z114" i="20"/>
  <c r="J114" i="20" s="1"/>
  <c r="Z11" i="20"/>
  <c r="J11" i="20" s="1"/>
  <c r="Z98" i="20"/>
  <c r="J98" i="20" s="1"/>
  <c r="Z115" i="20"/>
  <c r="J115" i="20" s="1"/>
  <c r="Z78" i="20"/>
  <c r="J78" i="20" s="1"/>
  <c r="Z51" i="20"/>
  <c r="J51" i="20" s="1"/>
  <c r="Z139" i="20"/>
  <c r="J139" i="20" s="1"/>
  <c r="J3" i="20"/>
  <c r="Z3" i="20"/>
  <c r="Z4" i="20"/>
  <c r="J4" i="20" s="1"/>
  <c r="J5" i="20"/>
  <c r="Z5" i="20"/>
  <c r="Z6" i="20"/>
  <c r="J6" i="20" s="1"/>
  <c r="J7" i="20"/>
  <c r="Z7" i="20"/>
  <c r="Z8" i="20"/>
  <c r="J8" i="20" s="1"/>
  <c r="R8" i="20" s="1"/>
  <c r="Z9" i="20"/>
  <c r="J9" i="20" s="1"/>
  <c r="Z10" i="20"/>
  <c r="J10" i="20" s="1"/>
  <c r="Z12" i="20"/>
  <c r="J12" i="20" s="1"/>
  <c r="Z13" i="20"/>
  <c r="J13" i="20" s="1"/>
  <c r="Z14" i="20"/>
  <c r="J14" i="20" s="1"/>
  <c r="Z16" i="20"/>
  <c r="J16" i="20" s="1"/>
  <c r="J19" i="20"/>
  <c r="Z19" i="20"/>
  <c r="Z20" i="20"/>
  <c r="J20" i="20" s="1"/>
  <c r="Z21" i="20"/>
  <c r="J21" i="20" s="1"/>
  <c r="Z22" i="20"/>
  <c r="J22" i="20" s="1"/>
  <c r="J23" i="20"/>
  <c r="Z23" i="20"/>
  <c r="Z24" i="20"/>
  <c r="J24" i="20" s="1"/>
  <c r="R24" i="20" s="1"/>
  <c r="Z25" i="20"/>
  <c r="J25" i="20" s="1"/>
  <c r="J26" i="20"/>
  <c r="Z26" i="20"/>
  <c r="J31" i="20"/>
  <c r="Z31" i="20"/>
  <c r="Z32" i="20"/>
  <c r="J32" i="20" s="1"/>
  <c r="Z33" i="20"/>
  <c r="J33" i="20" s="1"/>
  <c r="Z34" i="20"/>
  <c r="J34" i="20" s="1"/>
  <c r="Z35" i="20"/>
  <c r="J35" i="20" s="1"/>
  <c r="J36" i="20"/>
  <c r="Z36" i="20"/>
  <c r="Z37" i="20"/>
  <c r="J37" i="20" s="1"/>
  <c r="R37" i="20" s="1"/>
  <c r="Z38" i="20"/>
  <c r="J38" i="20" s="1"/>
  <c r="Z40" i="20"/>
  <c r="J40" i="20" s="1"/>
  <c r="Z41" i="20"/>
  <c r="J41" i="20" s="1"/>
  <c r="Z42" i="20"/>
  <c r="J42" i="20" s="1"/>
  <c r="Z43" i="20"/>
  <c r="J43" i="20" s="1"/>
  <c r="Z44" i="20"/>
  <c r="J44" i="20" s="1"/>
  <c r="Z45" i="20"/>
  <c r="J45" i="20" s="1"/>
  <c r="Z48" i="20"/>
  <c r="J48" i="20" s="1"/>
  <c r="Z49" i="20"/>
  <c r="J49" i="20" s="1"/>
  <c r="J50" i="20"/>
  <c r="Z50" i="20"/>
  <c r="Z52" i="20"/>
  <c r="J52" i="20" s="1"/>
  <c r="Z53" i="20"/>
  <c r="J53" i="20" s="1"/>
  <c r="Z55" i="20"/>
  <c r="J55" i="20" s="1"/>
  <c r="J56" i="20"/>
  <c r="Z56" i="20"/>
  <c r="Z61" i="20"/>
  <c r="J61" i="20" s="1"/>
  <c r="Z63" i="20"/>
  <c r="J63" i="20" s="1"/>
  <c r="J65" i="20"/>
  <c r="Z65" i="20"/>
  <c r="Z66" i="20"/>
  <c r="J66" i="20" s="1"/>
  <c r="J67" i="20"/>
  <c r="Z67" i="20"/>
  <c r="Z68" i="20"/>
  <c r="J68" i="20" s="1"/>
  <c r="J69" i="20"/>
  <c r="Z69" i="20"/>
  <c r="Z70" i="20"/>
  <c r="J70" i="20" s="1"/>
  <c r="Z72" i="20"/>
  <c r="J72" i="20" s="1"/>
  <c r="Z73" i="20"/>
  <c r="J73" i="20" s="1"/>
  <c r="J75" i="20"/>
  <c r="Z75" i="20"/>
  <c r="Z76" i="20"/>
  <c r="J76" i="20" s="1"/>
  <c r="Z80" i="20"/>
  <c r="J80" i="20" s="1"/>
  <c r="Z82" i="20"/>
  <c r="J82" i="20" s="1"/>
  <c r="R82" i="20" s="1"/>
  <c r="J83" i="20"/>
  <c r="Z83" i="20"/>
  <c r="Z84" i="20"/>
  <c r="Z85" i="20"/>
  <c r="J85" i="20" s="1"/>
  <c r="J86" i="20"/>
  <c r="Z86" i="20"/>
  <c r="Z88" i="20"/>
  <c r="J88" i="20" s="1"/>
  <c r="Z89" i="20"/>
  <c r="J89" i="20" s="1"/>
  <c r="Z90" i="20"/>
  <c r="J90" i="20" s="1"/>
  <c r="Z91" i="20"/>
  <c r="J91" i="20" s="1"/>
  <c r="Z92" i="20"/>
  <c r="J92" i="20" s="1"/>
  <c r="Z94" i="20"/>
  <c r="J94" i="20" s="1"/>
  <c r="Z95" i="20"/>
  <c r="J95" i="20" s="1"/>
  <c r="Z96" i="20"/>
  <c r="J96" i="20" s="1"/>
  <c r="Z97" i="20"/>
  <c r="J97" i="20" s="1"/>
  <c r="Z99" i="20"/>
  <c r="J99" i="20" s="1"/>
  <c r="Z100" i="20"/>
  <c r="J100" i="20" s="1"/>
  <c r="Z101" i="20"/>
  <c r="J101" i="20" s="1"/>
  <c r="Z102" i="20"/>
  <c r="J102" i="20" s="1"/>
  <c r="J103" i="20"/>
  <c r="Z103" i="20"/>
  <c r="Z104" i="20"/>
  <c r="J104" i="20" s="1"/>
  <c r="J105" i="20"/>
  <c r="Z105" i="20"/>
  <c r="J106" i="20"/>
  <c r="Z106" i="20"/>
  <c r="Z107" i="20"/>
  <c r="J107" i="20" s="1"/>
  <c r="Z108" i="20"/>
  <c r="J108" i="20" s="1"/>
  <c r="Z109" i="20"/>
  <c r="J109" i="20" s="1"/>
  <c r="Z110" i="20"/>
  <c r="J110" i="20" s="1"/>
  <c r="Z111" i="20"/>
  <c r="J111" i="20" s="1"/>
  <c r="Z112" i="20"/>
  <c r="J112" i="20" s="1"/>
  <c r="Z113" i="20"/>
  <c r="J113" i="20" s="1"/>
  <c r="Z116" i="20"/>
  <c r="J116" i="20" s="1"/>
  <c r="J117" i="20"/>
  <c r="Z117" i="20"/>
  <c r="Z118" i="20"/>
  <c r="J118" i="20" s="1"/>
  <c r="Z120" i="20"/>
  <c r="J120" i="20" s="1"/>
  <c r="Z121" i="20"/>
  <c r="J121" i="20" s="1"/>
  <c r="Z122" i="20"/>
  <c r="J122" i="20" s="1"/>
  <c r="J123" i="20"/>
  <c r="Z123" i="20"/>
  <c r="Z124" i="20"/>
  <c r="J124" i="20" s="1"/>
  <c r="J125" i="20"/>
  <c r="Z125" i="20"/>
  <c r="Z127" i="20"/>
  <c r="J127" i="20" s="1"/>
  <c r="Z128" i="20"/>
  <c r="J128" i="20" s="1"/>
  <c r="Z129" i="20"/>
  <c r="J129" i="20" s="1"/>
  <c r="Z130" i="20"/>
  <c r="J130" i="20" s="1"/>
  <c r="Z132" i="20"/>
  <c r="J132" i="20" s="1"/>
  <c r="Z133" i="20"/>
  <c r="J133" i="20" s="1"/>
  <c r="Z135" i="20"/>
  <c r="J135" i="20" s="1"/>
  <c r="Z136" i="20"/>
  <c r="J136" i="20" s="1"/>
  <c r="Z137" i="20"/>
  <c r="J137" i="20" s="1"/>
  <c r="Z140" i="20"/>
  <c r="J140" i="20" s="1"/>
  <c r="J142" i="20"/>
  <c r="Z142" i="20"/>
  <c r="Z143" i="20"/>
  <c r="J143" i="20" s="1"/>
  <c r="Z144" i="20"/>
  <c r="J144" i="20" s="1"/>
  <c r="Z62" i="20"/>
  <c r="J62" i="20" s="1"/>
  <c r="Z15" i="20"/>
  <c r="J15" i="20" s="1"/>
  <c r="Z46" i="20"/>
  <c r="J46" i="20" s="1"/>
  <c r="Z131" i="20"/>
  <c r="J131" i="20" s="1"/>
  <c r="Z57" i="20"/>
  <c r="J57" i="20" s="1"/>
  <c r="Z74" i="20"/>
  <c r="J74" i="20" s="1"/>
  <c r="Z79" i="20"/>
  <c r="J79" i="20" s="1"/>
  <c r="Z134" i="20"/>
  <c r="J134" i="20" s="1"/>
  <c r="H145" i="20"/>
  <c r="K134" i="19"/>
  <c r="K131" i="19"/>
  <c r="K107" i="19"/>
  <c r="K96" i="19"/>
  <c r="K88" i="19"/>
  <c r="K68" i="19"/>
  <c r="K72" i="19"/>
  <c r="K60" i="19"/>
  <c r="N3" i="19"/>
  <c r="K158" i="19"/>
  <c r="H8" i="9"/>
  <c r="I103" i="3"/>
  <c r="I10" i="3"/>
  <c r="N113" i="19"/>
  <c r="Q113" i="19" s="1"/>
  <c r="M19" i="19"/>
  <c r="Q19" i="19" s="1"/>
  <c r="M136" i="19"/>
  <c r="I25" i="3"/>
  <c r="M65" i="19"/>
  <c r="Q65" i="19" s="1"/>
  <c r="M66" i="19"/>
  <c r="M33" i="19"/>
  <c r="Q33" i="19" s="1"/>
  <c r="I39" i="3"/>
  <c r="I38" i="3"/>
  <c r="I101" i="3"/>
  <c r="I96" i="3"/>
  <c r="I100" i="3"/>
  <c r="I99" i="3"/>
  <c r="I95" i="3"/>
  <c r="D10" i="24"/>
  <c r="I43" i="3"/>
  <c r="E13" i="5"/>
  <c r="I98" i="3"/>
  <c r="I88" i="3"/>
  <c r="I55" i="6"/>
  <c r="M17" i="19"/>
  <c r="I91" i="3"/>
  <c r="I90" i="3"/>
  <c r="I89" i="3"/>
  <c r="I72" i="3"/>
  <c r="I87" i="3"/>
  <c r="I8" i="3"/>
  <c r="I86" i="3"/>
  <c r="I84" i="3"/>
  <c r="J138" i="19"/>
  <c r="J139" i="19"/>
  <c r="R139" i="19" s="1"/>
  <c r="L27" i="20" s="1"/>
  <c r="J140" i="19"/>
  <c r="J141" i="19"/>
  <c r="J142" i="19"/>
  <c r="Q138" i="19"/>
  <c r="Q139" i="19"/>
  <c r="Q140" i="19"/>
  <c r="Q141" i="19"/>
  <c r="Q142" i="19"/>
  <c r="Q143" i="19"/>
  <c r="Z138" i="19"/>
  <c r="Z139" i="19"/>
  <c r="Z140" i="19"/>
  <c r="Z141" i="19"/>
  <c r="Z142" i="19"/>
  <c r="Z143" i="19"/>
  <c r="J143" i="19" s="1"/>
  <c r="J144" i="19"/>
  <c r="J145" i="19"/>
  <c r="J146" i="19"/>
  <c r="J147" i="19"/>
  <c r="J148" i="19"/>
  <c r="J149" i="19"/>
  <c r="J150" i="19"/>
  <c r="J151" i="19"/>
  <c r="Q144" i="19"/>
  <c r="Q145" i="19"/>
  <c r="Q146" i="19"/>
  <c r="Q147" i="19"/>
  <c r="Q148" i="19"/>
  <c r="Q149" i="19"/>
  <c r="Q150" i="19"/>
  <c r="Q151" i="19"/>
  <c r="Z144" i="19"/>
  <c r="Z145" i="19"/>
  <c r="Z146" i="19"/>
  <c r="Z147" i="19"/>
  <c r="Z148" i="19"/>
  <c r="Z149" i="19"/>
  <c r="Z150" i="19"/>
  <c r="Z151" i="19"/>
  <c r="J152" i="19"/>
  <c r="R152" i="19" s="1"/>
  <c r="L115" i="20" s="1"/>
  <c r="J153" i="19"/>
  <c r="R153" i="19" s="1"/>
  <c r="J154" i="19"/>
  <c r="R154" i="19" s="1"/>
  <c r="J155" i="19"/>
  <c r="R155" i="19" s="1"/>
  <c r="L119" i="20" s="1"/>
  <c r="Q152" i="19"/>
  <c r="Q153" i="19"/>
  <c r="Q154" i="19"/>
  <c r="Q155" i="19"/>
  <c r="Z152" i="19"/>
  <c r="Z153" i="19"/>
  <c r="Z154" i="19"/>
  <c r="Z155" i="19"/>
  <c r="J156" i="19"/>
  <c r="J157" i="19"/>
  <c r="Q156" i="19"/>
  <c r="Q157" i="19"/>
  <c r="Z156" i="19"/>
  <c r="Z157" i="19"/>
  <c r="J159" i="19"/>
  <c r="Q159" i="19"/>
  <c r="Z159" i="19"/>
  <c r="J158" i="19"/>
  <c r="Q158" i="19"/>
  <c r="Z158" i="19"/>
  <c r="D12" i="24"/>
  <c r="I6" i="3"/>
  <c r="I83" i="3"/>
  <c r="I82" i="3"/>
  <c r="Z3" i="19"/>
  <c r="Z4" i="19"/>
  <c r="Z5" i="19"/>
  <c r="Z6" i="19"/>
  <c r="Z7" i="19"/>
  <c r="Z8" i="19"/>
  <c r="Z9" i="19"/>
  <c r="Z10" i="19"/>
  <c r="Z11" i="19"/>
  <c r="Z12" i="19"/>
  <c r="Z13" i="19"/>
  <c r="Z14" i="19"/>
  <c r="Z15" i="19"/>
  <c r="Z16" i="19"/>
  <c r="Z17" i="19"/>
  <c r="Z18" i="19"/>
  <c r="Z19" i="19"/>
  <c r="Z20" i="19"/>
  <c r="Z21" i="19"/>
  <c r="Z22" i="19"/>
  <c r="Z23" i="19"/>
  <c r="Z24" i="19"/>
  <c r="Z25" i="19"/>
  <c r="Z26" i="19"/>
  <c r="Z27" i="19"/>
  <c r="Z28" i="19"/>
  <c r="Z29" i="19"/>
  <c r="Z30" i="19"/>
  <c r="Z31" i="19"/>
  <c r="Z32" i="19"/>
  <c r="Z33" i="19"/>
  <c r="Z34" i="19"/>
  <c r="Z35" i="19"/>
  <c r="Z36" i="19"/>
  <c r="Z37" i="19"/>
  <c r="Z38" i="19"/>
  <c r="Z39" i="19"/>
  <c r="Z40" i="19"/>
  <c r="Z41" i="19"/>
  <c r="Z42" i="19"/>
  <c r="Z43" i="19"/>
  <c r="Z44" i="19"/>
  <c r="Z45" i="19"/>
  <c r="Z46" i="19"/>
  <c r="Z47" i="19"/>
  <c r="Z48" i="19"/>
  <c r="Z49" i="19"/>
  <c r="Z50" i="19"/>
  <c r="Z51" i="19"/>
  <c r="Z52" i="19"/>
  <c r="Z53" i="19"/>
  <c r="Z54" i="19"/>
  <c r="Z55" i="19"/>
  <c r="Z56" i="19"/>
  <c r="Z57" i="19"/>
  <c r="Z58" i="19"/>
  <c r="Z59" i="19"/>
  <c r="Z60" i="19"/>
  <c r="Z61" i="19"/>
  <c r="Z62" i="19"/>
  <c r="Z63" i="19"/>
  <c r="Z64" i="19"/>
  <c r="Z65" i="19"/>
  <c r="Z66" i="19"/>
  <c r="Z67" i="19"/>
  <c r="Z68" i="19"/>
  <c r="Z69" i="19"/>
  <c r="Z70" i="19"/>
  <c r="Z71" i="19"/>
  <c r="Z72" i="19"/>
  <c r="Z73" i="19"/>
  <c r="Z74" i="19"/>
  <c r="Z75" i="19"/>
  <c r="Z76" i="19"/>
  <c r="Z77" i="19"/>
  <c r="Z78" i="19"/>
  <c r="Z79" i="19"/>
  <c r="Z80" i="19"/>
  <c r="Z81" i="19"/>
  <c r="Z82" i="19"/>
  <c r="Z83" i="19"/>
  <c r="Z84" i="19"/>
  <c r="Z85" i="19"/>
  <c r="Z86" i="19"/>
  <c r="Z87" i="19"/>
  <c r="Z88" i="19"/>
  <c r="Z89" i="19"/>
  <c r="Z90" i="19"/>
  <c r="Z91" i="19"/>
  <c r="Z92" i="19"/>
  <c r="Z93" i="19"/>
  <c r="Z94" i="19"/>
  <c r="Z95" i="19"/>
  <c r="Z96" i="19"/>
  <c r="Z97" i="19"/>
  <c r="Z98" i="19"/>
  <c r="Z99" i="19"/>
  <c r="Z100" i="19"/>
  <c r="Z101" i="19"/>
  <c r="Z102" i="19"/>
  <c r="Z103" i="19"/>
  <c r="Z104" i="19"/>
  <c r="Z105" i="19"/>
  <c r="Z106" i="19"/>
  <c r="Z107" i="19"/>
  <c r="Z108" i="19"/>
  <c r="Z109" i="19"/>
  <c r="Z110" i="19"/>
  <c r="Z111" i="19"/>
  <c r="Z112" i="19"/>
  <c r="Z113" i="19"/>
  <c r="Z114" i="19"/>
  <c r="Z115" i="19"/>
  <c r="Z116" i="19"/>
  <c r="Z117" i="19"/>
  <c r="Z118" i="19"/>
  <c r="Z119" i="19"/>
  <c r="Z120" i="19"/>
  <c r="Z121" i="19"/>
  <c r="Z122" i="19"/>
  <c r="Z123" i="19"/>
  <c r="Z124" i="19"/>
  <c r="Z125" i="19"/>
  <c r="Z126" i="19"/>
  <c r="Z127" i="19"/>
  <c r="Z128" i="19"/>
  <c r="Z129" i="19"/>
  <c r="Z130" i="19"/>
  <c r="Z131" i="19"/>
  <c r="Z132" i="19"/>
  <c r="Z133" i="19"/>
  <c r="Z134" i="19"/>
  <c r="Z135" i="19"/>
  <c r="Z136" i="19"/>
  <c r="Z137" i="19"/>
  <c r="W15" i="24"/>
  <c r="Q4" i="19"/>
  <c r="Q5" i="19"/>
  <c r="Q6" i="19"/>
  <c r="Q7" i="19"/>
  <c r="Q8" i="19"/>
  <c r="Q9" i="19"/>
  <c r="Q10" i="19"/>
  <c r="Q12" i="19"/>
  <c r="Q13" i="19"/>
  <c r="Q14" i="19"/>
  <c r="Q16" i="19"/>
  <c r="Q20" i="19"/>
  <c r="Q21" i="19"/>
  <c r="Q22" i="19"/>
  <c r="Q23" i="19"/>
  <c r="Q24" i="19"/>
  <c r="Q25" i="19"/>
  <c r="Q26" i="19"/>
  <c r="Q29" i="19"/>
  <c r="Q30" i="19"/>
  <c r="Q31" i="19"/>
  <c r="Q32" i="19"/>
  <c r="Q34" i="19"/>
  <c r="Q35" i="19"/>
  <c r="Q36" i="19"/>
  <c r="Q37" i="19"/>
  <c r="Q38" i="19"/>
  <c r="Q39" i="19"/>
  <c r="Q40" i="19"/>
  <c r="Q41" i="19"/>
  <c r="Q42" i="19"/>
  <c r="Q43" i="19"/>
  <c r="Q44" i="19"/>
  <c r="Q46" i="19"/>
  <c r="Q47" i="19"/>
  <c r="Q48" i="19"/>
  <c r="Q50" i="19"/>
  <c r="Q51" i="19"/>
  <c r="Q52" i="19"/>
  <c r="Q53" i="19"/>
  <c r="Q54" i="19"/>
  <c r="Q60" i="19"/>
  <c r="Q61" i="19"/>
  <c r="Q62" i="19"/>
  <c r="Q63" i="19"/>
  <c r="Q64" i="19"/>
  <c r="Q67" i="19"/>
  <c r="Q68" i="19"/>
  <c r="Q70" i="19"/>
  <c r="Q71" i="19"/>
  <c r="Q72" i="19"/>
  <c r="Q75" i="19"/>
  <c r="Q77" i="19"/>
  <c r="Q78" i="19"/>
  <c r="Q79" i="19"/>
  <c r="Q80" i="19"/>
  <c r="Q81" i="19"/>
  <c r="Q82" i="19"/>
  <c r="Q84" i="19"/>
  <c r="Q85" i="19"/>
  <c r="Q86" i="19"/>
  <c r="Q87" i="19"/>
  <c r="Q88" i="19"/>
  <c r="Q90" i="19"/>
  <c r="Q91" i="19"/>
  <c r="Q92" i="19"/>
  <c r="Q93" i="19"/>
  <c r="Q94" i="19"/>
  <c r="Q95" i="19"/>
  <c r="Q97" i="19"/>
  <c r="Q98" i="19"/>
  <c r="Q100" i="19"/>
  <c r="Q101" i="19"/>
  <c r="Q103" i="19"/>
  <c r="Q104" i="19"/>
  <c r="Q105" i="19"/>
  <c r="Q106" i="19"/>
  <c r="Q107" i="19"/>
  <c r="Q108" i="19"/>
  <c r="Q109" i="19"/>
  <c r="Q110" i="19"/>
  <c r="Q111" i="19"/>
  <c r="Q114" i="19"/>
  <c r="Q115" i="19"/>
  <c r="Q116" i="19"/>
  <c r="Q117" i="19"/>
  <c r="Q118" i="19"/>
  <c r="Q119" i="19"/>
  <c r="Q120" i="19"/>
  <c r="Q121" i="19"/>
  <c r="Q123" i="19"/>
  <c r="Q124" i="19"/>
  <c r="Q125" i="19"/>
  <c r="Q127" i="19"/>
  <c r="Q128" i="19"/>
  <c r="Q130" i="19"/>
  <c r="Q131" i="19"/>
  <c r="Q132" i="19"/>
  <c r="Q134" i="19"/>
  <c r="Q135" i="19"/>
  <c r="Q137" i="19"/>
  <c r="Q59" i="19"/>
  <c r="Q15" i="19"/>
  <c r="Q45" i="19"/>
  <c r="Q126" i="19"/>
  <c r="Q55" i="19"/>
  <c r="Q69" i="19"/>
  <c r="Q74" i="19"/>
  <c r="Q129" i="19"/>
  <c r="Q83" i="19"/>
  <c r="Q27" i="19"/>
  <c r="Q28" i="19"/>
  <c r="Q56" i="19"/>
  <c r="Q57" i="19"/>
  <c r="Q18" i="19"/>
  <c r="Q76" i="19"/>
  <c r="Q89" i="19"/>
  <c r="Q112" i="19"/>
  <c r="Q11" i="19"/>
  <c r="Q73" i="19"/>
  <c r="Q49" i="19"/>
  <c r="Q133" i="19"/>
  <c r="Q3" i="19"/>
  <c r="O50" i="3" l="1"/>
  <c r="R54" i="26"/>
  <c r="M51" i="3" s="1"/>
  <c r="K17" i="24"/>
  <c r="O58" i="3"/>
  <c r="O60" i="3" s="1"/>
  <c r="R11" i="26"/>
  <c r="S158" i="19"/>
  <c r="R158" i="19"/>
  <c r="S159" i="19"/>
  <c r="R159" i="19"/>
  <c r="L141" i="20" s="1"/>
  <c r="T141" i="20" s="1"/>
  <c r="S157" i="19"/>
  <c r="R157" i="19"/>
  <c r="L138" i="20" s="1"/>
  <c r="T138" i="20" s="1"/>
  <c r="S156" i="19"/>
  <c r="R156" i="19"/>
  <c r="L126" i="20" s="1"/>
  <c r="R126" i="20" s="1"/>
  <c r="T156" i="19"/>
  <c r="S151" i="19"/>
  <c r="R151" i="19"/>
  <c r="T150" i="19"/>
  <c r="R150" i="19"/>
  <c r="L98" i="20" s="1"/>
  <c r="R98" i="20" s="1"/>
  <c r="S149" i="19"/>
  <c r="R149" i="19"/>
  <c r="L77" i="20" s="1"/>
  <c r="R77" i="20" s="1"/>
  <c r="S148" i="19"/>
  <c r="R148" i="19"/>
  <c r="L71" i="20" s="1"/>
  <c r="R71" i="20" s="1"/>
  <c r="T147" i="19"/>
  <c r="R147" i="19"/>
  <c r="S146" i="19"/>
  <c r="R146" i="19"/>
  <c r="L64" i="20" s="1"/>
  <c r="R64" i="20" s="1"/>
  <c r="T145" i="19"/>
  <c r="R145" i="19"/>
  <c r="L60" i="20" s="1"/>
  <c r="R60" i="20" s="1"/>
  <c r="S145" i="19"/>
  <c r="T144" i="19"/>
  <c r="R144" i="19"/>
  <c r="L54" i="20" s="1"/>
  <c r="R54" i="20" s="1"/>
  <c r="S144" i="19"/>
  <c r="R143" i="19"/>
  <c r="L47" i="20" s="1"/>
  <c r="R47" i="20" s="1"/>
  <c r="T143" i="19"/>
  <c r="S143" i="19"/>
  <c r="R142" i="19"/>
  <c r="T142" i="19"/>
  <c r="S142" i="19"/>
  <c r="S141" i="19"/>
  <c r="R141" i="19"/>
  <c r="L39" i="20" s="1"/>
  <c r="R39" i="20" s="1"/>
  <c r="T140" i="19"/>
  <c r="R140" i="19"/>
  <c r="L29" i="20" s="1"/>
  <c r="R29" i="20" s="1"/>
  <c r="S140" i="19"/>
  <c r="T138" i="19"/>
  <c r="R138" i="19"/>
  <c r="K4" i="26"/>
  <c r="Q12" i="26"/>
  <c r="K2" i="26" s="1"/>
  <c r="K72" i="26"/>
  <c r="R92" i="20"/>
  <c r="Q145" i="20"/>
  <c r="R119" i="20"/>
  <c r="R27" i="20"/>
  <c r="R115" i="20"/>
  <c r="T159" i="19"/>
  <c r="T158" i="19"/>
  <c r="T157" i="19"/>
  <c r="T141" i="19"/>
  <c r="T155" i="19"/>
  <c r="S155" i="19"/>
  <c r="S152" i="19"/>
  <c r="T152" i="19"/>
  <c r="S139" i="19"/>
  <c r="T139" i="19"/>
  <c r="S153" i="19"/>
  <c r="T153" i="19"/>
  <c r="T149" i="19"/>
  <c r="S138" i="19"/>
  <c r="T148" i="19"/>
  <c r="T146" i="19"/>
  <c r="S154" i="19"/>
  <c r="T154" i="19"/>
  <c r="S150" i="19"/>
  <c r="T151" i="19"/>
  <c r="S8" i="20"/>
  <c r="T8" i="20"/>
  <c r="J145" i="20"/>
  <c r="Q136" i="19"/>
  <c r="Q66" i="19"/>
  <c r="M160" i="19"/>
  <c r="S147" i="19"/>
  <c r="Q17" i="19"/>
  <c r="E7" i="3"/>
  <c r="J4" i="19"/>
  <c r="J6" i="19"/>
  <c r="J8" i="19"/>
  <c r="J9" i="19"/>
  <c r="J10" i="19"/>
  <c r="J13" i="19"/>
  <c r="R13" i="19" s="1"/>
  <c r="L13" i="20" s="1"/>
  <c r="R13" i="20" s="1"/>
  <c r="J14" i="19"/>
  <c r="J16" i="19"/>
  <c r="J20" i="19"/>
  <c r="J24" i="19"/>
  <c r="J25" i="19"/>
  <c r="J30" i="19"/>
  <c r="J31" i="19"/>
  <c r="J32" i="19"/>
  <c r="J33" i="19"/>
  <c r="J34" i="19"/>
  <c r="J35" i="19"/>
  <c r="J37" i="19"/>
  <c r="J38" i="19"/>
  <c r="J39" i="19"/>
  <c r="J40" i="19"/>
  <c r="J41" i="19"/>
  <c r="J42" i="19"/>
  <c r="J43" i="19"/>
  <c r="J44" i="19"/>
  <c r="J46" i="19"/>
  <c r="J47" i="19"/>
  <c r="J50" i="19"/>
  <c r="J53" i="19"/>
  <c r="J54" i="19"/>
  <c r="J58" i="19"/>
  <c r="J60" i="19"/>
  <c r="J62" i="19"/>
  <c r="J63" i="19"/>
  <c r="R63" i="19" s="1"/>
  <c r="L67" i="20" s="1"/>
  <c r="R67" i="20" s="1"/>
  <c r="J64" i="19"/>
  <c r="J65" i="19"/>
  <c r="R65" i="19" s="1"/>
  <c r="L69" i="20" s="1"/>
  <c r="R69" i="20" s="1"/>
  <c r="J66" i="19"/>
  <c r="J67" i="19"/>
  <c r="J68" i="19"/>
  <c r="J72" i="19"/>
  <c r="R72" i="19" s="1"/>
  <c r="L76" i="20" s="1"/>
  <c r="R76" i="20" s="1"/>
  <c r="J75" i="19"/>
  <c r="J77" i="19"/>
  <c r="J79" i="19"/>
  <c r="J80" i="19"/>
  <c r="J84" i="19"/>
  <c r="J85" i="19"/>
  <c r="J86" i="19"/>
  <c r="J87" i="19"/>
  <c r="J88" i="19"/>
  <c r="J90" i="19"/>
  <c r="J91" i="19"/>
  <c r="J92" i="19"/>
  <c r="J93" i="19"/>
  <c r="J94" i="19"/>
  <c r="J95" i="19"/>
  <c r="J96" i="19"/>
  <c r="J97" i="19"/>
  <c r="J98" i="19"/>
  <c r="R98" i="19" s="1"/>
  <c r="J101" i="19"/>
  <c r="J105" i="19"/>
  <c r="J106" i="19"/>
  <c r="J107" i="19"/>
  <c r="J108" i="19"/>
  <c r="J109" i="19"/>
  <c r="J110" i="19"/>
  <c r="J111" i="19"/>
  <c r="J113" i="19"/>
  <c r="J115" i="19"/>
  <c r="J116" i="19"/>
  <c r="J117" i="19"/>
  <c r="J118" i="19"/>
  <c r="J119" i="19"/>
  <c r="J120" i="19"/>
  <c r="J122" i="19"/>
  <c r="J123" i="19"/>
  <c r="J124" i="19"/>
  <c r="R124" i="19" s="1"/>
  <c r="L129" i="20" s="1"/>
  <c r="J125" i="19"/>
  <c r="J127" i="19"/>
  <c r="J128" i="19"/>
  <c r="J130" i="19"/>
  <c r="R130" i="19" s="1"/>
  <c r="L135" i="20" s="1"/>
  <c r="J131" i="19"/>
  <c r="J132" i="19"/>
  <c r="J134" i="19"/>
  <c r="J136" i="19"/>
  <c r="J137" i="19"/>
  <c r="R137" i="19" s="1"/>
  <c r="L144" i="20" s="1"/>
  <c r="J59" i="19"/>
  <c r="J15" i="19"/>
  <c r="J45" i="19"/>
  <c r="J126" i="19"/>
  <c r="J55" i="19"/>
  <c r="J69" i="19"/>
  <c r="J74" i="19"/>
  <c r="J129" i="19"/>
  <c r="J83" i="19"/>
  <c r="R83" i="19" s="1"/>
  <c r="L87" i="20" s="1"/>
  <c r="R87" i="20" s="1"/>
  <c r="J17" i="19"/>
  <c r="R17" i="19" s="1"/>
  <c r="L17" i="20" s="1"/>
  <c r="R17" i="20" s="1"/>
  <c r="J27" i="19"/>
  <c r="R27" i="19" s="1"/>
  <c r="L28" i="20" s="1"/>
  <c r="R28" i="20" s="1"/>
  <c r="J28" i="19"/>
  <c r="R28" i="19" s="1"/>
  <c r="L30" i="20" s="1"/>
  <c r="R30" i="20" s="1"/>
  <c r="J56" i="19"/>
  <c r="R56" i="19" s="1"/>
  <c r="L58" i="20" s="1"/>
  <c r="R58" i="20" s="1"/>
  <c r="J57" i="19"/>
  <c r="R57" i="19" s="1"/>
  <c r="L59" i="20" s="1"/>
  <c r="R59" i="20" s="1"/>
  <c r="J18" i="19"/>
  <c r="J76" i="19"/>
  <c r="J89" i="19"/>
  <c r="J112" i="19"/>
  <c r="J11" i="19"/>
  <c r="J73" i="19"/>
  <c r="J49" i="19"/>
  <c r="J133" i="19"/>
  <c r="J22" i="19"/>
  <c r="J12" i="19"/>
  <c r="J128" i="1"/>
  <c r="P128" i="1" s="1"/>
  <c r="O128" i="1"/>
  <c r="V128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9" i="1"/>
  <c r="O130" i="1"/>
  <c r="O131" i="1"/>
  <c r="O132" i="1"/>
  <c r="O133" i="1"/>
  <c r="O134" i="1"/>
  <c r="O135" i="1"/>
  <c r="O136" i="1"/>
  <c r="O137" i="1"/>
  <c r="O138" i="1"/>
  <c r="J61" i="19"/>
  <c r="J114" i="19"/>
  <c r="J71" i="19"/>
  <c r="J51" i="19"/>
  <c r="J52" i="19"/>
  <c r="R52" i="19" s="1"/>
  <c r="J70" i="19"/>
  <c r="R70" i="19" s="1"/>
  <c r="J78" i="19"/>
  <c r="J81" i="19"/>
  <c r="J82" i="19"/>
  <c r="R82" i="19" s="1"/>
  <c r="J99" i="19"/>
  <c r="J100" i="19"/>
  <c r="R100" i="19" s="1"/>
  <c r="J102" i="19"/>
  <c r="J103" i="19"/>
  <c r="J104" i="19"/>
  <c r="J121" i="19"/>
  <c r="R121" i="19" s="1"/>
  <c r="L125" i="20" s="1"/>
  <c r="R125" i="20" s="1"/>
  <c r="J135" i="19"/>
  <c r="R135" i="19" s="1"/>
  <c r="L142" i="20" s="1"/>
  <c r="J5" i="19"/>
  <c r="J7" i="19"/>
  <c r="J19" i="19"/>
  <c r="J21" i="19"/>
  <c r="J23" i="19"/>
  <c r="J26" i="19"/>
  <c r="J29" i="19"/>
  <c r="J36" i="19"/>
  <c r="J48" i="19"/>
  <c r="J3" i="19"/>
  <c r="H160" i="19"/>
  <c r="E91" i="3"/>
  <c r="E89" i="3"/>
  <c r="E87" i="3"/>
  <c r="E86" i="3"/>
  <c r="E84" i="3"/>
  <c r="E81" i="3"/>
  <c r="E77" i="3"/>
  <c r="E74" i="3"/>
  <c r="E75" i="3"/>
  <c r="E69" i="3"/>
  <c r="E68" i="3"/>
  <c r="E63" i="3"/>
  <c r="J134" i="1"/>
  <c r="P134" i="1" s="1"/>
  <c r="J135" i="1"/>
  <c r="P135" i="1" s="1"/>
  <c r="J136" i="1"/>
  <c r="P136" i="1" s="1"/>
  <c r="V134" i="1"/>
  <c r="V135" i="1"/>
  <c r="V136" i="1"/>
  <c r="J137" i="1"/>
  <c r="P137" i="1" s="1"/>
  <c r="L131" i="19" s="1"/>
  <c r="J138" i="1"/>
  <c r="P138" i="1" s="1"/>
  <c r="V137" i="1"/>
  <c r="V138" i="1"/>
  <c r="J123" i="1"/>
  <c r="P123" i="1" s="1"/>
  <c r="J124" i="1"/>
  <c r="P124" i="1" s="1"/>
  <c r="J125" i="1"/>
  <c r="P125" i="1" s="1"/>
  <c r="J126" i="1"/>
  <c r="P126" i="1" s="1"/>
  <c r="V123" i="1"/>
  <c r="V124" i="1"/>
  <c r="V125" i="1"/>
  <c r="V126" i="1"/>
  <c r="J127" i="1"/>
  <c r="P127" i="1" s="1"/>
  <c r="J129" i="1"/>
  <c r="P129" i="1" s="1"/>
  <c r="J130" i="1"/>
  <c r="P130" i="1" s="1"/>
  <c r="J131" i="1"/>
  <c r="P131" i="1" s="1"/>
  <c r="V127" i="1"/>
  <c r="V129" i="1"/>
  <c r="V130" i="1"/>
  <c r="V131" i="1"/>
  <c r="S141" i="20" l="1"/>
  <c r="R141" i="20"/>
  <c r="S138" i="20"/>
  <c r="R138" i="20"/>
  <c r="S126" i="20"/>
  <c r="R142" i="20"/>
  <c r="T142" i="20"/>
  <c r="R144" i="20"/>
  <c r="T144" i="20"/>
  <c r="S144" i="20"/>
  <c r="S136" i="19"/>
  <c r="R136" i="19"/>
  <c r="L143" i="20" s="1"/>
  <c r="R131" i="19"/>
  <c r="L136" i="20" s="1"/>
  <c r="T136" i="20" s="1"/>
  <c r="R135" i="20"/>
  <c r="S135" i="20"/>
  <c r="R129" i="20"/>
  <c r="T129" i="20"/>
  <c r="S129" i="20"/>
  <c r="S125" i="20"/>
  <c r="E2" i="26"/>
  <c r="T135" i="20"/>
  <c r="T126" i="20"/>
  <c r="T125" i="20"/>
  <c r="T136" i="19"/>
  <c r="S142" i="20"/>
  <c r="T63" i="19"/>
  <c r="S63" i="19"/>
  <c r="S57" i="19"/>
  <c r="T57" i="19"/>
  <c r="S135" i="19"/>
  <c r="T135" i="19"/>
  <c r="T52" i="19"/>
  <c r="S52" i="19"/>
  <c r="S56" i="19"/>
  <c r="T56" i="19"/>
  <c r="T124" i="19"/>
  <c r="S124" i="19"/>
  <c r="T82" i="19"/>
  <c r="S82" i="19"/>
  <c r="T130" i="19"/>
  <c r="S130" i="19"/>
  <c r="S98" i="19"/>
  <c r="T98" i="19"/>
  <c r="S65" i="19"/>
  <c r="T65" i="19"/>
  <c r="T70" i="19"/>
  <c r="S70" i="19"/>
  <c r="S27" i="19"/>
  <c r="T27" i="19"/>
  <c r="S137" i="19"/>
  <c r="T137" i="19"/>
  <c r="S17" i="19"/>
  <c r="T17" i="19"/>
  <c r="S72" i="19"/>
  <c r="T72" i="19"/>
  <c r="S121" i="19"/>
  <c r="T121" i="19"/>
  <c r="S83" i="19"/>
  <c r="T83" i="19"/>
  <c r="T13" i="19"/>
  <c r="S13" i="19"/>
  <c r="S28" i="19"/>
  <c r="T28" i="19"/>
  <c r="T100" i="19"/>
  <c r="S100" i="19"/>
  <c r="S131" i="19"/>
  <c r="T131" i="19"/>
  <c r="L129" i="19"/>
  <c r="L132" i="19"/>
  <c r="L125" i="19"/>
  <c r="L127" i="19"/>
  <c r="L128" i="19"/>
  <c r="L126" i="19"/>
  <c r="L134" i="19"/>
  <c r="L133" i="19"/>
  <c r="Q160" i="19"/>
  <c r="H139" i="1"/>
  <c r="I6" i="22"/>
  <c r="I4" i="22" s="1"/>
  <c r="K29" i="24"/>
  <c r="Q29" i="24" s="1"/>
  <c r="J15" i="24"/>
  <c r="I5" i="24"/>
  <c r="J5" i="24"/>
  <c r="K5" i="24"/>
  <c r="I6" i="24"/>
  <c r="J6" i="24"/>
  <c r="K6" i="24"/>
  <c r="I9" i="24"/>
  <c r="J9" i="24"/>
  <c r="K9" i="24"/>
  <c r="Q9" i="24" s="1"/>
  <c r="F10" i="24"/>
  <c r="I10" i="24"/>
  <c r="O10" i="24" s="1"/>
  <c r="J10" i="24"/>
  <c r="P10" i="24" s="1"/>
  <c r="K10" i="24"/>
  <c r="Q10" i="24" s="1"/>
  <c r="F11" i="24"/>
  <c r="I11" i="24"/>
  <c r="J11" i="24"/>
  <c r="P11" i="24" s="1"/>
  <c r="K11" i="24"/>
  <c r="Q11" i="24" s="1"/>
  <c r="F12" i="24"/>
  <c r="I12" i="24"/>
  <c r="O12" i="24" s="1"/>
  <c r="J12" i="24"/>
  <c r="P12" i="24" s="1"/>
  <c r="K12" i="24"/>
  <c r="Q12" i="24" s="1"/>
  <c r="F13" i="24"/>
  <c r="I13" i="24"/>
  <c r="O13" i="24" s="1"/>
  <c r="J13" i="24"/>
  <c r="P13" i="24" s="1"/>
  <c r="K13" i="24"/>
  <c r="Q13" i="24" s="1"/>
  <c r="I14" i="24"/>
  <c r="J14" i="24"/>
  <c r="K14" i="24"/>
  <c r="F15" i="24"/>
  <c r="I15" i="24"/>
  <c r="O15" i="24" s="1"/>
  <c r="K15" i="24"/>
  <c r="Q15" i="24" s="1"/>
  <c r="F16" i="24"/>
  <c r="I16" i="24"/>
  <c r="J16" i="24"/>
  <c r="P16" i="24" s="1"/>
  <c r="K16" i="24"/>
  <c r="Q16" i="24" s="1"/>
  <c r="F17" i="24"/>
  <c r="I17" i="24"/>
  <c r="O17" i="24" s="1"/>
  <c r="J17" i="24"/>
  <c r="P17" i="24" s="1"/>
  <c r="Q17" i="24"/>
  <c r="F18" i="24"/>
  <c r="I18" i="24"/>
  <c r="J18" i="24"/>
  <c r="P18" i="24" s="1"/>
  <c r="K18" i="24"/>
  <c r="Q18" i="24" s="1"/>
  <c r="F21" i="24"/>
  <c r="I21" i="24"/>
  <c r="O21" i="24" s="1"/>
  <c r="J21" i="24"/>
  <c r="P21" i="24" s="1"/>
  <c r="K21" i="24"/>
  <c r="Q21" i="24" s="1"/>
  <c r="F22" i="24"/>
  <c r="I22" i="24"/>
  <c r="J22" i="24"/>
  <c r="P22" i="24" s="1"/>
  <c r="K22" i="24"/>
  <c r="F23" i="24"/>
  <c r="I23" i="24"/>
  <c r="O23" i="24" s="1"/>
  <c r="J23" i="24"/>
  <c r="K23" i="24"/>
  <c r="Q23" i="24" s="1"/>
  <c r="F24" i="24"/>
  <c r="I24" i="24"/>
  <c r="J24" i="24"/>
  <c r="P24" i="24" s="1"/>
  <c r="K24" i="24"/>
  <c r="Q24" i="24" s="1"/>
  <c r="F25" i="24"/>
  <c r="O25" i="24"/>
  <c r="J25" i="24"/>
  <c r="K25" i="24"/>
  <c r="Q25" i="24" s="1"/>
  <c r="F26" i="24"/>
  <c r="I26" i="24"/>
  <c r="O26" i="24" s="1"/>
  <c r="J26" i="24"/>
  <c r="P26" i="24" s="1"/>
  <c r="K26" i="24"/>
  <c r="Q26" i="24" s="1"/>
  <c r="F27" i="24"/>
  <c r="I27" i="24"/>
  <c r="O27" i="24" s="1"/>
  <c r="J27" i="24"/>
  <c r="K27" i="24"/>
  <c r="Q27" i="24" s="1"/>
  <c r="F28" i="24"/>
  <c r="I28" i="24"/>
  <c r="O28" i="24" s="1"/>
  <c r="J28" i="24"/>
  <c r="P28" i="24" s="1"/>
  <c r="K28" i="24"/>
  <c r="Q28" i="24" s="1"/>
  <c r="F29" i="24"/>
  <c r="I29" i="24"/>
  <c r="O29" i="24" s="1"/>
  <c r="J29" i="24"/>
  <c r="P29" i="24" s="1"/>
  <c r="F30" i="24"/>
  <c r="I30" i="24"/>
  <c r="J30" i="24"/>
  <c r="P30" i="24" s="1"/>
  <c r="K30" i="24"/>
  <c r="Q30" i="24" s="1"/>
  <c r="F31" i="24"/>
  <c r="I31" i="24"/>
  <c r="O31" i="24" s="1"/>
  <c r="J31" i="24"/>
  <c r="P31" i="24" s="1"/>
  <c r="K31" i="24"/>
  <c r="Q31" i="24" s="1"/>
  <c r="F32" i="24"/>
  <c r="P32" i="24"/>
  <c r="Q32" i="24"/>
  <c r="F33" i="24"/>
  <c r="I33" i="24"/>
  <c r="O33" i="24" s="1"/>
  <c r="J33" i="24"/>
  <c r="K33" i="24"/>
  <c r="Q33" i="24" s="1"/>
  <c r="C34" i="24"/>
  <c r="D34" i="24"/>
  <c r="E34" i="24"/>
  <c r="I61" i="22"/>
  <c r="E6" i="26" l="1"/>
  <c r="E3" i="26"/>
  <c r="S133" i="19"/>
  <c r="R133" i="19"/>
  <c r="L139" i="20" s="1"/>
  <c r="R134" i="19"/>
  <c r="L140" i="20" s="1"/>
  <c r="S134" i="19"/>
  <c r="T134" i="19"/>
  <c r="T126" i="19"/>
  <c r="R126" i="19"/>
  <c r="L131" i="20" s="1"/>
  <c r="S126" i="19"/>
  <c r="S128" i="19"/>
  <c r="R128" i="19"/>
  <c r="L133" i="20" s="1"/>
  <c r="S127" i="19"/>
  <c r="R127" i="19"/>
  <c r="L132" i="20" s="1"/>
  <c r="S125" i="19"/>
  <c r="R125" i="19"/>
  <c r="L130" i="20" s="1"/>
  <c r="T132" i="19"/>
  <c r="R132" i="19"/>
  <c r="L137" i="20" s="1"/>
  <c r="S132" i="19"/>
  <c r="T129" i="19"/>
  <c r="R129" i="19"/>
  <c r="L134" i="20" s="1"/>
  <c r="R136" i="20"/>
  <c r="S136" i="20"/>
  <c r="R143" i="20"/>
  <c r="T143" i="20"/>
  <c r="S143" i="20"/>
  <c r="T133" i="19"/>
  <c r="T125" i="19"/>
  <c r="S69" i="20"/>
  <c r="T69" i="20"/>
  <c r="S129" i="19"/>
  <c r="T128" i="19"/>
  <c r="T127" i="19"/>
  <c r="T13" i="20"/>
  <c r="S13" i="20"/>
  <c r="T87" i="20"/>
  <c r="S87" i="20"/>
  <c r="T58" i="20"/>
  <c r="S58" i="20"/>
  <c r="S30" i="20"/>
  <c r="T30" i="20"/>
  <c r="T67" i="20"/>
  <c r="S67" i="20"/>
  <c r="F34" i="24"/>
  <c r="L11" i="24"/>
  <c r="R11" i="24" s="1"/>
  <c r="L12" i="24"/>
  <c r="R12" i="24" s="1"/>
  <c r="L9" i="24"/>
  <c r="L10" i="24"/>
  <c r="R10" i="24" s="1"/>
  <c r="L18" i="24"/>
  <c r="R18" i="24" s="1"/>
  <c r="L15" i="24"/>
  <c r="R15" i="24" s="1"/>
  <c r="L16" i="24"/>
  <c r="R16" i="24" s="1"/>
  <c r="L13" i="24"/>
  <c r="R13" i="24" s="1"/>
  <c r="L14" i="24"/>
  <c r="L17" i="24"/>
  <c r="R17" i="24" s="1"/>
  <c r="P15" i="24"/>
  <c r="L5" i="24"/>
  <c r="L6" i="24"/>
  <c r="K7" i="24"/>
  <c r="L27" i="24"/>
  <c r="R27" i="24" s="1"/>
  <c r="K34" i="24"/>
  <c r="L25" i="24"/>
  <c r="R25" i="24" s="1"/>
  <c r="L33" i="24"/>
  <c r="R33" i="24" s="1"/>
  <c r="P27" i="24"/>
  <c r="P33" i="24"/>
  <c r="P25" i="24"/>
  <c r="L22" i="24"/>
  <c r="R22" i="24" s="1"/>
  <c r="L29" i="24"/>
  <c r="R29" i="24" s="1"/>
  <c r="L31" i="24"/>
  <c r="R31" i="24" s="1"/>
  <c r="L24" i="24"/>
  <c r="R24" i="24" s="1"/>
  <c r="J34" i="24"/>
  <c r="L30" i="24"/>
  <c r="R30" i="24" s="1"/>
  <c r="L26" i="24"/>
  <c r="R26" i="24" s="1"/>
  <c r="L23" i="24"/>
  <c r="R23" i="24" s="1"/>
  <c r="L21" i="24"/>
  <c r="R21" i="24" s="1"/>
  <c r="L28" i="24"/>
  <c r="R28" i="24" s="1"/>
  <c r="L32" i="24"/>
  <c r="R32" i="24" s="1"/>
  <c r="K19" i="24"/>
  <c r="I34" i="24"/>
  <c r="J19" i="24"/>
  <c r="O32" i="24"/>
  <c r="Q22" i="24"/>
  <c r="Q34" i="24" s="1"/>
  <c r="O18" i="24"/>
  <c r="P23" i="24"/>
  <c r="I19" i="24"/>
  <c r="J7" i="24"/>
  <c r="O30" i="24"/>
  <c r="O22" i="24"/>
  <c r="O16" i="24"/>
  <c r="O11" i="24"/>
  <c r="I7" i="24"/>
  <c r="O24" i="24"/>
  <c r="O9" i="24"/>
  <c r="R134" i="20" l="1"/>
  <c r="S134" i="20"/>
  <c r="T134" i="20"/>
  <c r="R137" i="20"/>
  <c r="S137" i="20"/>
  <c r="T137" i="20"/>
  <c r="R130" i="20"/>
  <c r="S130" i="20"/>
  <c r="T130" i="20"/>
  <c r="R132" i="20"/>
  <c r="T132" i="20"/>
  <c r="S132" i="20"/>
  <c r="R133" i="20"/>
  <c r="T133" i="20"/>
  <c r="S133" i="20"/>
  <c r="R131" i="20"/>
  <c r="S131" i="20"/>
  <c r="T131" i="20"/>
  <c r="R140" i="20"/>
  <c r="S140" i="20"/>
  <c r="T140" i="20"/>
  <c r="R139" i="20"/>
  <c r="S139" i="20"/>
  <c r="T139" i="20"/>
  <c r="T60" i="20"/>
  <c r="S60" i="20"/>
  <c r="T59" i="20"/>
  <c r="S59" i="20"/>
  <c r="T76" i="20"/>
  <c r="S76" i="20"/>
  <c r="S29" i="20"/>
  <c r="T29" i="20"/>
  <c r="T77" i="20"/>
  <c r="S77" i="20"/>
  <c r="T28" i="20"/>
  <c r="S28" i="20"/>
  <c r="O34" i="24"/>
  <c r="L19" i="24"/>
  <c r="K35" i="24"/>
  <c r="L7" i="24"/>
  <c r="P34" i="24"/>
  <c r="L34" i="24"/>
  <c r="J35" i="24"/>
  <c r="I35" i="24"/>
  <c r="F86" i="22"/>
  <c r="F85" i="22"/>
  <c r="I77" i="22"/>
  <c r="I56" i="22"/>
  <c r="I73" i="22"/>
  <c r="I63" i="22"/>
  <c r="I62" i="22"/>
  <c r="I83" i="22"/>
  <c r="I12" i="22"/>
  <c r="I22" i="22"/>
  <c r="I60" i="22"/>
  <c r="I25" i="22"/>
  <c r="L35" i="24" l="1"/>
  <c r="R34" i="24"/>
  <c r="I14" i="22"/>
  <c r="I69" i="22"/>
  <c r="I16" i="22"/>
  <c r="I17" i="22"/>
  <c r="I18" i="22"/>
  <c r="I19" i="22"/>
  <c r="I20" i="22"/>
  <c r="I21" i="22"/>
  <c r="I23" i="22"/>
  <c r="I24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2" i="22"/>
  <c r="I53" i="22"/>
  <c r="I55" i="22"/>
  <c r="I54" i="22"/>
  <c r="I57" i="22"/>
  <c r="I58" i="22"/>
  <c r="I59" i="22"/>
  <c r="I51" i="22"/>
  <c r="I64" i="22"/>
  <c r="I65" i="22"/>
  <c r="I66" i="22"/>
  <c r="I67" i="22"/>
  <c r="I15" i="22"/>
  <c r="I68" i="22"/>
  <c r="I70" i="22"/>
  <c r="I71" i="22"/>
  <c r="I72" i="22"/>
  <c r="I74" i="22"/>
  <c r="I75" i="22"/>
  <c r="I76" i="22"/>
  <c r="I78" i="22"/>
  <c r="I79" i="22"/>
  <c r="I80" i="22"/>
  <c r="I81" i="22"/>
  <c r="I82" i="22"/>
  <c r="I84" i="22"/>
  <c r="I13" i="22"/>
  <c r="I85" i="22" l="1"/>
  <c r="I108" i="3" l="1"/>
  <c r="O73" i="1" l="1"/>
  <c r="O81" i="1"/>
  <c r="O85" i="1"/>
  <c r="O89" i="1"/>
  <c r="O93" i="1"/>
  <c r="O110" i="1"/>
  <c r="O111" i="1"/>
  <c r="J116" i="1"/>
  <c r="P116" i="1" s="1"/>
  <c r="J117" i="1"/>
  <c r="P117" i="1" s="1"/>
  <c r="O112" i="1"/>
  <c r="V109" i="1"/>
  <c r="J109" i="1" s="1"/>
  <c r="P109" i="1" s="1"/>
  <c r="V110" i="1"/>
  <c r="J110" i="1" s="1"/>
  <c r="P110" i="1" s="1"/>
  <c r="V111" i="1"/>
  <c r="J111" i="1" s="1"/>
  <c r="P111" i="1" s="1"/>
  <c r="V112" i="1"/>
  <c r="J112" i="1" s="1"/>
  <c r="P112" i="1" s="1"/>
  <c r="V113" i="1"/>
  <c r="J113" i="1" s="1"/>
  <c r="P113" i="1" s="1"/>
  <c r="V114" i="1"/>
  <c r="J114" i="1" s="1"/>
  <c r="P114" i="1" s="1"/>
  <c r="V115" i="1"/>
  <c r="J115" i="1" s="1"/>
  <c r="P115" i="1" s="1"/>
  <c r="V116" i="1"/>
  <c r="V117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V23" i="1"/>
  <c r="J23" i="1" s="1"/>
  <c r="P23" i="1" s="1"/>
  <c r="L29" i="19" s="1"/>
  <c r="R29" i="19" s="1"/>
  <c r="L31" i="20" s="1"/>
  <c r="R31" i="20" s="1"/>
  <c r="V24" i="1"/>
  <c r="J24" i="1" s="1"/>
  <c r="P24" i="1" s="1"/>
  <c r="L30" i="19" s="1"/>
  <c r="R30" i="19" s="1"/>
  <c r="L32" i="20" s="1"/>
  <c r="R32" i="20" s="1"/>
  <c r="V25" i="1"/>
  <c r="J25" i="1" s="1"/>
  <c r="P25" i="1" s="1"/>
  <c r="L31" i="19" s="1"/>
  <c r="R31" i="19" s="1"/>
  <c r="L33" i="20" s="1"/>
  <c r="R33" i="20" s="1"/>
  <c r="V26" i="1"/>
  <c r="J26" i="1" s="1"/>
  <c r="P26" i="1" s="1"/>
  <c r="L32" i="19" s="1"/>
  <c r="R32" i="19" s="1"/>
  <c r="V27" i="1"/>
  <c r="J27" i="1" s="1"/>
  <c r="P27" i="1" s="1"/>
  <c r="L33" i="19" s="1"/>
  <c r="R33" i="19" s="1"/>
  <c r="L34" i="20" s="1"/>
  <c r="R34" i="20" s="1"/>
  <c r="V28" i="1"/>
  <c r="J28" i="1" s="1"/>
  <c r="P28" i="1" s="1"/>
  <c r="L34" i="19" s="1"/>
  <c r="R34" i="19" s="1"/>
  <c r="L35" i="20" s="1"/>
  <c r="R35" i="20" s="1"/>
  <c r="V29" i="1"/>
  <c r="J29" i="1" s="1"/>
  <c r="P29" i="1" s="1"/>
  <c r="L35" i="19" s="1"/>
  <c r="R35" i="19" s="1"/>
  <c r="V30" i="1"/>
  <c r="J30" i="1" s="1"/>
  <c r="P30" i="1" s="1"/>
  <c r="L36" i="19" s="1"/>
  <c r="R36" i="19" s="1"/>
  <c r="L36" i="20" s="1"/>
  <c r="R36" i="20" s="1"/>
  <c r="V31" i="1"/>
  <c r="J31" i="1" s="1"/>
  <c r="P31" i="1" s="1"/>
  <c r="L37" i="19" s="1"/>
  <c r="R37" i="19" s="1"/>
  <c r="V32" i="1"/>
  <c r="J32" i="1" s="1"/>
  <c r="P32" i="1" s="1"/>
  <c r="L38" i="19" s="1"/>
  <c r="R38" i="19" s="1"/>
  <c r="L38" i="20" s="1"/>
  <c r="R38" i="20" s="1"/>
  <c r="V33" i="1"/>
  <c r="J33" i="1" s="1"/>
  <c r="P33" i="1" s="1"/>
  <c r="L39" i="19" s="1"/>
  <c r="R39" i="19" s="1"/>
  <c r="L40" i="20" s="1"/>
  <c r="R40" i="20" s="1"/>
  <c r="V34" i="1"/>
  <c r="J34" i="1" s="1"/>
  <c r="P34" i="1" s="1"/>
  <c r="L40" i="19" s="1"/>
  <c r="R40" i="19" s="1"/>
  <c r="L41" i="20" s="1"/>
  <c r="R41" i="20" s="1"/>
  <c r="V35" i="1"/>
  <c r="J35" i="1" s="1"/>
  <c r="P35" i="1" s="1"/>
  <c r="L41" i="19" s="1"/>
  <c r="R41" i="19" s="1"/>
  <c r="L42" i="20" s="1"/>
  <c r="R42" i="20" s="1"/>
  <c r="V36" i="1"/>
  <c r="J36" i="1" s="1"/>
  <c r="P36" i="1" s="1"/>
  <c r="L42" i="19" s="1"/>
  <c r="R42" i="19" s="1"/>
  <c r="L43" i="20" s="1"/>
  <c r="R43" i="20" s="1"/>
  <c r="V37" i="1"/>
  <c r="J37" i="1" s="1"/>
  <c r="P37" i="1" s="1"/>
  <c r="V38" i="1"/>
  <c r="J38" i="1" s="1"/>
  <c r="P38" i="1" s="1"/>
  <c r="L44" i="19" s="1"/>
  <c r="R44" i="19" s="1"/>
  <c r="L45" i="20" s="1"/>
  <c r="R45" i="20" s="1"/>
  <c r="V39" i="1"/>
  <c r="J39" i="1" s="1"/>
  <c r="P39" i="1" s="1"/>
  <c r="L46" i="19" s="1"/>
  <c r="R46" i="19" s="1"/>
  <c r="L48" i="20" s="1"/>
  <c r="R48" i="20" s="1"/>
  <c r="V40" i="1"/>
  <c r="J40" i="1" s="1"/>
  <c r="P40" i="1" s="1"/>
  <c r="L47" i="19" s="1"/>
  <c r="R47" i="19" s="1"/>
  <c r="L49" i="20" s="1"/>
  <c r="R49" i="20" s="1"/>
  <c r="V41" i="1"/>
  <c r="J41" i="1" s="1"/>
  <c r="P41" i="1" s="1"/>
  <c r="V42" i="1"/>
  <c r="J42" i="1" s="1"/>
  <c r="P42" i="1" s="1"/>
  <c r="L50" i="19" s="1"/>
  <c r="R50" i="19" s="1"/>
  <c r="L52" i="20" s="1"/>
  <c r="R52" i="20" s="1"/>
  <c r="V43" i="1"/>
  <c r="J43" i="1" s="1"/>
  <c r="P43" i="1" s="1"/>
  <c r="L51" i="19" s="1"/>
  <c r="R51" i="19" s="1"/>
  <c r="L53" i="20" s="1"/>
  <c r="R53" i="20" s="1"/>
  <c r="V44" i="1"/>
  <c r="J44" i="1" s="1"/>
  <c r="P44" i="1" s="1"/>
  <c r="V45" i="1"/>
  <c r="J45" i="1" s="1"/>
  <c r="P45" i="1" s="1"/>
  <c r="V46" i="1"/>
  <c r="J46" i="1" s="1"/>
  <c r="P46" i="1" s="1"/>
  <c r="J57" i="1"/>
  <c r="J62" i="1"/>
  <c r="P62" i="1" s="1"/>
  <c r="L78" i="19" s="1"/>
  <c r="R78" i="19" s="1"/>
  <c r="L83" i="20" s="1"/>
  <c r="R83" i="20" s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V47" i="1"/>
  <c r="J47" i="1" s="1"/>
  <c r="P47" i="1" s="1"/>
  <c r="V48" i="1"/>
  <c r="J48" i="1" s="1"/>
  <c r="P48" i="1" s="1"/>
  <c r="L60" i="19" s="1"/>
  <c r="R60" i="19" s="1"/>
  <c r="L63" i="20" s="1"/>
  <c r="R63" i="20" s="1"/>
  <c r="V49" i="1"/>
  <c r="J49" i="1" s="1"/>
  <c r="P49" i="1" s="1"/>
  <c r="L61" i="19" s="1"/>
  <c r="R61" i="19" s="1"/>
  <c r="L65" i="20" s="1"/>
  <c r="R65" i="20" s="1"/>
  <c r="V50" i="1"/>
  <c r="J50" i="1" s="1"/>
  <c r="P50" i="1" s="1"/>
  <c r="L62" i="19" s="1"/>
  <c r="R62" i="19" s="1"/>
  <c r="L66" i="20" s="1"/>
  <c r="R66" i="20" s="1"/>
  <c r="V51" i="1"/>
  <c r="J51" i="1" s="1"/>
  <c r="P51" i="1" s="1"/>
  <c r="V52" i="1"/>
  <c r="J52" i="1" s="1"/>
  <c r="P52" i="1" s="1"/>
  <c r="L64" i="19" s="1"/>
  <c r="R64" i="19" s="1"/>
  <c r="L68" i="20" s="1"/>
  <c r="R68" i="20" s="1"/>
  <c r="V53" i="1"/>
  <c r="J53" i="1" s="1"/>
  <c r="V54" i="1"/>
  <c r="J54" i="1" s="1"/>
  <c r="P54" i="1" s="1"/>
  <c r="L66" i="19" s="1"/>
  <c r="R66" i="19" s="1"/>
  <c r="L70" i="20" s="1"/>
  <c r="R70" i="20" s="1"/>
  <c r="V55" i="1"/>
  <c r="J55" i="1" s="1"/>
  <c r="P55" i="1" s="1"/>
  <c r="L67" i="19" s="1"/>
  <c r="R67" i="19" s="1"/>
  <c r="L72" i="20" s="1"/>
  <c r="R72" i="20" s="1"/>
  <c r="V56" i="1"/>
  <c r="J56" i="1" s="1"/>
  <c r="P56" i="1" s="1"/>
  <c r="V57" i="1"/>
  <c r="V58" i="1"/>
  <c r="J58" i="1" s="1"/>
  <c r="P58" i="1" s="1"/>
  <c r="L71" i="19" s="1"/>
  <c r="R71" i="19" s="1"/>
  <c r="L75" i="20" s="1"/>
  <c r="R75" i="20" s="1"/>
  <c r="V59" i="1"/>
  <c r="J59" i="1" s="1"/>
  <c r="P59" i="1" s="1"/>
  <c r="V60" i="1"/>
  <c r="J60" i="1" s="1"/>
  <c r="P60" i="1" s="1"/>
  <c r="V61" i="1"/>
  <c r="J61" i="1" s="1"/>
  <c r="P61" i="1" s="1"/>
  <c r="L77" i="19" s="1"/>
  <c r="R77" i="19" s="1"/>
  <c r="V62" i="1"/>
  <c r="V63" i="1"/>
  <c r="J63" i="1" s="1"/>
  <c r="P63" i="1" s="1"/>
  <c r="L79" i="19" s="1"/>
  <c r="R79" i="19" s="1"/>
  <c r="L84" i="20" s="1"/>
  <c r="R84" i="20" s="1"/>
  <c r="V64" i="1"/>
  <c r="J64" i="1" s="1"/>
  <c r="P64" i="1" s="1"/>
  <c r="L80" i="19" s="1"/>
  <c r="R80" i="19" s="1"/>
  <c r="L85" i="20" s="1"/>
  <c r="R85" i="20" s="1"/>
  <c r="V65" i="1"/>
  <c r="J65" i="1" s="1"/>
  <c r="P65" i="1" s="1"/>
  <c r="L81" i="19" s="1"/>
  <c r="R81" i="19" s="1"/>
  <c r="L86" i="20" s="1"/>
  <c r="R86" i="20" s="1"/>
  <c r="V66" i="1"/>
  <c r="J66" i="1" s="1"/>
  <c r="P66" i="1" s="1"/>
  <c r="V67" i="1"/>
  <c r="J67" i="1" s="1"/>
  <c r="P67" i="1" s="1"/>
  <c r="L84" i="19" s="1"/>
  <c r="R84" i="19" s="1"/>
  <c r="L88" i="20" s="1"/>
  <c r="R88" i="20" s="1"/>
  <c r="V68" i="1"/>
  <c r="J68" i="1" s="1"/>
  <c r="P68" i="1" s="1"/>
  <c r="L85" i="19" s="1"/>
  <c r="R85" i="19" s="1"/>
  <c r="L89" i="20" s="1"/>
  <c r="R89" i="20" s="1"/>
  <c r="V69" i="1"/>
  <c r="J69" i="1" s="1"/>
  <c r="P69" i="1" s="1"/>
  <c r="L86" i="19" s="1"/>
  <c r="R86" i="19" s="1"/>
  <c r="L90" i="20" s="1"/>
  <c r="R90" i="20" s="1"/>
  <c r="V70" i="1"/>
  <c r="J70" i="1" s="1"/>
  <c r="P70" i="1" s="1"/>
  <c r="L87" i="19" s="1"/>
  <c r="R87" i="19" s="1"/>
  <c r="L91" i="20" s="1"/>
  <c r="R91" i="20" s="1"/>
  <c r="O71" i="1"/>
  <c r="O72" i="1"/>
  <c r="O74" i="1"/>
  <c r="O75" i="1"/>
  <c r="O76" i="1"/>
  <c r="O78" i="1"/>
  <c r="O79" i="1"/>
  <c r="O80" i="1"/>
  <c r="O82" i="1"/>
  <c r="O83" i="1"/>
  <c r="O84" i="1"/>
  <c r="O86" i="1"/>
  <c r="O87" i="1"/>
  <c r="O88" i="1"/>
  <c r="O90" i="1"/>
  <c r="O91" i="1"/>
  <c r="O92" i="1"/>
  <c r="O94" i="1"/>
  <c r="V71" i="1"/>
  <c r="J71" i="1" s="1"/>
  <c r="P71" i="1" s="1"/>
  <c r="V72" i="1"/>
  <c r="J72" i="1" s="1"/>
  <c r="P72" i="1" s="1"/>
  <c r="L90" i="19" s="1"/>
  <c r="R90" i="19" s="1"/>
  <c r="L94" i="20" s="1"/>
  <c r="R94" i="20" s="1"/>
  <c r="V73" i="1"/>
  <c r="J73" i="1" s="1"/>
  <c r="P73" i="1" s="1"/>
  <c r="L91" i="19" s="1"/>
  <c r="R91" i="19" s="1"/>
  <c r="L95" i="20" s="1"/>
  <c r="R95" i="20" s="1"/>
  <c r="V74" i="1"/>
  <c r="J74" i="1" s="1"/>
  <c r="P74" i="1" s="1"/>
  <c r="L92" i="19" s="1"/>
  <c r="R92" i="19" s="1"/>
  <c r="L96" i="20" s="1"/>
  <c r="R96" i="20" s="1"/>
  <c r="V75" i="1"/>
  <c r="J75" i="1" s="1"/>
  <c r="P75" i="1" s="1"/>
  <c r="L93" i="19" s="1"/>
  <c r="R93" i="19" s="1"/>
  <c r="L97" i="20" s="1"/>
  <c r="R97" i="20" s="1"/>
  <c r="V76" i="1"/>
  <c r="J76" i="1" s="1"/>
  <c r="P76" i="1" s="1"/>
  <c r="L94" i="19" s="1"/>
  <c r="R94" i="19" s="1"/>
  <c r="L99" i="20" s="1"/>
  <c r="R99" i="20" s="1"/>
  <c r="V77" i="1"/>
  <c r="J77" i="1" s="1"/>
  <c r="P77" i="1" s="1"/>
  <c r="L95" i="19" s="1"/>
  <c r="R95" i="19" s="1"/>
  <c r="L100" i="20" s="1"/>
  <c r="R100" i="20" s="1"/>
  <c r="V78" i="1"/>
  <c r="J78" i="1" s="1"/>
  <c r="P78" i="1" s="1"/>
  <c r="L96" i="19" s="1"/>
  <c r="R96" i="19" s="1"/>
  <c r="L101" i="20" s="1"/>
  <c r="R101" i="20" s="1"/>
  <c r="V79" i="1"/>
  <c r="J79" i="1" s="1"/>
  <c r="P79" i="1" s="1"/>
  <c r="L97" i="19" s="1"/>
  <c r="R97" i="19" s="1"/>
  <c r="L102" i="20" s="1"/>
  <c r="R102" i="20" s="1"/>
  <c r="V80" i="1"/>
  <c r="J80" i="1" s="1"/>
  <c r="P80" i="1" s="1"/>
  <c r="V81" i="1"/>
  <c r="J81" i="1" s="1"/>
  <c r="P81" i="1" s="1"/>
  <c r="L99" i="19" s="1"/>
  <c r="R99" i="19" s="1"/>
  <c r="L103" i="20" s="1"/>
  <c r="R103" i="20" s="1"/>
  <c r="V82" i="1"/>
  <c r="J82" i="1" s="1"/>
  <c r="P82" i="1" s="1"/>
  <c r="V83" i="1"/>
  <c r="J83" i="1" s="1"/>
  <c r="P83" i="1" s="1"/>
  <c r="L101" i="19" s="1"/>
  <c r="R101" i="19" s="1"/>
  <c r="L104" i="20" s="1"/>
  <c r="R104" i="20" s="1"/>
  <c r="V84" i="1"/>
  <c r="J84" i="1" s="1"/>
  <c r="P84" i="1" s="1"/>
  <c r="L102" i="19" s="1"/>
  <c r="R102" i="19" s="1"/>
  <c r="L105" i="20" s="1"/>
  <c r="R105" i="20" s="1"/>
  <c r="V85" i="1"/>
  <c r="J85" i="1" s="1"/>
  <c r="P85" i="1" s="1"/>
  <c r="L103" i="19" s="1"/>
  <c r="R103" i="19" s="1"/>
  <c r="V86" i="1"/>
  <c r="J86" i="1" s="1"/>
  <c r="P86" i="1" s="1"/>
  <c r="L104" i="19" s="1"/>
  <c r="R104" i="19" s="1"/>
  <c r="L106" i="20" s="1"/>
  <c r="R106" i="20" s="1"/>
  <c r="V87" i="1"/>
  <c r="J87" i="1" s="1"/>
  <c r="P87" i="1" s="1"/>
  <c r="L105" i="19" s="1"/>
  <c r="R105" i="19" s="1"/>
  <c r="L107" i="20" s="1"/>
  <c r="R107" i="20" s="1"/>
  <c r="V88" i="1"/>
  <c r="J88" i="1" s="1"/>
  <c r="P88" i="1" s="1"/>
  <c r="L106" i="19" s="1"/>
  <c r="R106" i="19" s="1"/>
  <c r="L108" i="20" s="1"/>
  <c r="R108" i="20" s="1"/>
  <c r="V89" i="1"/>
  <c r="J89" i="1" s="1"/>
  <c r="P89" i="1" s="1"/>
  <c r="L107" i="19" s="1"/>
  <c r="R107" i="19" s="1"/>
  <c r="L109" i="20" s="1"/>
  <c r="R109" i="20" s="1"/>
  <c r="V90" i="1"/>
  <c r="J90" i="1" s="1"/>
  <c r="P90" i="1" s="1"/>
  <c r="L108" i="19" s="1"/>
  <c r="R108" i="19" s="1"/>
  <c r="L110" i="20" s="1"/>
  <c r="R110" i="20" s="1"/>
  <c r="V91" i="1"/>
  <c r="J91" i="1" s="1"/>
  <c r="P91" i="1" s="1"/>
  <c r="L109" i="19" s="1"/>
  <c r="R109" i="19" s="1"/>
  <c r="L111" i="20" s="1"/>
  <c r="R111" i="20" s="1"/>
  <c r="V92" i="1"/>
  <c r="J92" i="1" s="1"/>
  <c r="P92" i="1" s="1"/>
  <c r="L110" i="19" s="1"/>
  <c r="R110" i="19" s="1"/>
  <c r="L112" i="20" s="1"/>
  <c r="R112" i="20" s="1"/>
  <c r="V93" i="1"/>
  <c r="J93" i="1" s="1"/>
  <c r="V94" i="1"/>
  <c r="J94" i="1" s="1"/>
  <c r="P94" i="1" s="1"/>
  <c r="L113" i="19" s="1"/>
  <c r="R113" i="19" s="1"/>
  <c r="L116" i="20" s="1"/>
  <c r="R116" i="20" s="1"/>
  <c r="J100" i="1"/>
  <c r="P100" i="1" s="1"/>
  <c r="L119" i="19" s="1"/>
  <c r="R119" i="19" s="1"/>
  <c r="L123" i="20" s="1"/>
  <c r="R123" i="20" s="1"/>
  <c r="J102" i="1"/>
  <c r="P102" i="1" s="1"/>
  <c r="O95" i="1"/>
  <c r="O96" i="1"/>
  <c r="O97" i="1"/>
  <c r="O98" i="1"/>
  <c r="O99" i="1"/>
  <c r="O100" i="1"/>
  <c r="O101" i="1"/>
  <c r="O102" i="1"/>
  <c r="V95" i="1"/>
  <c r="J95" i="1" s="1"/>
  <c r="P95" i="1" s="1"/>
  <c r="L114" i="19" s="1"/>
  <c r="R114" i="19" s="1"/>
  <c r="L117" i="20" s="1"/>
  <c r="R117" i="20" s="1"/>
  <c r="V96" i="1"/>
  <c r="J96" i="1" s="1"/>
  <c r="P96" i="1" s="1"/>
  <c r="L115" i="19" s="1"/>
  <c r="R115" i="19" s="1"/>
  <c r="L118" i="20" s="1"/>
  <c r="R118" i="20" s="1"/>
  <c r="V97" i="1"/>
  <c r="J97" i="1" s="1"/>
  <c r="P97" i="1" s="1"/>
  <c r="L116" i="19" s="1"/>
  <c r="R116" i="19" s="1"/>
  <c r="L120" i="20" s="1"/>
  <c r="R120" i="20" s="1"/>
  <c r="V98" i="1"/>
  <c r="J98" i="1" s="1"/>
  <c r="P98" i="1" s="1"/>
  <c r="L117" i="19" s="1"/>
  <c r="R117" i="19" s="1"/>
  <c r="L121" i="20" s="1"/>
  <c r="R121" i="20" s="1"/>
  <c r="V99" i="1"/>
  <c r="J99" i="1" s="1"/>
  <c r="P99" i="1" s="1"/>
  <c r="L118" i="19" s="1"/>
  <c r="R118" i="19" s="1"/>
  <c r="L122" i="20" s="1"/>
  <c r="R122" i="20" s="1"/>
  <c r="V100" i="1"/>
  <c r="V101" i="1"/>
  <c r="J101" i="1" s="1"/>
  <c r="P101" i="1" s="1"/>
  <c r="L120" i="19" s="1"/>
  <c r="R120" i="19" s="1"/>
  <c r="L124" i="20" s="1"/>
  <c r="R124" i="20" s="1"/>
  <c r="V102" i="1"/>
  <c r="J107" i="1"/>
  <c r="P107" i="1" s="1"/>
  <c r="J118" i="1"/>
  <c r="P118" i="1" s="1"/>
  <c r="J119" i="1"/>
  <c r="P119" i="1" s="1"/>
  <c r="O103" i="1"/>
  <c r="O104" i="1"/>
  <c r="O105" i="1"/>
  <c r="O106" i="1"/>
  <c r="O107" i="1"/>
  <c r="O108" i="1"/>
  <c r="V103" i="1"/>
  <c r="J103" i="1" s="1"/>
  <c r="P103" i="1" s="1"/>
  <c r="L122" i="19" s="1"/>
  <c r="R122" i="19" s="1"/>
  <c r="L127" i="20" s="1"/>
  <c r="V104" i="1"/>
  <c r="J104" i="1" s="1"/>
  <c r="P104" i="1" s="1"/>
  <c r="L123" i="19" s="1"/>
  <c r="R123" i="19" s="1"/>
  <c r="L128" i="20" s="1"/>
  <c r="V105" i="1"/>
  <c r="J105" i="1" s="1"/>
  <c r="P105" i="1" s="1"/>
  <c r="V106" i="1"/>
  <c r="J106" i="1" s="1"/>
  <c r="P106" i="1" s="1"/>
  <c r="V107" i="1"/>
  <c r="V108" i="1"/>
  <c r="J108" i="1" s="1"/>
  <c r="P108" i="1" s="1"/>
  <c r="V118" i="1"/>
  <c r="V119" i="1"/>
  <c r="J120" i="1"/>
  <c r="J121" i="1"/>
  <c r="P121" i="1" s="1"/>
  <c r="V120" i="1"/>
  <c r="V121" i="1"/>
  <c r="J122" i="1"/>
  <c r="P122" i="1" s="1"/>
  <c r="J132" i="1"/>
  <c r="P132" i="1" s="1"/>
  <c r="V122" i="1"/>
  <c r="V132" i="1"/>
  <c r="J133" i="1"/>
  <c r="V133" i="1"/>
  <c r="R128" i="20" l="1"/>
  <c r="T128" i="20"/>
  <c r="S128" i="20"/>
  <c r="R127" i="20"/>
  <c r="T127" i="20"/>
  <c r="S127" i="20"/>
  <c r="S95" i="19"/>
  <c r="T95" i="19"/>
  <c r="S94" i="19"/>
  <c r="T94" i="19"/>
  <c r="T93" i="19"/>
  <c r="S93" i="19"/>
  <c r="T122" i="19"/>
  <c r="S122" i="19"/>
  <c r="T120" i="19"/>
  <c r="S120" i="19"/>
  <c r="T107" i="19"/>
  <c r="S107" i="19"/>
  <c r="S96" i="19"/>
  <c r="T96" i="19"/>
  <c r="T79" i="19"/>
  <c r="S79" i="19"/>
  <c r="T64" i="19"/>
  <c r="S64" i="19"/>
  <c r="S40" i="19"/>
  <c r="T40" i="19"/>
  <c r="S29" i="19"/>
  <c r="T29" i="19"/>
  <c r="S39" i="19"/>
  <c r="T39" i="19"/>
  <c r="S105" i="19"/>
  <c r="T105" i="19"/>
  <c r="S51" i="19"/>
  <c r="T51" i="19"/>
  <c r="S61" i="19"/>
  <c r="T61" i="19"/>
  <c r="S103" i="19"/>
  <c r="T103" i="19"/>
  <c r="S102" i="19"/>
  <c r="T102" i="19"/>
  <c r="T47" i="19"/>
  <c r="S47" i="19"/>
  <c r="T101" i="19"/>
  <c r="S101" i="19"/>
  <c r="T34" i="19"/>
  <c r="S34" i="19"/>
  <c r="T84" i="19"/>
  <c r="S84" i="19"/>
  <c r="S44" i="19"/>
  <c r="T44" i="19"/>
  <c r="S33" i="19"/>
  <c r="T33" i="19"/>
  <c r="S77" i="19"/>
  <c r="T77" i="19"/>
  <c r="S117" i="19"/>
  <c r="T117" i="19"/>
  <c r="S50" i="19"/>
  <c r="T50" i="19"/>
  <c r="S60" i="19"/>
  <c r="T60" i="19"/>
  <c r="T115" i="19"/>
  <c r="S115" i="19"/>
  <c r="T86" i="19"/>
  <c r="S86" i="19"/>
  <c r="S113" i="19"/>
  <c r="T113" i="19"/>
  <c r="T85" i="19"/>
  <c r="S85" i="19"/>
  <c r="S99" i="19"/>
  <c r="T99" i="19"/>
  <c r="S67" i="19"/>
  <c r="T67" i="19"/>
  <c r="T78" i="19"/>
  <c r="S78" i="19"/>
  <c r="S32" i="19"/>
  <c r="T32" i="19"/>
  <c r="S106" i="19"/>
  <c r="T106" i="19"/>
  <c r="S62" i="19"/>
  <c r="T62" i="19"/>
  <c r="S104" i="19"/>
  <c r="T104" i="19"/>
  <c r="S92" i="19"/>
  <c r="T92" i="19"/>
  <c r="S36" i="19"/>
  <c r="T36" i="19"/>
  <c r="T91" i="19"/>
  <c r="S91" i="19"/>
  <c r="S35" i="19"/>
  <c r="T35" i="19"/>
  <c r="S90" i="19"/>
  <c r="T90" i="19"/>
  <c r="T109" i="19"/>
  <c r="S109" i="19"/>
  <c r="S81" i="19"/>
  <c r="T81" i="19"/>
  <c r="T66" i="19"/>
  <c r="S66" i="19"/>
  <c r="S42" i="19"/>
  <c r="T42" i="19"/>
  <c r="S31" i="19"/>
  <c r="T31" i="19"/>
  <c r="T118" i="19"/>
  <c r="S118" i="19"/>
  <c r="S38" i="19"/>
  <c r="T38" i="19"/>
  <c r="T37" i="19"/>
  <c r="S37" i="19"/>
  <c r="S116" i="19"/>
  <c r="T116" i="19"/>
  <c r="T87" i="19"/>
  <c r="S87" i="19"/>
  <c r="T119" i="19"/>
  <c r="S119" i="19"/>
  <c r="T71" i="19"/>
  <c r="S71" i="19"/>
  <c r="T114" i="19"/>
  <c r="S114" i="19"/>
  <c r="T46" i="19"/>
  <c r="S46" i="19"/>
  <c r="T110" i="19"/>
  <c r="S110" i="19"/>
  <c r="T123" i="19"/>
  <c r="S123" i="19"/>
  <c r="S108" i="19"/>
  <c r="T108" i="19"/>
  <c r="S97" i="19"/>
  <c r="T97" i="19"/>
  <c r="S80" i="19"/>
  <c r="T80" i="19"/>
  <c r="T41" i="19"/>
  <c r="S41" i="19"/>
  <c r="S30" i="19"/>
  <c r="T30" i="19"/>
  <c r="L89" i="19"/>
  <c r="R89" i="19" s="1"/>
  <c r="L93" i="20" s="1"/>
  <c r="R93" i="20" s="1"/>
  <c r="L88" i="19"/>
  <c r="R88" i="19" s="1"/>
  <c r="L69" i="19"/>
  <c r="R69" i="19" s="1"/>
  <c r="L74" i="20" s="1"/>
  <c r="R74" i="20" s="1"/>
  <c r="L68" i="19"/>
  <c r="R68" i="19" s="1"/>
  <c r="L73" i="20" s="1"/>
  <c r="R73" i="20" s="1"/>
  <c r="L59" i="19"/>
  <c r="R59" i="19" s="1"/>
  <c r="L62" i="20" s="1"/>
  <c r="R62" i="20" s="1"/>
  <c r="L58" i="19"/>
  <c r="R58" i="19" s="1"/>
  <c r="L61" i="20" s="1"/>
  <c r="R61" i="20" s="1"/>
  <c r="L49" i="19"/>
  <c r="R49" i="19" s="1"/>
  <c r="L51" i="20" s="1"/>
  <c r="R51" i="20" s="1"/>
  <c r="L48" i="19"/>
  <c r="R48" i="19" s="1"/>
  <c r="L50" i="20" s="1"/>
  <c r="R50" i="20" s="1"/>
  <c r="L75" i="19"/>
  <c r="R75" i="19" s="1"/>
  <c r="L80" i="20" s="1"/>
  <c r="R80" i="20" s="1"/>
  <c r="L76" i="19"/>
  <c r="R76" i="19" s="1"/>
  <c r="L81" i="20" s="1"/>
  <c r="R81" i="20" s="1"/>
  <c r="L54" i="19"/>
  <c r="R54" i="19" s="1"/>
  <c r="L56" i="20" s="1"/>
  <c r="R56" i="20" s="1"/>
  <c r="L74" i="19"/>
  <c r="R74" i="19" s="1"/>
  <c r="L79" i="20" s="1"/>
  <c r="R79" i="20" s="1"/>
  <c r="L73" i="19"/>
  <c r="R73" i="19" s="1"/>
  <c r="L78" i="20" s="1"/>
  <c r="R78" i="20" s="1"/>
  <c r="L53" i="19"/>
  <c r="R53" i="19" s="1"/>
  <c r="L55" i="20" s="1"/>
  <c r="R55" i="20" s="1"/>
  <c r="L55" i="19"/>
  <c r="R55" i="19" s="1"/>
  <c r="L57" i="20" s="1"/>
  <c r="R57" i="20" s="1"/>
  <c r="L43" i="19"/>
  <c r="R43" i="19" s="1"/>
  <c r="L44" i="20" s="1"/>
  <c r="R44" i="20" s="1"/>
  <c r="L45" i="19"/>
  <c r="R45" i="19" s="1"/>
  <c r="L46" i="20" s="1"/>
  <c r="R46" i="20" s="1"/>
  <c r="J160" i="19"/>
  <c r="O109" i="1"/>
  <c r="P53" i="1"/>
  <c r="P133" i="1"/>
  <c r="P120" i="1"/>
  <c r="P93" i="1"/>
  <c r="P57" i="1"/>
  <c r="O4" i="1"/>
  <c r="V4" i="1"/>
  <c r="J4" i="1" s="1"/>
  <c r="P4" i="1" s="1"/>
  <c r="L4" i="19" s="1"/>
  <c r="R4" i="19" s="1"/>
  <c r="L4" i="20" s="1"/>
  <c r="R4" i="20" s="1"/>
  <c r="V5" i="1"/>
  <c r="J5" i="1" s="1"/>
  <c r="O6" i="1"/>
  <c r="V6" i="1"/>
  <c r="J6" i="1" s="1"/>
  <c r="P6" i="1" s="1"/>
  <c r="L6" i="19" s="1"/>
  <c r="R6" i="19" s="1"/>
  <c r="L6" i="20" s="1"/>
  <c r="R6" i="20" s="1"/>
  <c r="J7" i="1"/>
  <c r="P7" i="1" s="1"/>
  <c r="L7" i="19" s="1"/>
  <c r="R7" i="19" s="1"/>
  <c r="L7" i="20" s="1"/>
  <c r="R7" i="20" s="1"/>
  <c r="O7" i="1"/>
  <c r="V7" i="1"/>
  <c r="O8" i="1"/>
  <c r="V8" i="1"/>
  <c r="J8" i="1" s="1"/>
  <c r="P8" i="1" s="1"/>
  <c r="L8" i="19" s="1"/>
  <c r="R8" i="19" s="1"/>
  <c r="V9" i="1"/>
  <c r="J9" i="1" s="1"/>
  <c r="V10" i="1"/>
  <c r="J10" i="1" s="1"/>
  <c r="O11" i="1"/>
  <c r="V11" i="1"/>
  <c r="J11" i="1" s="1"/>
  <c r="P11" i="1" s="1"/>
  <c r="L12" i="19" s="1"/>
  <c r="R12" i="19" s="1"/>
  <c r="L12" i="20" s="1"/>
  <c r="R12" i="20" s="1"/>
  <c r="J12" i="1"/>
  <c r="P12" i="1" s="1"/>
  <c r="O12" i="1"/>
  <c r="V12" i="1"/>
  <c r="O13" i="1"/>
  <c r="V13" i="1"/>
  <c r="J13" i="1" s="1"/>
  <c r="P13" i="1" s="1"/>
  <c r="O14" i="1"/>
  <c r="V14" i="1"/>
  <c r="J14" i="1" s="1"/>
  <c r="P14" i="1" s="1"/>
  <c r="V15" i="1"/>
  <c r="J15" i="1" s="1"/>
  <c r="O16" i="1"/>
  <c r="V16" i="1"/>
  <c r="J16" i="1" s="1"/>
  <c r="P16" i="1" s="1"/>
  <c r="L20" i="19" s="1"/>
  <c r="R20" i="19" s="1"/>
  <c r="L20" i="20" s="1"/>
  <c r="R20" i="20" s="1"/>
  <c r="O17" i="1"/>
  <c r="V17" i="1"/>
  <c r="J17" i="1" s="1"/>
  <c r="P17" i="1" s="1"/>
  <c r="L21" i="19" s="1"/>
  <c r="R21" i="19" s="1"/>
  <c r="L21" i="20" s="1"/>
  <c r="R21" i="20" s="1"/>
  <c r="O18" i="1"/>
  <c r="V18" i="1"/>
  <c r="J18" i="1" s="1"/>
  <c r="P18" i="1" s="1"/>
  <c r="L22" i="19" s="1"/>
  <c r="R22" i="19" s="1"/>
  <c r="L22" i="20" s="1"/>
  <c r="R22" i="20" s="1"/>
  <c r="J19" i="1"/>
  <c r="P19" i="1" s="1"/>
  <c r="L23" i="19" s="1"/>
  <c r="R23" i="19" s="1"/>
  <c r="L23" i="20" s="1"/>
  <c r="R23" i="20" s="1"/>
  <c r="O19" i="1"/>
  <c r="V19" i="1"/>
  <c r="O20" i="1"/>
  <c r="V20" i="1"/>
  <c r="J20" i="1" s="1"/>
  <c r="P20" i="1" s="1"/>
  <c r="L24" i="19" s="1"/>
  <c r="R24" i="19" s="1"/>
  <c r="O21" i="1"/>
  <c r="V21" i="1"/>
  <c r="J21" i="1" s="1"/>
  <c r="P21" i="1" s="1"/>
  <c r="L25" i="19" s="1"/>
  <c r="R25" i="19" s="1"/>
  <c r="L25" i="20" s="1"/>
  <c r="R25" i="20" s="1"/>
  <c r="V3" i="1"/>
  <c r="V22" i="1"/>
  <c r="J22" i="1"/>
  <c r="P22" i="1" s="1"/>
  <c r="O22" i="1"/>
  <c r="J3" i="1"/>
  <c r="P3" i="1" s="1"/>
  <c r="L3" i="19" s="1"/>
  <c r="O3" i="1"/>
  <c r="H92" i="21"/>
  <c r="E22" i="21"/>
  <c r="I22" i="21" s="1"/>
  <c r="E62" i="21"/>
  <c r="I62" i="21" s="1"/>
  <c r="E12" i="21"/>
  <c r="I12" i="21" s="1"/>
  <c r="G92" i="21"/>
  <c r="F92" i="21"/>
  <c r="E90" i="21"/>
  <c r="I90" i="21" s="1"/>
  <c r="E14" i="21"/>
  <c r="I14" i="21" s="1"/>
  <c r="E20" i="21"/>
  <c r="I20" i="21" s="1"/>
  <c r="E65" i="21"/>
  <c r="I65" i="21" s="1"/>
  <c r="E89" i="21"/>
  <c r="I89" i="21" s="1"/>
  <c r="N7" i="21"/>
  <c r="C92" i="21"/>
  <c r="E33" i="21"/>
  <c r="I33" i="21" s="1"/>
  <c r="E34" i="21"/>
  <c r="I34" i="21" s="1"/>
  <c r="E35" i="21"/>
  <c r="I35" i="21" s="1"/>
  <c r="E36" i="21"/>
  <c r="I36" i="21" s="1"/>
  <c r="E37" i="21"/>
  <c r="I37" i="21" s="1"/>
  <c r="E38" i="21"/>
  <c r="I38" i="21" s="1"/>
  <c r="E39" i="21"/>
  <c r="I39" i="21" s="1"/>
  <c r="E40" i="21"/>
  <c r="I40" i="21" s="1"/>
  <c r="E41" i="21"/>
  <c r="I41" i="21" s="1"/>
  <c r="E42" i="21"/>
  <c r="I42" i="21" s="1"/>
  <c r="E43" i="21"/>
  <c r="I43" i="21" s="1"/>
  <c r="E44" i="21"/>
  <c r="I44" i="21" s="1"/>
  <c r="E45" i="21"/>
  <c r="I45" i="21" s="1"/>
  <c r="E46" i="21"/>
  <c r="I46" i="21" s="1"/>
  <c r="E47" i="21"/>
  <c r="I47" i="21" s="1"/>
  <c r="E48" i="21"/>
  <c r="I48" i="21" s="1"/>
  <c r="E49" i="21"/>
  <c r="I49" i="21" s="1"/>
  <c r="E50" i="21"/>
  <c r="I50" i="21" s="1"/>
  <c r="E51" i="21"/>
  <c r="I51" i="21" s="1"/>
  <c r="E52" i="21"/>
  <c r="I52" i="21" s="1"/>
  <c r="E53" i="21"/>
  <c r="I53" i="21" s="1"/>
  <c r="E54" i="21"/>
  <c r="I54" i="21" s="1"/>
  <c r="E55" i="21"/>
  <c r="I55" i="21" s="1"/>
  <c r="E56" i="21"/>
  <c r="I56" i="21" s="1"/>
  <c r="E57" i="21"/>
  <c r="I57" i="21" s="1"/>
  <c r="E58" i="21"/>
  <c r="I58" i="21" s="1"/>
  <c r="E59" i="21"/>
  <c r="I59" i="21" s="1"/>
  <c r="E60" i="21"/>
  <c r="I60" i="21" s="1"/>
  <c r="E61" i="21"/>
  <c r="I61" i="21" s="1"/>
  <c r="E63" i="21"/>
  <c r="I63" i="21" s="1"/>
  <c r="E64" i="21"/>
  <c r="I64" i="21" s="1"/>
  <c r="E66" i="21"/>
  <c r="I66" i="21" s="1"/>
  <c r="E67" i="21"/>
  <c r="I67" i="21" s="1"/>
  <c r="E68" i="21"/>
  <c r="I68" i="21" s="1"/>
  <c r="E69" i="21"/>
  <c r="I69" i="21" s="1"/>
  <c r="E70" i="21"/>
  <c r="I70" i="21" s="1"/>
  <c r="E71" i="21"/>
  <c r="I71" i="21" s="1"/>
  <c r="E72" i="21"/>
  <c r="I72" i="21" s="1"/>
  <c r="E73" i="21"/>
  <c r="I73" i="21" s="1"/>
  <c r="E74" i="21"/>
  <c r="I74" i="21" s="1"/>
  <c r="E75" i="21"/>
  <c r="I75" i="21" s="1"/>
  <c r="E76" i="21"/>
  <c r="I76" i="21" s="1"/>
  <c r="E77" i="21"/>
  <c r="I77" i="21" s="1"/>
  <c r="E78" i="21"/>
  <c r="I78" i="21" s="1"/>
  <c r="E79" i="21"/>
  <c r="I79" i="21" s="1"/>
  <c r="E80" i="21"/>
  <c r="I80" i="21" s="1"/>
  <c r="E81" i="21"/>
  <c r="I81" i="21" s="1"/>
  <c r="E82" i="21"/>
  <c r="I82" i="21" s="1"/>
  <c r="E83" i="21"/>
  <c r="I83" i="21" s="1"/>
  <c r="E84" i="21"/>
  <c r="I84" i="21" s="1"/>
  <c r="E85" i="21"/>
  <c r="I85" i="21" s="1"/>
  <c r="E86" i="21"/>
  <c r="I86" i="21" s="1"/>
  <c r="E87" i="21"/>
  <c r="I87" i="21" s="1"/>
  <c r="N4" i="21"/>
  <c r="N5" i="21"/>
  <c r="N6" i="21"/>
  <c r="N8" i="21"/>
  <c r="N9" i="21"/>
  <c r="E13" i="21"/>
  <c r="I13" i="21" s="1"/>
  <c r="E15" i="21"/>
  <c r="I15" i="21" s="1"/>
  <c r="E16" i="21"/>
  <c r="I16" i="21" s="1"/>
  <c r="E17" i="21"/>
  <c r="I17" i="21" s="1"/>
  <c r="E18" i="21"/>
  <c r="I18" i="21" s="1"/>
  <c r="E19" i="21"/>
  <c r="I19" i="21" s="1"/>
  <c r="E21" i="21"/>
  <c r="I21" i="21" s="1"/>
  <c r="E23" i="21"/>
  <c r="I23" i="21" s="1"/>
  <c r="E24" i="21"/>
  <c r="I24" i="21" s="1"/>
  <c r="E25" i="21"/>
  <c r="I25" i="21" s="1"/>
  <c r="E26" i="21"/>
  <c r="I26" i="21" s="1"/>
  <c r="E27" i="21"/>
  <c r="I27" i="21" s="1"/>
  <c r="E28" i="21"/>
  <c r="I28" i="21" s="1"/>
  <c r="E29" i="21"/>
  <c r="I29" i="21" s="1"/>
  <c r="E30" i="21"/>
  <c r="I30" i="21" s="1"/>
  <c r="E31" i="21"/>
  <c r="I31" i="21" s="1"/>
  <c r="E32" i="21"/>
  <c r="I32" i="21" s="1"/>
  <c r="E88" i="21"/>
  <c r="I88" i="21" s="1"/>
  <c r="E11" i="21"/>
  <c r="I11" i="21" s="1"/>
  <c r="E91" i="21"/>
  <c r="I91" i="21" s="1"/>
  <c r="E5" i="22" l="1"/>
  <c r="E5" i="21"/>
  <c r="R3" i="19"/>
  <c r="L3" i="20" s="1"/>
  <c r="R3" i="20" s="1"/>
  <c r="T3" i="19"/>
  <c r="S3" i="19"/>
  <c r="T85" i="20"/>
  <c r="S85" i="20"/>
  <c r="S117" i="20"/>
  <c r="T117" i="20"/>
  <c r="T12" i="19"/>
  <c r="S12" i="19"/>
  <c r="S43" i="19"/>
  <c r="T43" i="19"/>
  <c r="T59" i="19"/>
  <c r="S59" i="19"/>
  <c r="S86" i="20"/>
  <c r="T86" i="20"/>
  <c r="S34" i="20"/>
  <c r="T34" i="20"/>
  <c r="S40" i="20"/>
  <c r="T40" i="20"/>
  <c r="S25" i="19"/>
  <c r="T25" i="19"/>
  <c r="T20" i="19"/>
  <c r="S20" i="19"/>
  <c r="T4" i="19"/>
  <c r="S4" i="19"/>
  <c r="T55" i="19"/>
  <c r="S55" i="19"/>
  <c r="T68" i="19"/>
  <c r="S68" i="19"/>
  <c r="T102" i="20"/>
  <c r="S102" i="20"/>
  <c r="S75" i="20"/>
  <c r="T75" i="20"/>
  <c r="S111" i="20"/>
  <c r="T111" i="20"/>
  <c r="S96" i="20"/>
  <c r="T96" i="20"/>
  <c r="T105" i="20"/>
  <c r="S105" i="20"/>
  <c r="S49" i="19"/>
  <c r="T49" i="19"/>
  <c r="S37" i="20"/>
  <c r="T37" i="20"/>
  <c r="S21" i="19"/>
  <c r="T21" i="19"/>
  <c r="S45" i="19"/>
  <c r="T45" i="19"/>
  <c r="T58" i="19"/>
  <c r="S58" i="19"/>
  <c r="S53" i="19"/>
  <c r="T53" i="19"/>
  <c r="S69" i="19"/>
  <c r="T69" i="19"/>
  <c r="S122" i="20"/>
  <c r="T122" i="20"/>
  <c r="S72" i="20"/>
  <c r="T72" i="20"/>
  <c r="T45" i="20"/>
  <c r="S45" i="20"/>
  <c r="S31" i="20"/>
  <c r="T31" i="20"/>
  <c r="T124" i="20"/>
  <c r="S124" i="20"/>
  <c r="T110" i="20"/>
  <c r="S110" i="20"/>
  <c r="T106" i="20"/>
  <c r="S106" i="20"/>
  <c r="S88" i="20"/>
  <c r="T88" i="20"/>
  <c r="T103" i="20"/>
  <c r="S103" i="20"/>
  <c r="S41" i="20"/>
  <c r="T41" i="20"/>
  <c r="S68" i="20"/>
  <c r="T68" i="20"/>
  <c r="S88" i="19"/>
  <c r="T88" i="19"/>
  <c r="T123" i="20"/>
  <c r="S123" i="20"/>
  <c r="S8" i="19"/>
  <c r="T8" i="19"/>
  <c r="S74" i="19"/>
  <c r="T74" i="19"/>
  <c r="T89" i="19"/>
  <c r="S89" i="19"/>
  <c r="S94" i="20"/>
  <c r="T94" i="20"/>
  <c r="T54" i="19"/>
  <c r="S54" i="19"/>
  <c r="S91" i="20"/>
  <c r="T91" i="20"/>
  <c r="T33" i="20"/>
  <c r="S33" i="20"/>
  <c r="S66" i="20"/>
  <c r="T66" i="20"/>
  <c r="T89" i="20"/>
  <c r="S89" i="20"/>
  <c r="S52" i="20"/>
  <c r="T52" i="20"/>
  <c r="S35" i="20"/>
  <c r="T35" i="20"/>
  <c r="T65" i="20"/>
  <c r="S65" i="20"/>
  <c r="S76" i="19"/>
  <c r="T76" i="19"/>
  <c r="T32" i="20"/>
  <c r="S32" i="20"/>
  <c r="T112" i="20"/>
  <c r="S112" i="20"/>
  <c r="T104" i="20"/>
  <c r="S104" i="20"/>
  <c r="S84" i="20"/>
  <c r="T84" i="20"/>
  <c r="S108" i="20"/>
  <c r="T108" i="20"/>
  <c r="S121" i="20"/>
  <c r="T121" i="20"/>
  <c r="T22" i="19"/>
  <c r="S22" i="19"/>
  <c r="T7" i="19"/>
  <c r="S7" i="19"/>
  <c r="T48" i="19"/>
  <c r="S48" i="19"/>
  <c r="T48" i="20"/>
  <c r="S48" i="20"/>
  <c r="S120" i="20"/>
  <c r="T120" i="20"/>
  <c r="T116" i="20"/>
  <c r="S116" i="20"/>
  <c r="T24" i="19"/>
  <c r="S24" i="19"/>
  <c r="T43" i="20"/>
  <c r="S43" i="20"/>
  <c r="S6" i="19"/>
  <c r="T6" i="19"/>
  <c r="T90" i="20"/>
  <c r="S90" i="20"/>
  <c r="S82" i="20"/>
  <c r="T82" i="20"/>
  <c r="T49" i="20"/>
  <c r="S49" i="20"/>
  <c r="T107" i="20"/>
  <c r="S107" i="20"/>
  <c r="S99" i="20"/>
  <c r="T99" i="20"/>
  <c r="T73" i="19"/>
  <c r="S73" i="19"/>
  <c r="S23" i="19"/>
  <c r="T23" i="19"/>
  <c r="T75" i="19"/>
  <c r="S75" i="19"/>
  <c r="S42" i="20"/>
  <c r="T42" i="20"/>
  <c r="T95" i="20"/>
  <c r="S95" i="20"/>
  <c r="T36" i="20"/>
  <c r="S36" i="20"/>
  <c r="T83" i="20"/>
  <c r="S83" i="20"/>
  <c r="S101" i="20"/>
  <c r="T101" i="20"/>
  <c r="T109" i="20"/>
  <c r="S109" i="20"/>
  <c r="S100" i="20"/>
  <c r="T100" i="20"/>
  <c r="L26" i="19"/>
  <c r="R26" i="19" s="1"/>
  <c r="L26" i="20" s="1"/>
  <c r="R26" i="20" s="1"/>
  <c r="L18" i="19"/>
  <c r="R18" i="19" s="1"/>
  <c r="L18" i="20" s="1"/>
  <c r="R18" i="20" s="1"/>
  <c r="L16" i="19"/>
  <c r="R16" i="19" s="1"/>
  <c r="L16" i="20" s="1"/>
  <c r="R16" i="20" s="1"/>
  <c r="L14" i="19"/>
  <c r="R14" i="19" s="1"/>
  <c r="L14" i="20" s="1"/>
  <c r="R14" i="20" s="1"/>
  <c r="L15" i="19"/>
  <c r="R15" i="19" s="1"/>
  <c r="L15" i="20" s="1"/>
  <c r="R15" i="20" s="1"/>
  <c r="L111" i="19"/>
  <c r="R111" i="19" s="1"/>
  <c r="L113" i="20" s="1"/>
  <c r="R113" i="20" s="1"/>
  <c r="L112" i="19"/>
  <c r="R112" i="19" s="1"/>
  <c r="L114" i="20" s="1"/>
  <c r="R114" i="20" s="1"/>
  <c r="O15" i="1"/>
  <c r="M10" i="1"/>
  <c r="O10" i="1" s="1"/>
  <c r="M9" i="1"/>
  <c r="O9" i="1" s="1"/>
  <c r="O5" i="1"/>
  <c r="O9" i="21"/>
  <c r="O8" i="21"/>
  <c r="E92" i="21"/>
  <c r="I92" i="21"/>
  <c r="C17" i="19"/>
  <c r="E11" i="5"/>
  <c r="E89" i="6"/>
  <c r="I89" i="6"/>
  <c r="M89" i="6"/>
  <c r="G9" i="5" s="1"/>
  <c r="E108" i="3"/>
  <c r="M108" i="3"/>
  <c r="G11" i="5" s="1"/>
  <c r="D6" i="19"/>
  <c r="D7" i="19"/>
  <c r="D8" i="19"/>
  <c r="D9" i="19"/>
  <c r="D10" i="19"/>
  <c r="D13" i="19"/>
  <c r="J9" i="9" s="1"/>
  <c r="C17" i="1"/>
  <c r="C18" i="19"/>
  <c r="C19" i="19"/>
  <c r="C20" i="19"/>
  <c r="C21" i="19"/>
  <c r="D6" i="20"/>
  <c r="D7" i="20"/>
  <c r="D8" i="20"/>
  <c r="D9" i="20"/>
  <c r="D10" i="20"/>
  <c r="D12" i="19"/>
  <c r="D6" i="1"/>
  <c r="D7" i="1"/>
  <c r="D8" i="1"/>
  <c r="D9" i="1"/>
  <c r="D10" i="1"/>
  <c r="D12" i="1"/>
  <c r="D13" i="1"/>
  <c r="E9" i="9" s="1"/>
  <c r="F9" i="9" s="1"/>
  <c r="C21" i="20"/>
  <c r="C20" i="20"/>
  <c r="C19" i="20"/>
  <c r="C18" i="20"/>
  <c r="C17" i="20"/>
  <c r="D13" i="20"/>
  <c r="D12" i="20"/>
  <c r="D11" i="20"/>
  <c r="D11" i="19"/>
  <c r="C19" i="1"/>
  <c r="C20" i="1"/>
  <c r="C21" i="1"/>
  <c r="C18" i="1"/>
  <c r="D11" i="1"/>
  <c r="P7" i="9"/>
  <c r="K7" i="9"/>
  <c r="F7" i="9"/>
  <c r="P9" i="9"/>
  <c r="P8" i="9"/>
  <c r="S38" i="20" l="1"/>
  <c r="T38" i="20"/>
  <c r="T20" i="20"/>
  <c r="S20" i="20"/>
  <c r="S74" i="20"/>
  <c r="T74" i="20"/>
  <c r="T62" i="20"/>
  <c r="S62" i="20"/>
  <c r="T51" i="20"/>
  <c r="S51" i="20"/>
  <c r="S7" i="20"/>
  <c r="T7" i="20"/>
  <c r="S53" i="20"/>
  <c r="T53" i="20"/>
  <c r="S25" i="20"/>
  <c r="T25" i="20"/>
  <c r="S79" i="20"/>
  <c r="T79" i="20"/>
  <c r="T112" i="19"/>
  <c r="S112" i="19"/>
  <c r="S111" i="19"/>
  <c r="T111" i="19"/>
  <c r="S61" i="20"/>
  <c r="T61" i="20"/>
  <c r="S22" i="20"/>
  <c r="T22" i="20"/>
  <c r="S73" i="20"/>
  <c r="T73" i="20"/>
  <c r="S12" i="20"/>
  <c r="T12" i="20"/>
  <c r="S24" i="20"/>
  <c r="T24" i="20"/>
  <c r="T54" i="20"/>
  <c r="S54" i="20"/>
  <c r="T56" i="20"/>
  <c r="S56" i="20"/>
  <c r="T15" i="19"/>
  <c r="S15" i="19"/>
  <c r="T3" i="20"/>
  <c r="S3" i="20"/>
  <c r="S70" i="20"/>
  <c r="T70" i="20"/>
  <c r="T97" i="20"/>
  <c r="S97" i="20"/>
  <c r="S63" i="20"/>
  <c r="T63" i="20"/>
  <c r="T50" i="20"/>
  <c r="S50" i="20"/>
  <c r="T80" i="20"/>
  <c r="S80" i="20"/>
  <c r="T81" i="20"/>
  <c r="S81" i="20"/>
  <c r="T23" i="20"/>
  <c r="S23" i="20"/>
  <c r="T14" i="19"/>
  <c r="S14" i="19"/>
  <c r="S71" i="20"/>
  <c r="T71" i="20"/>
  <c r="T119" i="20"/>
  <c r="S119" i="20"/>
  <c r="S98" i="20"/>
  <c r="T98" i="20"/>
  <c r="S64" i="20"/>
  <c r="T64" i="20"/>
  <c r="T16" i="19"/>
  <c r="S16" i="19"/>
  <c r="T18" i="19"/>
  <c r="S18" i="19"/>
  <c r="S78" i="20"/>
  <c r="T78" i="20"/>
  <c r="S92" i="20"/>
  <c r="T92" i="20"/>
  <c r="T26" i="19"/>
  <c r="S26" i="19"/>
  <c r="T21" i="20"/>
  <c r="S21" i="20"/>
  <c r="S4" i="20"/>
  <c r="T4" i="20"/>
  <c r="S118" i="20"/>
  <c r="T118" i="20"/>
  <c r="T6" i="20"/>
  <c r="S6" i="20"/>
  <c r="S93" i="20"/>
  <c r="T93" i="20"/>
  <c r="T39" i="20"/>
  <c r="S39" i="20"/>
  <c r="K9" i="9"/>
  <c r="J8" i="9"/>
  <c r="K8" i="9" s="1"/>
  <c r="K6" i="9"/>
  <c r="K5" i="9"/>
  <c r="E9" i="5"/>
  <c r="C9" i="5"/>
  <c r="C11" i="5"/>
  <c r="P10" i="1"/>
  <c r="P9" i="1"/>
  <c r="L9" i="19" s="1"/>
  <c r="R9" i="19" s="1"/>
  <c r="L9" i="20" s="1"/>
  <c r="R9" i="20" s="1"/>
  <c r="P5" i="1"/>
  <c r="L5" i="19" s="1"/>
  <c r="R5" i="19" s="1"/>
  <c r="L5" i="20" s="1"/>
  <c r="R5" i="20" s="1"/>
  <c r="P15" i="1"/>
  <c r="L19" i="19" s="1"/>
  <c r="R19" i="19" s="1"/>
  <c r="L19" i="20" s="1"/>
  <c r="R19" i="20" s="1"/>
  <c r="F6" i="9"/>
  <c r="O10" i="21"/>
  <c r="I2" i="22" s="1"/>
  <c r="E8" i="9"/>
  <c r="F8" i="9" s="1"/>
  <c r="P6" i="9"/>
  <c r="O139" i="1"/>
  <c r="F5" i="9"/>
  <c r="C22" i="1"/>
  <c r="C22" i="19"/>
  <c r="J139" i="1"/>
  <c r="C22" i="20"/>
  <c r="I9" i="5" l="1"/>
  <c r="S14" i="20"/>
  <c r="T14" i="20"/>
  <c r="T47" i="20"/>
  <c r="S47" i="20"/>
  <c r="T5" i="19"/>
  <c r="S5" i="19"/>
  <c r="S18" i="20"/>
  <c r="T18" i="20"/>
  <c r="T19" i="19"/>
  <c r="S19" i="19"/>
  <c r="S9" i="19"/>
  <c r="T9" i="19"/>
  <c r="S57" i="20"/>
  <c r="T57" i="20"/>
  <c r="T46" i="20"/>
  <c r="S46" i="20"/>
  <c r="S44" i="20"/>
  <c r="T44" i="20"/>
  <c r="T16" i="20"/>
  <c r="S16" i="20"/>
  <c r="T55" i="20"/>
  <c r="S55" i="20"/>
  <c r="S113" i="20"/>
  <c r="T113" i="20"/>
  <c r="L11" i="19"/>
  <c r="R11" i="19" s="1"/>
  <c r="L11" i="20" s="1"/>
  <c r="R11" i="20" s="1"/>
  <c r="L10" i="19"/>
  <c r="R10" i="19" s="1"/>
  <c r="L10" i="20" s="1"/>
  <c r="R10" i="20" s="1"/>
  <c r="P139" i="1"/>
  <c r="D18" i="20"/>
  <c r="D14" i="24"/>
  <c r="P14" i="24" s="1"/>
  <c r="G8" i="5"/>
  <c r="E8" i="5"/>
  <c r="E10" i="5" s="1"/>
  <c r="I11" i="5"/>
  <c r="C8" i="5"/>
  <c r="C10" i="5" s="1"/>
  <c r="C12" i="5" s="1"/>
  <c r="C14" i="5" s="1"/>
  <c r="C6" i="5"/>
  <c r="D17" i="1"/>
  <c r="C14" i="24"/>
  <c r="E2" i="21"/>
  <c r="E4" i="21" s="1"/>
  <c r="E6" i="21" s="1"/>
  <c r="E2" i="22"/>
  <c r="D20" i="19"/>
  <c r="E15" i="9"/>
  <c r="F15" i="9" s="1"/>
  <c r="F10" i="9"/>
  <c r="K14" i="9"/>
  <c r="K15" i="9"/>
  <c r="D18" i="19"/>
  <c r="K10" i="9"/>
  <c r="D6" i="24" s="1"/>
  <c r="D19" i="19"/>
  <c r="D21" i="1"/>
  <c r="D21" i="19"/>
  <c r="D18" i="1"/>
  <c r="E14" i="9"/>
  <c r="F14" i="9" s="1"/>
  <c r="D19" i="1"/>
  <c r="D20" i="1"/>
  <c r="D17" i="19"/>
  <c r="D17" i="20"/>
  <c r="P15" i="9"/>
  <c r="P14" i="9"/>
  <c r="P5" i="9"/>
  <c r="P10" i="9" s="1"/>
  <c r="E6" i="24" s="1"/>
  <c r="Q6" i="24" s="1"/>
  <c r="D20" i="20"/>
  <c r="D21" i="20"/>
  <c r="D19" i="20"/>
  <c r="G10" i="5" l="1"/>
  <c r="G12" i="5" s="1"/>
  <c r="G14" i="5" s="1"/>
  <c r="E4" i="22"/>
  <c r="E6" i="22" s="1"/>
  <c r="S26" i="20"/>
  <c r="T26" i="20"/>
  <c r="S9" i="20"/>
  <c r="T9" i="20"/>
  <c r="T15" i="20"/>
  <c r="S15" i="20"/>
  <c r="S5" i="20"/>
  <c r="T5" i="20"/>
  <c r="T17" i="20"/>
  <c r="S17" i="20"/>
  <c r="T10" i="19"/>
  <c r="S10" i="19"/>
  <c r="S115" i="20"/>
  <c r="T115" i="20"/>
  <c r="S27" i="20"/>
  <c r="T27" i="20"/>
  <c r="S19" i="20"/>
  <c r="T19" i="20"/>
  <c r="S11" i="19"/>
  <c r="T11" i="19"/>
  <c r="T160" i="19" s="1"/>
  <c r="S114" i="20"/>
  <c r="T114" i="20"/>
  <c r="L160" i="19"/>
  <c r="E6" i="5" s="1"/>
  <c r="E19" i="24"/>
  <c r="Q14" i="24"/>
  <c r="Q19" i="24" s="1"/>
  <c r="F9" i="24"/>
  <c r="R9" i="24" s="1"/>
  <c r="D19" i="24"/>
  <c r="P9" i="24"/>
  <c r="P19" i="24" s="1"/>
  <c r="P6" i="24"/>
  <c r="I8" i="5"/>
  <c r="F14" i="24"/>
  <c r="C19" i="24"/>
  <c r="O14" i="24"/>
  <c r="O19" i="24" s="1"/>
  <c r="C6" i="24"/>
  <c r="F16" i="9"/>
  <c r="K16" i="9"/>
  <c r="P16" i="9"/>
  <c r="E12" i="5"/>
  <c r="E14" i="5" s="1"/>
  <c r="I10" i="5"/>
  <c r="I12" i="5" s="1"/>
  <c r="L145" i="20" l="1"/>
  <c r="S10" i="20"/>
  <c r="T10" i="20"/>
  <c r="S11" i="20"/>
  <c r="T11" i="20"/>
  <c r="D5" i="24"/>
  <c r="P5" i="24" s="1"/>
  <c r="P7" i="24" s="1"/>
  <c r="P35" i="24" s="1"/>
  <c r="P17" i="9"/>
  <c r="E5" i="24"/>
  <c r="D7" i="24"/>
  <c r="D35" i="24" s="1"/>
  <c r="E7" i="5" s="1"/>
  <c r="F6" i="24"/>
  <c r="R6" i="24" s="1"/>
  <c r="O6" i="24"/>
  <c r="C5" i="24"/>
  <c r="F19" i="24"/>
  <c r="R14" i="24"/>
  <c r="R19" i="24" s="1"/>
  <c r="F17" i="9"/>
  <c r="K17" i="9"/>
  <c r="G6" i="5" l="1"/>
  <c r="I6" i="5" s="1"/>
  <c r="T145" i="20"/>
  <c r="E7" i="24"/>
  <c r="E35" i="24" s="1"/>
  <c r="G7" i="5" s="1"/>
  <c r="Q5" i="24"/>
  <c r="Q7" i="24" s="1"/>
  <c r="Q35" i="24" s="1"/>
  <c r="F5" i="24"/>
  <c r="O5" i="24"/>
  <c r="O7" i="24" s="1"/>
  <c r="O35" i="24" s="1"/>
  <c r="C7" i="24"/>
  <c r="C35" i="24" s="1"/>
  <c r="C7" i="5" l="1"/>
  <c r="I7" i="5" s="1"/>
  <c r="F7" i="24"/>
  <c r="F35" i="24" s="1"/>
  <c r="R5" i="24"/>
  <c r="R7" i="24" s="1"/>
  <c r="R35" i="24" s="1"/>
</calcChain>
</file>

<file path=xl/sharedStrings.xml><?xml version="1.0" encoding="utf-8"?>
<sst xmlns="http://schemas.openxmlformats.org/spreadsheetml/2006/main" count="3433" uniqueCount="845">
  <si>
    <t>2024-2025 Calender Year Financial Overview</t>
  </si>
  <si>
    <t xml:space="preserve"> </t>
  </si>
  <si>
    <t>Fall Quarter</t>
  </si>
  <si>
    <t>Winter Quarter</t>
  </si>
  <si>
    <t>Spring Quarter</t>
  </si>
  <si>
    <t>2024 Calender Year</t>
  </si>
  <si>
    <t>Total Expected Dues</t>
  </si>
  <si>
    <t>Total Expected Expenses</t>
  </si>
  <si>
    <t>Total Dues Paid</t>
  </si>
  <si>
    <r>
      <t xml:space="preserve">Total </t>
    </r>
    <r>
      <rPr>
        <b/>
        <sz val="12"/>
        <color theme="1"/>
        <rFont val="Calibri"/>
        <family val="2"/>
        <scheme val="minor"/>
      </rPr>
      <t>Non Dues</t>
    </r>
    <r>
      <rPr>
        <sz val="12"/>
        <color theme="1"/>
        <rFont val="Calibri"/>
        <family val="2"/>
        <scheme val="minor"/>
      </rPr>
      <t xml:space="preserve"> Income</t>
    </r>
  </si>
  <si>
    <t>Accounts Recieable</t>
  </si>
  <si>
    <t>Accounts Recievable</t>
  </si>
  <si>
    <t>Accounts Payable</t>
  </si>
  <si>
    <t>Net</t>
  </si>
  <si>
    <t>Roll Over Amount</t>
  </si>
  <si>
    <t>Account Balance</t>
  </si>
  <si>
    <t>-</t>
  </si>
  <si>
    <t>2024-2025 Budget</t>
  </si>
  <si>
    <t>Allocated Budget</t>
  </si>
  <si>
    <t>Money Spent</t>
  </si>
  <si>
    <t>Remaining Budget</t>
  </si>
  <si>
    <t>Fixed Costs</t>
  </si>
  <si>
    <t>Totals</t>
  </si>
  <si>
    <t>IFC</t>
  </si>
  <si>
    <t xml:space="preserve">Nationals </t>
  </si>
  <si>
    <t>Total</t>
  </si>
  <si>
    <t>Operational Costs</t>
  </si>
  <si>
    <t>Composite</t>
  </si>
  <si>
    <t>Damages &amp; Fines</t>
  </si>
  <si>
    <t>Families</t>
  </si>
  <si>
    <t>Formal</t>
  </si>
  <si>
    <t>HQ Conventions</t>
  </si>
  <si>
    <t>GCM</t>
  </si>
  <si>
    <t>Rush Shirts</t>
  </si>
  <si>
    <t>Storage Unit</t>
  </si>
  <si>
    <t>Misc</t>
  </si>
  <si>
    <t>Semi Formal</t>
  </si>
  <si>
    <t>Committee Expenses</t>
  </si>
  <si>
    <t xml:space="preserve">Social External </t>
  </si>
  <si>
    <t xml:space="preserve">Social Internal </t>
  </si>
  <si>
    <t>Brotherhood</t>
  </si>
  <si>
    <t>Rush</t>
  </si>
  <si>
    <t>Pledge Education</t>
  </si>
  <si>
    <t>IM's</t>
  </si>
  <si>
    <t xml:space="preserve">Fundraising </t>
  </si>
  <si>
    <t xml:space="preserve">Housing </t>
  </si>
  <si>
    <t xml:space="preserve">Philanthropy </t>
  </si>
  <si>
    <t>Service</t>
  </si>
  <si>
    <t xml:space="preserve">Design </t>
  </si>
  <si>
    <t>Awards</t>
  </si>
  <si>
    <t xml:space="preserve">Alumni </t>
  </si>
  <si>
    <t xml:space="preserve">Search: </t>
  </si>
  <si>
    <t>Lookup ID</t>
  </si>
  <si>
    <t>Last Name</t>
  </si>
  <si>
    <t>First Name</t>
  </si>
  <si>
    <t>Type</t>
  </si>
  <si>
    <t>Amount Due</t>
  </si>
  <si>
    <t>Fines</t>
  </si>
  <si>
    <t xml:space="preserve">Roll Over </t>
  </si>
  <si>
    <t>Payment</t>
  </si>
  <si>
    <t>Method</t>
  </si>
  <si>
    <t>Total Paid</t>
  </si>
  <si>
    <t>Remaining Balance</t>
  </si>
  <si>
    <t>Email</t>
  </si>
  <si>
    <t>Phone Number</t>
  </si>
  <si>
    <t>Major</t>
  </si>
  <si>
    <t>Year</t>
  </si>
  <si>
    <t>Pledge Class</t>
  </si>
  <si>
    <t>Seniority Dues</t>
  </si>
  <si>
    <t>Aldecoa Andrew</t>
  </si>
  <si>
    <t>Aldecoa</t>
  </si>
  <si>
    <t>Andrew</t>
  </si>
  <si>
    <t>Inactive</t>
  </si>
  <si>
    <t>Andres Ethan</t>
  </si>
  <si>
    <t>Andres</t>
  </si>
  <si>
    <t>Ethan</t>
  </si>
  <si>
    <t>Brother</t>
  </si>
  <si>
    <t>Money Due</t>
  </si>
  <si>
    <t>Count</t>
  </si>
  <si>
    <t>Apel Morgan</t>
  </si>
  <si>
    <t>Apel</t>
  </si>
  <si>
    <t>Morgan</t>
  </si>
  <si>
    <t>Armer Jason</t>
  </si>
  <si>
    <t>Armer</t>
  </si>
  <si>
    <t>Jason</t>
  </si>
  <si>
    <t>EC</t>
  </si>
  <si>
    <t>Balducci Ryan</t>
  </si>
  <si>
    <t>Balducci</t>
  </si>
  <si>
    <t>Ryan</t>
  </si>
  <si>
    <t>Alumni</t>
  </si>
  <si>
    <t>Beim Owen</t>
  </si>
  <si>
    <t>Beim</t>
  </si>
  <si>
    <t>Owen</t>
  </si>
  <si>
    <t>Bender Nick</t>
  </si>
  <si>
    <t>Bender</t>
  </si>
  <si>
    <t>Nick</t>
  </si>
  <si>
    <t>President</t>
  </si>
  <si>
    <t>Berman Max</t>
  </si>
  <si>
    <t>Berman</t>
  </si>
  <si>
    <t>Max</t>
  </si>
  <si>
    <t>Dropped</t>
  </si>
  <si>
    <t>Boren Seth</t>
  </si>
  <si>
    <t>Boren</t>
  </si>
  <si>
    <t>Seth</t>
  </si>
  <si>
    <t>Dropped NM</t>
  </si>
  <si>
    <t>Bowersox Eli</t>
  </si>
  <si>
    <t>Bowersox</t>
  </si>
  <si>
    <t>Eli</t>
  </si>
  <si>
    <t>New Member</t>
  </si>
  <si>
    <t>Bradburn Peter</t>
  </si>
  <si>
    <t>Bradburn</t>
  </si>
  <si>
    <t>Peter</t>
  </si>
  <si>
    <t>Brown Lincoln</t>
  </si>
  <si>
    <t>Brown</t>
  </si>
  <si>
    <t>Lincoln</t>
  </si>
  <si>
    <t>Burky Daniel</t>
  </si>
  <si>
    <t>Burky</t>
  </si>
  <si>
    <t>Daniel</t>
  </si>
  <si>
    <t>Percentage</t>
  </si>
  <si>
    <t>Bushel Carter</t>
  </si>
  <si>
    <t>Bushel</t>
  </si>
  <si>
    <t>Carter</t>
  </si>
  <si>
    <t>Bustos Ryan</t>
  </si>
  <si>
    <t>Bustos</t>
  </si>
  <si>
    <t>Catherall Nick</t>
  </si>
  <si>
    <t>Catherall</t>
  </si>
  <si>
    <t>Cavanna Dean</t>
  </si>
  <si>
    <t>Cavanna</t>
  </si>
  <si>
    <t>Dean</t>
  </si>
  <si>
    <t>Cheng Adrian</t>
  </si>
  <si>
    <t>Cheng</t>
  </si>
  <si>
    <t>Adrian</t>
  </si>
  <si>
    <t>Clarke Andy</t>
  </si>
  <si>
    <t>Clarke</t>
  </si>
  <si>
    <t>Andy</t>
  </si>
  <si>
    <t>Cleminshaw Cole</t>
  </si>
  <si>
    <t>Cleminshaw</t>
  </si>
  <si>
    <t>Cole</t>
  </si>
  <si>
    <t>DiFerdinando Nicolo</t>
  </si>
  <si>
    <t>DiFerdinando</t>
  </si>
  <si>
    <t>Nicolo</t>
  </si>
  <si>
    <t xml:space="preserve">Dillon John </t>
  </si>
  <si>
    <t>Dillon</t>
  </si>
  <si>
    <t xml:space="preserve">John </t>
  </si>
  <si>
    <t>Dougher Owen</t>
  </si>
  <si>
    <t>Dougher</t>
  </si>
  <si>
    <t>Ellermeyer Jackson</t>
  </si>
  <si>
    <t>Ellermeyer</t>
  </si>
  <si>
    <t>Jackson</t>
  </si>
  <si>
    <t>Erickson Logan</t>
  </si>
  <si>
    <t>Erickson</t>
  </si>
  <si>
    <t>Logan</t>
  </si>
  <si>
    <t>Fallon Ryan</t>
  </si>
  <si>
    <t>Fallon</t>
  </si>
  <si>
    <t>Fernandes Peter</t>
  </si>
  <si>
    <t>Fernandes</t>
  </si>
  <si>
    <t>Fieux tyler</t>
  </si>
  <si>
    <t>Fieux</t>
  </si>
  <si>
    <t>tyler</t>
  </si>
  <si>
    <t>Gaffney Declan</t>
  </si>
  <si>
    <t>Gaffney</t>
  </si>
  <si>
    <t>Declan</t>
  </si>
  <si>
    <t>Gaither George</t>
  </si>
  <si>
    <t>Gaither</t>
  </si>
  <si>
    <t>George</t>
  </si>
  <si>
    <t>Garcia Asher</t>
  </si>
  <si>
    <t>Garcia</t>
  </si>
  <si>
    <t>Asher</t>
  </si>
  <si>
    <t>Garvey Cade</t>
  </si>
  <si>
    <t>Garvey</t>
  </si>
  <si>
    <t>Cade</t>
  </si>
  <si>
    <t>Gerber Hayden</t>
  </si>
  <si>
    <t>Gerber</t>
  </si>
  <si>
    <t>Hayden</t>
  </si>
  <si>
    <t>Gibson Gannon</t>
  </si>
  <si>
    <t>Gibson</t>
  </si>
  <si>
    <t>Gannon</t>
  </si>
  <si>
    <t>Goldberg Levi</t>
  </si>
  <si>
    <t>Goldberg</t>
  </si>
  <si>
    <t>Levi</t>
  </si>
  <si>
    <t>Gonzales Logan</t>
  </si>
  <si>
    <t>Gonzales</t>
  </si>
  <si>
    <t>Guenther Colin</t>
  </si>
  <si>
    <t>Guenther</t>
  </si>
  <si>
    <t>Colin</t>
  </si>
  <si>
    <t>Harrison Parker</t>
  </si>
  <si>
    <t>Harrison</t>
  </si>
  <si>
    <t>Parker</t>
  </si>
  <si>
    <t>Hernandez Matthew</t>
  </si>
  <si>
    <t>Hernandez</t>
  </si>
  <si>
    <t>Matthew</t>
  </si>
  <si>
    <t>Hill Wyatt</t>
  </si>
  <si>
    <t>Hill</t>
  </si>
  <si>
    <t>Wyatt</t>
  </si>
  <si>
    <t>Hodgdon Kiran</t>
  </si>
  <si>
    <t>Hodgdon</t>
  </si>
  <si>
    <t>Kiran</t>
  </si>
  <si>
    <t>Hornung David</t>
  </si>
  <si>
    <t>Hornung</t>
  </si>
  <si>
    <t>David</t>
  </si>
  <si>
    <t>Howard Aidan</t>
  </si>
  <si>
    <t>Howard</t>
  </si>
  <si>
    <t>Aidan</t>
  </si>
  <si>
    <t>Hufford Jack</t>
  </si>
  <si>
    <t>Hufford</t>
  </si>
  <si>
    <t>Jack</t>
  </si>
  <si>
    <t>Jaskowiak Hunter</t>
  </si>
  <si>
    <t>Jaskowiak</t>
  </si>
  <si>
    <t>Hunter</t>
  </si>
  <si>
    <t>Johnston matias</t>
  </si>
  <si>
    <t>Johnston</t>
  </si>
  <si>
    <t>matias</t>
  </si>
  <si>
    <t>Jorgensen Bendt</t>
  </si>
  <si>
    <t>Jorgensen</t>
  </si>
  <si>
    <t>Bendt</t>
  </si>
  <si>
    <t xml:space="preserve">RM dues - Paid </t>
  </si>
  <si>
    <t>Keller Jake</t>
  </si>
  <si>
    <t>Keller</t>
  </si>
  <si>
    <t>Jake</t>
  </si>
  <si>
    <t>Kelly Aidan</t>
  </si>
  <si>
    <t>Kelly</t>
  </si>
  <si>
    <t>Kelly Finnbarrr</t>
  </si>
  <si>
    <t>Finnbarrr</t>
  </si>
  <si>
    <t>Kennedy Aidan</t>
  </si>
  <si>
    <t>Kennedy</t>
  </si>
  <si>
    <t>Krone Teddy</t>
  </si>
  <si>
    <t>Krone</t>
  </si>
  <si>
    <t>Teddy</t>
  </si>
  <si>
    <t>Liao Noah</t>
  </si>
  <si>
    <t>Liao</t>
  </si>
  <si>
    <t>Noah</t>
  </si>
  <si>
    <t>Loughery Owen</t>
  </si>
  <si>
    <t>Loughery</t>
  </si>
  <si>
    <t>Lunney Timothy</t>
  </si>
  <si>
    <t>Lunney</t>
  </si>
  <si>
    <t>Timothy</t>
  </si>
  <si>
    <t>Malko Dane</t>
  </si>
  <si>
    <t>Malko</t>
  </si>
  <si>
    <t>Dane</t>
  </si>
  <si>
    <t>Mangelsdorf Jack</t>
  </si>
  <si>
    <t>Mangelsdorf</t>
  </si>
  <si>
    <t>Marini Tyler</t>
  </si>
  <si>
    <t>Marini</t>
  </si>
  <si>
    <t>Tyler</t>
  </si>
  <si>
    <t>Mauriello Darian</t>
  </si>
  <si>
    <t>Mauriello</t>
  </si>
  <si>
    <t>Darian</t>
  </si>
  <si>
    <t>Mcclorey Oisin</t>
  </si>
  <si>
    <t>Mcclorey</t>
  </si>
  <si>
    <t>Oisin</t>
  </si>
  <si>
    <t>McCombs Colin</t>
  </si>
  <si>
    <t>McCombs</t>
  </si>
  <si>
    <t>McIntosh Richard</t>
  </si>
  <si>
    <t>McIntosh</t>
  </si>
  <si>
    <t>Richard</t>
  </si>
  <si>
    <t>McIntosh Sam</t>
  </si>
  <si>
    <t>Sam</t>
  </si>
  <si>
    <t>McIntyre Ryan</t>
  </si>
  <si>
    <t>McIntyre</t>
  </si>
  <si>
    <t>Miramon Ben</t>
  </si>
  <si>
    <t>Miramon</t>
  </si>
  <si>
    <t>Ben</t>
  </si>
  <si>
    <t>Mitchell Lorenzo</t>
  </si>
  <si>
    <t>Mitchell</t>
  </si>
  <si>
    <t>Lorenzo</t>
  </si>
  <si>
    <t>Moreno Emilio</t>
  </si>
  <si>
    <t>Moreno</t>
  </si>
  <si>
    <t>Emilio</t>
  </si>
  <si>
    <t>Munoz Daniel</t>
  </si>
  <si>
    <t>Munoz</t>
  </si>
  <si>
    <t>Musser Ian</t>
  </si>
  <si>
    <t>Musser</t>
  </si>
  <si>
    <t>Ian</t>
  </si>
  <si>
    <t>Pandhare Ishan</t>
  </si>
  <si>
    <t>Pandhare</t>
  </si>
  <si>
    <t>Ishan</t>
  </si>
  <si>
    <t>Parsons Zack</t>
  </si>
  <si>
    <t>Parsons</t>
  </si>
  <si>
    <t>Zack</t>
  </si>
  <si>
    <t>Pifer Hudson</t>
  </si>
  <si>
    <t>Pifer</t>
  </si>
  <si>
    <t>Hudson</t>
  </si>
  <si>
    <t>Polich Trifko</t>
  </si>
  <si>
    <t>Polich</t>
  </si>
  <si>
    <t>Trifko</t>
  </si>
  <si>
    <t>Priscaro Michael</t>
  </si>
  <si>
    <t>Priscaro</t>
  </si>
  <si>
    <t>Michael</t>
  </si>
  <si>
    <t>Rabuchin Brady</t>
  </si>
  <si>
    <t>Rabuchin</t>
  </si>
  <si>
    <t>Brady</t>
  </si>
  <si>
    <t>Rathbun Milo</t>
  </si>
  <si>
    <t>Rathbun</t>
  </si>
  <si>
    <t>Milo</t>
  </si>
  <si>
    <t>Ray Theo</t>
  </si>
  <si>
    <t>Ray</t>
  </si>
  <si>
    <t>Theo</t>
  </si>
  <si>
    <t>Retish Levi</t>
  </si>
  <si>
    <t>Retish</t>
  </si>
  <si>
    <t>Richardson Charlie</t>
  </si>
  <si>
    <t>Richardson</t>
  </si>
  <si>
    <t>Charlie</t>
  </si>
  <si>
    <t>Riddle Jack</t>
  </si>
  <si>
    <t>Riddle</t>
  </si>
  <si>
    <t>Roach Parker</t>
  </si>
  <si>
    <t>Roach</t>
  </si>
  <si>
    <t>Roberts Benjamin</t>
  </si>
  <si>
    <t>Roberts</t>
  </si>
  <si>
    <t>Benjamin</t>
  </si>
  <si>
    <t>Robinson Benjamin</t>
  </si>
  <si>
    <t>Robinson</t>
  </si>
  <si>
    <t>Rodas Ryan</t>
  </si>
  <si>
    <t>Rodas</t>
  </si>
  <si>
    <t>Rogers Kelly</t>
  </si>
  <si>
    <t>Rogers</t>
  </si>
  <si>
    <t>Rose Henry</t>
  </si>
  <si>
    <t>Rose</t>
  </si>
  <si>
    <t>Henry</t>
  </si>
  <si>
    <t>Salkola Markus</t>
  </si>
  <si>
    <t>Salkola</t>
  </si>
  <si>
    <t>Markus</t>
  </si>
  <si>
    <t>Sanborn Hawkins</t>
  </si>
  <si>
    <t>Sanborn</t>
  </si>
  <si>
    <t>Hawkins</t>
  </si>
  <si>
    <t>Sangiacomo Rob</t>
  </si>
  <si>
    <t>Sangiacomo</t>
  </si>
  <si>
    <t>Rob</t>
  </si>
  <si>
    <t>Sekhon Eishar</t>
  </si>
  <si>
    <t>Sekhon</t>
  </si>
  <si>
    <t>Eishar</t>
  </si>
  <si>
    <t>Silver Ari</t>
  </si>
  <si>
    <t>Silver</t>
  </si>
  <si>
    <t>Ari</t>
  </si>
  <si>
    <t>Sood Aditya</t>
  </si>
  <si>
    <t>Sood</t>
  </si>
  <si>
    <t>Aditya</t>
  </si>
  <si>
    <t>Stackle kip</t>
  </si>
  <si>
    <t>Stackle</t>
  </si>
  <si>
    <t>kip</t>
  </si>
  <si>
    <t>Stebbins John</t>
  </si>
  <si>
    <t>Stebbins</t>
  </si>
  <si>
    <t>John</t>
  </si>
  <si>
    <t>Stroud Peyton</t>
  </si>
  <si>
    <t>Stroud</t>
  </si>
  <si>
    <t>Peyton</t>
  </si>
  <si>
    <t>Takahata Mark</t>
  </si>
  <si>
    <t>Takahata</t>
  </si>
  <si>
    <t>Mark</t>
  </si>
  <si>
    <t>Tarpley Tyler</t>
  </si>
  <si>
    <t>Tarpley</t>
  </si>
  <si>
    <t>Taxer Dylan</t>
  </si>
  <si>
    <t>Taxer</t>
  </si>
  <si>
    <t>Dylan</t>
  </si>
  <si>
    <t>Tejeda Gonzalez Alejandro</t>
  </si>
  <si>
    <t>Tejeda Gonzalez</t>
  </si>
  <si>
    <t>Alejandro</t>
  </si>
  <si>
    <t>Theocheung Aiden</t>
  </si>
  <si>
    <t>Theocheung</t>
  </si>
  <si>
    <t>Aiden</t>
  </si>
  <si>
    <t>Titus Matthew</t>
  </si>
  <si>
    <t>Titus</t>
  </si>
  <si>
    <t>Trevino Gavin</t>
  </si>
  <si>
    <t>Trevino</t>
  </si>
  <si>
    <t>Gavin</t>
  </si>
  <si>
    <t>Trujillo Alexander</t>
  </si>
  <si>
    <t>Trujillo</t>
  </si>
  <si>
    <t>Alexander</t>
  </si>
  <si>
    <t>Tumbleson Blake</t>
  </si>
  <si>
    <t>Tumbleson</t>
  </si>
  <si>
    <t>Blake</t>
  </si>
  <si>
    <t>Volpentest Troy</t>
  </si>
  <si>
    <t>Volpentest</t>
  </si>
  <si>
    <t>Troy</t>
  </si>
  <si>
    <t>Vree Mason</t>
  </si>
  <si>
    <t>Vree</t>
  </si>
  <si>
    <t>Mason</t>
  </si>
  <si>
    <t>Weisgerber Logan</t>
  </si>
  <si>
    <t>Weisgerber</t>
  </si>
  <si>
    <t>Welke Ryan</t>
  </si>
  <si>
    <t>Welke</t>
  </si>
  <si>
    <t>Whitehead Tyler</t>
  </si>
  <si>
    <t>Whitehead</t>
  </si>
  <si>
    <t>Winkenhofer Luke</t>
  </si>
  <si>
    <t>Winkenhofer</t>
  </si>
  <si>
    <t>Luke</t>
  </si>
  <si>
    <t>Woodward Nolan</t>
  </si>
  <si>
    <t>Woodward</t>
  </si>
  <si>
    <t>Nolan</t>
  </si>
  <si>
    <t>Wright Lucas</t>
  </si>
  <si>
    <t>Wright</t>
  </si>
  <si>
    <t>Lucas</t>
  </si>
  <si>
    <t>Zivkovic Neven</t>
  </si>
  <si>
    <t>Zivkovic</t>
  </si>
  <si>
    <t>Neven</t>
  </si>
  <si>
    <t>Berry Spencer</t>
  </si>
  <si>
    <t>Berry</t>
  </si>
  <si>
    <t>Spencer</t>
  </si>
  <si>
    <t>Branson Ben</t>
  </si>
  <si>
    <t>Branson</t>
  </si>
  <si>
    <t>Brown Jimmy</t>
  </si>
  <si>
    <t>Jimmy</t>
  </si>
  <si>
    <t>Bucher Max</t>
  </si>
  <si>
    <t>Bucher</t>
  </si>
  <si>
    <t>Croney Joe</t>
  </si>
  <si>
    <t>Croney</t>
  </si>
  <si>
    <t>Joe</t>
  </si>
  <si>
    <t>Deigan Joey</t>
  </si>
  <si>
    <t>Deigan</t>
  </si>
  <si>
    <t>Joey</t>
  </si>
  <si>
    <t>Gonzales Henry</t>
  </si>
  <si>
    <t>Greenland Lucas</t>
  </si>
  <si>
    <t>Greenland</t>
  </si>
  <si>
    <t>Higley Charlie</t>
  </si>
  <si>
    <t>Higley</t>
  </si>
  <si>
    <t>Hufford Ian</t>
  </si>
  <si>
    <t>Hultman Keane</t>
  </si>
  <si>
    <t>Hultman</t>
  </si>
  <si>
    <t>Keane</t>
  </si>
  <si>
    <t>Jackson Landon</t>
  </si>
  <si>
    <t>Landon</t>
  </si>
  <si>
    <t>Jockin Beckett</t>
  </si>
  <si>
    <t>Jockin</t>
  </si>
  <si>
    <t>Beckett</t>
  </si>
  <si>
    <t>Lucas Jackson</t>
  </si>
  <si>
    <t>Marchi Zane</t>
  </si>
  <si>
    <t>Marchi</t>
  </si>
  <si>
    <t>Zane</t>
  </si>
  <si>
    <t>Marcus Jake</t>
  </si>
  <si>
    <t>Marcus</t>
  </si>
  <si>
    <t>Markus Miles</t>
  </si>
  <si>
    <t>Miles</t>
  </si>
  <si>
    <t>Metsch Jameson</t>
  </si>
  <si>
    <t>Metsch</t>
  </si>
  <si>
    <t>Jameson</t>
  </si>
  <si>
    <t>Napier Nolan</t>
  </si>
  <si>
    <t>Napier</t>
  </si>
  <si>
    <t>Smallwood Pierce</t>
  </si>
  <si>
    <t>Smallwood</t>
  </si>
  <si>
    <t>Pierce</t>
  </si>
  <si>
    <t>Tweet Holden</t>
  </si>
  <si>
    <t>Tweet</t>
  </si>
  <si>
    <t>Holden</t>
  </si>
  <si>
    <t>Wanderling James</t>
  </si>
  <si>
    <t>Wanderling</t>
  </si>
  <si>
    <t>James</t>
  </si>
  <si>
    <t>Williams Griffin</t>
  </si>
  <si>
    <t>Williams</t>
  </si>
  <si>
    <t>Griffin</t>
  </si>
  <si>
    <t>Total Brothers:</t>
  </si>
  <si>
    <t>Note: use payment 2 if roll over balance</t>
  </si>
  <si>
    <t>Payment 1</t>
  </si>
  <si>
    <t>Payment 2</t>
  </si>
  <si>
    <t>Notes</t>
  </si>
  <si>
    <t>Total Roll Over</t>
  </si>
  <si>
    <t>Future Roll Over</t>
  </si>
  <si>
    <t>Payment Plan</t>
  </si>
  <si>
    <t>venmo to sam</t>
  </si>
  <si>
    <t>Credit added</t>
  </si>
  <si>
    <t>fined</t>
  </si>
  <si>
    <t>Paid within 24HR:</t>
  </si>
  <si>
    <t>Updated 3/17 6p</t>
  </si>
  <si>
    <t>RM Half Dues</t>
  </si>
  <si>
    <t>charged for tarp</t>
  </si>
  <si>
    <t>Stackle Kip</t>
  </si>
  <si>
    <t>Kip</t>
  </si>
  <si>
    <t>GCM not working - check back</t>
  </si>
  <si>
    <t>Self Payment Plan</t>
  </si>
  <si>
    <t>Adams Frederick</t>
  </si>
  <si>
    <t>Adams</t>
  </si>
  <si>
    <t>Frederick</t>
  </si>
  <si>
    <t>Cowan Sam</t>
  </si>
  <si>
    <t>Cowan</t>
  </si>
  <si>
    <t>Dankwardt Austin</t>
  </si>
  <si>
    <t>Dankwardt</t>
  </si>
  <si>
    <t>Austin</t>
  </si>
  <si>
    <t>Gandy Ryan</t>
  </si>
  <si>
    <t>Gandy</t>
  </si>
  <si>
    <t>Gluhak Caden</t>
  </si>
  <si>
    <t>Gluhak</t>
  </si>
  <si>
    <t>Caden</t>
  </si>
  <si>
    <t>Hopkin Eduardo</t>
  </si>
  <si>
    <t>Hopkin</t>
  </si>
  <si>
    <t>Eduardo</t>
  </si>
  <si>
    <t>Jacobson-Bell Eli</t>
  </si>
  <si>
    <t>Jacobson-Bell</t>
  </si>
  <si>
    <t>Johnston Tor</t>
  </si>
  <si>
    <t>Tor</t>
  </si>
  <si>
    <t>Krueger Bennett</t>
  </si>
  <si>
    <t>Krueger</t>
  </si>
  <si>
    <t>Bennett</t>
  </si>
  <si>
    <t>Laipenieks Dylan</t>
  </si>
  <si>
    <t>Laipenieks</t>
  </si>
  <si>
    <t>Marchant Oliver</t>
  </si>
  <si>
    <t>Marchant</t>
  </si>
  <si>
    <t>Oliver</t>
  </si>
  <si>
    <t>Poturalski Luke</t>
  </si>
  <si>
    <t>Poturalski</t>
  </si>
  <si>
    <t>Roddie Liam</t>
  </si>
  <si>
    <t>Roddie</t>
  </si>
  <si>
    <t>Liam</t>
  </si>
  <si>
    <t>Smith Elliot</t>
  </si>
  <si>
    <t>Smith</t>
  </si>
  <si>
    <t>Elliot</t>
  </si>
  <si>
    <t>Sobyra Kolton</t>
  </si>
  <si>
    <t>Sobyra</t>
  </si>
  <si>
    <t>Kolton</t>
  </si>
  <si>
    <t>Stefan Kyle</t>
  </si>
  <si>
    <t>Stefan</t>
  </si>
  <si>
    <t>Kyle</t>
  </si>
  <si>
    <t>Stornetta Spencer</t>
  </si>
  <si>
    <t>Stornetta</t>
  </si>
  <si>
    <t>Thurrell Bradley</t>
  </si>
  <si>
    <t>Thurrell</t>
  </si>
  <si>
    <t>Bradley</t>
  </si>
  <si>
    <t>Wilde Marco</t>
  </si>
  <si>
    <t>Wilde</t>
  </si>
  <si>
    <t>Marco</t>
  </si>
  <si>
    <t xml:space="preserve">Wilson  Jack </t>
  </si>
  <si>
    <t xml:space="preserve">Wilson </t>
  </si>
  <si>
    <t xml:space="preserve">Jack </t>
  </si>
  <si>
    <t>Winslow Caden</t>
  </si>
  <si>
    <t>Winslow</t>
  </si>
  <si>
    <t>Dues adjusted for RM</t>
  </si>
  <si>
    <t>Adjusted Dues</t>
  </si>
  <si>
    <t>Name</t>
  </si>
  <si>
    <t>In Coming Funds</t>
  </si>
  <si>
    <t>IFC and Nationals Cost</t>
  </si>
  <si>
    <t>Expense</t>
  </si>
  <si>
    <t>Date</t>
  </si>
  <si>
    <t>Description</t>
  </si>
  <si>
    <t>Amount</t>
  </si>
  <si>
    <t>Parents GoFundMe</t>
  </si>
  <si>
    <t>Sorority checks</t>
  </si>
  <si>
    <t>Out Going Funds</t>
  </si>
  <si>
    <t>Dues</t>
  </si>
  <si>
    <t xml:space="preserve">initiation fee </t>
  </si>
  <si>
    <t>Dues + other fees</t>
  </si>
  <si>
    <t>Fine</t>
  </si>
  <si>
    <t>Pledge fee (missing a few)</t>
  </si>
  <si>
    <t>Ticket</t>
  </si>
  <si>
    <t>January Payment</t>
  </si>
  <si>
    <t>New Speaker - Best Buy</t>
  </si>
  <si>
    <t>Ticket Hope</t>
  </si>
  <si>
    <t>Final Vegas Payments</t>
  </si>
  <si>
    <t>Ticket Woody</t>
  </si>
  <si>
    <t>Titus ticket</t>
  </si>
  <si>
    <t>Dirt lineup compensation</t>
  </si>
  <si>
    <t>281 Lease</t>
  </si>
  <si>
    <t>Cheng ticket from '23</t>
  </si>
  <si>
    <t>Palace Ticket (winter)</t>
  </si>
  <si>
    <t>December Payment</t>
  </si>
  <si>
    <t>Cal Fresh</t>
  </si>
  <si>
    <t>April Payment</t>
  </si>
  <si>
    <t>November Payment</t>
  </si>
  <si>
    <t>Campus Bottle</t>
  </si>
  <si>
    <t>EC expenses</t>
  </si>
  <si>
    <t>Downpayment</t>
  </si>
  <si>
    <t>Family Night (Stebbins)</t>
  </si>
  <si>
    <t>Family Night</t>
  </si>
  <si>
    <t>October Payment</t>
  </si>
  <si>
    <t>Family Night (Bustos)</t>
  </si>
  <si>
    <t>Office Supplies</t>
  </si>
  <si>
    <t>Family Night (Dougher)</t>
  </si>
  <si>
    <t>Rush (Howard)</t>
  </si>
  <si>
    <t>September Payment</t>
  </si>
  <si>
    <t>ticket Palace - not pd</t>
  </si>
  <si>
    <t>Feb Vegas down payment</t>
  </si>
  <si>
    <t>Andres ticket from '23</t>
  </si>
  <si>
    <t>Feb payment + late fee</t>
  </si>
  <si>
    <t>Ishan Computer</t>
  </si>
  <si>
    <t>SAJ reimburse - Pifer &amp; Croney</t>
  </si>
  <si>
    <t xml:space="preserve">SAJ weekend </t>
  </si>
  <si>
    <t>281 ticket '23 - Hammer</t>
  </si>
  <si>
    <t>281 ticket '23 - McIntyre</t>
  </si>
  <si>
    <t>Lodge window - not pd</t>
  </si>
  <si>
    <t>March Vegas down payment</t>
  </si>
  <si>
    <t>Tent</t>
  </si>
  <si>
    <t>UPS store</t>
  </si>
  <si>
    <t>Pledge Cleanup Mats</t>
  </si>
  <si>
    <t>pledge crawl (Balducci)</t>
  </si>
  <si>
    <t>philo check</t>
  </si>
  <si>
    <t>Philo</t>
  </si>
  <si>
    <t>Pledge Crawl (Goldberg)</t>
  </si>
  <si>
    <t>Party Alc</t>
  </si>
  <si>
    <t>Event</t>
  </si>
  <si>
    <t>pledge crawl (Rose)</t>
  </si>
  <si>
    <t>Wine weds crandall</t>
  </si>
  <si>
    <t>Dye is Life</t>
  </si>
  <si>
    <t xml:space="preserve">AXO payment </t>
  </si>
  <si>
    <t>GAC + beer mile booze</t>
  </si>
  <si>
    <t>Parents weekend</t>
  </si>
  <si>
    <t>Social (Napier)</t>
  </si>
  <si>
    <t>Wine bag race BIA</t>
  </si>
  <si>
    <t>Camping</t>
  </si>
  <si>
    <t>Party City</t>
  </si>
  <si>
    <t>Puzzle night</t>
  </si>
  <si>
    <t>Home Depot</t>
  </si>
  <si>
    <t>Slippin</t>
  </si>
  <si>
    <t>Pregame Alc (Ralphs)</t>
  </si>
  <si>
    <t xml:space="preserve">Pledge  </t>
  </si>
  <si>
    <t>Pregame Alc (Bottle)</t>
  </si>
  <si>
    <t>Costco</t>
  </si>
  <si>
    <t>Pregame Alc (7-11)</t>
  </si>
  <si>
    <t>Rush 1/14-1/18</t>
  </si>
  <si>
    <t>Flowers</t>
  </si>
  <si>
    <t>Rush/social eng</t>
  </si>
  <si>
    <t>Bottle</t>
  </si>
  <si>
    <t>Titus party</t>
  </si>
  <si>
    <t>costco pizza</t>
  </si>
  <si>
    <t>IM Dues</t>
  </si>
  <si>
    <t>Exchange food split</t>
  </si>
  <si>
    <t>Date Party</t>
  </si>
  <si>
    <t>canes</t>
  </si>
  <si>
    <t>AOII</t>
  </si>
  <si>
    <t>Park Res</t>
  </si>
  <si>
    <t>Staples ???</t>
  </si>
  <si>
    <t>Sig Kap Philo</t>
  </si>
  <si>
    <t xml:space="preserve">Costco </t>
  </si>
  <si>
    <t>Slippin Alc</t>
  </si>
  <si>
    <t>Conserv (Rush Waters)</t>
  </si>
  <si>
    <t>Aphi</t>
  </si>
  <si>
    <t>pizza bia</t>
  </si>
  <si>
    <t>Shirts</t>
  </si>
  <si>
    <t>bid night</t>
  </si>
  <si>
    <t>Halloween</t>
  </si>
  <si>
    <t>Philo shirts</t>
  </si>
  <si>
    <t>Make a wish</t>
  </si>
  <si>
    <t>Philo Expenses</t>
  </si>
  <si>
    <t>Pinning</t>
  </si>
  <si>
    <t>party expenses</t>
  </si>
  <si>
    <t>Bid night</t>
  </si>
  <si>
    <t>parties 2/7 weekend</t>
  </si>
  <si>
    <t>Gphi</t>
  </si>
  <si>
    <t>superbowl bia</t>
  </si>
  <si>
    <t>Pinning night</t>
  </si>
  <si>
    <t>Booze</t>
  </si>
  <si>
    <t>Pregame Alc (dayger)</t>
  </si>
  <si>
    <t>Pregame Alc (philo)</t>
  </si>
  <si>
    <t>Bowling ifc</t>
  </si>
  <si>
    <t>Loomis boner func</t>
  </si>
  <si>
    <t>beer boxing</t>
  </si>
  <si>
    <t>Aphi Exchange</t>
  </si>
  <si>
    <t>Gphi Exchange</t>
  </si>
  <si>
    <t>Gphi Philo</t>
  </si>
  <si>
    <t>Beer fest afterparty</t>
  </si>
  <si>
    <t>Booze 281 dayge</t>
  </si>
  <si>
    <t>281 dayge supplies</t>
  </si>
  <si>
    <t>Munch handles + bender rack</t>
  </si>
  <si>
    <t>beer mile</t>
  </si>
  <si>
    <t>SK exchange</t>
  </si>
  <si>
    <t>Puzzles</t>
  </si>
  <si>
    <t>Nationals</t>
  </si>
  <si>
    <t>Per Person Per Month</t>
  </si>
  <si>
    <t>Months Due</t>
  </si>
  <si>
    <t>Persons</t>
  </si>
  <si>
    <t>Liability (LCMA)</t>
  </si>
  <si>
    <t>Due Fee</t>
  </si>
  <si>
    <t>Monthly Fee (LEA + CQ)</t>
  </si>
  <si>
    <t>Pledge Fee</t>
  </si>
  <si>
    <t>Pledge Initiation Fee</t>
  </si>
  <si>
    <t>Greek Life Office</t>
  </si>
  <si>
    <t>Total Expenses</t>
  </si>
  <si>
    <t>Vegas Expense Budget</t>
  </si>
  <si>
    <t>Expenses Subsidized By Fraternity</t>
  </si>
  <si>
    <t>Events</t>
  </si>
  <si>
    <t>Cost per Person</t>
  </si>
  <si>
    <t>Cost per Couple</t>
  </si>
  <si>
    <t>Expenses After Subsidization</t>
  </si>
  <si>
    <t>Number of People</t>
  </si>
  <si>
    <t>Party Busses (Friday)</t>
  </si>
  <si>
    <t>Brewdog Formal</t>
  </si>
  <si>
    <t>Club Covers</t>
  </si>
  <si>
    <t>Parking passes</t>
  </si>
  <si>
    <t>Payments</t>
  </si>
  <si>
    <t>Plan</t>
  </si>
  <si>
    <t>exempt</t>
  </si>
  <si>
    <t>hernandez</t>
  </si>
  <si>
    <t>matt</t>
  </si>
  <si>
    <t>Ted</t>
  </si>
  <si>
    <t>Ricky</t>
  </si>
  <si>
    <t>Mcintosh</t>
  </si>
  <si>
    <t>plan</t>
  </si>
  <si>
    <t>Alex</t>
  </si>
  <si>
    <t xml:space="preserve">James </t>
  </si>
  <si>
    <t>Caldwell</t>
  </si>
  <si>
    <t xml:space="preserve">Brad </t>
  </si>
  <si>
    <t>Conic</t>
  </si>
  <si>
    <t>Filip</t>
  </si>
  <si>
    <t>Diferdinando</t>
  </si>
  <si>
    <t>Nico</t>
  </si>
  <si>
    <t>Hammer</t>
  </si>
  <si>
    <t>Johnny</t>
  </si>
  <si>
    <t>Matt</t>
  </si>
  <si>
    <t>Kirin</t>
  </si>
  <si>
    <t>Matias</t>
  </si>
  <si>
    <t>Jorgenson</t>
  </si>
  <si>
    <t xml:space="preserve">Keller </t>
  </si>
  <si>
    <t>Kutch</t>
  </si>
  <si>
    <t>Ledger</t>
  </si>
  <si>
    <t>Loughrey</t>
  </si>
  <si>
    <t>Miller</t>
  </si>
  <si>
    <t>Mirimon</t>
  </si>
  <si>
    <t>Emillio</t>
  </si>
  <si>
    <t>Mike</t>
  </si>
  <si>
    <t>Rhee</t>
  </si>
  <si>
    <t>Carson</t>
  </si>
  <si>
    <t>Smoots</t>
  </si>
  <si>
    <t>Syn</t>
  </si>
  <si>
    <t>Theochung</t>
  </si>
  <si>
    <t xml:space="preserve">Volpentest </t>
  </si>
  <si>
    <t>WaitList</t>
  </si>
  <si>
    <t>Payment Plans</t>
  </si>
  <si>
    <t>Luxor (May 28 - 30)</t>
  </si>
  <si>
    <t>Other</t>
  </si>
  <si>
    <t>Buses</t>
  </si>
  <si>
    <t>Venetian Rockhouse</t>
  </si>
  <si>
    <t>Beach Party Access</t>
  </si>
  <si>
    <t>Payment 3</t>
  </si>
  <si>
    <t>Asphar</t>
  </si>
  <si>
    <t>Barrie</t>
  </si>
  <si>
    <t>Burright</t>
  </si>
  <si>
    <t>Clark</t>
  </si>
  <si>
    <t>Convery</t>
  </si>
  <si>
    <t>Wes</t>
  </si>
  <si>
    <t>Cote</t>
  </si>
  <si>
    <t>Coyne</t>
  </si>
  <si>
    <t>Keagan</t>
  </si>
  <si>
    <t>Cuesta</t>
  </si>
  <si>
    <t>Cameron</t>
  </si>
  <si>
    <t>Emery</t>
  </si>
  <si>
    <t>Glade</t>
  </si>
  <si>
    <t xml:space="preserve">Ryan </t>
  </si>
  <si>
    <t>Guber</t>
  </si>
  <si>
    <t>Jonny</t>
  </si>
  <si>
    <t>Hensley</t>
  </si>
  <si>
    <t xml:space="preserve">Mark </t>
  </si>
  <si>
    <t>Johnson</t>
  </si>
  <si>
    <t>JT</t>
  </si>
  <si>
    <t>Keogh</t>
  </si>
  <si>
    <t>Krenek</t>
  </si>
  <si>
    <t>LaMontagne</t>
  </si>
  <si>
    <t xml:space="preserve">Jake </t>
  </si>
  <si>
    <t>Lohr</t>
  </si>
  <si>
    <t>Timmy</t>
  </si>
  <si>
    <t>Massey</t>
  </si>
  <si>
    <t>Jaison</t>
  </si>
  <si>
    <t>Mosier</t>
  </si>
  <si>
    <t>Nelson</t>
  </si>
  <si>
    <t>Nevis</t>
  </si>
  <si>
    <t>Danny</t>
  </si>
  <si>
    <t>Park</t>
  </si>
  <si>
    <t>Caleb</t>
  </si>
  <si>
    <t>Peck</t>
  </si>
  <si>
    <t>Philips</t>
  </si>
  <si>
    <t>Trevor</t>
  </si>
  <si>
    <t>Prater</t>
  </si>
  <si>
    <t>Thomas</t>
  </si>
  <si>
    <t>Ridder</t>
  </si>
  <si>
    <t>Garrett</t>
  </si>
  <si>
    <t>Roelofs</t>
  </si>
  <si>
    <t>Brandon</t>
  </si>
  <si>
    <t>Rothberg</t>
  </si>
  <si>
    <t>Zych</t>
  </si>
  <si>
    <t>Siegel</t>
  </si>
  <si>
    <t>Brad</t>
  </si>
  <si>
    <t>Sirich</t>
  </si>
  <si>
    <t>Stoughton</t>
  </si>
  <si>
    <t>Szymanski</t>
  </si>
  <si>
    <t>Will</t>
  </si>
  <si>
    <t>Tomlinson</t>
  </si>
  <si>
    <t>Vigano</t>
  </si>
  <si>
    <t>Emanuele</t>
  </si>
  <si>
    <t>White</t>
  </si>
  <si>
    <t>Wilson</t>
  </si>
  <si>
    <t>Yousefi</t>
  </si>
  <si>
    <t>Nathan</t>
  </si>
  <si>
    <t>Armin</t>
  </si>
  <si>
    <t>Avery</t>
  </si>
  <si>
    <t>Green</t>
  </si>
  <si>
    <t>Koch</t>
  </si>
  <si>
    <t>Drew</t>
  </si>
  <si>
    <t>Houlihan</t>
  </si>
  <si>
    <t>Tschopp</t>
  </si>
  <si>
    <t>JD</t>
  </si>
  <si>
    <t>Coleman</t>
  </si>
  <si>
    <t>Speakers</t>
  </si>
  <si>
    <t>speaker refunded</t>
  </si>
  <si>
    <t>281 Friday BIA</t>
  </si>
  <si>
    <t>Dirt Saturday BIA</t>
  </si>
  <si>
    <t>Crawl</t>
  </si>
  <si>
    <t>DJ booth materials</t>
  </si>
  <si>
    <t>Kappa Sigma Store?</t>
  </si>
  <si>
    <t>Grad Stolls</t>
  </si>
  <si>
    <t>Fight for life</t>
  </si>
  <si>
    <t>12 gates</t>
  </si>
  <si>
    <t>Propane - Matt AOII</t>
  </si>
  <si>
    <t>amazon purchases</t>
  </si>
  <si>
    <t>Y2K Orange Party</t>
  </si>
  <si>
    <t>PR - Fisheye lens</t>
  </si>
  <si>
    <t>Initiation fee</t>
  </si>
  <si>
    <t>IFC Spring Q Dues</t>
  </si>
  <si>
    <t>281 warning from 4/05</t>
  </si>
  <si>
    <t>281 kappa safari</t>
  </si>
  <si>
    <t>bottle + courtesy wine</t>
  </si>
  <si>
    <t>Waiver Signed?</t>
  </si>
  <si>
    <t>YES</t>
  </si>
  <si>
    <t>May Payment</t>
  </si>
  <si>
    <t>Shabang Gas Stipends</t>
  </si>
  <si>
    <t>Bottle purchases</t>
  </si>
  <si>
    <t>Crandall food</t>
  </si>
  <si>
    <t>Luke car detail</t>
  </si>
  <si>
    <t>Parents Wknd catering</t>
  </si>
  <si>
    <t>Parents Wknd Bkfst</t>
  </si>
  <si>
    <t>Parents Wknd expenses</t>
  </si>
  <si>
    <t>Parents Wknd Shirts</t>
  </si>
  <si>
    <t>Parents Weeknd</t>
  </si>
  <si>
    <t>Updated 5/11 6p</t>
  </si>
  <si>
    <t>IN</t>
  </si>
  <si>
    <t>adjusted</t>
  </si>
  <si>
    <t>Sunday suite</t>
  </si>
  <si>
    <t>Resort Fee ($54.95 / night)</t>
  </si>
  <si>
    <t>Tax (13.5%)</t>
  </si>
  <si>
    <t>Paris Hotel (May 23-26)</t>
  </si>
  <si>
    <t>Alumni Banquet</t>
  </si>
  <si>
    <t>Stolen flip-flops</t>
  </si>
  <si>
    <t>Manglesdorf</t>
  </si>
  <si>
    <t>Vegas expenses</t>
  </si>
  <si>
    <t>philo shirts</t>
  </si>
  <si>
    <t>Vegas shirts</t>
  </si>
  <si>
    <t>Vegas Suite</t>
  </si>
  <si>
    <t>Vegas Reimbursements</t>
  </si>
  <si>
    <t>Reimbursements</t>
  </si>
  <si>
    <t>Parking</t>
  </si>
  <si>
    <t>Resort Fee</t>
  </si>
  <si>
    <t>Laipeniks</t>
  </si>
  <si>
    <t>Column1</t>
  </si>
  <si>
    <t>Maurello</t>
  </si>
  <si>
    <t>Pregame reimburse</t>
  </si>
  <si>
    <t>Hamzey</t>
  </si>
  <si>
    <t>Nico Dues Rebate</t>
  </si>
  <si>
    <t>Cleanup compensation</t>
  </si>
  <si>
    <t>Lodge Window</t>
  </si>
  <si>
    <t>281 Disco Party</t>
  </si>
  <si>
    <t>Vegas Payments</t>
  </si>
  <si>
    <t xml:space="preserve">Senior Sendoff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</si>
</sst>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&lt;=9999999]###\-####;\(###\)\ ###\-####"/>
  </numFmts>
  <fonts count="29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4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Arial Black"/>
      <family val="2"/>
    </font>
    <font>
      <b/>
      <sz val="16"/>
      <color theme="1"/>
      <name val="Arial Black"/>
      <family val="2"/>
    </font>
    <font>
      <sz val="14"/>
      <color theme="1"/>
      <name val="Arial Black"/>
      <family val="2"/>
    </font>
    <font>
      <sz val="12"/>
      <color rgb="FF000000"/>
      <name val="Arial Black"/>
      <family val="2"/>
    </font>
    <font>
      <sz val="16"/>
      <color theme="1"/>
      <name val="Arial Black"/>
      <family val="2"/>
    </font>
    <font>
      <sz val="16"/>
      <color rgb="FF000000"/>
      <name val="Arial Black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0"/>
      <color theme="1"/>
      <name val="Verdana"/>
      <family val="2"/>
    </font>
    <font>
      <sz val="10"/>
      <color theme="1"/>
      <name val="Arial"/>
      <family val="2"/>
    </font>
    <font>
      <sz val="10"/>
      <color rgb="FF222222"/>
      <name val="Verdana"/>
      <family val="2"/>
    </font>
    <font>
      <b/>
      <sz val="12"/>
      <color theme="0"/>
      <name val="Calibri"/>
      <family val="2"/>
    </font>
    <font>
      <b/>
      <sz val="12"/>
      <color rgb="FFFFFF00"/>
      <name val="Calibri"/>
      <family val="2"/>
    </font>
    <font>
      <b/>
      <sz val="12"/>
      <color rgb="FF00B050"/>
      <name val="Calibri"/>
      <family val="2"/>
    </font>
    <font>
      <sz val="12"/>
      <color rgb="FFFF0000"/>
      <name val="Arial Black"/>
      <family val="2"/>
    </font>
    <font>
      <sz val="10"/>
      <color rgb="FF000000"/>
      <name val="Verdana"/>
      <family val="2"/>
    </font>
    <font>
      <sz val="10"/>
      <color rgb="FF434343"/>
      <name val="Verdana"/>
      <family val="2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FF433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theme="1"/>
      </patternFill>
    </fill>
    <fill>
      <patternFill patternType="solid">
        <fgColor rgb="FFFF0000"/>
        <bgColor theme="0" tint="-0.14999847407452621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theme="0" tint="-0.14999847407452621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rgb="FFE7E6E6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theme="0" tint="-0.14999847407452621"/>
        <bgColor rgb="FFF8F9FA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theme="0" tint="-0.14999847407452621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</fills>
  <borders count="9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medium">
        <color theme="1"/>
      </bottom>
      <diagonal/>
    </border>
    <border>
      <left/>
      <right/>
      <top style="thin">
        <color indexed="64"/>
      </top>
      <bottom style="medium">
        <color theme="1"/>
      </bottom>
      <diagonal/>
    </border>
    <border>
      <left/>
      <right style="thin">
        <color indexed="64"/>
      </right>
      <top style="thin">
        <color indexed="64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/>
      <top style="thin">
        <color theme="0" tint="-0.499984740745262"/>
      </top>
      <bottom style="medium">
        <color indexed="64"/>
      </bottom>
      <diagonal/>
    </border>
    <border>
      <left/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medium">
        <color indexed="64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indexed="64"/>
      </left>
      <right style="thin">
        <color rgb="FF808080"/>
      </right>
      <top/>
      <bottom style="thin">
        <color rgb="FF808080"/>
      </bottom>
      <diagonal/>
    </border>
    <border>
      <left style="medium">
        <color indexed="64"/>
      </left>
      <right style="thin">
        <color rgb="FF808080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80808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/>
      <diagonal/>
    </border>
    <border>
      <left style="medium">
        <color indexed="64"/>
      </left>
      <right/>
      <top style="thin">
        <color theme="0" tint="-0.499984740745262"/>
      </top>
      <bottom/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/>
      <right style="thin">
        <color rgb="FF808080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411">
    <xf numFmtId="0" fontId="0" fillId="0" borderId="0" xfId="0"/>
    <xf numFmtId="0" fontId="0" fillId="2" borderId="0" xfId="0" applyFill="1"/>
    <xf numFmtId="0" fontId="5" fillId="2" borderId="0" xfId="0" applyFont="1" applyFill="1"/>
    <xf numFmtId="0" fontId="0" fillId="2" borderId="24" xfId="0" applyFill="1" applyBorder="1"/>
    <xf numFmtId="0" fontId="0" fillId="2" borderId="25" xfId="0" applyFill="1" applyBorder="1"/>
    <xf numFmtId="0" fontId="0" fillId="2" borderId="26" xfId="0" applyFill="1" applyBorder="1"/>
    <xf numFmtId="0" fontId="0" fillId="2" borderId="22" xfId="0" applyFill="1" applyBorder="1"/>
    <xf numFmtId="0" fontId="0" fillId="2" borderId="22" xfId="0" applyFill="1" applyBorder="1" applyAlignment="1">
      <alignment horizontal="center"/>
    </xf>
    <xf numFmtId="44" fontId="0" fillId="2" borderId="1" xfId="0" applyNumberFormat="1" applyFill="1" applyBorder="1"/>
    <xf numFmtId="0" fontId="0" fillId="2" borderId="27" xfId="0" applyFill="1" applyBorder="1" applyAlignment="1">
      <alignment horizontal="right"/>
    </xf>
    <xf numFmtId="44" fontId="0" fillId="2" borderId="2" xfId="0" applyNumberFormat="1" applyFill="1" applyBorder="1"/>
    <xf numFmtId="0" fontId="1" fillId="6" borderId="27" xfId="0" applyFont="1" applyFill="1" applyBorder="1" applyAlignment="1">
      <alignment horizontal="right"/>
    </xf>
    <xf numFmtId="0" fontId="0" fillId="2" borderId="20" xfId="0" applyFill="1" applyBorder="1" applyAlignment="1">
      <alignment horizontal="center"/>
    </xf>
    <xf numFmtId="44" fontId="0" fillId="2" borderId="23" xfId="0" applyNumberFormat="1" applyFill="1" applyBorder="1"/>
    <xf numFmtId="0" fontId="0" fillId="2" borderId="0" xfId="0" applyFill="1" applyAlignment="1">
      <alignment horizontal="center"/>
    </xf>
    <xf numFmtId="0" fontId="0" fillId="7" borderId="3" xfId="0" applyFill="1" applyBorder="1"/>
    <xf numFmtId="0" fontId="4" fillId="4" borderId="3" xfId="0" applyFont="1" applyFill="1" applyBorder="1"/>
    <xf numFmtId="0" fontId="0" fillId="7" borderId="28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4" fillId="8" borderId="3" xfId="0" applyFont="1" applyFill="1" applyBorder="1"/>
    <xf numFmtId="44" fontId="0" fillId="2" borderId="0" xfId="0" applyNumberFormat="1" applyFill="1"/>
    <xf numFmtId="44" fontId="0" fillId="4" borderId="28" xfId="0" applyNumberFormat="1" applyFill="1" applyBorder="1"/>
    <xf numFmtId="44" fontId="0" fillId="4" borderId="4" xfId="0" applyNumberFormat="1" applyFill="1" applyBorder="1"/>
    <xf numFmtId="44" fontId="0" fillId="8" borderId="28" xfId="0" applyNumberFormat="1" applyFill="1" applyBorder="1"/>
    <xf numFmtId="44" fontId="0" fillId="9" borderId="9" xfId="0" applyNumberFormat="1" applyFill="1" applyBorder="1"/>
    <xf numFmtId="44" fontId="0" fillId="9" borderId="10" xfId="0" applyNumberFormat="1" applyFill="1" applyBorder="1"/>
    <xf numFmtId="44" fontId="0" fillId="9" borderId="11" xfId="0" applyNumberFormat="1" applyFill="1" applyBorder="1"/>
    <xf numFmtId="0" fontId="0" fillId="7" borderId="16" xfId="0" applyFill="1" applyBorder="1" applyAlignment="1">
      <alignment horizontal="center"/>
    </xf>
    <xf numFmtId="44" fontId="0" fillId="4" borderId="16" xfId="0" applyNumberFormat="1" applyFill="1" applyBorder="1"/>
    <xf numFmtId="44" fontId="0" fillId="8" borderId="16" xfId="0" applyNumberFormat="1" applyFill="1" applyBorder="1"/>
    <xf numFmtId="0" fontId="0" fillId="2" borderId="27" xfId="0" applyFill="1" applyBorder="1" applyAlignment="1">
      <alignment horizontal="center"/>
    </xf>
    <xf numFmtId="0" fontId="4" fillId="11" borderId="3" xfId="0" applyFont="1" applyFill="1" applyBorder="1"/>
    <xf numFmtId="0" fontId="4" fillId="11" borderId="28" xfId="0" applyFont="1" applyFill="1" applyBorder="1"/>
    <xf numFmtId="0" fontId="4" fillId="11" borderId="4" xfId="0" applyFont="1" applyFill="1" applyBorder="1"/>
    <xf numFmtId="0" fontId="0" fillId="2" borderId="20" xfId="0" applyFill="1" applyBorder="1"/>
    <xf numFmtId="0" fontId="0" fillId="2" borderId="21" xfId="0" applyFill="1" applyBorder="1"/>
    <xf numFmtId="44" fontId="0" fillId="2" borderId="23" xfId="1" applyFont="1" applyFill="1" applyBorder="1"/>
    <xf numFmtId="44" fontId="0" fillId="2" borderId="1" xfId="1" applyFont="1" applyFill="1" applyBorder="1"/>
    <xf numFmtId="0" fontId="0" fillId="2" borderId="27" xfId="0" applyFill="1" applyBorder="1"/>
    <xf numFmtId="0" fontId="0" fillId="2" borderId="29" xfId="0" applyFill="1" applyBorder="1"/>
    <xf numFmtId="44" fontId="0" fillId="2" borderId="2" xfId="1" applyFont="1" applyFill="1" applyBorder="1"/>
    <xf numFmtId="0" fontId="0" fillId="2" borderId="3" xfId="0" applyFill="1" applyBorder="1"/>
    <xf numFmtId="0" fontId="0" fillId="2" borderId="28" xfId="0" applyFill="1" applyBorder="1"/>
    <xf numFmtId="44" fontId="0" fillId="2" borderId="28" xfId="0" applyNumberFormat="1" applyFill="1" applyBorder="1"/>
    <xf numFmtId="44" fontId="0" fillId="2" borderId="4" xfId="0" applyNumberFormat="1" applyFill="1" applyBorder="1"/>
    <xf numFmtId="0" fontId="0" fillId="12" borderId="3" xfId="0" applyFill="1" applyBorder="1"/>
    <xf numFmtId="0" fontId="0" fillId="12" borderId="28" xfId="0" applyFill="1" applyBorder="1"/>
    <xf numFmtId="44" fontId="0" fillId="12" borderId="4" xfId="0" applyNumberFormat="1" applyFill="1" applyBorder="1"/>
    <xf numFmtId="44" fontId="0" fillId="12" borderId="28" xfId="0" applyNumberFormat="1" applyFill="1" applyBorder="1"/>
    <xf numFmtId="0" fontId="6" fillId="5" borderId="3" xfId="0" applyFont="1" applyFill="1" applyBorder="1" applyAlignment="1">
      <alignment horizontal="center"/>
    </xf>
    <xf numFmtId="0" fontId="6" fillId="5" borderId="28" xfId="0" applyFont="1" applyFill="1" applyBorder="1" applyAlignment="1">
      <alignment horizontal="center"/>
    </xf>
    <xf numFmtId="44" fontId="0" fillId="2" borderId="0" xfId="1" applyFont="1" applyFill="1"/>
    <xf numFmtId="44" fontId="6" fillId="5" borderId="4" xfId="1" applyFont="1" applyFill="1" applyBorder="1" applyAlignment="1">
      <alignment horizontal="center"/>
    </xf>
    <xf numFmtId="44" fontId="0" fillId="2" borderId="24" xfId="1" applyFont="1" applyFill="1" applyBorder="1"/>
    <xf numFmtId="44" fontId="0" fillId="2" borderId="25" xfId="1" applyFont="1" applyFill="1" applyBorder="1"/>
    <xf numFmtId="44" fontId="0" fillId="2" borderId="26" xfId="1" applyFont="1" applyFill="1" applyBorder="1"/>
    <xf numFmtId="0" fontId="0" fillId="7" borderId="23" xfId="0" applyFill="1" applyBorder="1" applyAlignment="1">
      <alignment horizontal="center"/>
    </xf>
    <xf numFmtId="44" fontId="0" fillId="4" borderId="2" xfId="0" applyNumberFormat="1" applyFill="1" applyBorder="1"/>
    <xf numFmtId="44" fontId="0" fillId="2" borderId="30" xfId="1" applyFont="1" applyFill="1" applyBorder="1"/>
    <xf numFmtId="44" fontId="0" fillId="2" borderId="31" xfId="1" applyFont="1" applyFill="1" applyBorder="1"/>
    <xf numFmtId="44" fontId="0" fillId="2" borderId="32" xfId="1" applyFont="1" applyFill="1" applyBorder="1"/>
    <xf numFmtId="0" fontId="0" fillId="13" borderId="3" xfId="0" applyFill="1" applyBorder="1" applyAlignment="1">
      <alignment horizontal="center"/>
    </xf>
    <xf numFmtId="44" fontId="0" fillId="13" borderId="4" xfId="0" applyNumberFormat="1" applyFill="1" applyBorder="1"/>
    <xf numFmtId="0" fontId="0" fillId="9" borderId="9" xfId="0" applyFill="1" applyBorder="1"/>
    <xf numFmtId="0" fontId="0" fillId="9" borderId="11" xfId="0" applyFill="1" applyBorder="1"/>
    <xf numFmtId="0" fontId="5" fillId="9" borderId="9" xfId="0" applyFont="1" applyFill="1" applyBorder="1"/>
    <xf numFmtId="0" fontId="5" fillId="9" borderId="10" xfId="0" applyFont="1" applyFill="1" applyBorder="1"/>
    <xf numFmtId="0" fontId="5" fillId="9" borderId="11" xfId="0" applyFont="1" applyFill="1" applyBorder="1"/>
    <xf numFmtId="0" fontId="0" fillId="9" borderId="10" xfId="0" applyFill="1" applyBorder="1"/>
    <xf numFmtId="44" fontId="0" fillId="3" borderId="0" xfId="0" applyNumberFormat="1" applyFill="1"/>
    <xf numFmtId="0" fontId="3" fillId="2" borderId="0" xfId="0" applyFont="1" applyFill="1" applyAlignment="1">
      <alignment horizontal="left"/>
    </xf>
    <xf numFmtId="14" fontId="0" fillId="2" borderId="24" xfId="0" applyNumberFormat="1" applyFill="1" applyBorder="1"/>
    <xf numFmtId="14" fontId="0" fillId="2" borderId="25" xfId="0" applyNumberFormat="1" applyFill="1" applyBorder="1"/>
    <xf numFmtId="0" fontId="12" fillId="2" borderId="0" xfId="0" applyFont="1" applyFill="1"/>
    <xf numFmtId="0" fontId="13" fillId="0" borderId="3" xfId="0" applyFont="1" applyBorder="1" applyAlignment="1">
      <alignment horizontal="right" vertical="center"/>
    </xf>
    <xf numFmtId="0" fontId="13" fillId="2" borderId="0" xfId="0" applyFont="1" applyFill="1" applyAlignment="1">
      <alignment vertical="center"/>
    </xf>
    <xf numFmtId="0" fontId="13" fillId="3" borderId="2" xfId="0" applyFont="1" applyFill="1" applyBorder="1" applyAlignment="1">
      <alignment vertical="center"/>
    </xf>
    <xf numFmtId="0" fontId="13" fillId="3" borderId="29" xfId="0" applyFont="1" applyFill="1" applyBorder="1" applyAlignment="1">
      <alignment vertical="center"/>
    </xf>
    <xf numFmtId="0" fontId="13" fillId="3" borderId="33" xfId="0" applyFont="1" applyFill="1" applyBorder="1" applyAlignment="1">
      <alignment vertical="center"/>
    </xf>
    <xf numFmtId="0" fontId="13" fillId="3" borderId="18" xfId="0" applyFont="1" applyFill="1" applyBorder="1" applyAlignment="1">
      <alignment vertical="center"/>
    </xf>
    <xf numFmtId="0" fontId="13" fillId="3" borderId="19" xfId="0" applyFont="1" applyFill="1" applyBorder="1" applyAlignment="1">
      <alignment vertical="center"/>
    </xf>
    <xf numFmtId="0" fontId="13" fillId="3" borderId="13" xfId="0" applyFont="1" applyFill="1" applyBorder="1" applyAlignment="1">
      <alignment vertical="center"/>
    </xf>
    <xf numFmtId="0" fontId="13" fillId="3" borderId="14" xfId="0" applyFont="1" applyFill="1" applyBorder="1" applyAlignment="1">
      <alignment vertical="center"/>
    </xf>
    <xf numFmtId="0" fontId="13" fillId="3" borderId="15" xfId="0" applyFont="1" applyFill="1" applyBorder="1" applyAlignment="1">
      <alignment vertical="center"/>
    </xf>
    <xf numFmtId="0" fontId="12" fillId="0" borderId="34" xfId="0" applyFont="1" applyBorder="1"/>
    <xf numFmtId="44" fontId="12" fillId="0" borderId="5" xfId="0" applyNumberFormat="1" applyFont="1" applyBorder="1"/>
    <xf numFmtId="44" fontId="12" fillId="0" borderId="6" xfId="0" applyNumberFormat="1" applyFont="1" applyBorder="1"/>
    <xf numFmtId="44" fontId="12" fillId="0" borderId="7" xfId="0" applyNumberFormat="1" applyFont="1" applyBorder="1"/>
    <xf numFmtId="44" fontId="12" fillId="0" borderId="34" xfId="1" applyFont="1" applyFill="1" applyBorder="1"/>
    <xf numFmtId="0" fontId="12" fillId="0" borderId="6" xfId="0" applyFont="1" applyBorder="1"/>
    <xf numFmtId="0" fontId="15" fillId="2" borderId="0" xfId="0" applyFont="1" applyFill="1" applyAlignment="1">
      <alignment horizontal="center" vertical="center"/>
    </xf>
    <xf numFmtId="0" fontId="12" fillId="4" borderId="3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/>
    </xf>
    <xf numFmtId="0" fontId="15" fillId="4" borderId="4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44" fontId="15" fillId="2" borderId="1" xfId="1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44" fontId="15" fillId="2" borderId="2" xfId="1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/>
    </xf>
    <xf numFmtId="0" fontId="12" fillId="3" borderId="20" xfId="0" applyFont="1" applyFill="1" applyBorder="1" applyAlignment="1">
      <alignment horizontal="center"/>
    </xf>
    <xf numFmtId="0" fontId="12" fillId="3" borderId="21" xfId="0" applyFont="1" applyFill="1" applyBorder="1" applyAlignment="1">
      <alignment horizontal="center"/>
    </xf>
    <xf numFmtId="0" fontId="12" fillId="3" borderId="23" xfId="0" applyFont="1" applyFill="1" applyBorder="1" applyAlignment="1">
      <alignment horizontal="center"/>
    </xf>
    <xf numFmtId="0" fontId="12" fillId="2" borderId="20" xfId="0" applyFont="1" applyFill="1" applyBorder="1" applyAlignment="1">
      <alignment horizontal="center"/>
    </xf>
    <xf numFmtId="0" fontId="12" fillId="2" borderId="21" xfId="0" applyFont="1" applyFill="1" applyBorder="1" applyAlignment="1">
      <alignment horizontal="center"/>
    </xf>
    <xf numFmtId="9" fontId="12" fillId="2" borderId="23" xfId="2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9" fontId="12" fillId="2" borderId="1" xfId="2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29" xfId="0" applyFont="1" applyFill="1" applyBorder="1" applyAlignment="1">
      <alignment horizontal="center"/>
    </xf>
    <xf numFmtId="9" fontId="12" fillId="2" borderId="2" xfId="2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16" fillId="3" borderId="16" xfId="0" applyFont="1" applyFill="1" applyBorder="1" applyAlignment="1">
      <alignment horizontal="right"/>
    </xf>
    <xf numFmtId="0" fontId="16" fillId="3" borderId="28" xfId="0" applyFont="1" applyFill="1" applyBorder="1"/>
    <xf numFmtId="0" fontId="16" fillId="3" borderId="33" xfId="0" applyFont="1" applyFill="1" applyBorder="1"/>
    <xf numFmtId="44" fontId="16" fillId="3" borderId="18" xfId="0" applyNumberFormat="1" applyFont="1" applyFill="1" applyBorder="1"/>
    <xf numFmtId="44" fontId="16" fillId="3" borderId="19" xfId="0" applyNumberFormat="1" applyFont="1" applyFill="1" applyBorder="1"/>
    <xf numFmtId="44" fontId="16" fillId="3" borderId="33" xfId="0" applyNumberFormat="1" applyFont="1" applyFill="1" applyBorder="1"/>
    <xf numFmtId="44" fontId="16" fillId="3" borderId="17" xfId="0" applyNumberFormat="1" applyFont="1" applyFill="1" applyBorder="1"/>
    <xf numFmtId="44" fontId="13" fillId="3" borderId="19" xfId="0" applyNumberFormat="1" applyFont="1" applyFill="1" applyBorder="1"/>
    <xf numFmtId="0" fontId="16" fillId="3" borderId="18" xfId="0" applyFont="1" applyFill="1" applyBorder="1"/>
    <xf numFmtId="0" fontId="16" fillId="2" borderId="0" xfId="0" applyFont="1" applyFill="1"/>
    <xf numFmtId="0" fontId="12" fillId="2" borderId="0" xfId="0" applyFont="1" applyFill="1" applyAlignment="1">
      <alignment vertical="top"/>
    </xf>
    <xf numFmtId="0" fontId="11" fillId="2" borderId="0" xfId="0" applyFont="1" applyFill="1" applyAlignment="1">
      <alignment horizontal="center"/>
    </xf>
    <xf numFmtId="0" fontId="11" fillId="2" borderId="0" xfId="0" applyFont="1" applyFill="1"/>
    <xf numFmtId="44" fontId="0" fillId="2" borderId="0" xfId="1" applyFont="1" applyFill="1" applyBorder="1"/>
    <xf numFmtId="44" fontId="0" fillId="2" borderId="0" xfId="1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4" fillId="2" borderId="0" xfId="0" applyFont="1" applyFill="1" applyAlignment="1">
      <alignment horizontal="center"/>
    </xf>
    <xf numFmtId="0" fontId="4" fillId="2" borderId="0" xfId="0" applyFont="1" applyFill="1"/>
    <xf numFmtId="44" fontId="0" fillId="2" borderId="36" xfId="1" applyFont="1" applyFill="1" applyBorder="1"/>
    <xf numFmtId="44" fontId="12" fillId="0" borderId="12" xfId="0" applyNumberFormat="1" applyFont="1" applyBorder="1"/>
    <xf numFmtId="44" fontId="14" fillId="0" borderId="6" xfId="0" applyNumberFormat="1" applyFont="1" applyBorder="1"/>
    <xf numFmtId="0" fontId="12" fillId="0" borderId="5" xfId="0" applyFont="1" applyBorder="1"/>
    <xf numFmtId="0" fontId="12" fillId="0" borderId="37" xfId="0" applyFont="1" applyBorder="1"/>
    <xf numFmtId="0" fontId="13" fillId="3" borderId="38" xfId="0" applyFont="1" applyFill="1" applyBorder="1" applyAlignment="1">
      <alignment vertical="center"/>
    </xf>
    <xf numFmtId="0" fontId="16" fillId="3" borderId="11" xfId="0" applyFont="1" applyFill="1" applyBorder="1" applyAlignment="1">
      <alignment horizontal="right"/>
    </xf>
    <xf numFmtId="0" fontId="16" fillId="3" borderId="29" xfId="0" applyFont="1" applyFill="1" applyBorder="1"/>
    <xf numFmtId="0" fontId="16" fillId="3" borderId="40" xfId="0" applyFont="1" applyFill="1" applyBorder="1"/>
    <xf numFmtId="44" fontId="16" fillId="3" borderId="14" xfId="0" applyNumberFormat="1" applyFont="1" applyFill="1" applyBorder="1"/>
    <xf numFmtId="44" fontId="16" fillId="3" borderId="41" xfId="0" applyNumberFormat="1" applyFont="1" applyFill="1" applyBorder="1"/>
    <xf numFmtId="44" fontId="16" fillId="3" borderId="13" xfId="0" applyNumberFormat="1" applyFont="1" applyFill="1" applyBorder="1"/>
    <xf numFmtId="44" fontId="13" fillId="3" borderId="41" xfId="0" applyNumberFormat="1" applyFont="1" applyFill="1" applyBorder="1"/>
    <xf numFmtId="0" fontId="16" fillId="3" borderId="14" xfId="0" applyFont="1" applyFill="1" applyBorder="1"/>
    <xf numFmtId="0" fontId="17" fillId="14" borderId="14" xfId="0" applyFont="1" applyFill="1" applyBorder="1"/>
    <xf numFmtId="0" fontId="13" fillId="3" borderId="39" xfId="0" applyFont="1" applyFill="1" applyBorder="1" applyAlignment="1">
      <alignment vertical="center"/>
    </xf>
    <xf numFmtId="0" fontId="12" fillId="0" borderId="6" xfId="0" applyFont="1" applyBorder="1" applyAlignment="1">
      <alignment horizontal="left"/>
    </xf>
    <xf numFmtId="44" fontId="12" fillId="0" borderId="42" xfId="0" applyNumberFormat="1" applyFont="1" applyBorder="1"/>
    <xf numFmtId="44" fontId="12" fillId="0" borderId="43" xfId="1" applyFont="1" applyFill="1" applyBorder="1"/>
    <xf numFmtId="0" fontId="18" fillId="0" borderId="0" xfId="0" applyFont="1"/>
    <xf numFmtId="0" fontId="18" fillId="0" borderId="0" xfId="0" applyFont="1" applyAlignment="1">
      <alignment horizontal="center"/>
    </xf>
    <xf numFmtId="44" fontId="18" fillId="0" borderId="0" xfId="0" applyNumberFormat="1" applyFont="1"/>
    <xf numFmtId="44" fontId="18" fillId="0" borderId="0" xfId="1" applyFont="1"/>
    <xf numFmtId="0" fontId="18" fillId="4" borderId="5" xfId="0" applyFont="1" applyFill="1" applyBorder="1" applyAlignment="1">
      <alignment horizontal="center"/>
    </xf>
    <xf numFmtId="44" fontId="18" fillId="0" borderId="46" xfId="0" applyNumberFormat="1" applyFont="1" applyBorder="1"/>
    <xf numFmtId="44" fontId="18" fillId="0" borderId="8" xfId="1" applyFont="1" applyBorder="1"/>
    <xf numFmtId="0" fontId="18" fillId="0" borderId="47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44" fontId="18" fillId="0" borderId="46" xfId="1" applyFont="1" applyBorder="1" applyAlignment="1">
      <alignment horizontal="center"/>
    </xf>
    <xf numFmtId="44" fontId="18" fillId="0" borderId="8" xfId="1" applyFont="1" applyBorder="1" applyAlignment="1">
      <alignment horizontal="center"/>
    </xf>
    <xf numFmtId="44" fontId="18" fillId="0" borderId="50" xfId="1" applyFont="1" applyBorder="1" applyAlignment="1">
      <alignment horizontal="center"/>
    </xf>
    <xf numFmtId="0" fontId="18" fillId="2" borderId="0" xfId="0" applyFont="1" applyFill="1" applyAlignment="1">
      <alignment horizontal="center"/>
    </xf>
    <xf numFmtId="44" fontId="18" fillId="2" borderId="0" xfId="1" applyFont="1" applyFill="1" applyAlignment="1">
      <alignment horizontal="center"/>
    </xf>
    <xf numFmtId="44" fontId="18" fillId="16" borderId="0" xfId="1" applyFont="1" applyFill="1" applyAlignment="1">
      <alignment horizontal="center"/>
    </xf>
    <xf numFmtId="44" fontId="18" fillId="16" borderId="0" xfId="0" applyNumberFormat="1" applyFont="1" applyFill="1" applyAlignment="1">
      <alignment horizontal="center"/>
    </xf>
    <xf numFmtId="1" fontId="18" fillId="0" borderId="50" xfId="0" applyNumberFormat="1" applyFont="1" applyBorder="1" applyAlignment="1">
      <alignment horizontal="center"/>
    </xf>
    <xf numFmtId="44" fontId="18" fillId="15" borderId="43" xfId="1" applyFont="1" applyFill="1" applyBorder="1" applyAlignment="1">
      <alignment horizontal="center"/>
    </xf>
    <xf numFmtId="164" fontId="12" fillId="0" borderId="6" xfId="0" applyNumberFormat="1" applyFont="1" applyBorder="1" applyAlignment="1">
      <alignment horizontal="left"/>
    </xf>
    <xf numFmtId="44" fontId="0" fillId="2" borderId="51" xfId="1" applyFont="1" applyFill="1" applyBorder="1"/>
    <xf numFmtId="4" fontId="18" fillId="0" borderId="0" xfId="0" applyNumberFormat="1" applyFont="1"/>
    <xf numFmtId="44" fontId="0" fillId="13" borderId="4" xfId="0" applyNumberFormat="1" applyFill="1" applyBorder="1" applyAlignment="1">
      <alignment horizontal="center"/>
    </xf>
    <xf numFmtId="44" fontId="12" fillId="0" borderId="39" xfId="0" applyNumberFormat="1" applyFont="1" applyBorder="1"/>
    <xf numFmtId="0" fontId="12" fillId="0" borderId="39" xfId="0" applyFont="1" applyBorder="1"/>
    <xf numFmtId="44" fontId="12" fillId="0" borderId="54" xfId="1" applyFont="1" applyFill="1" applyBorder="1"/>
    <xf numFmtId="44" fontId="12" fillId="0" borderId="55" xfId="0" applyNumberFormat="1" applyFont="1" applyBorder="1"/>
    <xf numFmtId="44" fontId="14" fillId="0" borderId="39" xfId="0" applyNumberFormat="1" applyFont="1" applyBorder="1"/>
    <xf numFmtId="44" fontId="0" fillId="0" borderId="0" xfId="0" applyNumberFormat="1"/>
    <xf numFmtId="16" fontId="0" fillId="2" borderId="25" xfId="0" applyNumberFormat="1" applyFill="1" applyBorder="1"/>
    <xf numFmtId="2" fontId="0" fillId="2" borderId="0" xfId="0" applyNumberFormat="1" applyFill="1"/>
    <xf numFmtId="0" fontId="18" fillId="17" borderId="56" xfId="0" applyFont="1" applyFill="1" applyBorder="1"/>
    <xf numFmtId="44" fontId="18" fillId="18" borderId="0" xfId="0" applyNumberFormat="1" applyFont="1" applyFill="1"/>
    <xf numFmtId="44" fontId="18" fillId="17" borderId="56" xfId="0" applyNumberFormat="1" applyFont="1" applyFill="1" applyBorder="1"/>
    <xf numFmtId="0" fontId="18" fillId="17" borderId="57" xfId="0" applyFont="1" applyFill="1" applyBorder="1"/>
    <xf numFmtId="44" fontId="18" fillId="17" borderId="57" xfId="0" applyNumberFormat="1" applyFont="1" applyFill="1" applyBorder="1"/>
    <xf numFmtId="0" fontId="12" fillId="0" borderId="54" xfId="0" applyFont="1" applyBorder="1"/>
    <xf numFmtId="0" fontId="12" fillId="0" borderId="39" xfId="0" applyFont="1" applyBorder="1" applyAlignment="1">
      <alignment horizontal="left"/>
    </xf>
    <xf numFmtId="164" fontId="12" fillId="0" borderId="39" xfId="0" applyNumberFormat="1" applyFont="1" applyBorder="1" applyAlignment="1">
      <alignment horizontal="left"/>
    </xf>
    <xf numFmtId="0" fontId="20" fillId="0" borderId="0" xfId="0" applyFont="1"/>
    <xf numFmtId="0" fontId="21" fillId="0" borderId="0" xfId="0" applyFont="1"/>
    <xf numFmtId="0" fontId="22" fillId="0" borderId="0" xfId="0" applyFont="1"/>
    <xf numFmtId="0" fontId="20" fillId="0" borderId="59" xfId="0" applyFont="1" applyBorder="1"/>
    <xf numFmtId="0" fontId="22" fillId="0" borderId="59" xfId="0" applyFont="1" applyBorder="1"/>
    <xf numFmtId="0" fontId="0" fillId="2" borderId="61" xfId="0" applyFill="1" applyBorder="1"/>
    <xf numFmtId="0" fontId="0" fillId="2" borderId="60" xfId="0" applyFill="1" applyBorder="1"/>
    <xf numFmtId="0" fontId="0" fillId="2" borderId="62" xfId="0" applyFill="1" applyBorder="1"/>
    <xf numFmtId="0" fontId="22" fillId="0" borderId="63" xfId="0" applyFont="1" applyBorder="1"/>
    <xf numFmtId="0" fontId="22" fillId="20" borderId="63" xfId="0" applyFont="1" applyFill="1" applyBorder="1"/>
    <xf numFmtId="0" fontId="23" fillId="21" borderId="64" xfId="0" applyFont="1" applyFill="1" applyBorder="1" applyAlignment="1">
      <alignment horizontal="center"/>
    </xf>
    <xf numFmtId="0" fontId="18" fillId="20" borderId="65" xfId="0" applyFont="1" applyFill="1" applyBorder="1"/>
    <xf numFmtId="44" fontId="18" fillId="20" borderId="65" xfId="1" applyFont="1" applyFill="1" applyBorder="1"/>
    <xf numFmtId="0" fontId="18" fillId="0" borderId="65" xfId="0" applyFont="1" applyBorder="1"/>
    <xf numFmtId="44" fontId="18" fillId="0" borderId="65" xfId="1" applyFont="1" applyBorder="1"/>
    <xf numFmtId="44" fontId="24" fillId="21" borderId="64" xfId="1" applyFont="1" applyFill="1" applyBorder="1" applyAlignment="1">
      <alignment horizontal="center"/>
    </xf>
    <xf numFmtId="44" fontId="25" fillId="21" borderId="64" xfId="1" applyFont="1" applyFill="1" applyBorder="1" applyAlignment="1">
      <alignment horizontal="center"/>
    </xf>
    <xf numFmtId="0" fontId="18" fillId="7" borderId="65" xfId="0" applyFont="1" applyFill="1" applyBorder="1"/>
    <xf numFmtId="0" fontId="18" fillId="22" borderId="65" xfId="0" applyFont="1" applyFill="1" applyBorder="1"/>
    <xf numFmtId="0" fontId="18" fillId="23" borderId="65" xfId="0" applyFont="1" applyFill="1" applyBorder="1"/>
    <xf numFmtId="0" fontId="18" fillId="24" borderId="65" xfId="0" applyFont="1" applyFill="1" applyBorder="1"/>
    <xf numFmtId="0" fontId="18" fillId="4" borderId="65" xfId="0" applyFont="1" applyFill="1" applyBorder="1"/>
    <xf numFmtId="0" fontId="18" fillId="19" borderId="65" xfId="0" applyFont="1" applyFill="1" applyBorder="1"/>
    <xf numFmtId="0" fontId="18" fillId="25" borderId="65" xfId="0" applyFont="1" applyFill="1" applyBorder="1"/>
    <xf numFmtId="0" fontId="18" fillId="26" borderId="65" xfId="0" applyFont="1" applyFill="1" applyBorder="1"/>
    <xf numFmtId="0" fontId="22" fillId="20" borderId="0" xfId="0" applyFont="1" applyFill="1"/>
    <xf numFmtId="0" fontId="22" fillId="0" borderId="1" xfId="0" applyFont="1" applyBorder="1"/>
    <xf numFmtId="0" fontId="20" fillId="0" borderId="63" xfId="0" applyFont="1" applyBorder="1"/>
    <xf numFmtId="0" fontId="12" fillId="0" borderId="59" xfId="0" applyFont="1" applyBorder="1"/>
    <xf numFmtId="0" fontId="12" fillId="0" borderId="63" xfId="0" applyFont="1" applyBorder="1"/>
    <xf numFmtId="0" fontId="12" fillId="0" borderId="0" xfId="0" applyFont="1"/>
    <xf numFmtId="0" fontId="20" fillId="0" borderId="5" xfId="0" applyFont="1" applyBorder="1"/>
    <xf numFmtId="0" fontId="21" fillId="0" borderId="5" xfId="0" applyFont="1" applyBorder="1"/>
    <xf numFmtId="14" fontId="0" fillId="2" borderId="0" xfId="0" applyNumberFormat="1" applyFill="1"/>
    <xf numFmtId="0" fontId="22" fillId="0" borderId="22" xfId="0" applyFont="1" applyBorder="1"/>
    <xf numFmtId="44" fontId="12" fillId="2" borderId="0" xfId="0" applyNumberFormat="1" applyFont="1" applyFill="1"/>
    <xf numFmtId="0" fontId="22" fillId="27" borderId="0" xfId="0" applyFont="1" applyFill="1"/>
    <xf numFmtId="0" fontId="13" fillId="3" borderId="17" xfId="0" applyFont="1" applyFill="1" applyBorder="1" applyAlignment="1">
      <alignment vertical="center"/>
    </xf>
    <xf numFmtId="44" fontId="12" fillId="0" borderId="8" xfId="1" applyFont="1" applyFill="1" applyBorder="1"/>
    <xf numFmtId="0" fontId="13" fillId="3" borderId="16" xfId="0" applyFont="1" applyFill="1" applyBorder="1" applyAlignment="1">
      <alignment vertical="center"/>
    </xf>
    <xf numFmtId="0" fontId="13" fillId="3" borderId="28" xfId="0" applyFont="1" applyFill="1" applyBorder="1" applyAlignment="1">
      <alignment vertical="center"/>
    </xf>
    <xf numFmtId="0" fontId="20" fillId="0" borderId="22" xfId="0" applyFont="1" applyBorder="1"/>
    <xf numFmtId="0" fontId="22" fillId="0" borderId="10" xfId="0" applyFont="1" applyBorder="1"/>
    <xf numFmtId="0" fontId="20" fillId="0" borderId="69" xfId="0" applyFont="1" applyBorder="1"/>
    <xf numFmtId="0" fontId="22" fillId="0" borderId="69" xfId="0" applyFont="1" applyBorder="1"/>
    <xf numFmtId="0" fontId="13" fillId="28" borderId="16" xfId="0" applyFont="1" applyFill="1" applyBorder="1" applyAlignment="1">
      <alignment vertical="center"/>
    </xf>
    <xf numFmtId="0" fontId="12" fillId="28" borderId="0" xfId="0" applyFont="1" applyFill="1" applyAlignment="1">
      <alignment vertical="top"/>
    </xf>
    <xf numFmtId="0" fontId="20" fillId="13" borderId="22" xfId="0" applyFont="1" applyFill="1" applyBorder="1"/>
    <xf numFmtId="0" fontId="22" fillId="13" borderId="22" xfId="0" applyFont="1" applyFill="1" applyBorder="1"/>
    <xf numFmtId="0" fontId="20" fillId="2" borderId="22" xfId="0" applyFont="1" applyFill="1" applyBorder="1"/>
    <xf numFmtId="0" fontId="22" fillId="2" borderId="22" xfId="0" applyFont="1" applyFill="1" applyBorder="1"/>
    <xf numFmtId="0" fontId="12" fillId="28" borderId="0" xfId="0" applyFont="1" applyFill="1"/>
    <xf numFmtId="44" fontId="18" fillId="29" borderId="58" xfId="0" applyNumberFormat="1" applyFont="1" applyFill="1" applyBorder="1" applyAlignment="1">
      <alignment horizontal="center"/>
    </xf>
    <xf numFmtId="44" fontId="12" fillId="0" borderId="35" xfId="1" applyFont="1" applyFill="1" applyBorder="1"/>
    <xf numFmtId="0" fontId="12" fillId="0" borderId="22" xfId="0" applyFont="1" applyBorder="1"/>
    <xf numFmtId="0" fontId="20" fillId="13" borderId="69" xfId="0" applyFont="1" applyFill="1" applyBorder="1"/>
    <xf numFmtId="0" fontId="12" fillId="30" borderId="0" xfId="0" applyFont="1" applyFill="1"/>
    <xf numFmtId="0" fontId="26" fillId="30" borderId="0" xfId="0" applyFont="1" applyFill="1"/>
    <xf numFmtId="0" fontId="6" fillId="5" borderId="20" xfId="0" applyFont="1" applyFill="1" applyBorder="1" applyAlignment="1">
      <alignment horizontal="center"/>
    </xf>
    <xf numFmtId="44" fontId="0" fillId="2" borderId="61" xfId="1" applyFont="1" applyFill="1" applyBorder="1"/>
    <xf numFmtId="14" fontId="0" fillId="2" borderId="61" xfId="0" applyNumberFormat="1" applyFill="1" applyBorder="1"/>
    <xf numFmtId="44" fontId="0" fillId="2" borderId="70" xfId="1" applyFont="1" applyFill="1" applyBorder="1"/>
    <xf numFmtId="44" fontId="0" fillId="2" borderId="71" xfId="1" applyFont="1" applyFill="1" applyBorder="1"/>
    <xf numFmtId="44" fontId="0" fillId="2" borderId="72" xfId="1" applyFont="1" applyFill="1" applyBorder="1"/>
    <xf numFmtId="14" fontId="0" fillId="2" borderId="73" xfId="0" applyNumberFormat="1" applyFill="1" applyBorder="1"/>
    <xf numFmtId="14" fontId="0" fillId="2" borderId="74" xfId="0" applyNumberFormat="1" applyFill="1" applyBorder="1"/>
    <xf numFmtId="0" fontId="0" fillId="2" borderId="74" xfId="0" applyFill="1" applyBorder="1"/>
    <xf numFmtId="0" fontId="0" fillId="2" borderId="75" xfId="0" applyFill="1" applyBorder="1"/>
    <xf numFmtId="0" fontId="0" fillId="2" borderId="69" xfId="0" applyFill="1" applyBorder="1"/>
    <xf numFmtId="0" fontId="0" fillId="2" borderId="76" xfId="0" applyFill="1" applyBorder="1"/>
    <xf numFmtId="0" fontId="0" fillId="2" borderId="77" xfId="0" applyFill="1" applyBorder="1"/>
    <xf numFmtId="0" fontId="5" fillId="6" borderId="78" xfId="0" applyFont="1" applyFill="1" applyBorder="1"/>
    <xf numFmtId="14" fontId="5" fillId="6" borderId="78" xfId="0" applyNumberFormat="1" applyFont="1" applyFill="1" applyBorder="1"/>
    <xf numFmtId="0" fontId="5" fillId="6" borderId="79" xfId="0" applyFont="1" applyFill="1" applyBorder="1"/>
    <xf numFmtId="14" fontId="5" fillId="6" borderId="79" xfId="0" applyNumberFormat="1" applyFont="1" applyFill="1" applyBorder="1"/>
    <xf numFmtId="0" fontId="5" fillId="6" borderId="80" xfId="0" applyFont="1" applyFill="1" applyBorder="1"/>
    <xf numFmtId="0" fontId="27" fillId="0" borderId="0" xfId="0" applyFont="1"/>
    <xf numFmtId="0" fontId="28" fillId="31" borderId="0" xfId="0" applyFont="1" applyFill="1"/>
    <xf numFmtId="0" fontId="28" fillId="32" borderId="0" xfId="0" applyFont="1" applyFill="1"/>
    <xf numFmtId="0" fontId="5" fillId="6" borderId="76" xfId="0" applyFont="1" applyFill="1" applyBorder="1"/>
    <xf numFmtId="14" fontId="5" fillId="6" borderId="25" xfId="0" applyNumberFormat="1" applyFont="1" applyFill="1" applyBorder="1"/>
    <xf numFmtId="14" fontId="0" fillId="2" borderId="79" xfId="0" applyNumberFormat="1" applyFill="1" applyBorder="1"/>
    <xf numFmtId="14" fontId="0" fillId="0" borderId="79" xfId="0" applyNumberFormat="1" applyBorder="1"/>
    <xf numFmtId="0" fontId="5" fillId="6" borderId="25" xfId="0" applyFont="1" applyFill="1" applyBorder="1"/>
    <xf numFmtId="0" fontId="0" fillId="2" borderId="79" xfId="0" applyFill="1" applyBorder="1"/>
    <xf numFmtId="0" fontId="0" fillId="0" borderId="79" xfId="0" applyBorder="1"/>
    <xf numFmtId="14" fontId="5" fillId="6" borderId="24" xfId="0" applyNumberFormat="1" applyFont="1" applyFill="1" applyBorder="1"/>
    <xf numFmtId="0" fontId="5" fillId="6" borderId="24" xfId="0" applyFont="1" applyFill="1" applyBorder="1"/>
    <xf numFmtId="0" fontId="5" fillId="6" borderId="81" xfId="0" applyFont="1" applyFill="1" applyBorder="1"/>
    <xf numFmtId="0" fontId="26" fillId="28" borderId="0" xfId="0" applyFont="1" applyFill="1"/>
    <xf numFmtId="0" fontId="28" fillId="33" borderId="0" xfId="0" applyFont="1" applyFill="1"/>
    <xf numFmtId="0" fontId="0" fillId="4" borderId="25" xfId="0" applyFill="1" applyBorder="1"/>
    <xf numFmtId="14" fontId="0" fillId="4" borderId="25" xfId="0" applyNumberFormat="1" applyFill="1" applyBorder="1"/>
    <xf numFmtId="44" fontId="0" fillId="4" borderId="25" xfId="1" applyFont="1" applyFill="1" applyBorder="1"/>
    <xf numFmtId="44" fontId="12" fillId="0" borderId="5" xfId="1" applyFont="1" applyFill="1" applyBorder="1"/>
    <xf numFmtId="44" fontId="12" fillId="0" borderId="49" xfId="0" applyNumberFormat="1" applyFont="1" applyBorder="1"/>
    <xf numFmtId="0" fontId="12" fillId="34" borderId="0" xfId="0" applyFont="1" applyFill="1"/>
    <xf numFmtId="44" fontId="0" fillId="2" borderId="82" xfId="1" applyFont="1" applyFill="1" applyBorder="1"/>
    <xf numFmtId="44" fontId="0" fillId="2" borderId="83" xfId="1" applyFont="1" applyFill="1" applyBorder="1"/>
    <xf numFmtId="0" fontId="5" fillId="6" borderId="84" xfId="0" applyFont="1" applyFill="1" applyBorder="1"/>
    <xf numFmtId="0" fontId="5" fillId="6" borderId="85" xfId="0" applyFont="1" applyFill="1" applyBorder="1"/>
    <xf numFmtId="14" fontId="5" fillId="6" borderId="80" xfId="0" applyNumberFormat="1" applyFont="1" applyFill="1" applyBorder="1"/>
    <xf numFmtId="0" fontId="5" fillId="6" borderId="69" xfId="0" applyFont="1" applyFill="1" applyBorder="1"/>
    <xf numFmtId="14" fontId="5" fillId="6" borderId="69" xfId="0" applyNumberFormat="1" applyFont="1" applyFill="1" applyBorder="1"/>
    <xf numFmtId="14" fontId="5" fillId="6" borderId="76" xfId="0" applyNumberFormat="1" applyFont="1" applyFill="1" applyBorder="1"/>
    <xf numFmtId="0" fontId="5" fillId="6" borderId="86" xfId="0" applyFont="1" applyFill="1" applyBorder="1"/>
    <xf numFmtId="14" fontId="5" fillId="6" borderId="86" xfId="0" applyNumberFormat="1" applyFont="1" applyFill="1" applyBorder="1"/>
    <xf numFmtId="0" fontId="5" fillId="6" borderId="62" xfId="0" applyFont="1" applyFill="1" applyBorder="1"/>
    <xf numFmtId="0" fontId="0" fillId="4" borderId="79" xfId="0" applyFill="1" applyBorder="1"/>
    <xf numFmtId="0" fontId="20" fillId="0" borderId="1" xfId="0" applyFont="1" applyBorder="1"/>
    <xf numFmtId="0" fontId="22" fillId="20" borderId="1" xfId="0" applyFont="1" applyFill="1" applyBorder="1"/>
    <xf numFmtId="0" fontId="12" fillId="0" borderId="50" xfId="0" applyFont="1" applyBorder="1"/>
    <xf numFmtId="0" fontId="12" fillId="0" borderId="8" xfId="0" applyFont="1" applyBorder="1"/>
    <xf numFmtId="0" fontId="20" fillId="0" borderId="20" xfId="0" applyFont="1" applyBorder="1"/>
    <xf numFmtId="0" fontId="20" fillId="0" borderId="23" xfId="0" applyFont="1" applyBorder="1"/>
    <xf numFmtId="0" fontId="20" fillId="0" borderId="10" xfId="0" applyFont="1" applyBorder="1"/>
    <xf numFmtId="0" fontId="12" fillId="0" borderId="1" xfId="0" applyFont="1" applyBorder="1"/>
    <xf numFmtId="0" fontId="22" fillId="0" borderId="27" xfId="0" applyFont="1" applyBorder="1"/>
    <xf numFmtId="0" fontId="22" fillId="0" borderId="2" xfId="0" applyFont="1" applyBorder="1"/>
    <xf numFmtId="44" fontId="16" fillId="3" borderId="40" xfId="0" applyNumberFormat="1" applyFont="1" applyFill="1" applyBorder="1"/>
    <xf numFmtId="0" fontId="13" fillId="3" borderId="87" xfId="0" applyFont="1" applyFill="1" applyBorder="1" applyAlignment="1">
      <alignment vertical="center"/>
    </xf>
    <xf numFmtId="44" fontId="12" fillId="0" borderId="88" xfId="0" applyNumberFormat="1" applyFont="1" applyBorder="1"/>
    <xf numFmtId="0" fontId="13" fillId="3" borderId="89" xfId="0" applyFont="1" applyFill="1" applyBorder="1" applyAlignment="1">
      <alignment vertical="center"/>
    </xf>
    <xf numFmtId="44" fontId="12" fillId="0" borderId="60" xfId="1" applyFont="1" applyFill="1" applyBorder="1"/>
    <xf numFmtId="44" fontId="12" fillId="0" borderId="62" xfId="1" applyFont="1" applyFill="1" applyBorder="1"/>
    <xf numFmtId="44" fontId="12" fillId="0" borderId="69" xfId="1" applyFont="1" applyFill="1" applyBorder="1"/>
    <xf numFmtId="44" fontId="12" fillId="0" borderId="76" xfId="1" applyFont="1" applyFill="1" applyBorder="1"/>
    <xf numFmtId="44" fontId="12" fillId="0" borderId="62" xfId="0" applyNumberFormat="1" applyFont="1" applyBorder="1"/>
    <xf numFmtId="44" fontId="12" fillId="0" borderId="69" xfId="0" applyNumberFormat="1" applyFont="1" applyBorder="1"/>
    <xf numFmtId="44" fontId="12" fillId="0" borderId="76" xfId="0" applyNumberFormat="1" applyFont="1" applyBorder="1"/>
    <xf numFmtId="44" fontId="12" fillId="0" borderId="60" xfId="0" applyNumberFormat="1" applyFont="1" applyBorder="1"/>
    <xf numFmtId="0" fontId="13" fillId="3" borderId="11" xfId="0" applyFont="1" applyFill="1" applyBorder="1" applyAlignment="1">
      <alignment vertical="center"/>
    </xf>
    <xf numFmtId="0" fontId="13" fillId="3" borderId="90" xfId="0" applyFont="1" applyFill="1" applyBorder="1" applyAlignment="1">
      <alignment vertical="center"/>
    </xf>
    <xf numFmtId="0" fontId="22" fillId="27" borderId="1" xfId="0" applyFont="1" applyFill="1" applyBorder="1"/>
    <xf numFmtId="44" fontId="18" fillId="2" borderId="65" xfId="1" applyFont="1" applyFill="1" applyBorder="1"/>
    <xf numFmtId="44" fontId="18" fillId="27" borderId="65" xfId="1" applyFont="1" applyFill="1" applyBorder="1"/>
    <xf numFmtId="0" fontId="18" fillId="27" borderId="91" xfId="0" applyFont="1" applyFill="1" applyBorder="1"/>
    <xf numFmtId="0" fontId="18" fillId="2" borderId="91" xfId="0" applyFont="1" applyFill="1" applyBorder="1"/>
    <xf numFmtId="0" fontId="23" fillId="21" borderId="92" xfId="0" applyFont="1" applyFill="1" applyBorder="1" applyAlignment="1">
      <alignment horizontal="center"/>
    </xf>
    <xf numFmtId="0" fontId="4" fillId="0" borderId="0" xfId="0" applyFont="1"/>
    <xf numFmtId="1" fontId="0" fillId="0" borderId="0" xfId="0" applyNumberFormat="1"/>
    <xf numFmtId="0" fontId="19" fillId="12" borderId="48" xfId="0" applyFont="1" applyFill="1" applyBorder="1" applyAlignment="1">
      <alignment horizontal="center"/>
    </xf>
    <xf numFmtId="44" fontId="25" fillId="21" borderId="0" xfId="1" applyFont="1" applyFill="1" applyBorder="1" applyAlignment="1">
      <alignment horizontal="center"/>
    </xf>
    <xf numFmtId="44" fontId="23" fillId="21" borderId="64" xfId="0" applyNumberFormat="1" applyFont="1" applyFill="1" applyBorder="1" applyAlignment="1">
      <alignment horizontal="center"/>
    </xf>
    <xf numFmtId="0" fontId="18" fillId="2" borderId="5" xfId="0" applyFont="1" applyFill="1" applyBorder="1"/>
    <xf numFmtId="0" fontId="21" fillId="0" borderId="65" xfId="0" applyFont="1" applyBorder="1"/>
    <xf numFmtId="0" fontId="21" fillId="30" borderId="5" xfId="0" applyFont="1" applyFill="1" applyBorder="1"/>
    <xf numFmtId="0" fontId="18" fillId="30" borderId="5" xfId="0" applyFont="1" applyFill="1" applyBorder="1"/>
    <xf numFmtId="0" fontId="18" fillId="35" borderId="5" xfId="0" applyFont="1" applyFill="1" applyBorder="1"/>
    <xf numFmtId="0" fontId="21" fillId="28" borderId="5" xfId="0" applyFont="1" applyFill="1" applyBorder="1"/>
    <xf numFmtId="0" fontId="18" fillId="2" borderId="0" xfId="0" applyFont="1" applyFill="1"/>
    <xf numFmtId="0" fontId="21" fillId="30" borderId="0" xfId="0" applyFont="1" applyFill="1"/>
    <xf numFmtId="0" fontId="21" fillId="30" borderId="37" xfId="0" applyFont="1" applyFill="1" applyBorder="1"/>
    <xf numFmtId="0" fontId="21" fillId="0" borderId="37" xfId="0" applyFont="1" applyBorder="1"/>
    <xf numFmtId="0" fontId="18" fillId="2" borderId="37" xfId="0" applyFont="1" applyFill="1" applyBorder="1"/>
    <xf numFmtId="0" fontId="18" fillId="30" borderId="37" xfId="0" applyFont="1" applyFill="1" applyBorder="1"/>
    <xf numFmtId="0" fontId="18" fillId="35" borderId="37" xfId="0" applyFont="1" applyFill="1" applyBorder="1"/>
    <xf numFmtId="0" fontId="21" fillId="28" borderId="37" xfId="0" applyFont="1" applyFill="1" applyBorder="1"/>
    <xf numFmtId="0" fontId="21" fillId="0" borderId="93" xfId="0" applyFont="1" applyBorder="1"/>
    <xf numFmtId="0" fontId="21" fillId="2" borderId="5" xfId="0" applyFont="1" applyFill="1" applyBorder="1"/>
    <xf numFmtId="0" fontId="18" fillId="27" borderId="5" xfId="0" applyFont="1" applyFill="1" applyBorder="1"/>
    <xf numFmtId="0" fontId="21" fillId="36" borderId="5" xfId="0" applyFont="1" applyFill="1" applyBorder="1"/>
    <xf numFmtId="0" fontId="21" fillId="36" borderId="37" xfId="0" applyFont="1" applyFill="1" applyBorder="1"/>
    <xf numFmtId="44" fontId="0" fillId="36" borderId="0" xfId="0" applyNumberFormat="1" applyFill="1"/>
    <xf numFmtId="0" fontId="21" fillId="37" borderId="5" xfId="0" applyFont="1" applyFill="1" applyBorder="1"/>
    <xf numFmtId="0" fontId="21" fillId="37" borderId="37" xfId="0" applyFont="1" applyFill="1" applyBorder="1"/>
    <xf numFmtId="0" fontId="2" fillId="7" borderId="20" xfId="0" applyFont="1" applyFill="1" applyBorder="1" applyAlignment="1">
      <alignment horizontal="center"/>
    </xf>
    <xf numFmtId="0" fontId="2" fillId="7" borderId="2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28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6" fillId="5" borderId="27" xfId="0" applyFont="1" applyFill="1" applyBorder="1" applyAlignment="1">
      <alignment horizontal="center"/>
    </xf>
    <xf numFmtId="0" fontId="6" fillId="5" borderId="29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7" fillId="7" borderId="3" xfId="0" applyFont="1" applyFill="1" applyBorder="1" applyAlignment="1">
      <alignment horizontal="center"/>
    </xf>
    <xf numFmtId="0" fontId="7" fillId="7" borderId="28" xfId="0" applyFont="1" applyFill="1" applyBorder="1" applyAlignment="1">
      <alignment horizontal="center"/>
    </xf>
    <xf numFmtId="0" fontId="7" fillId="7" borderId="4" xfId="0" applyFont="1" applyFill="1" applyBorder="1" applyAlignment="1">
      <alignment horizontal="center"/>
    </xf>
    <xf numFmtId="0" fontId="13" fillId="9" borderId="3" xfId="0" applyFont="1" applyFill="1" applyBorder="1" applyAlignment="1">
      <alignment horizontal="left" vertical="center"/>
    </xf>
    <xf numFmtId="0" fontId="13" fillId="9" borderId="4" xfId="0" applyFont="1" applyFill="1" applyBorder="1" applyAlignment="1">
      <alignment horizontal="left" vertical="center"/>
    </xf>
    <xf numFmtId="0" fontId="12" fillId="3" borderId="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4" xfId="0" applyFont="1" applyFill="1" applyBorder="1" applyAlignment="1">
      <alignment horizontal="center"/>
    </xf>
    <xf numFmtId="0" fontId="12" fillId="4" borderId="0" xfId="0" applyFont="1" applyFill="1" applyAlignment="1">
      <alignment horizontal="center" vertical="top"/>
    </xf>
    <xf numFmtId="0" fontId="12" fillId="4" borderId="0" xfId="0" applyFont="1" applyFill="1" applyAlignment="1">
      <alignment horizontal="center"/>
    </xf>
    <xf numFmtId="0" fontId="9" fillId="13" borderId="3" xfId="0" applyFont="1" applyFill="1" applyBorder="1" applyAlignment="1">
      <alignment horizontal="center"/>
    </xf>
    <xf numFmtId="0" fontId="9" fillId="13" borderId="28" xfId="0" applyFont="1" applyFill="1" applyBorder="1" applyAlignment="1">
      <alignment horizontal="center"/>
    </xf>
    <xf numFmtId="0" fontId="9" fillId="13" borderId="4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6" fillId="7" borderId="28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28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29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4" fillId="10" borderId="28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28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4" fillId="36" borderId="37" xfId="0" applyFont="1" applyFill="1" applyBorder="1" applyAlignment="1">
      <alignment horizontal="center"/>
    </xf>
    <xf numFmtId="0" fontId="4" fillId="36" borderId="44" xfId="0" applyFont="1" applyFill="1" applyBorder="1" applyAlignment="1">
      <alignment horizontal="center"/>
    </xf>
    <xf numFmtId="0" fontId="4" fillId="36" borderId="43" xfId="0" applyFont="1" applyFill="1" applyBorder="1" applyAlignment="1">
      <alignment horizontal="center"/>
    </xf>
    <xf numFmtId="0" fontId="19" fillId="12" borderId="37" xfId="0" applyFont="1" applyFill="1" applyBorder="1" applyAlignment="1">
      <alignment horizontal="center"/>
    </xf>
    <xf numFmtId="0" fontId="19" fillId="12" borderId="44" xfId="0" applyFont="1" applyFill="1" applyBorder="1" applyAlignment="1">
      <alignment horizontal="center"/>
    </xf>
    <xf numFmtId="0" fontId="19" fillId="12" borderId="43" xfId="0" applyFont="1" applyFill="1" applyBorder="1" applyAlignment="1">
      <alignment horizontal="center"/>
    </xf>
    <xf numFmtId="0" fontId="19" fillId="15" borderId="66" xfId="0" applyFont="1" applyFill="1" applyBorder="1" applyAlignment="1">
      <alignment horizontal="center"/>
    </xf>
    <xf numFmtId="0" fontId="19" fillId="15" borderId="67" xfId="0" applyFont="1" applyFill="1" applyBorder="1" applyAlignment="1">
      <alignment horizontal="center"/>
    </xf>
    <xf numFmtId="0" fontId="19" fillId="15" borderId="68" xfId="0" applyFont="1" applyFill="1" applyBorder="1" applyAlignment="1">
      <alignment horizontal="center"/>
    </xf>
    <xf numFmtId="0" fontId="18" fillId="13" borderId="45" xfId="0" applyFont="1" applyFill="1" applyBorder="1" applyAlignment="1">
      <alignment horizontal="center"/>
    </xf>
    <xf numFmtId="0" fontId="18" fillId="13" borderId="48" xfId="0" applyFont="1" applyFill="1" applyBorder="1" applyAlignment="1">
      <alignment horizontal="center"/>
    </xf>
    <xf numFmtId="0" fontId="18" fillId="13" borderId="49" xfId="0" applyFont="1" applyFill="1" applyBorder="1" applyAlignment="1">
      <alignment horizontal="center"/>
    </xf>
    <xf numFmtId="0" fontId="18" fillId="13" borderId="0" xfId="0" applyFont="1" applyFill="1" applyAlignment="1">
      <alignment horizontal="center"/>
    </xf>
    <xf numFmtId="0" fontId="19" fillId="13" borderId="37" xfId="0" applyFont="1" applyFill="1" applyBorder="1" applyAlignment="1">
      <alignment horizontal="center"/>
    </xf>
    <xf numFmtId="0" fontId="19" fillId="13" borderId="44" xfId="0" applyFont="1" applyFill="1" applyBorder="1" applyAlignment="1">
      <alignment horizontal="center"/>
    </xf>
    <xf numFmtId="0" fontId="19" fillId="13" borderId="43" xfId="0" applyFont="1" applyFill="1" applyBorder="1" applyAlignment="1">
      <alignment horizontal="center"/>
    </xf>
    <xf numFmtId="0" fontId="18" fillId="13" borderId="12" xfId="0" applyFont="1" applyFill="1" applyBorder="1" applyAlignment="1">
      <alignment horizontal="center"/>
    </xf>
    <xf numFmtId="0" fontId="18" fillId="13" borderId="35" xfId="0" applyFont="1" applyFill="1" applyBorder="1" applyAlignment="1">
      <alignment horizontal="center"/>
    </xf>
    <xf numFmtId="0" fontId="19" fillId="15" borderId="37" xfId="0" applyFont="1" applyFill="1" applyBorder="1" applyAlignment="1">
      <alignment horizontal="center"/>
    </xf>
    <xf numFmtId="0" fontId="19" fillId="15" borderId="44" xfId="0" applyFont="1" applyFill="1" applyBorder="1" applyAlignment="1">
      <alignment horizontal="center"/>
    </xf>
    <xf numFmtId="0" fontId="19" fillId="15" borderId="43" xfId="0" applyFont="1" applyFill="1" applyBorder="1" applyAlignment="1">
      <alignment horizontal="center"/>
    </xf>
    <xf numFmtId="0" fontId="19" fillId="15" borderId="52" xfId="0" applyFont="1" applyFill="1" applyBorder="1" applyAlignment="1">
      <alignment horizontal="center"/>
    </xf>
    <xf numFmtId="0" fontId="19" fillId="15" borderId="53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193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433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433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433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433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i val="0"/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theme="6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solid">
          <fgColor indexed="64"/>
          <bgColor theme="6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theme="6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solid">
          <fgColor indexed="64"/>
          <bgColor theme="6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Arial Black"/>
        <family val="2"/>
        <scheme val="none"/>
      </font>
      <fill>
        <patternFill patternType="solid">
          <fgColor rgb="FF000000"/>
          <bgColor rgb="FFDDEBF7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medium">
          <color indexed="64"/>
        </bottom>
      </border>
    </dxf>
    <dxf>
      <font>
        <b val="0"/>
        <strike val="0"/>
        <outline val="0"/>
        <shadow val="0"/>
        <vertAlign val="baseline"/>
        <name val="Arial Black"/>
        <family val="2"/>
        <scheme val="none"/>
      </font>
      <numFmt numFmtId="0" formatCode="General"/>
      <fill>
        <patternFill patternType="none">
          <fgColor rgb="FF000000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 Black"/>
        <family val="2"/>
        <scheme val="none"/>
      </font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strike val="0"/>
        <outline val="0"/>
        <shadow val="0"/>
        <vertAlign val="baseline"/>
        <name val="Arial Black"/>
        <family val="2"/>
        <scheme val="none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 Black"/>
        <family val="2"/>
        <scheme val="none"/>
      </font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strike val="0"/>
        <outline val="0"/>
        <shadow val="0"/>
        <vertAlign val="baseline"/>
        <name val="Arial Black"/>
        <family val="2"/>
        <scheme val="none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 Black"/>
        <family val="2"/>
        <scheme val="none"/>
      </font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strike val="0"/>
        <outline val="0"/>
        <shadow val="0"/>
        <vertAlign val="baseline"/>
        <name val="Arial Black"/>
        <family val="2"/>
        <scheme val="none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 Black"/>
        <family val="2"/>
        <scheme val="none"/>
      </font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strike val="0"/>
        <outline val="0"/>
        <shadow val="0"/>
        <vertAlign val="baseline"/>
        <name val="Arial Black"/>
        <family val="2"/>
        <scheme val="none"/>
      </font>
      <numFmt numFmtId="164" formatCode="[&lt;=9999999]###\-####;\(###\)\ ###\-####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 Black"/>
        <family val="2"/>
        <scheme val="none"/>
      </font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strike val="0"/>
        <outline val="0"/>
        <shadow val="0"/>
        <vertAlign val="baseline"/>
        <name val="Arial Black"/>
        <family val="2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 Black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strike val="0"/>
        <outline val="0"/>
        <shadow val="0"/>
        <vertAlign val="baseline"/>
        <sz val="14"/>
        <name val="Arial Black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 Black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theme="8" tint="0.79998168889431442"/>
        </patternFill>
      </fill>
      <border diagonalUp="0" diagonalDown="0" outline="0">
        <left/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Black"/>
        <family val="2"/>
        <scheme val="none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 Black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theme="8" tint="0.79998168889431442"/>
        </patternFill>
      </fill>
      <border diagonalUp="0" diagonalDown="0" outline="0">
        <left/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Black"/>
        <family val="2"/>
        <scheme val="none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 Black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theme="8" tint="0.79998168889431442"/>
        </patternFill>
      </fill>
      <border diagonalUp="0" diagonalDown="0" outline="0">
        <left/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strike val="0"/>
        <outline val="0"/>
        <shadow val="0"/>
        <vertAlign val="baseline"/>
        <name val="Arial Black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 Black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Black"/>
        <family val="2"/>
        <scheme val="none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 Black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strike val="0"/>
        <outline val="0"/>
        <shadow val="0"/>
        <vertAlign val="baseline"/>
        <name val="Arial Black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medium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 Black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theme="8" tint="0.79998168889431442"/>
        </patternFill>
      </fill>
      <border diagonalUp="0" diagonalDown="0" outline="0">
        <left style="medium">
          <color indexed="64"/>
        </left>
        <right style="thin">
          <color indexed="64"/>
        </right>
        <top/>
        <bottom style="medium">
          <color indexed="64"/>
        </bottom>
      </border>
    </dxf>
    <dxf>
      <font>
        <b val="0"/>
        <strike val="0"/>
        <outline val="0"/>
        <shadow val="0"/>
        <vertAlign val="baseline"/>
        <name val="Arial Black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 Black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medium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Black"/>
        <family val="2"/>
        <scheme val="none"/>
      </font>
      <numFmt numFmtId="34" formatCode="_(&quot;$&quot;* #,##0.00_);_(&quot;$&quot;* \(#,##0.00\);_(&quot;$&quot;* &quot;-&quot;??_);_(@_)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 Black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strike val="0"/>
        <outline val="0"/>
        <shadow val="0"/>
        <vertAlign val="baseline"/>
        <name val="Arial Black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 Black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strike val="0"/>
        <outline val="0"/>
        <shadow val="0"/>
        <vertAlign val="baseline"/>
        <name val="Arial Black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 Black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strike val="0"/>
        <outline val="0"/>
        <shadow val="0"/>
        <vertAlign val="baseline"/>
        <name val="Arial Black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 Black"/>
        <family val="2"/>
        <scheme val="none"/>
      </font>
      <fill>
        <patternFill patternType="solid">
          <fgColor indexed="64"/>
          <bgColor theme="8" tint="0.79998168889431442"/>
        </patternFill>
      </fill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strike val="0"/>
        <outline val="0"/>
        <shadow val="0"/>
        <vertAlign val="baseline"/>
        <name val="Arial Black"/>
        <family val="2"/>
        <scheme val="none"/>
      </font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 Black"/>
        <family val="2"/>
        <scheme val="none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strike val="0"/>
        <outline val="0"/>
        <shadow val="0"/>
        <vertAlign val="baseline"/>
        <sz val="10"/>
        <color rgb="FF222222"/>
        <name val="Verdana"/>
        <family val="2"/>
        <scheme val="none"/>
      </font>
      <fill>
        <patternFill patternType="none">
          <fgColor indexed="64"/>
          <bgColor auto="1"/>
        </patternFill>
      </fill>
      <border diagonalUp="0" diagonalDown="0">
        <right style="medium">
          <color indexed="64"/>
        </right>
        <top/>
        <bottom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 Black"/>
        <family val="2"/>
        <scheme val="none"/>
      </font>
      <fill>
        <patternFill patternType="solid">
          <fgColor indexed="64"/>
          <bgColor theme="8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strike val="0"/>
        <outline val="0"/>
        <shadow val="0"/>
        <vertAlign val="baseline"/>
        <sz val="10"/>
        <color rgb="FF222222"/>
        <name val="Verdana"/>
        <family val="2"/>
        <scheme val="none"/>
      </font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top/>
        <bottom/>
        <horizontal/>
      </border>
    </dxf>
    <dxf>
      <border>
        <top style="medium">
          <color rgb="FF000000"/>
        </top>
      </border>
    </dxf>
    <dxf>
      <font>
        <strike val="0"/>
        <outline val="0"/>
        <shadow val="0"/>
        <u val="none"/>
        <vertAlign val="baseline"/>
        <sz val="16"/>
        <color rgb="FF000000"/>
        <name val="Arial Black"/>
        <family val="2"/>
        <scheme val="none"/>
      </font>
      <fill>
        <patternFill patternType="solid">
          <fgColor rgb="FF000000"/>
          <bgColor rgb="FFDDEBF7"/>
        </patternFill>
      </fill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 Black"/>
        <family val="2"/>
        <scheme val="none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Arial Black"/>
        <family val="2"/>
        <scheme val="none"/>
      </font>
      <fill>
        <patternFill patternType="solid">
          <fgColor rgb="FF000000"/>
          <bgColor rgb="FFDDEBF7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medium">
          <color indexed="64"/>
        </bottom>
      </border>
    </dxf>
    <dxf>
      <font>
        <b val="0"/>
        <strike val="0"/>
        <outline val="0"/>
        <shadow val="0"/>
        <vertAlign val="baseline"/>
        <name val="Arial Black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 Black"/>
        <family val="2"/>
        <scheme val="none"/>
      </font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medium">
          <color indexed="64"/>
        </bottom>
      </border>
    </dxf>
    <dxf>
      <font>
        <b val="0"/>
        <strike val="0"/>
        <outline val="0"/>
        <shadow val="0"/>
        <vertAlign val="baseline"/>
        <name val="Arial Black"/>
        <family val="2"/>
        <scheme val="none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 Black"/>
        <family val="2"/>
        <scheme val="none"/>
      </font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medium">
          <color indexed="64"/>
        </bottom>
      </border>
    </dxf>
    <dxf>
      <font>
        <b val="0"/>
        <strike val="0"/>
        <outline val="0"/>
        <shadow val="0"/>
        <vertAlign val="baseline"/>
        <name val="Arial Black"/>
        <family val="2"/>
        <scheme val="none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 Black"/>
        <family val="2"/>
        <scheme val="none"/>
      </font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medium">
          <color indexed="64"/>
        </bottom>
      </border>
    </dxf>
    <dxf>
      <font>
        <b val="0"/>
        <strike val="0"/>
        <outline val="0"/>
        <shadow val="0"/>
        <vertAlign val="baseline"/>
        <name val="Arial Black"/>
        <family val="2"/>
        <scheme val="none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 Black"/>
        <family val="2"/>
        <scheme val="none"/>
      </font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medium">
          <color indexed="64"/>
        </bottom>
      </border>
    </dxf>
    <dxf>
      <font>
        <b val="0"/>
        <strike val="0"/>
        <outline val="0"/>
        <shadow val="0"/>
        <vertAlign val="baseline"/>
        <name val="Arial Black"/>
        <family val="2"/>
        <scheme val="none"/>
      </font>
      <numFmt numFmtId="164" formatCode="[&lt;=9999999]###\-####;\(###\)\ ###\-####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 Black"/>
        <family val="2"/>
        <scheme val="none"/>
      </font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medium">
          <color indexed="64"/>
        </bottom>
      </border>
    </dxf>
    <dxf>
      <font>
        <b val="0"/>
        <strike val="0"/>
        <outline val="0"/>
        <shadow val="0"/>
        <vertAlign val="baseline"/>
        <name val="Arial Black"/>
        <family val="2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 Black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medium">
          <color indexed="64"/>
        </right>
        <top/>
        <bottom style="medium">
          <color indexed="64"/>
        </bottom>
      </border>
    </dxf>
    <dxf>
      <font>
        <b val="0"/>
        <strike val="0"/>
        <outline val="0"/>
        <shadow val="0"/>
        <vertAlign val="baseline"/>
        <sz val="14"/>
        <name val="Arial Black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 Black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theme="8" tint="0.79998168889431442"/>
        </patternFill>
      </fill>
      <border diagonalUp="0" diagonalDown="0" outline="0">
        <left/>
        <right style="thin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Black"/>
        <family val="2"/>
        <scheme val="none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 Black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theme="8" tint="0.79998168889431442"/>
        </patternFill>
      </fill>
      <border diagonalUp="0" diagonalDown="0" outline="0">
        <left/>
        <right style="thin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Black"/>
        <family val="2"/>
        <scheme val="none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 Black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theme="8" tint="0.79998168889431442"/>
        </patternFill>
      </fill>
      <border diagonalUp="0" diagonalDown="0" outline="0">
        <left/>
        <right style="thin">
          <color indexed="64"/>
        </right>
        <top/>
        <bottom style="medium">
          <color indexed="64"/>
        </bottom>
      </border>
    </dxf>
    <dxf>
      <font>
        <b val="0"/>
        <strike val="0"/>
        <outline val="0"/>
        <shadow val="0"/>
        <vertAlign val="baseline"/>
        <name val="Arial Black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 Black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medium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Black"/>
        <family val="2"/>
        <scheme val="none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 Black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medium">
          <color indexed="64"/>
        </right>
        <top/>
        <bottom style="medium">
          <color indexed="64"/>
        </bottom>
      </border>
    </dxf>
    <dxf>
      <font>
        <b val="0"/>
        <strike val="0"/>
        <outline val="0"/>
        <shadow val="0"/>
        <vertAlign val="baseline"/>
        <name val="Arial Black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medium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 Black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theme="8" tint="0.79998168889431442"/>
        </patternFill>
      </fill>
      <border diagonalUp="0" diagonalDown="0" outline="0">
        <left/>
        <right style="thin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Black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 Black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theme="8" tint="0.79998168889431442"/>
        </patternFill>
      </fill>
      <border diagonalUp="0" diagonalDown="0" outline="0">
        <left/>
        <right style="thin">
          <color indexed="64"/>
        </right>
        <top/>
        <bottom style="medium">
          <color indexed="64"/>
        </bottom>
      </border>
    </dxf>
    <dxf>
      <font>
        <b val="0"/>
        <strike val="0"/>
        <outline val="0"/>
        <shadow val="0"/>
        <vertAlign val="baseline"/>
        <name val="Arial Black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 Black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medium">
          <color indexed="64"/>
        </right>
        <top/>
        <bottom style="medium">
          <color indexed="64"/>
        </bottom>
      </border>
    </dxf>
    <dxf>
      <font>
        <b val="0"/>
        <strike val="0"/>
        <outline val="0"/>
        <shadow val="0"/>
        <vertAlign val="baseline"/>
        <name val="Arial Black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 Black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medium">
          <color indexed="64"/>
        </bottom>
      </border>
    </dxf>
    <dxf>
      <font>
        <b val="0"/>
        <strike val="0"/>
        <outline val="0"/>
        <shadow val="0"/>
        <vertAlign val="baseline"/>
        <name val="Arial Black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 Black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medium">
          <color indexed="64"/>
        </bottom>
      </border>
    </dxf>
    <dxf>
      <font>
        <b val="0"/>
        <strike val="0"/>
        <outline val="0"/>
        <shadow val="0"/>
        <vertAlign val="baseline"/>
        <name val="Arial Black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 Black"/>
        <family val="2"/>
        <scheme val="none"/>
      </font>
      <fill>
        <patternFill patternType="solid">
          <fgColor indexed="64"/>
          <bgColor theme="8" tint="0.79998168889431442"/>
        </patternFill>
      </fill>
      <border diagonalUp="0" diagonalDown="0" outline="0">
        <left style="medium">
          <color indexed="64"/>
        </left>
        <right style="thin">
          <color indexed="64"/>
        </right>
        <top/>
        <bottom style="medium">
          <color indexed="64"/>
        </bottom>
      </border>
    </dxf>
    <dxf>
      <font>
        <b val="0"/>
        <strike val="0"/>
        <outline val="0"/>
        <shadow val="0"/>
        <vertAlign val="baseline"/>
        <name val="Arial Black"/>
        <family val="2"/>
        <scheme val="none"/>
      </font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 Black"/>
        <family val="2"/>
        <scheme val="none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/>
        <bottom style="medium">
          <color indexed="64"/>
        </bottom>
      </border>
    </dxf>
    <dxf>
      <font>
        <b val="0"/>
        <strike val="0"/>
        <outline val="0"/>
        <shadow val="0"/>
        <vertAlign val="baseline"/>
        <sz val="10"/>
        <color rgb="FF222222"/>
        <name val="Verdana"/>
        <family val="2"/>
        <scheme val="none"/>
      </font>
      <fill>
        <patternFill patternType="none">
          <fgColor indexed="64"/>
          <bgColor auto="1"/>
        </patternFill>
      </fill>
      <border diagonalUp="0" diagonalDown="0">
        <right style="medium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 Black"/>
        <family val="2"/>
        <scheme val="none"/>
      </font>
      <fill>
        <patternFill patternType="solid">
          <fgColor indexed="64"/>
          <bgColor theme="8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 style="medium">
          <color indexed="64"/>
        </bottom>
      </border>
    </dxf>
    <dxf>
      <font>
        <b val="0"/>
        <strike val="0"/>
        <outline val="0"/>
        <shadow val="0"/>
        <vertAlign val="baseline"/>
        <sz val="10"/>
        <color rgb="FF222222"/>
        <name val="Verdana"/>
        <family val="2"/>
        <scheme val="none"/>
      </font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</border>
    </dxf>
    <dxf>
      <border>
        <top style="medium">
          <color rgb="FF000000"/>
        </top>
      </border>
    </dxf>
    <dxf>
      <font>
        <strike val="0"/>
        <outline val="0"/>
        <shadow val="0"/>
        <u val="none"/>
        <vertAlign val="baseline"/>
        <sz val="16"/>
        <color rgb="FF000000"/>
        <name val="Arial Black"/>
        <family val="2"/>
        <scheme val="none"/>
      </font>
      <fill>
        <patternFill patternType="solid">
          <fgColor rgb="FF000000"/>
          <bgColor rgb="FFDDEBF7"/>
        </patternFill>
      </fill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 Black"/>
        <family val="2"/>
        <scheme val="none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 Black"/>
        <family val="2"/>
        <scheme val="none"/>
      </font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medium">
          <color indexed="64"/>
        </bottom>
      </border>
    </dxf>
    <dxf>
      <font>
        <b val="0"/>
        <strike val="0"/>
        <outline val="0"/>
        <shadow val="0"/>
        <vertAlign val="baseline"/>
        <name val="Arial Black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border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 Black"/>
        <family val="2"/>
        <scheme val="none"/>
      </font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strike val="0"/>
        <outline val="0"/>
        <shadow val="0"/>
        <vertAlign val="baseline"/>
        <name val="Arial Black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 Black"/>
        <family val="2"/>
        <scheme val="none"/>
      </font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strike val="0"/>
        <outline val="0"/>
        <shadow val="0"/>
        <vertAlign val="baseline"/>
        <name val="Arial Black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 Black"/>
        <family val="2"/>
        <scheme val="none"/>
      </font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strike val="0"/>
        <outline val="0"/>
        <shadow val="0"/>
        <vertAlign val="baseline"/>
        <name val="Arial Black"/>
        <family val="2"/>
        <scheme val="none"/>
      </font>
      <fill>
        <patternFill patternType="none">
          <fgColor indexed="64"/>
          <bgColor auto="1"/>
        </patternFill>
      </fill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 Black"/>
        <family val="2"/>
        <scheme val="none"/>
      </font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strike val="0"/>
        <outline val="0"/>
        <shadow val="0"/>
        <vertAlign val="baseline"/>
        <name val="Arial Black"/>
        <family val="2"/>
        <scheme val="none"/>
      </font>
      <fill>
        <patternFill patternType="none">
          <fgColor indexed="64"/>
          <bgColor auto="1"/>
        </patternFill>
      </fill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 Black"/>
        <family val="2"/>
        <scheme val="none"/>
      </font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strike val="0"/>
        <outline val="0"/>
        <shadow val="0"/>
        <vertAlign val="baseline"/>
        <name val="Arial Black"/>
        <family val="2"/>
        <scheme val="none"/>
      </font>
      <fill>
        <patternFill patternType="none">
          <fgColor indexed="64"/>
          <bgColor auto="1"/>
        </patternFill>
      </fill>
      <border outline="0"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 Black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strike val="0"/>
        <outline val="0"/>
        <shadow val="0"/>
        <vertAlign val="baseline"/>
        <name val="Arial Black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 Black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theme="8" tint="0.79998168889431442"/>
        </patternFill>
      </fill>
      <border diagonalUp="0" diagonalDown="0" outline="0">
        <left/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strike val="0"/>
        <outline val="0"/>
        <shadow val="0"/>
        <vertAlign val="baseline"/>
        <name val="Arial Black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 Black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strike val="0"/>
        <outline val="0"/>
        <shadow val="0"/>
        <vertAlign val="baseline"/>
        <name val="Arial Black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medium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 Black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theme="8" tint="0.79998168889431442"/>
        </patternFill>
      </fill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strike val="0"/>
        <outline val="0"/>
        <shadow val="0"/>
        <vertAlign val="baseline"/>
        <name val="Arial Black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medium">
          <color indexed="64"/>
        </left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 Black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strike val="0"/>
        <outline val="0"/>
        <shadow val="0"/>
        <vertAlign val="baseline"/>
        <name val="Arial Black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medium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 Black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strike val="0"/>
        <outline val="0"/>
        <shadow val="0"/>
        <vertAlign val="baseline"/>
        <name val="Arial Black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 Black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strike val="0"/>
        <outline val="0"/>
        <shadow val="0"/>
        <vertAlign val="baseline"/>
        <name val="Arial Black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 Black"/>
        <family val="2"/>
        <scheme val="none"/>
      </font>
      <fill>
        <patternFill patternType="solid">
          <fgColor indexed="64"/>
          <bgColor theme="8" tint="0.79998168889431442"/>
        </patternFill>
      </fill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strike val="0"/>
        <outline val="0"/>
        <shadow val="0"/>
        <vertAlign val="baseline"/>
        <name val="Arial Black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medium">
          <color indexed="64"/>
        </left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 Black"/>
        <family val="2"/>
        <scheme val="none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strike val="0"/>
        <outline val="0"/>
        <shadow val="0"/>
        <vertAlign val="baseline"/>
        <name val="Arial Black"/>
        <family val="2"/>
        <scheme val="none"/>
      </font>
      <fill>
        <patternFill patternType="none">
          <fgColor indexed="64"/>
          <bgColor auto="1"/>
        </patternFill>
      </fill>
      <border outline="0">
        <right style="medium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 Black"/>
        <family val="2"/>
        <scheme val="none"/>
      </font>
      <fill>
        <patternFill patternType="solid">
          <fgColor indexed="64"/>
          <bgColor theme="8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strike val="0"/>
        <outline val="0"/>
        <shadow val="0"/>
        <vertAlign val="baseline"/>
        <name val="Arial Black"/>
        <family val="2"/>
        <scheme val="none"/>
      </font>
      <fill>
        <patternFill patternType="none">
          <fgColor indexed="64"/>
          <bgColor auto="1"/>
        </patternFill>
      </fill>
    </dxf>
    <dxf>
      <border>
        <top style="medium">
          <color indexed="64"/>
        </top>
      </border>
    </dxf>
    <dxf>
      <font>
        <strike val="0"/>
        <outline val="0"/>
        <shadow val="0"/>
        <u val="none"/>
        <vertAlign val="baseline"/>
        <sz val="16"/>
        <color theme="1"/>
        <name val="Arial Black"/>
        <family val="2"/>
        <scheme val="none"/>
      </font>
      <fill>
        <patternFill patternType="solid">
          <fgColor indexed="64"/>
          <bgColor theme="8" tint="0.79998168889431442"/>
        </patternFill>
      </fill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font>
        <b val="0"/>
        <strike val="0"/>
        <outline val="0"/>
        <shadow val="0"/>
        <vertAlign val="baseline"/>
        <name val="Arial Black"/>
        <family val="2"/>
        <scheme val="none"/>
      </font>
      <fill>
        <patternFill patternType="none">
          <fgColor indexed="64"/>
          <bgColor auto="1"/>
        </patternFill>
      </fill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 Black"/>
        <family val="2"/>
        <scheme val="none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4330"/>
      <color rgb="FFFFC9C9"/>
      <color rgb="FFFF7C80"/>
      <color rgb="FFF0DC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0</xdr:row>
      <xdr:rowOff>190500</xdr:rowOff>
    </xdr:from>
    <xdr:to>
      <xdr:col>5</xdr:col>
      <xdr:colOff>60960</xdr:colOff>
      <xdr:row>2</xdr:row>
      <xdr:rowOff>0</xdr:rowOff>
    </xdr:to>
    <xdr:sp macro="" textlink="">
      <xdr:nvSpPr>
        <xdr:cNvPr id="5121" name="Button 1" hidden="1">
          <a:extLst>
            <a:ext uri="{63B3BB69-23CF-44E3-9099-C40C66FF867C}">
              <a14:compatExt xmlns:a14="http://schemas.microsoft.com/office/drawing/2010/main" spid="_x0000_s5121"/>
            </a:ext>
            <a:ext uri="{FF2B5EF4-FFF2-40B4-BE49-F238E27FC236}">
              <a16:creationId xmlns:a16="http://schemas.microsoft.com/office/drawing/2014/main" id="{00000000-0008-0000-0200-0000011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Clear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0</xdr:row>
      <xdr:rowOff>190500</xdr:rowOff>
    </xdr:from>
    <xdr:to>
      <xdr:col>5</xdr:col>
      <xdr:colOff>60960</xdr:colOff>
      <xdr:row>2</xdr:row>
      <xdr:rowOff>0</xdr:rowOff>
    </xdr:to>
    <xdr:sp macro="" textlink="">
      <xdr:nvSpPr>
        <xdr:cNvPr id="51201" name="Button 1" hidden="1">
          <a:extLst>
            <a:ext uri="{63B3BB69-23CF-44E3-9099-C40C66FF867C}">
              <a14:compatExt xmlns:a14="http://schemas.microsoft.com/office/drawing/2010/main" spid="_x0000_s51201"/>
            </a:ext>
            <a:ext uri="{FF2B5EF4-FFF2-40B4-BE49-F238E27FC236}">
              <a16:creationId xmlns:a16="http://schemas.microsoft.com/office/drawing/2014/main" id="{00000000-0008-0000-0300-000001C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Clear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0</xdr:row>
      <xdr:rowOff>190500</xdr:rowOff>
    </xdr:from>
    <xdr:to>
      <xdr:col>5</xdr:col>
      <xdr:colOff>60960</xdr:colOff>
      <xdr:row>2</xdr:row>
      <xdr:rowOff>0</xdr:rowOff>
    </xdr:to>
    <xdr:sp macro="" textlink="">
      <xdr:nvSpPr>
        <xdr:cNvPr id="52225" name="Button 1" hidden="1">
          <a:extLst>
            <a:ext uri="{63B3BB69-23CF-44E3-9099-C40C66FF867C}">
              <a14:compatExt xmlns:a14="http://schemas.microsoft.com/office/drawing/2010/main" spid="_x0000_s52225"/>
            </a:ext>
            <a:ext uri="{FF2B5EF4-FFF2-40B4-BE49-F238E27FC236}">
              <a16:creationId xmlns:a16="http://schemas.microsoft.com/office/drawing/2014/main" id="{00000000-0008-0000-0400-000001C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Calibri"/>
              <a:cs typeface="Calibri"/>
            </a:rPr>
            <a:t>Clear</a:t>
          </a:r>
        </a:p>
      </xdr:txBody>
    </xdr:sp>
    <xdr:clientData fPrintsWithSheet="0"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707961-BB6A-A64F-B2C5-CA6ACAA33079}" name="Table" displayName="Table" ref="G2:V139" totalsRowCount="1" headerRowDxfId="192" dataDxfId="190" totalsRowDxfId="188" headerRowBorderDxfId="191" tableBorderDxfId="189" totalsRowBorderDxfId="187">
  <autoFilter ref="G2:V138" xr:uid="{73E31224-3620-D840-A047-3EF6D53DBC31}"/>
  <sortState xmlns:xlrd2="http://schemas.microsoft.com/office/spreadsheetml/2017/richdata2" ref="G3:V138">
    <sortCondition descending="1" ref="P2:P138"/>
  </sortState>
  <tableColumns count="16">
    <tableColumn id="1" xr3:uid="{AA5FA24E-1C84-A941-85A2-FC8AC614B3E7}" name="Last Name" totalsRowLabel="Total Brothers:" dataDxfId="186" totalsRowDxfId="185"/>
    <tableColumn id="2" xr3:uid="{B0BE66E7-7D9E-3E48-8813-47FFF6D2412B}" name="First Name" totalsRowFunction="count" dataDxfId="184" totalsRowDxfId="183"/>
    <tableColumn id="3" xr3:uid="{9C789591-E69B-0446-819E-DE0988AF4947}" name="Type" dataDxfId="182" totalsRowDxfId="181"/>
    <tableColumn id="4" xr3:uid="{199FF573-7ACF-5848-A541-DF36C1549AA0}" name="Amount Due" totalsRowFunction="sum" dataDxfId="180" totalsRowDxfId="179">
      <calculatedColumnFormula>IF(I3="Brother",$C$6*Table[[#This Row],[Seniority Dues]],IF(I3="EC",$C$7,IF(I3="Alumni",$C$8,IF(I3="Dropped",$C$11,IF(I3="President",$C$10,IF(I3="Inactive",$C$9,IF(Table[[#This Row],[Type]]="New Member",$C$13,0)))))))</calculatedColumnFormula>
    </tableColumn>
    <tableColumn id="5" xr3:uid="{A02411D7-026D-2A4B-A73D-1C89384A2A82}" name="Fines" dataDxfId="178" totalsRowDxfId="177"/>
    <tableColumn id="6" xr3:uid="{404DCFF3-2C66-F74E-A79A-82E7C9D0C5FF}" name="Roll Over " dataDxfId="176" totalsRowDxfId="175"/>
    <tableColumn id="7" xr3:uid="{1617D4C7-BF96-CC44-8E18-B90848A33D80}" name="Payment" dataDxfId="174" totalsRowDxfId="173" dataCellStyle="Currency"/>
    <tableColumn id="19" xr3:uid="{F9690C76-5975-B245-9FB1-2E0D8E7CF503}" name="Method" dataDxfId="172" totalsRowDxfId="171"/>
    <tableColumn id="18" xr3:uid="{56F11548-84FA-D640-8106-66FEB938A0DA}" name="Total Paid" totalsRowFunction="sum" dataDxfId="170" totalsRowDxfId="169">
      <calculatedColumnFormula>Table[[#This Row],[Payment]]</calculatedColumnFormula>
    </tableColumn>
    <tableColumn id="10" xr3:uid="{2F05A103-AF97-7646-B2E8-3EA03FA071DA}" name="Remaining Balance" totalsRowFunction="sum" dataDxfId="168" totalsRowDxfId="167">
      <calculatedColumnFormula>J3+L3-M3+K3</calculatedColumnFormula>
    </tableColumn>
    <tableColumn id="12" xr3:uid="{FA73FB89-7DD8-E147-9E7C-8C6AE74B9981}" name="Email" dataDxfId="166" totalsRowDxfId="165"/>
    <tableColumn id="14" xr3:uid="{19E4ADF4-503B-2141-97C4-D179D14B520A}" name="Phone Number" dataDxfId="164" totalsRowDxfId="163"/>
    <tableColumn id="15" xr3:uid="{F9F44BEB-DBB7-7647-9EEF-9D91BC09EEE2}" name="Major" dataDxfId="162" totalsRowDxfId="161"/>
    <tableColumn id="21" xr3:uid="{827AC958-8124-4C4F-84E5-2DC38C74D61C}" name="Year" dataDxfId="160" totalsRowDxfId="159"/>
    <tableColumn id="17" xr3:uid="{8FA0A16D-CC3B-8442-ACDD-159A027C47F8}" name="Pledge Class" dataDxfId="158" totalsRowDxfId="157"/>
    <tableColumn id="8" xr3:uid="{00B65CB6-3FB7-DA49-BFCE-8577FF0E5164}" name="Seniority Dues" dataDxfId="156" totalsRowDxfId="155">
      <calculatedColumnFormula>IF(Table[[#This Row],[Year]]=1, 1.2, IF(Table[[#This Row],[Year]]=2, 1.1, IF(Table[[#This Row],[Year]]=3, 1, IF(Table[[#This Row],[Year]]=4, 0.8, IF(Table[[#This Row],[Year]]=5, 0.7, 0)))))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7698FC-B28C-4D73-9EA7-13D100D3BEE2}" name="Table4" displayName="Table4" ref="G2:Z160" totalsRowCount="1" headerRowDxfId="154" totalsRowDxfId="151" headerRowBorderDxfId="153" tableBorderDxfId="152" totalsRowBorderDxfId="150">
  <autoFilter ref="G2:Z159" xr:uid="{73E31224-3620-D840-A047-3EF6D53DBC31}"/>
  <sortState xmlns:xlrd2="http://schemas.microsoft.com/office/spreadsheetml/2017/richdata2" ref="G3:Z137">
    <sortCondition ref="G2:G137"/>
  </sortState>
  <tableColumns count="20">
    <tableColumn id="1" xr3:uid="{335838E3-7B80-4C59-833F-0911FEE1AFC4}" name="Last Name" totalsRowLabel="Total Brothers:" dataDxfId="149" totalsRowDxfId="148"/>
    <tableColumn id="2" xr3:uid="{CD2E6E06-885B-4ADF-9BAC-837EA3EF2FB6}" name="First Name" totalsRowFunction="count" dataDxfId="147" totalsRowDxfId="146"/>
    <tableColumn id="3" xr3:uid="{2172D2F0-62CE-4594-919A-EC5E25CD1575}" name="Type" dataDxfId="145" totalsRowDxfId="144"/>
    <tableColumn id="4" xr3:uid="{D1094514-ECB9-4401-9567-D20C1607274D}" name="Amount Due" totalsRowFunction="sum" dataDxfId="143" totalsRowDxfId="142">
      <calculatedColumnFormula>IF(I3="Brother",$C$6*Table4[[#This Row],[Seniority Dues]],IF(I3="EC",$C$7,IF(I3="Alumni",$C$8,IF(I3="Dropped",$C$11,IF(I3="President",$C$10,IF(I3="Inactive",$C$9,IF(Table4[[#This Row],[Type]]="New Member",$C$13,0)))))))</calculatedColumnFormula>
    </tableColumn>
    <tableColumn id="5" xr3:uid="{82987774-60C3-4F58-9F89-6BDFCE8CBF20}" name="Fines" dataDxfId="141" totalsRowDxfId="140"/>
    <tableColumn id="6" xr3:uid="{4639A733-1CC4-45ED-8B99-2B8834720950}" name="Roll Over " totalsRowFunction="sum" dataDxfId="139" totalsRowDxfId="138">
      <calculatedColumnFormula>VLOOKUP(F3,Fall!F$3:P$138,11)</calculatedColumnFormula>
    </tableColumn>
    <tableColumn id="7" xr3:uid="{FEB9C274-D77F-45E3-ACF5-07AFB444597C}" name="Payment 1" totalsRowFunction="custom" dataDxfId="137" totalsRowDxfId="136" dataCellStyle="Currency">
      <totalsRowFormula>SUM(Table4[Payment 1])</totalsRowFormula>
    </tableColumn>
    <tableColumn id="9" xr3:uid="{52C00DF3-CF7E-B747-854F-FF20E386F19E}" name="Payment 2" dataDxfId="135" totalsRowDxfId="134" dataCellStyle="Currency"/>
    <tableColumn id="19" xr3:uid="{8AD000BF-A7B3-437E-8C6B-0B2879D8CC06}" name="Method" dataDxfId="133" totalsRowDxfId="132"/>
    <tableColumn id="13" xr3:uid="{D719FE24-57B7-0644-BFFB-49818C9EC820}" name="Notes" dataDxfId="131" totalsRowDxfId="130"/>
    <tableColumn id="18" xr3:uid="{53B5C482-8C4B-4D55-836C-A99608571B62}" name="Total Paid" totalsRowFunction="sum" dataDxfId="129" totalsRowDxfId="128">
      <calculatedColumnFormula>SUM(Table4[[#This Row],[Payment 1]:[Payment 2]])</calculatedColumnFormula>
    </tableColumn>
    <tableColumn id="20" xr3:uid="{94DA482A-63D0-AB47-87B8-A6EACC3C66EC}" name="Total Roll Over" dataDxfId="127" totalsRowDxfId="126"/>
    <tableColumn id="16" xr3:uid="{BE4C0615-BE79-6648-A5F4-C2C68C6722F9}" name="Future Roll Over" dataDxfId="125" totalsRowDxfId="124">
      <calculatedColumnFormula>IF((J3+L3-M3+K3-N3)&lt;0,J3+L3-M3+K3-N3,0)</calculatedColumnFormula>
    </tableColumn>
    <tableColumn id="10" xr3:uid="{B0BD478F-720B-48BC-AFBB-AADB90E29CD1}" name="Remaining Balance" totalsRowFunction="sum" dataDxfId="123" totalsRowDxfId="122">
      <calculatedColumnFormula>IF((J3+L3-M3+K3-N3)&gt;0, J3+L3-M3+K3-N3, 0)</calculatedColumnFormula>
    </tableColumn>
    <tableColumn id="12" xr3:uid="{1356FC76-A05D-4B97-958A-C2A1F9B800CA}" name="Email" dataDxfId="121" totalsRowDxfId="120"/>
    <tableColumn id="14" xr3:uid="{BF1BC851-4E1C-457E-8DD3-E3F02AC9BA81}" name="Phone Number" dataDxfId="119" totalsRowDxfId="118"/>
    <tableColumn id="15" xr3:uid="{7CC70ACF-71C5-4276-8BAE-7CB9B945EEF0}" name="Major" dataDxfId="117" totalsRowDxfId="116"/>
    <tableColumn id="21" xr3:uid="{1EDE8492-100E-4814-B43E-8371CCDDE1D9}" name="Year" dataDxfId="115" totalsRowDxfId="114"/>
    <tableColumn id="17" xr3:uid="{1F726EFB-0AFB-436A-A2C7-9436CE92ECE0}" name="Pledge Class" dataDxfId="113" totalsRowDxfId="112"/>
    <tableColumn id="8" xr3:uid="{22E4C68D-8572-F447-9368-11A667D9127C}" name="Seniority Dues" dataDxfId="111" totalsRowDxfId="110">
      <calculatedColumnFormula>IF(Table4[[#This Row],[Year]]=1, 1.3, IF(Table4[[#This Row],[Year]]=2, 1.2, IF(Table4[[#This Row],[Year]]=3, 1, IF(Table4[[#This Row],[Year]]=4, 0.729166667, IF(Table4[[#This Row],[Year]]=5, 0.6, 0)))))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CE18721-CA0D-4E3E-AA0C-63D28223BAC2}" name="Table46" displayName="Table46" ref="G2:Z145" totalsRowCount="1" headerRowDxfId="109" totalsRowDxfId="106" headerRowBorderDxfId="108" tableBorderDxfId="107" totalsRowBorderDxfId="105">
  <autoFilter ref="G2:Z144" xr:uid="{73E31224-3620-D840-A047-3EF6D53DBC31}"/>
  <sortState xmlns:xlrd2="http://schemas.microsoft.com/office/spreadsheetml/2017/richdata2" ref="G3:Z144">
    <sortCondition ref="G2:G144"/>
  </sortState>
  <tableColumns count="20">
    <tableColumn id="1" xr3:uid="{B2D35442-114D-4680-B916-4DA18EFB5F64}" name="Last Name" totalsRowLabel="Total Brothers:" dataDxfId="104" totalsRowDxfId="103"/>
    <tableColumn id="2" xr3:uid="{82EB07A2-2E3F-4BE0-9CE2-4D300A0F4F60}" name="First Name" totalsRowFunction="count" dataDxfId="102" totalsRowDxfId="101"/>
    <tableColumn id="3" xr3:uid="{00728DC2-ED49-457F-A1D3-BC790AF71AA5}" name="Type" dataDxfId="100" totalsRowDxfId="99"/>
    <tableColumn id="4" xr3:uid="{2C074F9D-65F0-4D7B-8A16-080AB14979B3}" name="Amount Due" totalsRowFunction="sum" dataDxfId="98" totalsRowDxfId="97">
      <calculatedColumnFormula>IF(I3="Brother",$C$6*Table46[[#This Row],[Seniority Dues]],IF(I3="EC",$C$7,IF(I3="Alumni",$C$8,IF(I3="Dropped",$C$11,IF(I3="President",$C$10,IF(I3="Inactive",$C$9,IF(Table46[[#This Row],[Type]]="New Member",$C$13,0)))))))</calculatedColumnFormula>
    </tableColumn>
    <tableColumn id="5" xr3:uid="{07430E7E-DACA-4B32-B1D7-2122445AA751}" name="Fines" totalsRowFunction="custom" dataDxfId="96" totalsRowDxfId="95">
      <totalsRowFormula>SUM(Table46[Fines])</totalsRowFormula>
    </tableColumn>
    <tableColumn id="6" xr3:uid="{D6EABAE5-CAFD-47DE-A4E2-CC58D594882F}" name="Roll Over " totalsRowFunction="custom" dataDxfId="94" totalsRowDxfId="93">
      <calculatedColumnFormula>VLOOKUP(F3,Winter!$F$3:$T$159, 13,)</calculatedColumnFormula>
      <totalsRowFormula>SUM(Table46[[Roll Over ]])</totalsRowFormula>
    </tableColumn>
    <tableColumn id="9" xr3:uid="{AC39C10A-EADD-D74D-A733-16693D507BA7}" name="Payment 1" dataDxfId="92" totalsRowDxfId="91"/>
    <tableColumn id="7" xr3:uid="{B4CC1D43-B461-4CFD-AF53-1825AAD702CC}" name="Payment 2" dataDxfId="90" totalsRowDxfId="89" dataCellStyle="Currency"/>
    <tableColumn id="19" xr3:uid="{37639170-D0D7-4650-A3EE-40EA9641FB19}" name="Method" dataDxfId="88" totalsRowDxfId="87"/>
    <tableColumn id="11" xr3:uid="{75C4C238-BF2F-8645-88E3-4CC07ADF767D}" name="Notes" dataDxfId="86" totalsRowDxfId="85"/>
    <tableColumn id="18" xr3:uid="{4ED0B29C-A1ED-41F6-A03F-56D7F9392C8E}" name="Total Paid" totalsRowFunction="sum" dataDxfId="84" totalsRowDxfId="83">
      <calculatedColumnFormula>M3+N3</calculatedColumnFormula>
    </tableColumn>
    <tableColumn id="16" xr3:uid="{8A7A0EB2-156C-254A-8917-0CF3B45F74B8}" name="Total Roll Over" dataDxfId="82" totalsRowDxfId="81">
      <calculatedColumnFormula>J3+K3+L3-M3-N3</calculatedColumnFormula>
    </tableColumn>
    <tableColumn id="13" xr3:uid="{068FCE11-4509-5C4D-AA6A-56B7052C3AC5}" name="Future Roll Over" dataDxfId="80" totalsRowDxfId="79">
      <calculatedColumnFormula>IF((J3+L3-M3+K3-N3)&lt;0,J3+L3-M3+K3-N3,0)</calculatedColumnFormula>
    </tableColumn>
    <tableColumn id="10" xr3:uid="{4C5F0B73-1C9A-47DE-8CC4-695630D0F82A}" name="Remaining Balance" totalsRowFunction="sum" dataDxfId="78" totalsRowDxfId="77">
      <calculatedColumnFormula>IF((J3+L3-M3+K3-N3)&gt;0, J3+L3-M3+K3-N3, 0)</calculatedColumnFormula>
    </tableColumn>
    <tableColumn id="12" xr3:uid="{F6AAD750-C8B4-4CDD-899F-FE2F4727A05F}" name="Email" dataDxfId="76" totalsRowDxfId="75"/>
    <tableColumn id="14" xr3:uid="{8AD29F71-5A0A-4484-8887-52DAA92526F7}" name="Phone Number" dataDxfId="74" totalsRowDxfId="73"/>
    <tableColumn id="15" xr3:uid="{0CC80E5C-50A1-48FD-A438-64EF55483955}" name="Major" dataDxfId="72" totalsRowDxfId="71"/>
    <tableColumn id="21" xr3:uid="{98DBD841-B311-4BC1-8EB8-B80A69F6B044}" name="Year" dataDxfId="70" totalsRowDxfId="69"/>
    <tableColumn id="17" xr3:uid="{B7FB1BD5-916F-4AE6-A2B3-688DE1EEBF74}" name="Pledge Class" dataDxfId="68" totalsRowDxfId="67"/>
    <tableColumn id="8" xr3:uid="{7F523EC7-EDAE-B14A-BC47-93E09BD04B8C}" name="Seniority Dues" dataDxfId="66" totalsRowDxfId="65">
      <calculatedColumnFormula>IF(Table46[[#This Row],[Year]]=1, 1.3, IF(Table46[[#This Row],[Year]]=2, 1.2, IF(Table46[[#This Row],[Year]]=3, 1, IF(Table46[[#This Row],[Year]]=4, 0.72917, IF(Table46[[#This Row],[Year]]=5, 0.6, 0)))))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6EED82B-8FA9-7243-A373-9A21FD63F249}" name="Table64" displayName="Table64" ref="N3:Q12" totalsRowCount="1" headerRowDxfId="64" dataDxfId="63">
  <autoFilter ref="N3:Q11" xr:uid="{C6EED82B-8FA9-7243-A373-9A21FD63F249}"/>
  <tableColumns count="4">
    <tableColumn id="1" xr3:uid="{22367BE9-97D5-794A-8704-F7BC5DEBFFFD}" name="Events" totalsRowLabel="Total" dataDxfId="62" totalsRowDxfId="61"/>
    <tableColumn id="2" xr3:uid="{A440B403-E105-234E-AD3F-5A57F0C050D9}" name="Cost per Person" dataDxfId="60" totalsRowDxfId="59" dataCellStyle="Currency"/>
    <tableColumn id="5" xr3:uid="{C9C91181-4860-AB4B-8E1E-3B3DEF393780}" name="Cost per Couple" dataDxfId="58" totalsRowDxfId="57" dataCellStyle="Currency">
      <calculatedColumnFormula>Table64[[#This Row],[Cost per Person]]*2</calculatedColumnFormula>
    </tableColumn>
    <tableColumn id="4" xr3:uid="{06AF1B02-435A-1948-BE33-4A77DA07DDF4}" name="Total" totalsRowFunction="sum" dataDxfId="56" totalsRowDxfId="55" dataCellStyle="Currency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8A7B911-CBDA-5943-BEB8-2414147F9E5A}" name="Table8" displayName="Table8" ref="M17:R54" totalsRowCount="1">
  <autoFilter ref="M17:R53" xr:uid="{F8A7B911-CBDA-5943-BEB8-2414147F9E5A}"/>
  <tableColumns count="6">
    <tableColumn id="6" xr3:uid="{8482B24F-9C5C-D044-9630-85AE378FC3BF}" name="Column1"/>
    <tableColumn id="1" xr3:uid="{4504D0E7-8BDB-2B4F-BE26-F4160A2E2CDC}" name="Last Name"/>
    <tableColumn id="2" xr3:uid="{B1A0F333-3040-724B-BBC2-723A0B3E3846}" name="First Name"/>
    <tableColumn id="3" xr3:uid="{3B33B90D-F506-994D-BEFC-B9C7C40B39DE}" name="Parking" dataDxfId="54" totalsRowDxfId="53"/>
    <tableColumn id="4" xr3:uid="{18BD03DA-6BCD-504B-8699-1C00BD9CFF80}" name="Resort Fee" dataDxfId="52" totalsRowDxfId="51"/>
    <tableColumn id="5" xr3:uid="{CF9F7CDF-B2BD-3841-B873-4A176C113578}" name="Total" totalsRowFunction="custom" dataDxfId="50" totalsRowDxfId="49">
      <calculatedColumnFormula>Table8[[#This Row],[Resort Fee]]+Table8[[#This Row],[Parking]]</calculatedColumnFormula>
      <totalsRowFormula>SUM(Table8[Total])</totalsRow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4A16B4-FD1B-F843-816F-14B1715D447A}" name="Table5" displayName="Table5" ref="B10:I92" totalsRowCount="1" headerRowDxfId="48" dataDxfId="47">
  <autoFilter ref="B10:I91" xr:uid="{D30003C0-6A06-874F-A743-0F9A08DCEC12}"/>
  <tableColumns count="8">
    <tableColumn id="1" xr3:uid="{C281D5C6-C8EA-CA4D-AC1D-EB82ADE0C1AD}" name="Last Name" totalsRowLabel="Total" dataDxfId="46" totalsRowDxfId="45"/>
    <tableColumn id="2" xr3:uid="{A27E7F03-9D43-7F48-9A7B-FA064554281A}" name="First Name" totalsRowFunction="count" dataDxfId="44" totalsRowDxfId="43"/>
    <tableColumn id="3" xr3:uid="{AA226507-4A17-FD41-9284-109D1DD196F3}" name="Type" dataDxfId="42" totalsRowDxfId="41"/>
    <tableColumn id="4" xr3:uid="{6E914377-93D6-EC48-8C0F-983D8D73B0C2}" name="Amount Due" totalsRowFunction="sum" dataDxfId="40" totalsRowDxfId="39" dataCellStyle="Currency">
      <calculatedColumnFormula>IF(D11="Brother",$H$4,IF(D11="Other",$H$5,0))</calculatedColumnFormula>
    </tableColumn>
    <tableColumn id="5" xr3:uid="{F43C287C-1CC4-1041-AE1A-5949C3ABA357}" name="Payment 1" totalsRowFunction="custom" dataDxfId="38" totalsRowDxfId="37" dataCellStyle="Currency">
      <totalsRowFormula>1+SUBTOTAL(103,Table5[Payment 1])</totalsRowFormula>
    </tableColumn>
    <tableColumn id="6" xr3:uid="{356B255D-22D7-1843-B4EE-9E5E8B2316E1}" name="Payment 2" totalsRowFunction="custom" dataDxfId="36" totalsRowDxfId="35" dataCellStyle="Currency">
      <totalsRowFormula>1+SUBTOTAL(103,Table5[Payment 2])</totalsRowFormula>
    </tableColumn>
    <tableColumn id="7" xr3:uid="{D318A194-60EA-6647-AF4C-C66A342763EA}" name="Payment 3" totalsRowFunction="custom" dataDxfId="34" totalsRowDxfId="33" dataCellStyle="Currency">
      <totalsRowFormula>1+SUBTOTAL(103,Table5[Payment 3])</totalsRowFormula>
    </tableColumn>
    <tableColumn id="8" xr3:uid="{1CEA48C1-DCC6-6941-B0A9-37F4727E0FE3}" name="Remaining Balance" totalsRowFunction="sum" dataDxfId="32" totalsRowDxfId="31" dataCellStyle="Currency">
      <calculatedColumnFormula>Table5[[#This Row],[Amount Due]]-Table5[[#This Row],[Payment 1]]-Table5[[#This Row],[Payment 2]]-Table5[[#This Row],[Payment 3]]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6419A96-E10B-1D4B-BB64-4FBFA43D27F2}" name="Table6" displayName="Table6" ref="L3:O10" totalsRowCount="1" headerRowDxfId="30" dataDxfId="29">
  <autoFilter ref="L3:O9" xr:uid="{1BBE648C-2628-C541-89BB-D8EAF523A1CF}"/>
  <tableColumns count="4">
    <tableColumn id="1" xr3:uid="{A5230378-612F-D247-9A35-1386CB53B224}" name="Events" totalsRowLabel="Total" dataDxfId="28" totalsRowDxfId="27"/>
    <tableColumn id="2" xr3:uid="{14AE0FA3-296B-E44E-87AA-B5679122C5DC}" name="Cost per Person" dataDxfId="26" totalsRowDxfId="25" dataCellStyle="Currency"/>
    <tableColumn id="5" xr3:uid="{2547BEF4-D2F2-0A43-9B74-5D216573EDE0}" name="Cost per Couple" dataDxfId="24" totalsRowDxfId="23" dataCellStyle="Currency">
      <calculatedColumnFormula>Table6[[#This Row],[Cost per Person]]*2</calculatedColumnFormula>
    </tableColumn>
    <tableColumn id="4" xr3:uid="{E634591A-6315-184E-BFDE-001645298917}" name="Total" totalsRowFunction="sum" dataDxfId="22" totalsRowDxfId="21" dataCellStyle="Currency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9C346-D020-094F-A855-C6843057EAF0}">
  <sheetPr codeName="Sheet1">
    <tabColor theme="7" tint="0.79998168889431442"/>
  </sheetPr>
  <dimension ref="B3:K30"/>
  <sheetViews>
    <sheetView tabSelected="1" zoomScale="133" zoomScaleNormal="140" workbookViewId="0">
      <selection activeCell="G14" sqref="G14"/>
    </sheetView>
  </sheetViews>
  <sheetFormatPr baseColWidth="10" defaultColWidth="10.6640625" defaultRowHeight="16" x14ac:dyDescent="0.2"/>
  <cols>
    <col min="1" max="1" width="10.6640625" style="1"/>
    <col min="2" max="2" width="21.5" style="1" bestFit="1" customWidth="1"/>
    <col min="3" max="3" width="12.5" style="1" bestFit="1" customWidth="1"/>
    <col min="4" max="4" width="21.5" style="1" bestFit="1" customWidth="1"/>
    <col min="5" max="5" width="12.5" style="1" bestFit="1" customWidth="1"/>
    <col min="6" max="6" width="21.5" style="1" bestFit="1" customWidth="1"/>
    <col min="7" max="7" width="12.5" style="1" bestFit="1" customWidth="1"/>
    <col min="8" max="8" width="21.5" style="1" bestFit="1" customWidth="1"/>
    <col min="9" max="9" width="12.83203125" style="1" bestFit="1" customWidth="1"/>
    <col min="10" max="16384" width="10.6640625" style="1"/>
  </cols>
  <sheetData>
    <row r="3" spans="2:11" ht="17" thickBot="1" x14ac:dyDescent="0.25"/>
    <row r="4" spans="2:11" ht="22" thickBot="1" x14ac:dyDescent="0.3">
      <c r="B4" s="356" t="s">
        <v>0</v>
      </c>
      <c r="C4" s="357"/>
      <c r="D4" s="357"/>
      <c r="E4" s="357"/>
      <c r="F4" s="357"/>
      <c r="G4" s="357"/>
      <c r="H4" s="357"/>
      <c r="I4" s="358"/>
      <c r="K4" s="1" t="s">
        <v>1</v>
      </c>
    </row>
    <row r="5" spans="2:11" ht="20" thickBot="1" x14ac:dyDescent="0.3">
      <c r="B5" s="354" t="s">
        <v>2</v>
      </c>
      <c r="C5" s="355"/>
      <c r="D5" s="354" t="s">
        <v>3</v>
      </c>
      <c r="E5" s="355"/>
      <c r="F5" s="354" t="s">
        <v>4</v>
      </c>
      <c r="G5" s="355"/>
      <c r="H5" s="354" t="s">
        <v>5</v>
      </c>
      <c r="I5" s="355"/>
    </row>
    <row r="6" spans="2:11" x14ac:dyDescent="0.2">
      <c r="B6" s="12" t="s">
        <v>6</v>
      </c>
      <c r="C6" s="13">
        <f>Table[[#Totals],[Amount Due]]</f>
        <v>54503</v>
      </c>
      <c r="D6" s="12" t="s">
        <v>6</v>
      </c>
      <c r="E6" s="13">
        <f>Table4[[#Totals],[Amount Due]]+Table4[[#Totals],[Roll Over ]]</f>
        <v>76400.000002559987</v>
      </c>
      <c r="F6" s="12" t="s">
        <v>6</v>
      </c>
      <c r="G6" s="13">
        <f>Table46[[#Totals],[Amount Due]]+Table46[[#Totals],[Fines]]+Table46[[#Totals],[Roll Over ]]</f>
        <v>63594.266001920005</v>
      </c>
      <c r="H6" s="12" t="s">
        <v>6</v>
      </c>
      <c r="I6" s="13">
        <f t="shared" ref="I6:I11" si="0">C6+E6+G6</f>
        <v>194497.26600447998</v>
      </c>
    </row>
    <row r="7" spans="2:11" ht="17" thickBot="1" x14ac:dyDescent="0.25">
      <c r="B7" s="30" t="s">
        <v>7</v>
      </c>
      <c r="C7" s="10">
        <f>'Budget '!C35</f>
        <v>49611</v>
      </c>
      <c r="D7" s="30" t="s">
        <v>7</v>
      </c>
      <c r="E7" s="10">
        <f>'Budget '!D35</f>
        <v>61074.81</v>
      </c>
      <c r="F7" s="30" t="s">
        <v>7</v>
      </c>
      <c r="G7" s="10">
        <f>'Budget '!E35</f>
        <v>52144.3</v>
      </c>
      <c r="H7" s="30" t="s">
        <v>7</v>
      </c>
      <c r="I7" s="10">
        <f t="shared" si="0"/>
        <v>162830.10999999999</v>
      </c>
    </row>
    <row r="8" spans="2:11" x14ac:dyDescent="0.2">
      <c r="B8" s="7" t="s">
        <v>8</v>
      </c>
      <c r="C8" s="8">
        <f>Table[[#Totals],[Total Paid]]</f>
        <v>45915</v>
      </c>
      <c r="D8" s="7" t="s">
        <v>8</v>
      </c>
      <c r="E8" s="8">
        <f>Table4[[#Totals],[Total Paid]]</f>
        <v>72291.760000000009</v>
      </c>
      <c r="F8" s="7" t="s">
        <v>8</v>
      </c>
      <c r="G8" s="8">
        <f>Table46[[#Totals],[Total Paid]]</f>
        <v>55968.92</v>
      </c>
      <c r="H8" s="7" t="s">
        <v>8</v>
      </c>
      <c r="I8" s="8">
        <f t="shared" si="0"/>
        <v>174175.68</v>
      </c>
    </row>
    <row r="9" spans="2:11" x14ac:dyDescent="0.2">
      <c r="B9" s="7" t="s">
        <v>9</v>
      </c>
      <c r="C9" s="8">
        <f>'In Coming Funds'!E89</f>
        <v>0</v>
      </c>
      <c r="D9" s="7" t="s">
        <v>9</v>
      </c>
      <c r="E9" s="8">
        <f>'In Coming Funds'!I89</f>
        <v>2350</v>
      </c>
      <c r="F9" s="7" t="s">
        <v>9</v>
      </c>
      <c r="G9" s="8">
        <f>'In Coming Funds'!M89</f>
        <v>21922.36</v>
      </c>
      <c r="H9" s="7" t="s">
        <v>9</v>
      </c>
      <c r="I9" s="8">
        <f t="shared" si="0"/>
        <v>24272.36</v>
      </c>
    </row>
    <row r="10" spans="2:11" x14ac:dyDescent="0.2">
      <c r="B10" s="7" t="s">
        <v>10</v>
      </c>
      <c r="C10" s="8">
        <f>C8+C9</f>
        <v>45915</v>
      </c>
      <c r="D10" s="7" t="s">
        <v>11</v>
      </c>
      <c r="E10" s="8">
        <f>E8+E9</f>
        <v>74641.760000000009</v>
      </c>
      <c r="F10" s="7" t="s">
        <v>11</v>
      </c>
      <c r="G10" s="8">
        <f>G8+G9</f>
        <v>77891.28</v>
      </c>
      <c r="H10" s="7" t="s">
        <v>10</v>
      </c>
      <c r="I10" s="8">
        <f t="shared" si="0"/>
        <v>198448.04</v>
      </c>
    </row>
    <row r="11" spans="2:11" ht="17" thickBot="1" x14ac:dyDescent="0.25">
      <c r="B11" s="7" t="s">
        <v>12</v>
      </c>
      <c r="C11" s="8">
        <f>'Out Going Funds'!E108</f>
        <v>33568.28</v>
      </c>
      <c r="D11" s="7" t="s">
        <v>12</v>
      </c>
      <c r="E11" s="8">
        <f>'Out Going Funds'!I108</f>
        <v>54386.320000000007</v>
      </c>
      <c r="F11" s="7" t="s">
        <v>12</v>
      </c>
      <c r="G11" s="8">
        <f>'Out Going Funds'!M108</f>
        <v>67373.459999999977</v>
      </c>
      <c r="H11" s="7" t="s">
        <v>12</v>
      </c>
      <c r="I11" s="8">
        <f t="shared" si="0"/>
        <v>155328.06</v>
      </c>
    </row>
    <row r="12" spans="2:11" ht="17" thickBot="1" x14ac:dyDescent="0.25">
      <c r="B12" s="61" t="s">
        <v>13</v>
      </c>
      <c r="C12" s="62">
        <f>C10-C11</f>
        <v>12346.720000000001</v>
      </c>
      <c r="D12" s="61" t="s">
        <v>13</v>
      </c>
      <c r="E12" s="62">
        <f>E10-E11</f>
        <v>20255.440000000002</v>
      </c>
      <c r="F12" s="61" t="s">
        <v>13</v>
      </c>
      <c r="G12" s="62">
        <f>G10-G11</f>
        <v>10517.820000000022</v>
      </c>
      <c r="H12" s="61" t="s">
        <v>13</v>
      </c>
      <c r="I12" s="62">
        <f>I10-I11</f>
        <v>43119.98000000001</v>
      </c>
    </row>
    <row r="13" spans="2:11" ht="17" thickBot="1" x14ac:dyDescent="0.25">
      <c r="B13" s="12" t="s">
        <v>14</v>
      </c>
      <c r="C13" s="240">
        <v>1700</v>
      </c>
      <c r="D13" s="12" t="s">
        <v>14</v>
      </c>
      <c r="E13" s="13">
        <f>2824.01+3852</f>
        <v>6676.01</v>
      </c>
      <c r="F13" s="12" t="s">
        <v>14</v>
      </c>
      <c r="G13" s="13">
        <f>19120.53+2100+235+298.68</f>
        <v>21754.21</v>
      </c>
      <c r="H13" s="12" t="s">
        <v>14</v>
      </c>
      <c r="I13" s="13"/>
    </row>
    <row r="14" spans="2:11" ht="17" thickBot="1" x14ac:dyDescent="0.25">
      <c r="B14" s="61" t="s">
        <v>15</v>
      </c>
      <c r="C14" s="62">
        <f>C12+C13</f>
        <v>14046.720000000001</v>
      </c>
      <c r="D14" s="61" t="s">
        <v>15</v>
      </c>
      <c r="E14" s="62">
        <f>E12+E13</f>
        <v>26931.450000000004</v>
      </c>
      <c r="F14" s="61" t="s">
        <v>15</v>
      </c>
      <c r="G14" s="62">
        <f>G12+G13</f>
        <v>32272.030000000021</v>
      </c>
      <c r="H14" s="61" t="s">
        <v>15</v>
      </c>
      <c r="I14" s="171" t="s">
        <v>16</v>
      </c>
    </row>
    <row r="15" spans="2:11" x14ac:dyDescent="0.2">
      <c r="B15" s="14"/>
      <c r="D15" s="14"/>
      <c r="F15" s="14"/>
    </row>
    <row r="16" spans="2:11" x14ac:dyDescent="0.2">
      <c r="B16" s="124"/>
      <c r="C16" s="125"/>
      <c r="D16" s="124"/>
      <c r="F16" s="14"/>
    </row>
    <row r="17" spans="2:6" x14ac:dyDescent="0.2">
      <c r="B17" s="124"/>
      <c r="C17" s="126"/>
      <c r="D17" s="14"/>
      <c r="E17" s="20"/>
      <c r="F17" s="14"/>
    </row>
    <row r="18" spans="2:6" x14ac:dyDescent="0.2">
      <c r="B18" s="14"/>
      <c r="C18" s="127"/>
      <c r="D18" s="14"/>
      <c r="F18" s="14"/>
    </row>
    <row r="19" spans="2:6" x14ac:dyDescent="0.2">
      <c r="B19" s="14"/>
      <c r="C19" s="127"/>
      <c r="D19" s="14"/>
      <c r="F19" s="14"/>
    </row>
    <row r="20" spans="2:6" x14ac:dyDescent="0.2">
      <c r="B20" s="14"/>
      <c r="C20" s="127"/>
      <c r="D20" s="14"/>
      <c r="F20" s="14"/>
    </row>
    <row r="21" spans="2:6" x14ac:dyDescent="0.2">
      <c r="B21" s="14"/>
      <c r="C21" s="127"/>
      <c r="D21" s="14"/>
      <c r="F21" s="14"/>
    </row>
    <row r="22" spans="2:6" x14ac:dyDescent="0.2">
      <c r="B22" s="14"/>
      <c r="C22" s="127"/>
      <c r="D22" s="129"/>
      <c r="F22" s="14"/>
    </row>
    <row r="23" spans="2:6" x14ac:dyDescent="0.2">
      <c r="B23" s="127"/>
      <c r="C23" s="127"/>
      <c r="D23" s="130"/>
    </row>
    <row r="24" spans="2:6" x14ac:dyDescent="0.2">
      <c r="B24" s="14"/>
      <c r="C24" s="126"/>
      <c r="D24" s="130"/>
    </row>
    <row r="25" spans="2:6" x14ac:dyDescent="0.2">
      <c r="B25" s="14"/>
      <c r="C25" s="126"/>
      <c r="D25" s="130"/>
    </row>
    <row r="26" spans="2:6" x14ac:dyDescent="0.2">
      <c r="B26" s="14"/>
      <c r="C26" s="126"/>
      <c r="D26" s="124"/>
    </row>
    <row r="27" spans="2:6" x14ac:dyDescent="0.2">
      <c r="B27" s="14"/>
      <c r="C27" s="51"/>
      <c r="D27" s="14"/>
    </row>
    <row r="28" spans="2:6" x14ac:dyDescent="0.2">
      <c r="B28" s="14"/>
      <c r="C28" s="51"/>
      <c r="D28" s="14"/>
    </row>
    <row r="29" spans="2:6" x14ac:dyDescent="0.2">
      <c r="B29" s="14"/>
      <c r="C29" s="20"/>
      <c r="D29" s="14"/>
    </row>
    <row r="30" spans="2:6" x14ac:dyDescent="0.2">
      <c r="B30" s="128"/>
      <c r="D30" s="14"/>
    </row>
  </sheetData>
  <mergeCells count="5">
    <mergeCell ref="B5:C5"/>
    <mergeCell ref="D5:E5"/>
    <mergeCell ref="F5:G5"/>
    <mergeCell ref="H5:I5"/>
    <mergeCell ref="B4:I4"/>
  </mergeCells>
  <conditionalFormatting sqref="A12:XFD12 A13:B13 D13:XFD13 A14:XFD14">
    <cfRule type="cellIs" dxfId="20" priority="3" operator="lessThan">
      <formula>0</formula>
    </cfRule>
  </conditionalFormatting>
  <conditionalFormatting sqref="C13">
    <cfRule type="cellIs" dxfId="19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A416F-5BA1-4749-B58E-A7B9EA86FB35}">
  <dimension ref="B2:R73"/>
  <sheetViews>
    <sheetView topLeftCell="C21" workbookViewId="0">
      <selection activeCell="Q53" sqref="Q53"/>
    </sheetView>
  </sheetViews>
  <sheetFormatPr baseColWidth="10" defaultColWidth="11" defaultRowHeight="16" x14ac:dyDescent="0.2"/>
  <cols>
    <col min="3" max="3" width="15.33203125" customWidth="1"/>
    <col min="4" max="5" width="18.6640625" customWidth="1"/>
    <col min="6" max="7" width="11.5" bestFit="1" customWidth="1"/>
    <col min="8" max="8" width="11.5" customWidth="1"/>
    <col min="9" max="9" width="13.6640625" customWidth="1"/>
    <col min="10" max="10" width="17" customWidth="1"/>
    <col min="11" max="11" width="17.1640625" bestFit="1" customWidth="1"/>
    <col min="14" max="14" width="25.1640625" customWidth="1"/>
    <col min="15" max="16" width="18.83203125" bestFit="1" customWidth="1"/>
    <col min="17" max="17" width="12.5" bestFit="1" customWidth="1"/>
    <col min="18" max="18" width="11.5" bestFit="1" customWidth="1"/>
  </cols>
  <sheetData>
    <row r="2" spans="3:18" x14ac:dyDescent="0.2">
      <c r="C2" s="397" t="s">
        <v>661</v>
      </c>
      <c r="D2" s="398"/>
      <c r="E2" s="159">
        <f>Table64[[#Totals],[Total]]</f>
        <v>47184.5</v>
      </c>
      <c r="I2" s="397" t="s">
        <v>661</v>
      </c>
      <c r="J2" s="398"/>
      <c r="K2" s="159">
        <f>Table64[[#Totals],[Total]]</f>
        <v>47184.5</v>
      </c>
      <c r="N2" s="401" t="s">
        <v>662</v>
      </c>
      <c r="O2" s="402"/>
      <c r="P2" s="402"/>
      <c r="Q2" s="403"/>
    </row>
    <row r="3" spans="3:18" x14ac:dyDescent="0.2">
      <c r="C3" s="399" t="s">
        <v>663</v>
      </c>
      <c r="D3" s="400"/>
      <c r="E3" s="160">
        <f>E2-E4</f>
        <v>29634.5</v>
      </c>
      <c r="I3" s="399" t="s">
        <v>663</v>
      </c>
      <c r="J3" s="400"/>
      <c r="K3" s="160">
        <v>16500</v>
      </c>
      <c r="N3" s="151" t="s">
        <v>664</v>
      </c>
      <c r="O3" s="151" t="s">
        <v>665</v>
      </c>
      <c r="P3" s="151" t="s">
        <v>666</v>
      </c>
      <c r="Q3" s="151" t="s">
        <v>25</v>
      </c>
    </row>
    <row r="4" spans="3:18" x14ac:dyDescent="0.2">
      <c r="C4" s="399" t="s">
        <v>667</v>
      </c>
      <c r="D4" s="400"/>
      <c r="E4" s="161">
        <f>G72</f>
        <v>17550</v>
      </c>
      <c r="I4" s="399" t="s">
        <v>667</v>
      </c>
      <c r="J4" s="400"/>
      <c r="K4" s="161">
        <f>K6*K5</f>
        <v>23200</v>
      </c>
      <c r="N4" s="162" t="s">
        <v>822</v>
      </c>
      <c r="O4" s="163"/>
      <c r="P4" s="163">
        <f>Table64[[#This Row],[Cost per Person]]*2</f>
        <v>0</v>
      </c>
      <c r="Q4" s="164">
        <f>(285*70)+(140*35)</f>
        <v>24850</v>
      </c>
    </row>
    <row r="5" spans="3:18" x14ac:dyDescent="0.2">
      <c r="C5" s="399" t="s">
        <v>668</v>
      </c>
      <c r="D5" s="400"/>
      <c r="E5" s="166">
        <v>53</v>
      </c>
      <c r="I5" s="399" t="s">
        <v>668</v>
      </c>
      <c r="J5" s="400"/>
      <c r="K5" s="166">
        <f>COUNTA(C14:C71)</f>
        <v>58</v>
      </c>
      <c r="N5" s="162" t="s">
        <v>669</v>
      </c>
      <c r="O5" s="163"/>
      <c r="P5" s="163">
        <f>Table64[[#This Row],[Cost per Person]]*2</f>
        <v>0</v>
      </c>
      <c r="Q5" s="164">
        <v>1800</v>
      </c>
    </row>
    <row r="6" spans="3:18" x14ac:dyDescent="0.2">
      <c r="C6" s="404" t="s">
        <v>666</v>
      </c>
      <c r="D6" s="405"/>
      <c r="E6" s="167">
        <f>$E$4/($E$5)</f>
        <v>331.1320754716981</v>
      </c>
      <c r="I6" s="404" t="s">
        <v>666</v>
      </c>
      <c r="J6" s="405"/>
      <c r="K6" s="167">
        <f>400</f>
        <v>400</v>
      </c>
      <c r="N6" s="162" t="s">
        <v>670</v>
      </c>
      <c r="O6" s="163"/>
      <c r="P6" s="163">
        <f>Table64[[#This Row],[Cost per Person]]*2</f>
        <v>0</v>
      </c>
      <c r="Q6" s="164">
        <v>5050</v>
      </c>
    </row>
    <row r="7" spans="3:18" x14ac:dyDescent="0.2">
      <c r="N7" s="162" t="s">
        <v>671</v>
      </c>
      <c r="O7" s="163"/>
      <c r="P7" s="163">
        <f>Table64[[#This Row],[Cost per Person]]*2</f>
        <v>0</v>
      </c>
      <c r="Q7" s="164">
        <v>3000</v>
      </c>
      <c r="R7" s="177">
        <f>Table64[[#This Row],[Total]]</f>
        <v>3000</v>
      </c>
    </row>
    <row r="8" spans="3:18" x14ac:dyDescent="0.2">
      <c r="N8" s="162" t="s">
        <v>820</v>
      </c>
      <c r="O8" s="163"/>
      <c r="P8" s="163">
        <f>Table64[[#This Row],[Cost per Person]]*2</f>
        <v>0</v>
      </c>
      <c r="Q8" s="164">
        <f>((54.95*3))*35</f>
        <v>5769.7500000000009</v>
      </c>
      <c r="R8" s="177">
        <f>Table64[[#This Row],[Total]]</f>
        <v>5769.7500000000009</v>
      </c>
    </row>
    <row r="9" spans="3:18" x14ac:dyDescent="0.2">
      <c r="N9" s="162" t="s">
        <v>819</v>
      </c>
      <c r="O9" s="163"/>
      <c r="P9" s="163">
        <f>Table64[[#This Row],[Cost per Person]]*2</f>
        <v>0</v>
      </c>
      <c r="Q9" s="164">
        <v>960</v>
      </c>
      <c r="R9" s="177">
        <f>Table64[[#This Row],[Total]]</f>
        <v>960</v>
      </c>
    </row>
    <row r="10" spans="3:18" x14ac:dyDescent="0.2">
      <c r="N10" s="162" t="s">
        <v>672</v>
      </c>
      <c r="O10" s="163"/>
      <c r="P10" s="163">
        <f>Table64[[#This Row],[Cost per Person]]*2</f>
        <v>0</v>
      </c>
      <c r="Q10" s="164">
        <f>20*3*40</f>
        <v>2400</v>
      </c>
      <c r="R10" s="177">
        <f>Table64[[#This Row],[Total]]</f>
        <v>2400</v>
      </c>
    </row>
    <row r="11" spans="3:18" x14ac:dyDescent="0.2">
      <c r="N11" s="162" t="s">
        <v>821</v>
      </c>
      <c r="O11" s="163"/>
      <c r="P11" s="163">
        <f>Table64[[#This Row],[Cost per Person]]*2</f>
        <v>0</v>
      </c>
      <c r="Q11" s="164">
        <v>3354.75</v>
      </c>
      <c r="R11" s="351">
        <f>SUM(R7:R10)</f>
        <v>12129.75</v>
      </c>
    </row>
    <row r="12" spans="3:18" ht="17" thickBot="1" x14ac:dyDescent="0.25">
      <c r="C12" s="391" t="s">
        <v>76</v>
      </c>
      <c r="D12" s="392"/>
      <c r="E12" s="392"/>
      <c r="F12" s="392"/>
      <c r="G12" s="393"/>
      <c r="H12" s="329"/>
      <c r="I12" s="394" t="s">
        <v>673</v>
      </c>
      <c r="J12" s="395"/>
      <c r="K12" s="396"/>
      <c r="N12" s="151" t="s">
        <v>25</v>
      </c>
      <c r="O12" s="151"/>
      <c r="P12" s="151"/>
      <c r="Q12" s="165">
        <f>SUBTOTAL(109,Table64[Total])</f>
        <v>47184.5</v>
      </c>
    </row>
    <row r="13" spans="3:18" ht="17" thickBot="1" x14ac:dyDescent="0.25">
      <c r="C13" s="326" t="s">
        <v>53</v>
      </c>
      <c r="D13" s="326" t="s">
        <v>54</v>
      </c>
      <c r="E13" s="326" t="s">
        <v>804</v>
      </c>
      <c r="F13" s="198" t="s">
        <v>55</v>
      </c>
      <c r="G13" s="198" t="s">
        <v>56</v>
      </c>
      <c r="H13" s="198" t="s">
        <v>57</v>
      </c>
      <c r="I13" s="198" t="s">
        <v>450</v>
      </c>
      <c r="J13" s="198" t="s">
        <v>451</v>
      </c>
      <c r="K13" s="198" t="s">
        <v>62</v>
      </c>
    </row>
    <row r="14" spans="3:18" x14ac:dyDescent="0.2">
      <c r="C14" s="334" t="s">
        <v>70</v>
      </c>
      <c r="D14" s="340" t="s">
        <v>134</v>
      </c>
      <c r="E14" s="347"/>
      <c r="F14" s="324"/>
      <c r="G14" s="322">
        <v>350</v>
      </c>
      <c r="H14" s="322"/>
      <c r="I14" s="323">
        <v>200</v>
      </c>
      <c r="J14" s="323">
        <v>150</v>
      </c>
      <c r="K14" s="322">
        <f t="shared" ref="K14:K57" si="0">I14-H14+J14+-G14</f>
        <v>0</v>
      </c>
    </row>
    <row r="15" spans="3:18" x14ac:dyDescent="0.2">
      <c r="C15" s="334" t="s">
        <v>74</v>
      </c>
      <c r="D15" s="340" t="s">
        <v>75</v>
      </c>
      <c r="E15" s="347"/>
      <c r="F15" s="324" t="s">
        <v>674</v>
      </c>
      <c r="G15" s="322">
        <v>350</v>
      </c>
      <c r="H15" s="322">
        <v>25</v>
      </c>
      <c r="I15" s="323">
        <v>200</v>
      </c>
      <c r="J15" s="323">
        <v>175</v>
      </c>
      <c r="K15" s="322">
        <f t="shared" si="0"/>
        <v>0</v>
      </c>
    </row>
    <row r="16" spans="3:18" x14ac:dyDescent="0.2">
      <c r="C16" s="220" t="s">
        <v>83</v>
      </c>
      <c r="D16" s="341" t="s">
        <v>84</v>
      </c>
      <c r="E16" s="347"/>
      <c r="F16" s="325"/>
      <c r="G16" s="322">
        <v>350</v>
      </c>
      <c r="H16" s="322"/>
      <c r="I16" s="322">
        <v>200</v>
      </c>
      <c r="J16" s="322">
        <v>150</v>
      </c>
      <c r="K16" s="322">
        <f t="shared" si="0"/>
        <v>0</v>
      </c>
      <c r="M16" s="388" t="s">
        <v>831</v>
      </c>
      <c r="N16" s="389"/>
      <c r="O16" s="389"/>
      <c r="P16" s="389"/>
      <c r="Q16" s="389"/>
      <c r="R16" s="390"/>
    </row>
    <row r="17" spans="3:18" x14ac:dyDescent="0.2">
      <c r="C17" s="334" t="s">
        <v>87</v>
      </c>
      <c r="D17" s="340" t="s">
        <v>88</v>
      </c>
      <c r="E17" s="347"/>
      <c r="F17" s="324"/>
      <c r="G17" s="322">
        <v>350</v>
      </c>
      <c r="H17" s="322"/>
      <c r="I17" s="323">
        <v>200</v>
      </c>
      <c r="J17" s="323">
        <v>150</v>
      </c>
      <c r="K17" s="322">
        <f t="shared" si="0"/>
        <v>0</v>
      </c>
      <c r="M17" t="s">
        <v>835</v>
      </c>
      <c r="N17" t="s">
        <v>53</v>
      </c>
      <c r="O17" t="s">
        <v>54</v>
      </c>
      <c r="P17" t="s">
        <v>832</v>
      </c>
      <c r="Q17" t="s">
        <v>833</v>
      </c>
      <c r="R17" t="s">
        <v>25</v>
      </c>
    </row>
    <row r="18" spans="3:18" x14ac:dyDescent="0.2">
      <c r="C18" s="220" t="s">
        <v>94</v>
      </c>
      <c r="D18" s="341" t="s">
        <v>95</v>
      </c>
      <c r="E18" s="347"/>
      <c r="F18" s="325"/>
      <c r="G18" s="322">
        <v>350</v>
      </c>
      <c r="H18" s="322"/>
      <c r="I18" s="322">
        <v>200</v>
      </c>
      <c r="J18" s="322">
        <v>150</v>
      </c>
      <c r="K18" s="322">
        <f t="shared" si="0"/>
        <v>0</v>
      </c>
      <c r="M18">
        <v>1</v>
      </c>
      <c r="N18" t="s">
        <v>432</v>
      </c>
      <c r="O18" t="s">
        <v>433</v>
      </c>
      <c r="P18" s="177">
        <v>75</v>
      </c>
      <c r="Q18" s="177"/>
      <c r="R18" s="177">
        <f>Table8[[#This Row],[Resort Fee]]+Table8[[#This Row],[Parking]]</f>
        <v>75</v>
      </c>
    </row>
    <row r="19" spans="3:18" x14ac:dyDescent="0.2">
      <c r="C19" s="349" t="s">
        <v>98</v>
      </c>
      <c r="D19" s="350" t="s">
        <v>99</v>
      </c>
      <c r="E19" s="347"/>
      <c r="F19" s="325" t="s">
        <v>818</v>
      </c>
      <c r="G19" s="322">
        <v>225</v>
      </c>
      <c r="H19" s="322"/>
      <c r="I19" s="322"/>
      <c r="J19" s="322">
        <v>225</v>
      </c>
      <c r="K19" s="322">
        <f t="shared" si="0"/>
        <v>0</v>
      </c>
      <c r="M19">
        <v>2</v>
      </c>
      <c r="N19" t="s">
        <v>362</v>
      </c>
      <c r="O19" t="s">
        <v>363</v>
      </c>
      <c r="P19" s="177">
        <v>75</v>
      </c>
      <c r="Q19" s="177">
        <v>169.89</v>
      </c>
      <c r="R19" s="177">
        <f>Table8[[#This Row],[Resort Fee]]+Table8[[#This Row],[Parking]]</f>
        <v>244.89</v>
      </c>
    </row>
    <row r="20" spans="3:18" x14ac:dyDescent="0.2">
      <c r="C20" s="334" t="s">
        <v>395</v>
      </c>
      <c r="D20" s="340" t="s">
        <v>396</v>
      </c>
      <c r="E20" s="347"/>
      <c r="F20" s="324"/>
      <c r="G20" s="322">
        <v>350</v>
      </c>
      <c r="H20" s="322"/>
      <c r="I20" s="323">
        <v>200</v>
      </c>
      <c r="J20" s="323">
        <v>150</v>
      </c>
      <c r="K20" s="322">
        <f t="shared" si="0"/>
        <v>0</v>
      </c>
      <c r="M20">
        <v>3</v>
      </c>
      <c r="N20" t="s">
        <v>98</v>
      </c>
      <c r="O20" t="s">
        <v>99</v>
      </c>
      <c r="P20" s="177">
        <v>75</v>
      </c>
      <c r="Q20" s="177"/>
      <c r="R20" s="177">
        <f>Table8[[#This Row],[Resort Fee]]+Table8[[#This Row],[Parking]]</f>
        <v>75</v>
      </c>
    </row>
    <row r="21" spans="3:18" x14ac:dyDescent="0.2">
      <c r="C21" s="334" t="s">
        <v>102</v>
      </c>
      <c r="D21" s="340" t="s">
        <v>103</v>
      </c>
      <c r="E21" s="347"/>
      <c r="F21" s="324" t="s">
        <v>674</v>
      </c>
      <c r="G21" s="322">
        <v>350</v>
      </c>
      <c r="H21" s="322"/>
      <c r="I21" s="323"/>
      <c r="J21" s="323"/>
      <c r="K21" s="322">
        <f t="shared" si="0"/>
        <v>-350</v>
      </c>
      <c r="M21">
        <v>4</v>
      </c>
      <c r="N21" t="s">
        <v>237</v>
      </c>
      <c r="O21" t="s">
        <v>238</v>
      </c>
      <c r="P21" s="177">
        <v>70</v>
      </c>
      <c r="Q21" s="177"/>
      <c r="R21" s="177">
        <f>Table8[[#This Row],[Resort Fee]]+Table8[[#This Row],[Parking]]</f>
        <v>70</v>
      </c>
    </row>
    <row r="22" spans="3:18" x14ac:dyDescent="0.2">
      <c r="C22" s="220" t="s">
        <v>106</v>
      </c>
      <c r="D22" s="341" t="s">
        <v>107</v>
      </c>
      <c r="E22" s="347" t="s">
        <v>805</v>
      </c>
      <c r="F22" s="325"/>
      <c r="G22" s="322">
        <v>350</v>
      </c>
      <c r="H22" s="322"/>
      <c r="I22" s="322">
        <v>200</v>
      </c>
      <c r="J22" s="322">
        <v>150</v>
      </c>
      <c r="K22" s="322">
        <f t="shared" si="0"/>
        <v>0</v>
      </c>
      <c r="M22">
        <v>5</v>
      </c>
      <c r="N22" t="s">
        <v>178</v>
      </c>
      <c r="O22" t="s">
        <v>179</v>
      </c>
      <c r="P22" s="177">
        <v>75</v>
      </c>
      <c r="Q22" s="177"/>
      <c r="R22" s="177">
        <f>Table8[[#This Row],[Resort Fee]]+Table8[[#This Row],[Parking]]</f>
        <v>75</v>
      </c>
    </row>
    <row r="23" spans="3:18" x14ac:dyDescent="0.2">
      <c r="C23" s="334" t="s">
        <v>110</v>
      </c>
      <c r="D23" s="340" t="s">
        <v>111</v>
      </c>
      <c r="E23" s="347"/>
      <c r="F23" s="324"/>
      <c r="G23" s="322">
        <v>350</v>
      </c>
      <c r="H23" s="322"/>
      <c r="I23" s="323">
        <v>200</v>
      </c>
      <c r="J23" s="323">
        <v>150</v>
      </c>
      <c r="K23" s="322">
        <f t="shared" si="0"/>
        <v>0</v>
      </c>
      <c r="M23">
        <v>6</v>
      </c>
      <c r="N23" t="s">
        <v>286</v>
      </c>
      <c r="O23" t="s">
        <v>703</v>
      </c>
      <c r="P23" s="177">
        <v>75</v>
      </c>
      <c r="Q23" s="177">
        <v>169.89</v>
      </c>
      <c r="R23" s="177">
        <f>Table8[[#This Row],[Resort Fee]]+Table8[[#This Row],[Parking]]</f>
        <v>244.89</v>
      </c>
    </row>
    <row r="24" spans="3:18" x14ac:dyDescent="0.2">
      <c r="C24" s="334" t="s">
        <v>113</v>
      </c>
      <c r="D24" s="340" t="s">
        <v>114</v>
      </c>
      <c r="E24" s="347"/>
      <c r="F24" s="325"/>
      <c r="G24" s="322">
        <v>350</v>
      </c>
      <c r="H24" s="322"/>
      <c r="I24" s="322">
        <v>200</v>
      </c>
      <c r="J24" s="322">
        <v>150</v>
      </c>
      <c r="K24" s="322">
        <f t="shared" si="0"/>
        <v>0</v>
      </c>
      <c r="M24">
        <v>7</v>
      </c>
      <c r="N24" t="s">
        <v>360</v>
      </c>
      <c r="O24" t="s">
        <v>692</v>
      </c>
      <c r="P24" s="177">
        <v>75</v>
      </c>
      <c r="Q24" s="177">
        <v>169.89</v>
      </c>
      <c r="R24" s="177">
        <f>Table8[[#This Row],[Resort Fee]]+Table8[[#This Row],[Parking]]</f>
        <v>244.89</v>
      </c>
    </row>
    <row r="25" spans="3:18" x14ac:dyDescent="0.2">
      <c r="C25" s="220" t="s">
        <v>120</v>
      </c>
      <c r="D25" s="341" t="s">
        <v>121</v>
      </c>
      <c r="E25" s="347"/>
      <c r="F25" s="324"/>
      <c r="G25" s="322">
        <v>350</v>
      </c>
      <c r="H25" s="322">
        <v>25</v>
      </c>
      <c r="I25" s="323">
        <v>225</v>
      </c>
      <c r="J25" s="323">
        <v>150</v>
      </c>
      <c r="K25" s="322">
        <f t="shared" si="0"/>
        <v>0</v>
      </c>
      <c r="M25">
        <v>8</v>
      </c>
      <c r="N25" t="s">
        <v>834</v>
      </c>
      <c r="O25" t="s">
        <v>352</v>
      </c>
      <c r="P25" s="177">
        <v>60</v>
      </c>
      <c r="Q25" s="177"/>
      <c r="R25" s="177">
        <f>Table8[[#This Row],[Resort Fee]]+Table8[[#This Row],[Parking]]</f>
        <v>60</v>
      </c>
    </row>
    <row r="26" spans="3:18" x14ac:dyDescent="0.2">
      <c r="C26" s="334" t="s">
        <v>123</v>
      </c>
      <c r="D26" s="340" t="s">
        <v>88</v>
      </c>
      <c r="E26" s="347"/>
      <c r="F26" s="325"/>
      <c r="G26" s="322">
        <v>350</v>
      </c>
      <c r="H26" s="322"/>
      <c r="I26" s="322">
        <v>200</v>
      </c>
      <c r="J26" s="322">
        <v>150</v>
      </c>
      <c r="K26" s="322">
        <f t="shared" si="0"/>
        <v>0</v>
      </c>
      <c r="M26">
        <v>9</v>
      </c>
      <c r="N26" t="s">
        <v>680</v>
      </c>
      <c r="O26" t="s">
        <v>679</v>
      </c>
      <c r="P26" s="177">
        <v>75</v>
      </c>
      <c r="Q26" s="177">
        <v>169.89</v>
      </c>
      <c r="R26" s="177">
        <f>Table8[[#This Row],[Resort Fee]]+Table8[[#This Row],[Parking]]</f>
        <v>244.89</v>
      </c>
    </row>
    <row r="27" spans="3:18" x14ac:dyDescent="0.2">
      <c r="C27" s="352" t="s">
        <v>125</v>
      </c>
      <c r="D27" s="353" t="s">
        <v>95</v>
      </c>
      <c r="E27" s="347"/>
      <c r="F27" s="325" t="s">
        <v>675</v>
      </c>
      <c r="G27" s="322"/>
      <c r="H27" s="322"/>
      <c r="I27" s="322">
        <v>0</v>
      </c>
      <c r="J27" s="322">
        <v>0</v>
      </c>
      <c r="K27" s="322">
        <f t="shared" si="0"/>
        <v>0</v>
      </c>
      <c r="M27">
        <v>10</v>
      </c>
      <c r="N27" t="s">
        <v>204</v>
      </c>
      <c r="O27" t="s">
        <v>205</v>
      </c>
      <c r="P27" s="177">
        <v>75</v>
      </c>
      <c r="Q27" s="177"/>
      <c r="R27" s="177">
        <f>Table8[[#This Row],[Resort Fee]]+Table8[[#This Row],[Parking]]</f>
        <v>75</v>
      </c>
    </row>
    <row r="28" spans="3:18" x14ac:dyDescent="0.2">
      <c r="C28" s="220" t="s">
        <v>127</v>
      </c>
      <c r="D28" s="341" t="s">
        <v>128</v>
      </c>
      <c r="E28" s="347"/>
      <c r="F28" s="325"/>
      <c r="G28" s="322">
        <v>350</v>
      </c>
      <c r="H28" s="322"/>
      <c r="I28" s="322">
        <v>200</v>
      </c>
      <c r="J28" s="322">
        <v>150</v>
      </c>
      <c r="K28" s="322">
        <f t="shared" si="0"/>
        <v>0</v>
      </c>
      <c r="M28">
        <v>11</v>
      </c>
      <c r="N28" t="s">
        <v>120</v>
      </c>
      <c r="O28" t="s">
        <v>121</v>
      </c>
      <c r="P28" s="177">
        <v>60</v>
      </c>
      <c r="Q28" s="177">
        <v>169.89</v>
      </c>
      <c r="R28" s="177">
        <f>Table8[[#This Row],[Resort Fee]]+Table8[[#This Row],[Parking]]</f>
        <v>229.89</v>
      </c>
    </row>
    <row r="29" spans="3:18" x14ac:dyDescent="0.2">
      <c r="C29" s="332" t="s">
        <v>136</v>
      </c>
      <c r="D29" s="342" t="s">
        <v>137</v>
      </c>
      <c r="E29" s="332"/>
      <c r="F29" s="325"/>
      <c r="G29" s="322">
        <v>350</v>
      </c>
      <c r="H29" s="322"/>
      <c r="I29" s="322">
        <v>200</v>
      </c>
      <c r="J29" s="322">
        <v>150</v>
      </c>
      <c r="K29" s="322">
        <f t="shared" si="0"/>
        <v>0</v>
      </c>
      <c r="M29">
        <v>12</v>
      </c>
      <c r="N29" t="s">
        <v>83</v>
      </c>
      <c r="O29" t="s">
        <v>84</v>
      </c>
      <c r="P29" s="177">
        <v>50</v>
      </c>
      <c r="Q29" s="177"/>
      <c r="R29" s="177">
        <f>Table8[[#This Row],[Resort Fee]]+Table8[[#This Row],[Parking]]</f>
        <v>50</v>
      </c>
    </row>
    <row r="30" spans="3:18" x14ac:dyDescent="0.2">
      <c r="C30" s="334" t="s">
        <v>404</v>
      </c>
      <c r="D30" s="340" t="s">
        <v>405</v>
      </c>
      <c r="E30" s="347" t="s">
        <v>805</v>
      </c>
      <c r="F30" s="324"/>
      <c r="G30" s="322">
        <v>350</v>
      </c>
      <c r="H30" s="322"/>
      <c r="I30" s="323">
        <v>200</v>
      </c>
      <c r="J30" s="323">
        <v>150</v>
      </c>
      <c r="K30" s="322">
        <f t="shared" si="0"/>
        <v>0</v>
      </c>
      <c r="M30">
        <v>13</v>
      </c>
      <c r="N30" t="s">
        <v>680</v>
      </c>
      <c r="O30" t="s">
        <v>256</v>
      </c>
      <c r="P30" s="177">
        <v>75</v>
      </c>
      <c r="Q30" s="177">
        <v>169.89</v>
      </c>
      <c r="R30" s="177">
        <f>Table8[[#This Row],[Resort Fee]]+Table8[[#This Row],[Parking]]</f>
        <v>244.89</v>
      </c>
    </row>
    <row r="31" spans="3:18" x14ac:dyDescent="0.2">
      <c r="C31" s="334" t="s">
        <v>145</v>
      </c>
      <c r="D31" s="340" t="s">
        <v>92</v>
      </c>
      <c r="E31" s="347"/>
      <c r="F31" s="325"/>
      <c r="G31" s="322">
        <v>350</v>
      </c>
      <c r="H31" s="322"/>
      <c r="I31" s="322">
        <v>200</v>
      </c>
      <c r="J31" s="322">
        <v>150</v>
      </c>
      <c r="K31" s="322">
        <f t="shared" si="0"/>
        <v>0</v>
      </c>
      <c r="M31">
        <v>14</v>
      </c>
      <c r="N31" t="s">
        <v>825</v>
      </c>
      <c r="O31" t="s">
        <v>205</v>
      </c>
      <c r="P31" s="177">
        <v>60</v>
      </c>
      <c r="Q31" s="177"/>
      <c r="R31" s="177">
        <f>Table8[[#This Row],[Resort Fee]]+Table8[[#This Row],[Parking]]</f>
        <v>60</v>
      </c>
    </row>
    <row r="32" spans="3:18" x14ac:dyDescent="0.2">
      <c r="C32" s="334" t="s">
        <v>169</v>
      </c>
      <c r="D32" s="340" t="s">
        <v>170</v>
      </c>
      <c r="E32" s="347"/>
      <c r="F32" s="325"/>
      <c r="G32" s="322">
        <v>175</v>
      </c>
      <c r="H32" s="322"/>
      <c r="I32" s="322"/>
      <c r="J32" s="322">
        <v>175</v>
      </c>
      <c r="K32" s="322">
        <f t="shared" si="0"/>
        <v>0</v>
      </c>
      <c r="M32">
        <v>15</v>
      </c>
      <c r="N32" t="s">
        <v>127</v>
      </c>
      <c r="O32" t="s">
        <v>128</v>
      </c>
      <c r="P32" s="177"/>
      <c r="Q32" s="177">
        <v>169.89</v>
      </c>
      <c r="R32" s="177">
        <f>Table8[[#This Row],[Resort Fee]]+Table8[[#This Row],[Parking]]</f>
        <v>169.89</v>
      </c>
    </row>
    <row r="33" spans="2:18" x14ac:dyDescent="0.2">
      <c r="C33" s="349" t="s">
        <v>172</v>
      </c>
      <c r="D33" s="350" t="s">
        <v>173</v>
      </c>
      <c r="E33" s="347"/>
      <c r="F33" s="325" t="s">
        <v>818</v>
      </c>
      <c r="G33" s="322">
        <v>225</v>
      </c>
      <c r="H33" s="322"/>
      <c r="I33" s="322">
        <v>225</v>
      </c>
      <c r="J33" s="322"/>
      <c r="K33" s="322">
        <f t="shared" si="0"/>
        <v>0</v>
      </c>
      <c r="M33">
        <v>16</v>
      </c>
      <c r="N33" t="s">
        <v>169</v>
      </c>
      <c r="O33" t="s">
        <v>170</v>
      </c>
      <c r="P33" s="177"/>
      <c r="Q33" s="177">
        <v>169.89</v>
      </c>
      <c r="R33" s="177">
        <f>Table8[[#This Row],[Resort Fee]]+Table8[[#This Row],[Parking]]</f>
        <v>169.89</v>
      </c>
    </row>
    <row r="34" spans="2:18" x14ac:dyDescent="0.2">
      <c r="C34" s="335" t="s">
        <v>175</v>
      </c>
      <c r="D34" s="343" t="s">
        <v>176</v>
      </c>
      <c r="E34" s="332"/>
      <c r="F34" s="325"/>
      <c r="G34" s="322">
        <v>350</v>
      </c>
      <c r="H34" s="322"/>
      <c r="I34" s="322">
        <v>200</v>
      </c>
      <c r="J34" s="322">
        <v>150</v>
      </c>
      <c r="K34" s="322">
        <f t="shared" si="0"/>
        <v>0</v>
      </c>
      <c r="M34">
        <v>17</v>
      </c>
      <c r="N34" t="s">
        <v>226</v>
      </c>
      <c r="O34" t="s">
        <v>227</v>
      </c>
      <c r="P34" s="177">
        <v>75</v>
      </c>
      <c r="Q34" s="177">
        <v>169.89</v>
      </c>
      <c r="R34" s="177">
        <f>Table8[[#This Row],[Resort Fee]]+Table8[[#This Row],[Parking]]</f>
        <v>244.89</v>
      </c>
    </row>
    <row r="35" spans="2:18" x14ac:dyDescent="0.2">
      <c r="C35" s="220" t="s">
        <v>178</v>
      </c>
      <c r="D35" s="341" t="s">
        <v>179</v>
      </c>
      <c r="E35" s="347"/>
      <c r="F35" s="325"/>
      <c r="G35" s="322">
        <v>350</v>
      </c>
      <c r="H35" s="322"/>
      <c r="I35" s="322">
        <v>200</v>
      </c>
      <c r="J35" s="322">
        <v>150</v>
      </c>
      <c r="K35" s="322">
        <f t="shared" si="0"/>
        <v>0</v>
      </c>
      <c r="M35">
        <v>18</v>
      </c>
      <c r="N35" t="s">
        <v>106</v>
      </c>
      <c r="O35" t="s">
        <v>107</v>
      </c>
      <c r="P35" s="177">
        <v>60</v>
      </c>
      <c r="Q35" s="177">
        <v>169.89</v>
      </c>
      <c r="R35" s="177">
        <f>Table8[[#This Row],[Resort Fee]]+Table8[[#This Row],[Parking]]</f>
        <v>229.89</v>
      </c>
    </row>
    <row r="36" spans="2:18" x14ac:dyDescent="0.2">
      <c r="C36" s="334" t="s">
        <v>181</v>
      </c>
      <c r="D36" s="340" t="s">
        <v>317</v>
      </c>
      <c r="E36" s="347"/>
      <c r="F36" s="324"/>
      <c r="G36" s="322">
        <v>350</v>
      </c>
      <c r="H36" s="322"/>
      <c r="I36" s="323">
        <v>200</v>
      </c>
      <c r="J36" s="323">
        <v>150</v>
      </c>
      <c r="K36" s="322">
        <f t="shared" si="0"/>
        <v>0</v>
      </c>
      <c r="M36">
        <v>19</v>
      </c>
      <c r="N36" t="s">
        <v>836</v>
      </c>
      <c r="O36" t="s">
        <v>246</v>
      </c>
      <c r="P36" s="177"/>
      <c r="Q36" s="177">
        <v>169.89</v>
      </c>
      <c r="R36" s="177">
        <f>Table8[[#This Row],[Resort Fee]]+Table8[[#This Row],[Parking]]</f>
        <v>169.89</v>
      </c>
    </row>
    <row r="37" spans="2:18" x14ac:dyDescent="0.2">
      <c r="C37" s="349" t="s">
        <v>186</v>
      </c>
      <c r="D37" s="350" t="s">
        <v>187</v>
      </c>
      <c r="E37" s="347"/>
      <c r="F37" s="324"/>
      <c r="G37" s="322">
        <v>250</v>
      </c>
      <c r="H37" s="322"/>
      <c r="I37" s="323"/>
      <c r="J37" s="323">
        <v>250</v>
      </c>
      <c r="K37" s="322">
        <f t="shared" si="0"/>
        <v>0</v>
      </c>
      <c r="M37">
        <v>20</v>
      </c>
      <c r="N37" t="s">
        <v>110</v>
      </c>
      <c r="O37" t="s">
        <v>111</v>
      </c>
      <c r="P37" s="177"/>
      <c r="Q37" s="177">
        <v>169.89</v>
      </c>
      <c r="R37" s="177">
        <f>Table8[[#This Row],[Resort Fee]]+Table8[[#This Row],[Parking]]</f>
        <v>169.89</v>
      </c>
    </row>
    <row r="38" spans="2:18" x14ac:dyDescent="0.2">
      <c r="C38" s="220" t="s">
        <v>676</v>
      </c>
      <c r="D38" s="341" t="s">
        <v>677</v>
      </c>
      <c r="E38" s="347"/>
      <c r="F38" s="324"/>
      <c r="G38" s="322">
        <v>200</v>
      </c>
      <c r="H38" s="322"/>
      <c r="I38" s="323">
        <v>200</v>
      </c>
      <c r="J38" s="323"/>
      <c r="K38" s="322">
        <f t="shared" si="0"/>
        <v>0</v>
      </c>
      <c r="M38">
        <v>21</v>
      </c>
      <c r="N38" t="s">
        <v>153</v>
      </c>
      <c r="O38" t="s">
        <v>88</v>
      </c>
      <c r="P38" s="177"/>
      <c r="Q38" s="177">
        <v>69.89</v>
      </c>
      <c r="R38" s="177">
        <f>Table8[[#This Row],[Resort Fee]]+Table8[[#This Row],[Parking]]</f>
        <v>69.89</v>
      </c>
    </row>
    <row r="39" spans="2:18" x14ac:dyDescent="0.2">
      <c r="C39" s="334" t="s">
        <v>204</v>
      </c>
      <c r="D39" s="340" t="s">
        <v>205</v>
      </c>
      <c r="E39" s="347"/>
      <c r="F39" s="324"/>
      <c r="G39" s="322">
        <v>350</v>
      </c>
      <c r="H39" s="322"/>
      <c r="I39" s="323">
        <v>200</v>
      </c>
      <c r="J39" s="323">
        <v>150</v>
      </c>
      <c r="K39" s="322">
        <f t="shared" si="0"/>
        <v>0</v>
      </c>
      <c r="M39">
        <v>22</v>
      </c>
      <c r="N39" t="s">
        <v>189</v>
      </c>
      <c r="O39" t="s">
        <v>692</v>
      </c>
      <c r="P39" s="177"/>
      <c r="Q39" s="177">
        <v>169.89</v>
      </c>
      <c r="R39" s="177">
        <f>Table8[[#This Row],[Resort Fee]]+Table8[[#This Row],[Parking]]</f>
        <v>169.89</v>
      </c>
    </row>
    <row r="40" spans="2:18" x14ac:dyDescent="0.2">
      <c r="C40" s="334" t="s">
        <v>148</v>
      </c>
      <c r="D40" s="340" t="s">
        <v>419</v>
      </c>
      <c r="E40" s="347" t="s">
        <v>805</v>
      </c>
      <c r="F40" s="325"/>
      <c r="G40" s="322">
        <v>350</v>
      </c>
      <c r="H40" s="322"/>
      <c r="I40" s="322">
        <v>200</v>
      </c>
      <c r="J40" s="322">
        <v>150</v>
      </c>
      <c r="K40" s="322">
        <f t="shared" si="0"/>
        <v>0</v>
      </c>
      <c r="M40">
        <v>23</v>
      </c>
      <c r="N40" t="s">
        <v>70</v>
      </c>
      <c r="O40" t="s">
        <v>134</v>
      </c>
      <c r="P40" s="177"/>
      <c r="Q40" s="177">
        <v>169.89</v>
      </c>
      <c r="R40" s="177">
        <f>Table8[[#This Row],[Resort Fee]]+Table8[[#This Row],[Parking]]</f>
        <v>169.89</v>
      </c>
    </row>
    <row r="41" spans="2:18" x14ac:dyDescent="0.2">
      <c r="B41" t="s">
        <v>817</v>
      </c>
      <c r="C41" s="349" t="s">
        <v>217</v>
      </c>
      <c r="D41" s="350" t="s">
        <v>218</v>
      </c>
      <c r="E41" s="347"/>
      <c r="F41" s="324" t="s">
        <v>818</v>
      </c>
      <c r="G41" s="322">
        <v>225</v>
      </c>
      <c r="H41" s="322"/>
      <c r="I41" s="323">
        <v>225</v>
      </c>
      <c r="J41" s="323"/>
      <c r="K41" s="322">
        <f t="shared" si="0"/>
        <v>0</v>
      </c>
      <c r="M41">
        <v>24</v>
      </c>
      <c r="N41" t="s">
        <v>307</v>
      </c>
      <c r="O41" t="s">
        <v>261</v>
      </c>
      <c r="P41" s="177"/>
      <c r="Q41" s="177">
        <v>169.89</v>
      </c>
      <c r="R41" s="177">
        <f>Table8[[#This Row],[Resort Fee]]+Table8[[#This Row],[Parking]]</f>
        <v>169.89</v>
      </c>
    </row>
    <row r="42" spans="2:18" x14ac:dyDescent="0.2">
      <c r="C42" s="334" t="s">
        <v>226</v>
      </c>
      <c r="D42" s="340" t="s">
        <v>678</v>
      </c>
      <c r="E42" s="347"/>
      <c r="F42" s="325" t="s">
        <v>674</v>
      </c>
      <c r="G42" s="322">
        <v>350</v>
      </c>
      <c r="H42" s="322"/>
      <c r="I42" s="322">
        <v>200</v>
      </c>
      <c r="J42" s="322">
        <v>150</v>
      </c>
      <c r="K42" s="322">
        <f t="shared" si="0"/>
        <v>0</v>
      </c>
      <c r="M42">
        <v>25</v>
      </c>
      <c r="N42" t="s">
        <v>87</v>
      </c>
      <c r="O42" t="s">
        <v>88</v>
      </c>
      <c r="P42" s="177"/>
      <c r="Q42" s="177">
        <v>169.89</v>
      </c>
      <c r="R42" s="177">
        <f>Table8[[#This Row],[Resort Fee]]+Table8[[#This Row],[Parking]]</f>
        <v>169.89</v>
      </c>
    </row>
    <row r="43" spans="2:18" x14ac:dyDescent="0.2">
      <c r="C43" s="334" t="s">
        <v>491</v>
      </c>
      <c r="D43" s="340" t="s">
        <v>352</v>
      </c>
      <c r="E43" s="347" t="s">
        <v>805</v>
      </c>
      <c r="F43" s="324"/>
      <c r="G43" s="322">
        <v>350</v>
      </c>
      <c r="H43" s="322"/>
      <c r="I43" s="323">
        <v>200</v>
      </c>
      <c r="J43" s="323">
        <v>150</v>
      </c>
      <c r="K43" s="322">
        <f t="shared" si="0"/>
        <v>0</v>
      </c>
      <c r="M43">
        <v>26</v>
      </c>
      <c r="N43" t="s">
        <v>337</v>
      </c>
      <c r="O43" t="s">
        <v>464</v>
      </c>
      <c r="P43" s="177"/>
      <c r="Q43" s="177">
        <v>169.89</v>
      </c>
      <c r="R43" s="177">
        <f>Table8[[#This Row],[Resort Fee]]+Table8[[#This Row],[Parking]]</f>
        <v>169.89</v>
      </c>
    </row>
    <row r="44" spans="2:18" x14ac:dyDescent="0.2">
      <c r="C44" s="334" t="s">
        <v>229</v>
      </c>
      <c r="D44" s="340" t="s">
        <v>230</v>
      </c>
      <c r="E44" s="347"/>
      <c r="F44" s="325"/>
      <c r="G44" s="322">
        <v>350</v>
      </c>
      <c r="H44" s="322"/>
      <c r="I44" s="322">
        <v>200</v>
      </c>
      <c r="J44" s="322">
        <v>150</v>
      </c>
      <c r="K44" s="322">
        <f t="shared" si="0"/>
        <v>0</v>
      </c>
      <c r="M44">
        <v>27</v>
      </c>
      <c r="N44" t="s">
        <v>392</v>
      </c>
      <c r="O44" t="s">
        <v>393</v>
      </c>
      <c r="P44" s="177"/>
      <c r="Q44" s="177">
        <v>169.89</v>
      </c>
      <c r="R44" s="177">
        <f>Table8[[#This Row],[Resort Fee]]+Table8[[#This Row],[Parking]]</f>
        <v>169.89</v>
      </c>
    </row>
    <row r="45" spans="2:18" x14ac:dyDescent="0.2">
      <c r="C45" s="349" t="s">
        <v>232</v>
      </c>
      <c r="D45" s="350" t="s">
        <v>92</v>
      </c>
      <c r="E45" s="347"/>
      <c r="F45" s="325" t="s">
        <v>818</v>
      </c>
      <c r="G45" s="322">
        <v>250</v>
      </c>
      <c r="H45" s="322"/>
      <c r="I45" s="322">
        <v>250</v>
      </c>
      <c r="J45" s="322"/>
      <c r="K45" s="322">
        <f t="shared" si="0"/>
        <v>0</v>
      </c>
      <c r="M45">
        <v>28</v>
      </c>
      <c r="N45" t="s">
        <v>838</v>
      </c>
      <c r="O45" t="s">
        <v>352</v>
      </c>
      <c r="P45" s="177"/>
      <c r="Q45" s="177">
        <v>169.89</v>
      </c>
      <c r="R45" s="177">
        <f>Table8[[#This Row],[Resort Fee]]+Table8[[#This Row],[Parking]]</f>
        <v>169.89</v>
      </c>
    </row>
    <row r="46" spans="2:18" x14ac:dyDescent="0.2">
      <c r="C46" s="349" t="s">
        <v>237</v>
      </c>
      <c r="D46" s="350" t="s">
        <v>238</v>
      </c>
      <c r="E46" s="347"/>
      <c r="F46" s="325" t="s">
        <v>818</v>
      </c>
      <c r="G46" s="322">
        <v>250</v>
      </c>
      <c r="H46" s="322"/>
      <c r="I46" s="322">
        <v>250</v>
      </c>
      <c r="J46" s="322"/>
      <c r="K46" s="322">
        <f t="shared" si="0"/>
        <v>0</v>
      </c>
      <c r="M46">
        <v>29</v>
      </c>
      <c r="N46" t="s">
        <v>136</v>
      </c>
      <c r="O46" t="s">
        <v>137</v>
      </c>
      <c r="P46" s="177"/>
      <c r="Q46" s="177">
        <v>169.89</v>
      </c>
      <c r="R46" s="177">
        <f>Table8[[#This Row],[Resort Fee]]+Table8[[#This Row],[Parking]]</f>
        <v>169.89</v>
      </c>
    </row>
    <row r="47" spans="2:18" x14ac:dyDescent="0.2">
      <c r="C47" s="349" t="s">
        <v>825</v>
      </c>
      <c r="D47" s="350" t="s">
        <v>205</v>
      </c>
      <c r="E47" s="347"/>
      <c r="F47" s="325" t="s">
        <v>818</v>
      </c>
      <c r="G47" s="322">
        <v>250</v>
      </c>
      <c r="H47" s="322"/>
      <c r="I47" s="322">
        <v>250</v>
      </c>
      <c r="J47" s="322"/>
      <c r="K47" s="322">
        <f t="shared" si="0"/>
        <v>0</v>
      </c>
      <c r="M47">
        <v>30</v>
      </c>
      <c r="N47" t="s">
        <v>365</v>
      </c>
      <c r="O47" t="s">
        <v>682</v>
      </c>
      <c r="P47" s="177"/>
      <c r="Q47" s="177">
        <v>169.89</v>
      </c>
      <c r="R47" s="177">
        <f>Table8[[#This Row],[Resort Fee]]+Table8[[#This Row],[Parking]]</f>
        <v>169.89</v>
      </c>
    </row>
    <row r="48" spans="2:18" x14ac:dyDescent="0.2">
      <c r="C48" s="349" t="s">
        <v>242</v>
      </c>
      <c r="D48" s="350" t="s">
        <v>243</v>
      </c>
      <c r="E48" s="347"/>
      <c r="F48" s="325" t="s">
        <v>818</v>
      </c>
      <c r="G48" s="322">
        <v>225</v>
      </c>
      <c r="H48" s="322"/>
      <c r="I48" s="322">
        <v>225</v>
      </c>
      <c r="J48" s="322"/>
      <c r="K48" s="322">
        <f t="shared" si="0"/>
        <v>0</v>
      </c>
      <c r="M48">
        <v>31</v>
      </c>
      <c r="N48" t="s">
        <v>145</v>
      </c>
      <c r="O48" t="s">
        <v>92</v>
      </c>
      <c r="P48" s="177">
        <v>75</v>
      </c>
      <c r="Q48" s="177">
        <v>169.89</v>
      </c>
      <c r="R48" s="177">
        <f>Table8[[#This Row],[Resort Fee]]+Table8[[#This Row],[Parking]]</f>
        <v>244.89</v>
      </c>
    </row>
    <row r="49" spans="3:18" x14ac:dyDescent="0.2">
      <c r="C49" s="220" t="s">
        <v>245</v>
      </c>
      <c r="D49" s="341" t="s">
        <v>246</v>
      </c>
      <c r="E49" s="347"/>
      <c r="F49" s="324"/>
      <c r="G49" s="322">
        <v>350</v>
      </c>
      <c r="H49" s="322"/>
      <c r="I49" s="323">
        <v>200</v>
      </c>
      <c r="J49" s="323">
        <v>150</v>
      </c>
      <c r="K49" s="322">
        <f t="shared" si="0"/>
        <v>0</v>
      </c>
      <c r="M49">
        <v>32</v>
      </c>
      <c r="N49" t="s">
        <v>123</v>
      </c>
      <c r="O49" t="s">
        <v>88</v>
      </c>
      <c r="P49" s="177"/>
      <c r="Q49" s="177">
        <v>169.89</v>
      </c>
      <c r="R49" s="177">
        <f>Table8[[#This Row],[Resort Fee]]+Table8[[#This Row],[Parking]]</f>
        <v>169.89</v>
      </c>
    </row>
    <row r="50" spans="3:18" x14ac:dyDescent="0.2">
      <c r="C50" s="334" t="s">
        <v>253</v>
      </c>
      <c r="D50" s="340" t="s">
        <v>679</v>
      </c>
      <c r="E50" s="347"/>
      <c r="F50" s="325"/>
      <c r="G50" s="322">
        <v>350</v>
      </c>
      <c r="H50" s="322"/>
      <c r="I50" s="322">
        <v>200</v>
      </c>
      <c r="J50" s="322">
        <v>150</v>
      </c>
      <c r="K50" s="322">
        <f t="shared" si="0"/>
        <v>0</v>
      </c>
      <c r="M50">
        <v>33</v>
      </c>
      <c r="N50" t="s">
        <v>346</v>
      </c>
      <c r="O50" t="s">
        <v>347</v>
      </c>
      <c r="P50" s="177"/>
      <c r="Q50" s="177">
        <v>169.89</v>
      </c>
      <c r="R50" s="177">
        <f>Table8[[#This Row],[Resort Fee]]+Table8[[#This Row],[Parking]]</f>
        <v>169.89</v>
      </c>
    </row>
    <row r="51" spans="3:18" x14ac:dyDescent="0.2">
      <c r="C51" s="220" t="s">
        <v>680</v>
      </c>
      <c r="D51" s="341" t="s">
        <v>256</v>
      </c>
      <c r="E51" s="347"/>
      <c r="F51" s="324"/>
      <c r="G51" s="322">
        <v>350</v>
      </c>
      <c r="H51" s="322">
        <v>25</v>
      </c>
      <c r="I51" s="323">
        <v>225</v>
      </c>
      <c r="J51" s="323">
        <v>150</v>
      </c>
      <c r="K51" s="322">
        <f t="shared" si="0"/>
        <v>0</v>
      </c>
      <c r="M51">
        <v>34</v>
      </c>
      <c r="N51" t="s">
        <v>125</v>
      </c>
      <c r="O51" t="s">
        <v>95</v>
      </c>
      <c r="P51" s="177">
        <v>60</v>
      </c>
      <c r="Q51" s="177">
        <v>169.89</v>
      </c>
      <c r="R51" s="177">
        <f>Table8[[#This Row],[Resort Fee]]+Table8[[#This Row],[Parking]]</f>
        <v>229.89</v>
      </c>
    </row>
    <row r="52" spans="3:18" x14ac:dyDescent="0.2">
      <c r="C52" s="334" t="s">
        <v>432</v>
      </c>
      <c r="D52" s="340" t="s">
        <v>433</v>
      </c>
      <c r="E52" s="347"/>
      <c r="F52" s="325"/>
      <c r="G52" s="322">
        <v>350</v>
      </c>
      <c r="H52" s="322"/>
      <c r="I52" s="322">
        <v>200</v>
      </c>
      <c r="J52" s="322">
        <v>150</v>
      </c>
      <c r="K52" s="322">
        <f t="shared" si="0"/>
        <v>0</v>
      </c>
      <c r="M52">
        <v>35</v>
      </c>
      <c r="N52" t="s">
        <v>113</v>
      </c>
      <c r="O52" t="s">
        <v>114</v>
      </c>
      <c r="P52" s="177">
        <v>75</v>
      </c>
      <c r="Q52" s="177"/>
      <c r="R52" s="177">
        <f>Table8[[#This Row],[Resort Fee]]+Table8[[#This Row],[Parking]]</f>
        <v>75</v>
      </c>
    </row>
    <row r="53" spans="3:18" x14ac:dyDescent="0.2">
      <c r="C53" s="334" t="s">
        <v>263</v>
      </c>
      <c r="D53" s="340" t="s">
        <v>264</v>
      </c>
      <c r="E53" s="347" t="s">
        <v>805</v>
      </c>
      <c r="F53" s="325"/>
      <c r="G53" s="322">
        <v>350</v>
      </c>
      <c r="H53" s="322"/>
      <c r="I53" s="322">
        <v>200</v>
      </c>
      <c r="J53" s="322">
        <v>150</v>
      </c>
      <c r="K53" s="322">
        <f t="shared" si="0"/>
        <v>0</v>
      </c>
      <c r="M53">
        <v>36</v>
      </c>
      <c r="N53" t="s">
        <v>283</v>
      </c>
      <c r="O53" t="s">
        <v>284</v>
      </c>
      <c r="P53" s="177"/>
      <c r="Q53" s="177">
        <v>169.89</v>
      </c>
      <c r="R53" s="177">
        <f>Table8[[#This Row],[Resort Fee]]+Table8[[#This Row],[Parking]]</f>
        <v>169.89</v>
      </c>
    </row>
    <row r="54" spans="3:18" x14ac:dyDescent="0.2">
      <c r="C54" s="334" t="s">
        <v>269</v>
      </c>
      <c r="D54" s="340" t="s">
        <v>117</v>
      </c>
      <c r="E54" s="347" t="s">
        <v>805</v>
      </c>
      <c r="F54" s="324"/>
      <c r="G54" s="322">
        <v>350</v>
      </c>
      <c r="H54" s="322"/>
      <c r="I54" s="323">
        <v>200</v>
      </c>
      <c r="J54" s="323">
        <v>150</v>
      </c>
      <c r="K54" s="322">
        <f t="shared" si="0"/>
        <v>0</v>
      </c>
      <c r="P54" s="177"/>
      <c r="Q54" s="177"/>
      <c r="R54" s="177">
        <f>SUM(Table8[Total])</f>
        <v>5807.0300000000007</v>
      </c>
    </row>
    <row r="55" spans="3:18" x14ac:dyDescent="0.2">
      <c r="C55" s="336" t="s">
        <v>274</v>
      </c>
      <c r="D55" s="344" t="s">
        <v>275</v>
      </c>
      <c r="E55" s="348"/>
      <c r="F55" s="324"/>
      <c r="G55" s="322">
        <v>350</v>
      </c>
      <c r="H55" s="322"/>
      <c r="I55" s="323">
        <v>200</v>
      </c>
      <c r="J55" s="323">
        <v>150</v>
      </c>
      <c r="K55" s="322">
        <f t="shared" si="0"/>
        <v>0</v>
      </c>
      <c r="P55" s="177"/>
      <c r="Q55" s="177"/>
      <c r="R55" s="177"/>
    </row>
    <row r="56" spans="3:18" x14ac:dyDescent="0.2">
      <c r="C56" s="336" t="s">
        <v>283</v>
      </c>
      <c r="D56" s="344" t="s">
        <v>284</v>
      </c>
      <c r="E56" s="348"/>
      <c r="F56" s="324"/>
      <c r="G56" s="322">
        <v>175</v>
      </c>
      <c r="H56" s="322"/>
      <c r="I56" s="323"/>
      <c r="J56" s="323">
        <v>175</v>
      </c>
      <c r="K56" s="322">
        <f t="shared" si="0"/>
        <v>0</v>
      </c>
    </row>
    <row r="57" spans="3:18" x14ac:dyDescent="0.2">
      <c r="C57" s="334" t="s">
        <v>286</v>
      </c>
      <c r="D57" s="340" t="s">
        <v>287</v>
      </c>
      <c r="E57" s="347"/>
      <c r="F57" s="325"/>
      <c r="G57" s="322">
        <v>350</v>
      </c>
      <c r="H57" s="322"/>
      <c r="I57" s="322">
        <v>200</v>
      </c>
      <c r="J57" s="322">
        <v>150</v>
      </c>
      <c r="K57" s="322">
        <f t="shared" si="0"/>
        <v>0</v>
      </c>
    </row>
    <row r="58" spans="3:18" x14ac:dyDescent="0.2">
      <c r="C58" s="334" t="s">
        <v>307</v>
      </c>
      <c r="D58" s="340" t="s">
        <v>308</v>
      </c>
      <c r="E58" s="347"/>
      <c r="F58" s="324"/>
      <c r="G58" s="322">
        <v>350</v>
      </c>
      <c r="H58" s="322"/>
      <c r="I58" s="323">
        <v>200</v>
      </c>
      <c r="J58" s="323">
        <v>150</v>
      </c>
      <c r="K58" s="322">
        <f t="shared" ref="K58:K71" si="1">I58-H58+J58+-G58</f>
        <v>0</v>
      </c>
    </row>
    <row r="59" spans="3:18" x14ac:dyDescent="0.2">
      <c r="C59" s="335" t="s">
        <v>312</v>
      </c>
      <c r="D59" s="343" t="s">
        <v>88</v>
      </c>
      <c r="E59" s="332"/>
      <c r="F59" s="325"/>
      <c r="G59" s="322">
        <v>350</v>
      </c>
      <c r="H59" s="322"/>
      <c r="I59" s="322">
        <v>225</v>
      </c>
      <c r="J59" s="322">
        <v>125</v>
      </c>
      <c r="K59" s="322">
        <f t="shared" si="1"/>
        <v>0</v>
      </c>
    </row>
    <row r="60" spans="3:18" x14ac:dyDescent="0.2">
      <c r="C60" s="334" t="s">
        <v>437</v>
      </c>
      <c r="D60" s="340" t="s">
        <v>438</v>
      </c>
      <c r="E60" s="347"/>
      <c r="F60" s="324"/>
      <c r="G60" s="322">
        <v>350</v>
      </c>
      <c r="H60" s="322"/>
      <c r="I60" s="323">
        <v>200</v>
      </c>
      <c r="J60" s="323">
        <v>150</v>
      </c>
      <c r="K60" s="322">
        <f t="shared" si="1"/>
        <v>0</v>
      </c>
    </row>
    <row r="61" spans="3:18" x14ac:dyDescent="0.2">
      <c r="C61" s="337" t="s">
        <v>334</v>
      </c>
      <c r="D61" s="345" t="s">
        <v>335</v>
      </c>
      <c r="E61" s="347"/>
      <c r="F61" s="325" t="s">
        <v>681</v>
      </c>
      <c r="G61" s="322">
        <v>100</v>
      </c>
      <c r="H61" s="322"/>
      <c r="I61" s="322">
        <v>100</v>
      </c>
      <c r="J61" s="322"/>
      <c r="K61" s="322">
        <f t="shared" si="1"/>
        <v>0</v>
      </c>
    </row>
    <row r="62" spans="3:18" x14ac:dyDescent="0.2">
      <c r="C62" s="220" t="s">
        <v>337</v>
      </c>
      <c r="D62" s="341" t="s">
        <v>464</v>
      </c>
      <c r="E62" s="347"/>
      <c r="F62" s="324"/>
      <c r="G62" s="322">
        <v>200</v>
      </c>
      <c r="H62" s="322"/>
      <c r="I62" s="323">
        <v>200</v>
      </c>
      <c r="J62" s="323"/>
      <c r="K62" s="322">
        <f t="shared" si="1"/>
        <v>0</v>
      </c>
    </row>
    <row r="63" spans="3:18" x14ac:dyDescent="0.2">
      <c r="C63" s="337" t="s">
        <v>340</v>
      </c>
      <c r="D63" s="345" t="s">
        <v>341</v>
      </c>
      <c r="E63" s="347"/>
      <c r="F63" s="324"/>
      <c r="G63" s="322">
        <v>100</v>
      </c>
      <c r="H63" s="322"/>
      <c r="I63" s="323">
        <v>100</v>
      </c>
      <c r="J63" s="323"/>
      <c r="K63" s="322">
        <f t="shared" si="1"/>
        <v>0</v>
      </c>
    </row>
    <row r="64" spans="3:18" x14ac:dyDescent="0.2">
      <c r="C64" s="334" t="s">
        <v>346</v>
      </c>
      <c r="D64" s="340" t="s">
        <v>347</v>
      </c>
      <c r="E64" s="347"/>
      <c r="F64" s="325"/>
      <c r="G64" s="322">
        <v>350</v>
      </c>
      <c r="H64" s="322"/>
      <c r="I64" s="322">
        <v>200</v>
      </c>
      <c r="J64" s="322">
        <v>150</v>
      </c>
      <c r="K64" s="322">
        <f t="shared" si="1"/>
        <v>0</v>
      </c>
    </row>
    <row r="65" spans="3:11" x14ac:dyDescent="0.2">
      <c r="C65" s="334" t="s">
        <v>360</v>
      </c>
      <c r="D65" s="340" t="s">
        <v>190</v>
      </c>
      <c r="E65" s="347"/>
      <c r="F65" s="325"/>
      <c r="G65" s="322">
        <v>350</v>
      </c>
      <c r="H65" s="322"/>
      <c r="I65" s="322">
        <v>200</v>
      </c>
      <c r="J65" s="322">
        <v>150</v>
      </c>
      <c r="K65" s="322">
        <f t="shared" si="1"/>
        <v>0</v>
      </c>
    </row>
    <row r="66" spans="3:11" x14ac:dyDescent="0.2">
      <c r="C66" s="334" t="s">
        <v>362</v>
      </c>
      <c r="D66" s="340" t="s">
        <v>363</v>
      </c>
      <c r="E66" s="347"/>
      <c r="F66" s="324"/>
      <c r="G66" s="322">
        <v>350</v>
      </c>
      <c r="H66" s="322"/>
      <c r="I66" s="323">
        <v>200</v>
      </c>
      <c r="J66" s="323">
        <v>150</v>
      </c>
      <c r="K66" s="322">
        <f t="shared" si="1"/>
        <v>0</v>
      </c>
    </row>
    <row r="67" spans="3:11" x14ac:dyDescent="0.2">
      <c r="C67" s="334" t="s">
        <v>365</v>
      </c>
      <c r="D67" s="340" t="s">
        <v>682</v>
      </c>
      <c r="E67" s="347"/>
      <c r="F67" s="324"/>
      <c r="G67" s="322">
        <v>350</v>
      </c>
      <c r="H67" s="322"/>
      <c r="I67" s="323">
        <v>200</v>
      </c>
      <c r="J67" s="323">
        <v>150</v>
      </c>
      <c r="K67" s="322">
        <f t="shared" si="1"/>
        <v>0</v>
      </c>
    </row>
    <row r="68" spans="3:11" x14ac:dyDescent="0.2">
      <c r="C68" s="334" t="s">
        <v>440</v>
      </c>
      <c r="D68" s="340" t="s">
        <v>441</v>
      </c>
      <c r="E68" s="347" t="s">
        <v>805</v>
      </c>
      <c r="F68" s="325"/>
      <c r="G68" s="322">
        <v>350</v>
      </c>
      <c r="H68" s="322"/>
      <c r="I68" s="322">
        <v>200</v>
      </c>
      <c r="J68" s="322">
        <v>150</v>
      </c>
      <c r="K68" s="322">
        <f t="shared" si="1"/>
        <v>0</v>
      </c>
    </row>
    <row r="69" spans="3:11" x14ac:dyDescent="0.2">
      <c r="C69" s="334" t="s">
        <v>443</v>
      </c>
      <c r="D69" s="340" t="s">
        <v>683</v>
      </c>
      <c r="E69" s="347" t="s">
        <v>805</v>
      </c>
      <c r="F69" s="325"/>
      <c r="G69" s="322">
        <v>350</v>
      </c>
      <c r="H69" s="322"/>
      <c r="I69" s="322">
        <v>200</v>
      </c>
      <c r="J69" s="322">
        <v>150</v>
      </c>
      <c r="K69" s="322">
        <f t="shared" si="1"/>
        <v>0</v>
      </c>
    </row>
    <row r="70" spans="3:11" x14ac:dyDescent="0.2">
      <c r="C70" s="333" t="s">
        <v>446</v>
      </c>
      <c r="D70" s="346" t="s">
        <v>447</v>
      </c>
      <c r="E70" s="347"/>
      <c r="F70" s="324"/>
      <c r="G70" s="322">
        <v>350</v>
      </c>
      <c r="H70" s="322"/>
      <c r="I70" s="323">
        <v>200</v>
      </c>
      <c r="J70" s="323">
        <v>150</v>
      </c>
      <c r="K70" s="322">
        <f t="shared" si="1"/>
        <v>0</v>
      </c>
    </row>
    <row r="71" spans="3:11" ht="17" thickBot="1" x14ac:dyDescent="0.25">
      <c r="C71" s="333" t="s">
        <v>392</v>
      </c>
      <c r="D71" s="346" t="s">
        <v>393</v>
      </c>
      <c r="E71" s="347"/>
      <c r="F71" s="324"/>
      <c r="G71" s="322">
        <v>350</v>
      </c>
      <c r="H71" s="322"/>
      <c r="I71" s="323">
        <v>200</v>
      </c>
      <c r="J71" s="323">
        <v>150</v>
      </c>
      <c r="K71" s="322">
        <f t="shared" si="1"/>
        <v>0</v>
      </c>
    </row>
    <row r="72" spans="3:11" ht="17" thickBot="1" x14ac:dyDescent="0.25">
      <c r="F72" s="198" t="s">
        <v>22</v>
      </c>
      <c r="G72" s="203">
        <f>SUM(G15:G71)</f>
        <v>17550</v>
      </c>
      <c r="H72" s="203"/>
      <c r="I72" s="331">
        <f>SUM(I14:I71)</f>
        <v>10500</v>
      </c>
      <c r="J72" s="198"/>
      <c r="K72" s="203">
        <f>SUM(K15:K71)</f>
        <v>-350</v>
      </c>
    </row>
    <row r="73" spans="3:11" ht="17" thickBot="1" x14ac:dyDescent="0.25">
      <c r="F73" s="198" t="s">
        <v>61</v>
      </c>
      <c r="G73" s="204">
        <f>SUM(I14:J71)</f>
        <v>17625</v>
      </c>
      <c r="H73" s="330"/>
    </row>
  </sheetData>
  <autoFilter ref="C13:K73" xr:uid="{47EA416F-5BA1-4749-B58E-A7B9EA86FB35}"/>
  <sortState xmlns:xlrd2="http://schemas.microsoft.com/office/spreadsheetml/2017/richdata2" ref="C14:K71">
    <sortCondition ref="C14:C71"/>
  </sortState>
  <mergeCells count="14">
    <mergeCell ref="M16:R16"/>
    <mergeCell ref="C12:G12"/>
    <mergeCell ref="I12:K12"/>
    <mergeCell ref="C2:D2"/>
    <mergeCell ref="I2:J2"/>
    <mergeCell ref="C3:D3"/>
    <mergeCell ref="I3:J3"/>
    <mergeCell ref="C4:D4"/>
    <mergeCell ref="I4:J4"/>
    <mergeCell ref="N2:Q2"/>
    <mergeCell ref="C5:D5"/>
    <mergeCell ref="I5:J5"/>
    <mergeCell ref="C6:D6"/>
    <mergeCell ref="I6:J6"/>
  </mergeCells>
  <conditionalFormatting sqref="K14:K71">
    <cfRule type="cellIs" dxfId="2" priority="1" operator="greaterThan">
      <formula>0</formula>
    </cfRule>
  </conditionalFormatting>
  <pageMargins left="0.7" right="0.7" top="0.75" bottom="0.75" header="0.3" footer="0.3"/>
  <pageSetup orientation="portrait" horizontalDpi="0" verticalDpi="0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A7733-21E2-AE42-A078-28DF28BB3C6E}">
  <dimension ref="C2:I92"/>
  <sheetViews>
    <sheetView topLeftCell="A62" workbookViewId="0">
      <selection activeCell="E5" sqref="E5"/>
    </sheetView>
  </sheetViews>
  <sheetFormatPr baseColWidth="10" defaultColWidth="11" defaultRowHeight="16" x14ac:dyDescent="0.2"/>
  <cols>
    <col min="3" max="3" width="11.1640625" customWidth="1"/>
    <col min="4" max="4" width="18.6640625" customWidth="1"/>
    <col min="5" max="6" width="11.5" bestFit="1" customWidth="1"/>
    <col min="7" max="7" width="10.5" bestFit="1" customWidth="1"/>
    <col min="8" max="8" width="10" bestFit="1" customWidth="1"/>
    <col min="9" max="9" width="17.1640625" bestFit="1" customWidth="1"/>
  </cols>
  <sheetData>
    <row r="2" spans="3:9" x14ac:dyDescent="0.2">
      <c r="C2" s="397" t="s">
        <v>661</v>
      </c>
      <c r="D2" s="398"/>
      <c r="E2" s="159">
        <f>Table6[[#Totals],[Total]]</f>
        <v>49431.75</v>
      </c>
      <c r="G2" s="397" t="s">
        <v>661</v>
      </c>
      <c r="H2" s="398"/>
      <c r="I2" s="159">
        <f>Table6[[#Totals],[Total]]</f>
        <v>49431.75</v>
      </c>
    </row>
    <row r="3" spans="3:9" x14ac:dyDescent="0.2">
      <c r="C3" s="399" t="s">
        <v>663</v>
      </c>
      <c r="D3" s="400"/>
      <c r="E3" s="160">
        <v>24531.75</v>
      </c>
      <c r="G3" s="399" t="s">
        <v>663</v>
      </c>
      <c r="H3" s="400"/>
      <c r="I3" s="160">
        <v>24531.75</v>
      </c>
    </row>
    <row r="4" spans="3:9" x14ac:dyDescent="0.2">
      <c r="C4" s="399" t="s">
        <v>667</v>
      </c>
      <c r="D4" s="400"/>
      <c r="E4" s="161">
        <f>$E$2-$E$3</f>
        <v>24900</v>
      </c>
      <c r="G4" s="399" t="s">
        <v>667</v>
      </c>
      <c r="H4" s="400"/>
      <c r="I4" s="161">
        <f>I6*I5</f>
        <v>29200</v>
      </c>
    </row>
    <row r="5" spans="3:9" x14ac:dyDescent="0.2">
      <c r="C5" s="399" t="s">
        <v>668</v>
      </c>
      <c r="D5" s="400"/>
      <c r="E5" s="166">
        <f>Table5[[#Totals],[First Name]]</f>
        <v>80</v>
      </c>
      <c r="G5" s="399" t="s">
        <v>668</v>
      </c>
      <c r="H5" s="400"/>
      <c r="I5" s="166">
        <v>73</v>
      </c>
    </row>
    <row r="6" spans="3:9" x14ac:dyDescent="0.2">
      <c r="C6" s="404" t="s">
        <v>666</v>
      </c>
      <c r="D6" s="405"/>
      <c r="E6" s="167">
        <f>$E$4/($E$5)</f>
        <v>311.25</v>
      </c>
      <c r="G6" s="404" t="s">
        <v>666</v>
      </c>
      <c r="H6" s="405"/>
      <c r="I6" s="167">
        <f>400</f>
        <v>400</v>
      </c>
    </row>
    <row r="10" spans="3:9" ht="17" thickBot="1" x14ac:dyDescent="0.25">
      <c r="C10" s="391" t="s">
        <v>76</v>
      </c>
      <c r="D10" s="392"/>
      <c r="E10" s="392"/>
      <c r="F10" s="393"/>
      <c r="G10" s="394" t="s">
        <v>673</v>
      </c>
      <c r="H10" s="395"/>
      <c r="I10" s="396"/>
    </row>
    <row r="11" spans="3:9" ht="17" thickBot="1" x14ac:dyDescent="0.25">
      <c r="C11" s="198" t="s">
        <v>53</v>
      </c>
      <c r="D11" s="198" t="s">
        <v>54</v>
      </c>
      <c r="E11" s="198" t="s">
        <v>55</v>
      </c>
      <c r="F11" s="198" t="s">
        <v>56</v>
      </c>
      <c r="G11" s="198" t="s">
        <v>450</v>
      </c>
      <c r="H11" s="198" t="s">
        <v>451</v>
      </c>
      <c r="I11" s="198" t="s">
        <v>62</v>
      </c>
    </row>
    <row r="12" spans="3:9" x14ac:dyDescent="0.2">
      <c r="C12" s="207" t="s">
        <v>74</v>
      </c>
      <c r="D12" s="207" t="s">
        <v>75</v>
      </c>
      <c r="E12" s="199"/>
      <c r="F12" s="202">
        <v>400</v>
      </c>
      <c r="G12" s="200">
        <v>200</v>
      </c>
      <c r="H12" s="200">
        <v>200</v>
      </c>
      <c r="I12" s="202">
        <f t="shared" ref="I12:I43" si="0">G12+H12+-F12</f>
        <v>0</v>
      </c>
    </row>
    <row r="13" spans="3:9" x14ac:dyDescent="0.2">
      <c r="C13" s="208" t="s">
        <v>80</v>
      </c>
      <c r="D13" s="208" t="s">
        <v>81</v>
      </c>
      <c r="E13" s="201"/>
      <c r="F13" s="202">
        <v>400</v>
      </c>
      <c r="G13" s="202">
        <v>200</v>
      </c>
      <c r="H13" s="202">
        <v>200</v>
      </c>
      <c r="I13" s="202">
        <f t="shared" si="0"/>
        <v>0</v>
      </c>
    </row>
    <row r="14" spans="3:9" x14ac:dyDescent="0.2">
      <c r="C14" s="207" t="s">
        <v>87</v>
      </c>
      <c r="D14" s="207" t="s">
        <v>88</v>
      </c>
      <c r="E14" s="199"/>
      <c r="F14" s="202">
        <v>400</v>
      </c>
      <c r="G14" s="200">
        <v>200</v>
      </c>
      <c r="H14" s="200">
        <v>200</v>
      </c>
      <c r="I14" s="202">
        <f t="shared" si="0"/>
        <v>0</v>
      </c>
    </row>
    <row r="15" spans="3:9" x14ac:dyDescent="0.2">
      <c r="C15" s="208" t="s">
        <v>98</v>
      </c>
      <c r="D15" s="208" t="s">
        <v>99</v>
      </c>
      <c r="E15" s="201"/>
      <c r="F15" s="202">
        <v>400</v>
      </c>
      <c r="G15" s="202">
        <v>200</v>
      </c>
      <c r="H15" s="202">
        <v>200</v>
      </c>
      <c r="I15" s="202">
        <f t="shared" si="0"/>
        <v>0</v>
      </c>
    </row>
    <row r="16" spans="3:9" x14ac:dyDescent="0.2">
      <c r="C16" s="205" t="s">
        <v>102</v>
      </c>
      <c r="D16" s="205" t="s">
        <v>103</v>
      </c>
      <c r="E16" s="201"/>
      <c r="F16" s="202">
        <v>0</v>
      </c>
      <c r="G16" s="202"/>
      <c r="H16" s="202"/>
      <c r="I16" s="202">
        <f t="shared" si="0"/>
        <v>0</v>
      </c>
    </row>
    <row r="17" spans="3:9" x14ac:dyDescent="0.2">
      <c r="C17" s="207" t="s">
        <v>106</v>
      </c>
      <c r="D17" s="207" t="s">
        <v>107</v>
      </c>
      <c r="E17" s="199"/>
      <c r="F17" s="202">
        <v>400</v>
      </c>
      <c r="G17" s="200">
        <v>200</v>
      </c>
      <c r="H17" s="200">
        <v>200</v>
      </c>
      <c r="I17" s="202">
        <f t="shared" si="0"/>
        <v>0</v>
      </c>
    </row>
    <row r="18" spans="3:9" x14ac:dyDescent="0.2">
      <c r="C18" s="208" t="s">
        <v>113</v>
      </c>
      <c r="D18" s="208" t="s">
        <v>114</v>
      </c>
      <c r="E18" s="201"/>
      <c r="F18" s="202">
        <v>400</v>
      </c>
      <c r="G18" s="202">
        <v>200</v>
      </c>
      <c r="H18" s="202">
        <v>200</v>
      </c>
      <c r="I18" s="202">
        <f t="shared" si="0"/>
        <v>0</v>
      </c>
    </row>
    <row r="19" spans="3:9" x14ac:dyDescent="0.2">
      <c r="C19" s="207" t="s">
        <v>116</v>
      </c>
      <c r="D19" s="207" t="s">
        <v>117</v>
      </c>
      <c r="E19" s="199"/>
      <c r="F19" s="202">
        <v>400</v>
      </c>
      <c r="G19" s="200">
        <v>200</v>
      </c>
      <c r="H19" s="200">
        <v>200</v>
      </c>
      <c r="I19" s="202">
        <f t="shared" si="0"/>
        <v>0</v>
      </c>
    </row>
    <row r="20" spans="3:9" x14ac:dyDescent="0.2">
      <c r="C20" s="208" t="s">
        <v>120</v>
      </c>
      <c r="D20" s="208" t="s">
        <v>121</v>
      </c>
      <c r="E20" s="201"/>
      <c r="F20" s="202">
        <v>400</v>
      </c>
      <c r="G20" s="202">
        <v>200</v>
      </c>
      <c r="H20" s="202">
        <v>200</v>
      </c>
      <c r="I20" s="202">
        <f t="shared" si="0"/>
        <v>0</v>
      </c>
    </row>
    <row r="21" spans="3:9" x14ac:dyDescent="0.2">
      <c r="C21" s="207" t="s">
        <v>123</v>
      </c>
      <c r="D21" s="207" t="s">
        <v>88</v>
      </c>
      <c r="E21" s="199"/>
      <c r="F21" s="202">
        <v>400</v>
      </c>
      <c r="G21" s="200">
        <v>200</v>
      </c>
      <c r="H21" s="200">
        <v>200</v>
      </c>
      <c r="I21" s="202">
        <f t="shared" si="0"/>
        <v>0</v>
      </c>
    </row>
    <row r="22" spans="3:9" x14ac:dyDescent="0.2">
      <c r="C22" s="208" t="s">
        <v>684</v>
      </c>
      <c r="D22" s="208" t="s">
        <v>685</v>
      </c>
      <c r="E22" s="201"/>
      <c r="F22" s="202">
        <v>500</v>
      </c>
      <c r="G22" s="202">
        <v>250</v>
      </c>
      <c r="H22" s="202">
        <v>250</v>
      </c>
      <c r="I22" s="202">
        <f t="shared" si="0"/>
        <v>0</v>
      </c>
    </row>
    <row r="23" spans="3:9" x14ac:dyDescent="0.2">
      <c r="C23" s="205" t="s">
        <v>125</v>
      </c>
      <c r="D23" s="205" t="s">
        <v>95</v>
      </c>
      <c r="E23" s="201"/>
      <c r="F23" s="202">
        <v>0</v>
      </c>
      <c r="G23" s="202"/>
      <c r="H23" s="202"/>
      <c r="I23" s="202">
        <f t="shared" si="0"/>
        <v>0</v>
      </c>
    </row>
    <row r="24" spans="3:9" x14ac:dyDescent="0.2">
      <c r="C24" s="207" t="s">
        <v>127</v>
      </c>
      <c r="D24" s="207" t="s">
        <v>128</v>
      </c>
      <c r="E24" s="199"/>
      <c r="F24" s="202">
        <v>400</v>
      </c>
      <c r="G24" s="200">
        <v>200</v>
      </c>
      <c r="H24" s="200">
        <v>200</v>
      </c>
      <c r="I24" s="202">
        <f t="shared" si="0"/>
        <v>0</v>
      </c>
    </row>
    <row r="25" spans="3:9" x14ac:dyDescent="0.2">
      <c r="C25" s="208" t="s">
        <v>130</v>
      </c>
      <c r="D25" s="208" t="s">
        <v>131</v>
      </c>
      <c r="E25" s="201"/>
      <c r="F25" s="202">
        <v>400</v>
      </c>
      <c r="G25" s="202">
        <v>200</v>
      </c>
      <c r="H25" s="202">
        <v>200</v>
      </c>
      <c r="I25" s="202">
        <f t="shared" si="0"/>
        <v>0</v>
      </c>
    </row>
    <row r="26" spans="3:9" x14ac:dyDescent="0.2">
      <c r="C26" s="210" t="s">
        <v>686</v>
      </c>
      <c r="D26" s="210" t="s">
        <v>687</v>
      </c>
      <c r="E26" s="201"/>
      <c r="F26" s="202">
        <v>400</v>
      </c>
      <c r="G26" s="202"/>
      <c r="H26" s="202"/>
      <c r="I26" s="202">
        <f t="shared" si="0"/>
        <v>-400</v>
      </c>
    </row>
    <row r="27" spans="3:9" x14ac:dyDescent="0.2">
      <c r="C27" s="209" t="s">
        <v>688</v>
      </c>
      <c r="D27" s="209" t="s">
        <v>689</v>
      </c>
      <c r="E27" s="201"/>
      <c r="F27" s="202">
        <v>400</v>
      </c>
      <c r="G27" s="202">
        <v>200</v>
      </c>
      <c r="H27" s="202"/>
      <c r="I27" s="202">
        <f t="shared" si="0"/>
        <v>-200</v>
      </c>
    </row>
    <row r="28" spans="3:9" x14ac:dyDescent="0.2">
      <c r="C28" s="207" t="s">
        <v>145</v>
      </c>
      <c r="D28" s="207" t="s">
        <v>92</v>
      </c>
      <c r="E28" s="199"/>
      <c r="F28" s="202">
        <v>400</v>
      </c>
      <c r="G28" s="200">
        <v>200</v>
      </c>
      <c r="H28" s="200">
        <v>200</v>
      </c>
      <c r="I28" s="202">
        <f t="shared" si="0"/>
        <v>0</v>
      </c>
    </row>
    <row r="29" spans="3:9" x14ac:dyDescent="0.2">
      <c r="C29" s="210" t="s">
        <v>147</v>
      </c>
      <c r="D29" s="210" t="s">
        <v>148</v>
      </c>
      <c r="E29" s="201"/>
      <c r="F29" s="202">
        <v>400</v>
      </c>
      <c r="G29" s="202"/>
      <c r="H29" s="202"/>
      <c r="I29" s="202">
        <f t="shared" si="0"/>
        <v>-400</v>
      </c>
    </row>
    <row r="30" spans="3:9" x14ac:dyDescent="0.2">
      <c r="C30" s="211" t="s">
        <v>155</v>
      </c>
      <c r="D30" s="211" t="s">
        <v>111</v>
      </c>
      <c r="E30" s="199"/>
      <c r="F30" s="202">
        <v>400</v>
      </c>
      <c r="G30" s="200">
        <v>200</v>
      </c>
      <c r="H30" s="200"/>
      <c r="I30" s="202">
        <f t="shared" si="0"/>
        <v>-200</v>
      </c>
    </row>
    <row r="31" spans="3:9" x14ac:dyDescent="0.2">
      <c r="C31" s="208" t="s">
        <v>163</v>
      </c>
      <c r="D31" s="208" t="s">
        <v>164</v>
      </c>
      <c r="E31" s="201"/>
      <c r="F31" s="202">
        <v>400</v>
      </c>
      <c r="G31" s="202">
        <v>200</v>
      </c>
      <c r="H31" s="202">
        <v>200</v>
      </c>
      <c r="I31" s="202">
        <f t="shared" si="0"/>
        <v>0</v>
      </c>
    </row>
    <row r="32" spans="3:9" x14ac:dyDescent="0.2">
      <c r="C32" s="207" t="s">
        <v>166</v>
      </c>
      <c r="D32" s="207" t="s">
        <v>167</v>
      </c>
      <c r="E32" s="199"/>
      <c r="F32" s="202">
        <v>400</v>
      </c>
      <c r="G32" s="200">
        <v>200</v>
      </c>
      <c r="H32" s="200">
        <v>200</v>
      </c>
      <c r="I32" s="202">
        <f t="shared" si="0"/>
        <v>0</v>
      </c>
    </row>
    <row r="33" spans="3:9" x14ac:dyDescent="0.2">
      <c r="C33" s="208" t="s">
        <v>169</v>
      </c>
      <c r="D33" s="208" t="s">
        <v>170</v>
      </c>
      <c r="E33" s="201"/>
      <c r="F33" s="202">
        <v>400</v>
      </c>
      <c r="G33" s="202">
        <v>200</v>
      </c>
      <c r="H33" s="202">
        <v>200</v>
      </c>
      <c r="I33" s="202">
        <f t="shared" si="0"/>
        <v>0</v>
      </c>
    </row>
    <row r="34" spans="3:9" x14ac:dyDescent="0.2">
      <c r="C34" s="207" t="s">
        <v>172</v>
      </c>
      <c r="D34" s="207" t="s">
        <v>173</v>
      </c>
      <c r="E34" s="199"/>
      <c r="F34" s="202">
        <v>400</v>
      </c>
      <c r="G34" s="200">
        <v>200</v>
      </c>
      <c r="H34" s="200">
        <v>200</v>
      </c>
      <c r="I34" s="202">
        <f t="shared" si="0"/>
        <v>0</v>
      </c>
    </row>
    <row r="35" spans="3:9" x14ac:dyDescent="0.2">
      <c r="C35" s="208" t="s">
        <v>175</v>
      </c>
      <c r="D35" s="208" t="s">
        <v>176</v>
      </c>
      <c r="E35" s="201"/>
      <c r="F35" s="202">
        <v>400</v>
      </c>
      <c r="G35" s="202">
        <v>200</v>
      </c>
      <c r="H35" s="202">
        <v>200</v>
      </c>
      <c r="I35" s="202">
        <f t="shared" si="0"/>
        <v>0</v>
      </c>
    </row>
    <row r="36" spans="3:9" x14ac:dyDescent="0.2">
      <c r="C36" s="207" t="s">
        <v>178</v>
      </c>
      <c r="D36" s="207" t="s">
        <v>179</v>
      </c>
      <c r="E36" s="199"/>
      <c r="F36" s="202">
        <v>400</v>
      </c>
      <c r="G36" s="200">
        <v>200</v>
      </c>
      <c r="H36" s="200">
        <v>200</v>
      </c>
      <c r="I36" s="202">
        <f t="shared" si="0"/>
        <v>0</v>
      </c>
    </row>
    <row r="37" spans="3:9" x14ac:dyDescent="0.2">
      <c r="C37" s="212" t="s">
        <v>690</v>
      </c>
      <c r="D37" s="212" t="s">
        <v>691</v>
      </c>
      <c r="E37" s="199"/>
      <c r="F37" s="202">
        <v>400</v>
      </c>
      <c r="G37" s="200">
        <v>200</v>
      </c>
      <c r="H37" s="200"/>
      <c r="I37" s="202">
        <f t="shared" si="0"/>
        <v>-200</v>
      </c>
    </row>
    <row r="38" spans="3:9" x14ac:dyDescent="0.2">
      <c r="C38" s="205" t="s">
        <v>189</v>
      </c>
      <c r="D38" s="205" t="s">
        <v>692</v>
      </c>
      <c r="E38" s="201"/>
      <c r="F38" s="202">
        <v>0</v>
      </c>
      <c r="G38" s="202"/>
      <c r="H38" s="202"/>
      <c r="I38" s="202">
        <f t="shared" si="0"/>
        <v>0</v>
      </c>
    </row>
    <row r="39" spans="3:9" x14ac:dyDescent="0.2">
      <c r="C39" s="207" t="s">
        <v>192</v>
      </c>
      <c r="D39" s="207" t="s">
        <v>243</v>
      </c>
      <c r="E39" s="199"/>
      <c r="F39" s="202">
        <v>400</v>
      </c>
      <c r="G39" s="200">
        <v>200</v>
      </c>
      <c r="H39" s="200">
        <v>200</v>
      </c>
      <c r="I39" s="202">
        <f t="shared" si="0"/>
        <v>0</v>
      </c>
    </row>
    <row r="40" spans="3:9" x14ac:dyDescent="0.2">
      <c r="C40" s="208" t="s">
        <v>192</v>
      </c>
      <c r="D40" s="208" t="s">
        <v>193</v>
      </c>
      <c r="E40" s="201"/>
      <c r="F40" s="202">
        <v>200</v>
      </c>
      <c r="G40" s="202">
        <v>200</v>
      </c>
      <c r="H40" s="202"/>
      <c r="I40" s="202">
        <f t="shared" si="0"/>
        <v>0</v>
      </c>
    </row>
    <row r="41" spans="3:9" x14ac:dyDescent="0.2">
      <c r="C41" s="206" t="s">
        <v>195</v>
      </c>
      <c r="D41" s="206" t="s">
        <v>693</v>
      </c>
      <c r="E41" s="199"/>
      <c r="F41" s="202">
        <v>0</v>
      </c>
      <c r="G41" s="200"/>
      <c r="H41" s="200"/>
      <c r="I41" s="202">
        <f t="shared" si="0"/>
        <v>0</v>
      </c>
    </row>
    <row r="42" spans="3:9" x14ac:dyDescent="0.2">
      <c r="C42" s="208" t="s">
        <v>201</v>
      </c>
      <c r="D42" s="208" t="s">
        <v>202</v>
      </c>
      <c r="E42" s="201"/>
      <c r="F42" s="202">
        <v>400</v>
      </c>
      <c r="G42" s="202">
        <v>200</v>
      </c>
      <c r="H42" s="202">
        <v>200</v>
      </c>
      <c r="I42" s="202">
        <f t="shared" si="0"/>
        <v>0</v>
      </c>
    </row>
    <row r="43" spans="3:9" x14ac:dyDescent="0.2">
      <c r="C43" s="207" t="s">
        <v>210</v>
      </c>
      <c r="D43" s="207" t="s">
        <v>694</v>
      </c>
      <c r="E43" s="199"/>
      <c r="F43" s="202">
        <v>400</v>
      </c>
      <c r="G43" s="200">
        <v>200</v>
      </c>
      <c r="H43" s="200"/>
      <c r="I43" s="202">
        <f t="shared" si="0"/>
        <v>-200</v>
      </c>
    </row>
    <row r="44" spans="3:9" x14ac:dyDescent="0.2">
      <c r="C44" s="208" t="s">
        <v>695</v>
      </c>
      <c r="D44" s="208" t="s">
        <v>214</v>
      </c>
      <c r="E44" s="201"/>
      <c r="F44" s="202">
        <v>400</v>
      </c>
      <c r="G44" s="202">
        <v>200</v>
      </c>
      <c r="H44" s="202"/>
      <c r="I44" s="202">
        <f t="shared" ref="I44:I75" si="1">G44+H44+-F44</f>
        <v>-200</v>
      </c>
    </row>
    <row r="45" spans="3:9" x14ac:dyDescent="0.2">
      <c r="C45" s="207" t="s">
        <v>696</v>
      </c>
      <c r="D45" s="207" t="s">
        <v>218</v>
      </c>
      <c r="E45" s="199"/>
      <c r="F45" s="202">
        <v>400</v>
      </c>
      <c r="G45" s="200">
        <v>200</v>
      </c>
      <c r="H45" s="200">
        <v>200</v>
      </c>
      <c r="I45" s="202">
        <f t="shared" si="1"/>
        <v>0</v>
      </c>
    </row>
    <row r="46" spans="3:9" x14ac:dyDescent="0.2">
      <c r="C46" s="205" t="s">
        <v>224</v>
      </c>
      <c r="D46" s="205" t="s">
        <v>202</v>
      </c>
      <c r="E46" s="201"/>
      <c r="F46" s="202">
        <v>0</v>
      </c>
      <c r="G46" s="202"/>
      <c r="H46" s="202"/>
      <c r="I46" s="202">
        <f t="shared" si="1"/>
        <v>0</v>
      </c>
    </row>
    <row r="47" spans="3:9" x14ac:dyDescent="0.2">
      <c r="C47" s="207" t="s">
        <v>697</v>
      </c>
      <c r="D47" s="207" t="s">
        <v>75</v>
      </c>
      <c r="E47" s="199"/>
      <c r="F47" s="202">
        <v>400</v>
      </c>
      <c r="G47" s="200">
        <v>200</v>
      </c>
      <c r="H47" s="200">
        <v>200</v>
      </c>
      <c r="I47" s="202">
        <f t="shared" si="1"/>
        <v>0</v>
      </c>
    </row>
    <row r="48" spans="3:9" x14ac:dyDescent="0.2">
      <c r="C48" s="208" t="s">
        <v>698</v>
      </c>
      <c r="D48" s="208" t="s">
        <v>218</v>
      </c>
      <c r="E48" s="201"/>
      <c r="F48" s="202">
        <v>400</v>
      </c>
      <c r="G48" s="202">
        <v>200</v>
      </c>
      <c r="H48" s="202">
        <v>25</v>
      </c>
      <c r="I48" s="202">
        <f t="shared" si="1"/>
        <v>-175</v>
      </c>
    </row>
    <row r="49" spans="3:9" x14ac:dyDescent="0.2">
      <c r="C49" s="207" t="s">
        <v>699</v>
      </c>
      <c r="D49" s="207" t="s">
        <v>92</v>
      </c>
      <c r="E49" s="199"/>
      <c r="F49" s="202">
        <v>400</v>
      </c>
      <c r="G49" s="200">
        <v>200</v>
      </c>
      <c r="H49" s="200">
        <v>200</v>
      </c>
      <c r="I49" s="202">
        <f t="shared" si="1"/>
        <v>0</v>
      </c>
    </row>
    <row r="50" spans="3:9" x14ac:dyDescent="0.2">
      <c r="C50" s="208" t="s">
        <v>237</v>
      </c>
      <c r="D50" s="208" t="s">
        <v>238</v>
      </c>
      <c r="E50" s="201"/>
      <c r="F50" s="202">
        <v>400</v>
      </c>
      <c r="G50" s="202">
        <v>200</v>
      </c>
      <c r="H50" s="202">
        <v>200</v>
      </c>
      <c r="I50" s="202">
        <f t="shared" si="1"/>
        <v>0</v>
      </c>
    </row>
    <row r="51" spans="3:9" x14ac:dyDescent="0.2">
      <c r="C51" s="212" t="s">
        <v>242</v>
      </c>
      <c r="D51" s="212" t="s">
        <v>243</v>
      </c>
      <c r="E51" s="199"/>
      <c r="F51" s="202">
        <v>400</v>
      </c>
      <c r="G51" s="200">
        <v>200</v>
      </c>
      <c r="H51" s="200">
        <v>200</v>
      </c>
      <c r="I51" s="202">
        <f t="shared" si="1"/>
        <v>0</v>
      </c>
    </row>
    <row r="52" spans="3:9" x14ac:dyDescent="0.2">
      <c r="C52" s="207" t="s">
        <v>245</v>
      </c>
      <c r="D52" s="207" t="s">
        <v>246</v>
      </c>
      <c r="E52" s="199"/>
      <c r="F52" s="202">
        <v>400</v>
      </c>
      <c r="G52" s="200">
        <v>200</v>
      </c>
      <c r="H52" s="200">
        <v>200</v>
      </c>
      <c r="I52" s="202">
        <f t="shared" si="1"/>
        <v>0</v>
      </c>
    </row>
    <row r="53" spans="3:9" x14ac:dyDescent="0.2">
      <c r="C53" s="208" t="s">
        <v>251</v>
      </c>
      <c r="D53" s="208" t="s">
        <v>184</v>
      </c>
      <c r="E53" s="201"/>
      <c r="F53" s="202">
        <v>400</v>
      </c>
      <c r="G53" s="202">
        <v>200</v>
      </c>
      <c r="H53" s="202">
        <v>200</v>
      </c>
      <c r="I53" s="202">
        <f t="shared" si="1"/>
        <v>0</v>
      </c>
    </row>
    <row r="54" spans="3:9" x14ac:dyDescent="0.2">
      <c r="C54" s="208" t="s">
        <v>253</v>
      </c>
      <c r="D54" s="208" t="s">
        <v>679</v>
      </c>
      <c r="E54" s="201"/>
      <c r="F54" s="202">
        <v>400</v>
      </c>
      <c r="G54" s="202">
        <v>200</v>
      </c>
      <c r="H54" s="202">
        <v>200</v>
      </c>
      <c r="I54" s="202">
        <f t="shared" si="1"/>
        <v>0</v>
      </c>
    </row>
    <row r="55" spans="3:9" x14ac:dyDescent="0.2">
      <c r="C55" s="207" t="s">
        <v>253</v>
      </c>
      <c r="D55" s="207" t="s">
        <v>256</v>
      </c>
      <c r="E55" s="199"/>
      <c r="F55" s="202">
        <v>400</v>
      </c>
      <c r="G55" s="200">
        <v>200</v>
      </c>
      <c r="H55" s="200">
        <v>200</v>
      </c>
      <c r="I55" s="202">
        <f t="shared" si="1"/>
        <v>0</v>
      </c>
    </row>
    <row r="56" spans="3:9" x14ac:dyDescent="0.2">
      <c r="C56" s="207" t="s">
        <v>700</v>
      </c>
      <c r="D56" s="207" t="s">
        <v>137</v>
      </c>
      <c r="E56" s="199"/>
      <c r="F56" s="202">
        <v>500</v>
      </c>
      <c r="G56" s="200">
        <v>250</v>
      </c>
      <c r="H56" s="200">
        <v>250</v>
      </c>
      <c r="I56" s="202">
        <f t="shared" si="1"/>
        <v>0</v>
      </c>
    </row>
    <row r="57" spans="3:9" x14ac:dyDescent="0.2">
      <c r="C57" s="206" t="s">
        <v>701</v>
      </c>
      <c r="D57" s="206" t="s">
        <v>261</v>
      </c>
      <c r="E57" s="199"/>
      <c r="F57" s="202">
        <v>0</v>
      </c>
      <c r="G57" s="200"/>
      <c r="H57" s="200"/>
      <c r="I57" s="202">
        <f t="shared" si="1"/>
        <v>0</v>
      </c>
    </row>
    <row r="58" spans="3:9" x14ac:dyDescent="0.2">
      <c r="C58" s="208" t="s">
        <v>263</v>
      </c>
      <c r="D58" s="208" t="s">
        <v>264</v>
      </c>
      <c r="E58" s="201"/>
      <c r="F58" s="202">
        <v>200</v>
      </c>
      <c r="G58" s="202">
        <v>200</v>
      </c>
      <c r="H58" s="202"/>
      <c r="I58" s="202">
        <f t="shared" si="1"/>
        <v>0</v>
      </c>
    </row>
    <row r="59" spans="3:9" x14ac:dyDescent="0.2">
      <c r="C59" s="207" t="s">
        <v>266</v>
      </c>
      <c r="D59" s="207" t="s">
        <v>702</v>
      </c>
      <c r="E59" s="199"/>
      <c r="F59" s="202">
        <v>400</v>
      </c>
      <c r="G59" s="200">
        <v>200</v>
      </c>
      <c r="H59" s="200">
        <v>200</v>
      </c>
      <c r="I59" s="202">
        <f t="shared" si="1"/>
        <v>0</v>
      </c>
    </row>
    <row r="60" spans="3:9" x14ac:dyDescent="0.2">
      <c r="C60" s="210" t="s">
        <v>269</v>
      </c>
      <c r="D60" s="210" t="s">
        <v>117</v>
      </c>
      <c r="E60" s="201"/>
      <c r="F60" s="202">
        <v>400</v>
      </c>
      <c r="G60" s="202">
        <v>200</v>
      </c>
      <c r="H60" s="202">
        <v>200</v>
      </c>
      <c r="I60" s="202">
        <f>G60+H60+-F60</f>
        <v>0</v>
      </c>
    </row>
    <row r="61" spans="3:9" x14ac:dyDescent="0.2">
      <c r="C61" s="208" t="s">
        <v>271</v>
      </c>
      <c r="D61" s="208" t="s">
        <v>272</v>
      </c>
      <c r="E61" s="201"/>
      <c r="F61" s="202">
        <v>400</v>
      </c>
      <c r="G61" s="202">
        <v>200</v>
      </c>
      <c r="H61" s="202">
        <v>200</v>
      </c>
      <c r="I61" s="202">
        <f>G61+H61+-F61</f>
        <v>0</v>
      </c>
    </row>
    <row r="62" spans="3:9" x14ac:dyDescent="0.2">
      <c r="C62" s="207" t="s">
        <v>283</v>
      </c>
      <c r="D62" s="207" t="s">
        <v>281</v>
      </c>
      <c r="E62" s="199"/>
      <c r="F62" s="202">
        <v>200</v>
      </c>
      <c r="G62" s="200">
        <v>200</v>
      </c>
      <c r="H62" s="200"/>
      <c r="I62" s="202">
        <f t="shared" si="1"/>
        <v>0</v>
      </c>
    </row>
    <row r="63" spans="3:9" x14ac:dyDescent="0.2">
      <c r="C63" s="211" t="s">
        <v>286</v>
      </c>
      <c r="D63" s="211" t="s">
        <v>703</v>
      </c>
      <c r="E63" s="199"/>
      <c r="F63" s="202">
        <v>400</v>
      </c>
      <c r="G63" s="200"/>
      <c r="H63" s="200"/>
      <c r="I63" s="202">
        <f t="shared" si="1"/>
        <v>-400</v>
      </c>
    </row>
    <row r="64" spans="3:9" x14ac:dyDescent="0.2">
      <c r="C64" s="208" t="s">
        <v>289</v>
      </c>
      <c r="D64" s="208" t="s">
        <v>290</v>
      </c>
      <c r="E64" s="201"/>
      <c r="F64" s="202">
        <v>400</v>
      </c>
      <c r="G64" s="202">
        <v>200</v>
      </c>
      <c r="H64" s="202">
        <v>200</v>
      </c>
      <c r="I64" s="202">
        <f t="shared" si="1"/>
        <v>0</v>
      </c>
    </row>
    <row r="65" spans="3:9" x14ac:dyDescent="0.2">
      <c r="C65" s="211" t="s">
        <v>295</v>
      </c>
      <c r="D65" s="211" t="s">
        <v>296</v>
      </c>
      <c r="E65" s="199"/>
      <c r="F65" s="202">
        <v>400</v>
      </c>
      <c r="G65" s="200"/>
      <c r="H65" s="200"/>
      <c r="I65" s="202">
        <f t="shared" si="1"/>
        <v>-400</v>
      </c>
    </row>
    <row r="66" spans="3:9" x14ac:dyDescent="0.2">
      <c r="C66" s="210" t="s">
        <v>704</v>
      </c>
      <c r="D66" s="210" t="s">
        <v>705</v>
      </c>
      <c r="E66" s="201"/>
      <c r="F66" s="202">
        <v>400</v>
      </c>
      <c r="G66" s="202"/>
      <c r="H66" s="202"/>
      <c r="I66" s="202">
        <f t="shared" si="1"/>
        <v>-400</v>
      </c>
    </row>
    <row r="67" spans="3:9" x14ac:dyDescent="0.2">
      <c r="C67" s="207" t="s">
        <v>307</v>
      </c>
      <c r="D67" s="207" t="s">
        <v>261</v>
      </c>
      <c r="E67" s="199"/>
      <c r="F67" s="202">
        <v>400</v>
      </c>
      <c r="G67" s="200">
        <v>200</v>
      </c>
      <c r="H67" s="200">
        <v>200</v>
      </c>
      <c r="I67" s="202">
        <f t="shared" si="1"/>
        <v>0</v>
      </c>
    </row>
    <row r="68" spans="3:9" x14ac:dyDescent="0.2">
      <c r="C68" s="206" t="s">
        <v>322</v>
      </c>
      <c r="D68" s="206" t="s">
        <v>323</v>
      </c>
      <c r="E68" s="199"/>
      <c r="F68" s="202">
        <v>0</v>
      </c>
      <c r="G68" s="200"/>
      <c r="H68" s="200"/>
      <c r="I68" s="202">
        <f t="shared" si="1"/>
        <v>0</v>
      </c>
    </row>
    <row r="69" spans="3:9" x14ac:dyDescent="0.2">
      <c r="C69" s="208" t="s">
        <v>325</v>
      </c>
      <c r="D69" s="208" t="s">
        <v>326</v>
      </c>
      <c r="E69" s="201"/>
      <c r="F69" s="202">
        <v>400</v>
      </c>
      <c r="G69" s="202">
        <v>200</v>
      </c>
      <c r="H69" s="202">
        <v>200</v>
      </c>
      <c r="I69" s="202">
        <f t="shared" si="1"/>
        <v>0</v>
      </c>
    </row>
    <row r="70" spans="3:9" x14ac:dyDescent="0.2">
      <c r="C70" s="205" t="s">
        <v>331</v>
      </c>
      <c r="D70" s="205" t="s">
        <v>332</v>
      </c>
      <c r="E70" s="201"/>
      <c r="F70" s="202">
        <v>0</v>
      </c>
      <c r="G70" s="202"/>
      <c r="H70" s="202"/>
      <c r="I70" s="202">
        <f t="shared" si="1"/>
        <v>0</v>
      </c>
    </row>
    <row r="71" spans="3:9" x14ac:dyDescent="0.2">
      <c r="C71" s="207" t="s">
        <v>706</v>
      </c>
      <c r="D71" s="207" t="s">
        <v>199</v>
      </c>
      <c r="E71" s="199"/>
      <c r="F71" s="202">
        <v>400</v>
      </c>
      <c r="G71" s="200">
        <v>200</v>
      </c>
      <c r="H71" s="200">
        <v>200</v>
      </c>
      <c r="I71" s="202">
        <f t="shared" si="1"/>
        <v>0</v>
      </c>
    </row>
    <row r="72" spans="3:9" x14ac:dyDescent="0.2">
      <c r="C72" s="209" t="s">
        <v>337</v>
      </c>
      <c r="D72" s="209" t="s">
        <v>464</v>
      </c>
      <c r="E72" s="201"/>
      <c r="F72" s="202">
        <v>400</v>
      </c>
      <c r="G72" s="202">
        <v>200</v>
      </c>
      <c r="H72" s="202"/>
      <c r="I72" s="202">
        <f t="shared" si="1"/>
        <v>-200</v>
      </c>
    </row>
    <row r="73" spans="3:9" x14ac:dyDescent="0.2">
      <c r="C73" s="208" t="s">
        <v>707</v>
      </c>
      <c r="D73" s="208" t="s">
        <v>692</v>
      </c>
      <c r="E73" s="201"/>
      <c r="F73" s="202">
        <v>500</v>
      </c>
      <c r="G73" s="202">
        <v>250</v>
      </c>
      <c r="H73" s="202">
        <v>250</v>
      </c>
      <c r="I73" s="202">
        <f t="shared" si="1"/>
        <v>0</v>
      </c>
    </row>
    <row r="74" spans="3:9" x14ac:dyDescent="0.2">
      <c r="C74" s="207" t="s">
        <v>349</v>
      </c>
      <c r="D74" s="207" t="s">
        <v>243</v>
      </c>
      <c r="E74" s="199"/>
      <c r="F74" s="202">
        <v>400</v>
      </c>
      <c r="G74" s="200">
        <v>200</v>
      </c>
      <c r="H74" s="200">
        <v>200</v>
      </c>
      <c r="I74" s="202">
        <f t="shared" si="1"/>
        <v>0</v>
      </c>
    </row>
    <row r="75" spans="3:9" x14ac:dyDescent="0.2">
      <c r="C75" s="205" t="s">
        <v>708</v>
      </c>
      <c r="D75" s="205" t="s">
        <v>202</v>
      </c>
      <c r="E75" s="201"/>
      <c r="F75" s="202">
        <v>0</v>
      </c>
      <c r="G75" s="202"/>
      <c r="H75" s="202"/>
      <c r="I75" s="202">
        <f t="shared" si="1"/>
        <v>0</v>
      </c>
    </row>
    <row r="76" spans="3:9" x14ac:dyDescent="0.2">
      <c r="C76" s="207" t="s">
        <v>360</v>
      </c>
      <c r="D76" s="207" t="s">
        <v>692</v>
      </c>
      <c r="E76" s="199"/>
      <c r="F76" s="202">
        <v>400</v>
      </c>
      <c r="G76" s="200">
        <v>200</v>
      </c>
      <c r="H76" s="200">
        <v>200</v>
      </c>
      <c r="I76" s="202">
        <f t="shared" ref="I76:I84" si="2">G76+H76+-F76</f>
        <v>0</v>
      </c>
    </row>
    <row r="77" spans="3:9" x14ac:dyDescent="0.2">
      <c r="C77" s="207" t="s">
        <v>362</v>
      </c>
      <c r="D77" s="207" t="s">
        <v>363</v>
      </c>
      <c r="E77" s="199"/>
      <c r="F77" s="202">
        <v>400</v>
      </c>
      <c r="G77" s="200">
        <v>200</v>
      </c>
      <c r="H77" s="200">
        <v>200</v>
      </c>
      <c r="I77" s="202">
        <f t="shared" si="2"/>
        <v>0</v>
      </c>
    </row>
    <row r="78" spans="3:9" x14ac:dyDescent="0.2">
      <c r="C78" s="208" t="s">
        <v>365</v>
      </c>
      <c r="D78" s="208" t="s">
        <v>682</v>
      </c>
      <c r="E78" s="201"/>
      <c r="F78" s="202">
        <v>400</v>
      </c>
      <c r="G78" s="202">
        <v>200</v>
      </c>
      <c r="H78" s="202">
        <v>200</v>
      </c>
      <c r="I78" s="202">
        <f t="shared" si="2"/>
        <v>0</v>
      </c>
    </row>
    <row r="79" spans="3:9" x14ac:dyDescent="0.2">
      <c r="C79" s="206" t="s">
        <v>709</v>
      </c>
      <c r="D79" s="206" t="s">
        <v>372</v>
      </c>
      <c r="E79" s="199"/>
      <c r="F79" s="202">
        <v>0</v>
      </c>
      <c r="G79" s="200"/>
      <c r="H79" s="200"/>
      <c r="I79" s="202">
        <f t="shared" si="2"/>
        <v>0</v>
      </c>
    </row>
    <row r="80" spans="3:9" x14ac:dyDescent="0.2">
      <c r="C80" s="208" t="s">
        <v>374</v>
      </c>
      <c r="D80" s="208" t="s">
        <v>375</v>
      </c>
      <c r="E80" s="201"/>
      <c r="F80" s="202">
        <v>400</v>
      </c>
      <c r="G80" s="202">
        <v>200</v>
      </c>
      <c r="H80" s="202">
        <v>200</v>
      </c>
      <c r="I80" s="202">
        <f t="shared" si="2"/>
        <v>0</v>
      </c>
    </row>
    <row r="81" spans="3:9" x14ac:dyDescent="0.2">
      <c r="C81" s="207" t="s">
        <v>240</v>
      </c>
      <c r="D81" s="207" t="s">
        <v>519</v>
      </c>
      <c r="E81" s="199"/>
      <c r="F81" s="202">
        <v>400</v>
      </c>
      <c r="G81" s="200">
        <v>200</v>
      </c>
      <c r="H81" s="200">
        <v>200</v>
      </c>
      <c r="I81" s="202">
        <f t="shared" si="2"/>
        <v>0</v>
      </c>
    </row>
    <row r="82" spans="3:9" x14ac:dyDescent="0.2">
      <c r="C82" s="208" t="s">
        <v>386</v>
      </c>
      <c r="D82" s="208" t="s">
        <v>387</v>
      </c>
      <c r="E82" s="201"/>
      <c r="F82" s="202">
        <v>400</v>
      </c>
      <c r="G82" s="202">
        <v>200</v>
      </c>
      <c r="H82" s="202">
        <v>200</v>
      </c>
      <c r="I82" s="202">
        <f t="shared" si="2"/>
        <v>0</v>
      </c>
    </row>
    <row r="83" spans="3:9" x14ac:dyDescent="0.2">
      <c r="C83" s="205" t="s">
        <v>389</v>
      </c>
      <c r="D83" s="205" t="s">
        <v>390</v>
      </c>
      <c r="E83" s="201"/>
      <c r="F83" s="202">
        <v>0</v>
      </c>
      <c r="G83" s="202"/>
      <c r="H83" s="202"/>
      <c r="I83" s="202">
        <f t="shared" si="2"/>
        <v>0</v>
      </c>
    </row>
    <row r="84" spans="3:9" ht="17" thickBot="1" x14ac:dyDescent="0.25">
      <c r="C84" s="212" t="s">
        <v>392</v>
      </c>
      <c r="D84" s="212" t="s">
        <v>393</v>
      </c>
      <c r="E84" s="199"/>
      <c r="F84" s="202">
        <v>400</v>
      </c>
      <c r="G84" s="200">
        <v>200</v>
      </c>
      <c r="H84" s="200">
        <v>200</v>
      </c>
      <c r="I84" s="202">
        <f t="shared" si="2"/>
        <v>0</v>
      </c>
    </row>
    <row r="85" spans="3:9" ht="17" thickBot="1" x14ac:dyDescent="0.25">
      <c r="E85" s="198" t="s">
        <v>22</v>
      </c>
      <c r="F85" s="203">
        <f>SUM(F13:F84)</f>
        <v>24100</v>
      </c>
      <c r="G85" s="198"/>
      <c r="H85" s="198"/>
      <c r="I85" s="203">
        <f>SUM(I13:I84)</f>
        <v>-3375</v>
      </c>
    </row>
    <row r="86" spans="3:9" ht="17" thickBot="1" x14ac:dyDescent="0.25">
      <c r="E86" s="198" t="s">
        <v>61</v>
      </c>
      <c r="F86" s="204">
        <f>SUM(G12:H84)</f>
        <v>21125</v>
      </c>
    </row>
    <row r="91" spans="3:9" x14ac:dyDescent="0.2">
      <c r="C91" t="s">
        <v>710</v>
      </c>
    </row>
    <row r="92" spans="3:9" x14ac:dyDescent="0.2">
      <c r="C92" t="s">
        <v>340</v>
      </c>
      <c r="D92" t="s">
        <v>341</v>
      </c>
    </row>
  </sheetData>
  <sortState xmlns:xlrd2="http://schemas.microsoft.com/office/spreadsheetml/2017/richdata2" ref="C12:I86">
    <sortCondition ref="C12:C86"/>
  </sortState>
  <mergeCells count="12">
    <mergeCell ref="C6:D6"/>
    <mergeCell ref="C10:F10"/>
    <mergeCell ref="G10:I10"/>
    <mergeCell ref="C2:D2"/>
    <mergeCell ref="C3:D3"/>
    <mergeCell ref="C4:D4"/>
    <mergeCell ref="C5:D5"/>
    <mergeCell ref="G2:H2"/>
    <mergeCell ref="G3:H3"/>
    <mergeCell ref="G4:H4"/>
    <mergeCell ref="G5:H5"/>
    <mergeCell ref="G6:H6"/>
  </mergeCells>
  <conditionalFormatting sqref="I12:I84">
    <cfRule type="cellIs" dxfId="1" priority="1" operator="greaterThan">
      <formula>0</formula>
    </cfRule>
  </conditionalFormatting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DCDDB-4657-3B47-B818-D955BCF69851}">
  <sheetPr>
    <tabColor theme="3"/>
  </sheetPr>
  <dimension ref="B1:O92"/>
  <sheetViews>
    <sheetView topLeftCell="A57" zoomScaleNormal="120" workbookViewId="0">
      <pane xSplit="2" topLeftCell="C1" activePane="topRight" state="frozen"/>
      <selection pane="topRight" activeCell="L2" sqref="L2:O10"/>
    </sheetView>
  </sheetViews>
  <sheetFormatPr baseColWidth="10" defaultColWidth="10.83203125" defaultRowHeight="16" x14ac:dyDescent="0.2"/>
  <cols>
    <col min="1" max="1" width="10.83203125" style="150"/>
    <col min="2" max="2" width="15" style="150" bestFit="1" customWidth="1"/>
    <col min="3" max="3" width="16.33203125" style="150" customWidth="1"/>
    <col min="4" max="4" width="12" style="150" customWidth="1"/>
    <col min="5" max="5" width="16.5" style="150" bestFit="1" customWidth="1"/>
    <col min="6" max="8" width="15" style="150" bestFit="1" customWidth="1"/>
    <col min="9" max="9" width="22.1640625" style="150" bestFit="1" customWidth="1"/>
    <col min="10" max="11" width="10.83203125" style="150"/>
    <col min="12" max="12" width="22.6640625" style="150" bestFit="1" customWidth="1"/>
    <col min="13" max="14" width="18.83203125" style="150" bestFit="1" customWidth="1"/>
    <col min="15" max="15" width="11.5" style="150" bestFit="1" customWidth="1"/>
    <col min="16" max="16384" width="10.83203125" style="150"/>
  </cols>
  <sheetData>
    <row r="1" spans="2:15" ht="17" thickBot="1" x14ac:dyDescent="0.25"/>
    <row r="2" spans="2:15" x14ac:dyDescent="0.2">
      <c r="C2" s="397" t="s">
        <v>661</v>
      </c>
      <c r="D2" s="398"/>
      <c r="E2" s="159">
        <f>Table6[[#Totals],[Total]]</f>
        <v>49431.75</v>
      </c>
      <c r="G2" s="409" t="s">
        <v>711</v>
      </c>
      <c r="H2" s="410"/>
      <c r="L2" s="401" t="s">
        <v>662</v>
      </c>
      <c r="M2" s="402"/>
      <c r="N2" s="402"/>
      <c r="O2" s="403"/>
    </row>
    <row r="3" spans="2:15" x14ac:dyDescent="0.2">
      <c r="C3" s="399" t="s">
        <v>663</v>
      </c>
      <c r="D3" s="400"/>
      <c r="E3" s="160">
        <v>24531.75</v>
      </c>
      <c r="G3" s="154" t="s">
        <v>55</v>
      </c>
      <c r="H3" s="154" t="s">
        <v>56</v>
      </c>
      <c r="L3" s="151" t="s">
        <v>664</v>
      </c>
      <c r="M3" s="151" t="s">
        <v>665</v>
      </c>
      <c r="N3" s="151" t="s">
        <v>666</v>
      </c>
      <c r="O3" s="151" t="s">
        <v>25</v>
      </c>
    </row>
    <row r="4" spans="2:15" x14ac:dyDescent="0.2">
      <c r="C4" s="399" t="s">
        <v>667</v>
      </c>
      <c r="D4" s="400"/>
      <c r="E4" s="161">
        <f>$E$2-$E$3</f>
        <v>24900</v>
      </c>
      <c r="G4" s="157" t="s">
        <v>76</v>
      </c>
      <c r="H4" s="155">
        <v>300</v>
      </c>
      <c r="L4" s="162" t="s">
        <v>712</v>
      </c>
      <c r="M4" s="163"/>
      <c r="N4" s="163">
        <f>Table6[[#This Row],[Cost per Person]]*2</f>
        <v>0</v>
      </c>
      <c r="O4" s="164">
        <v>19866.66</v>
      </c>
    </row>
    <row r="5" spans="2:15" x14ac:dyDescent="0.2">
      <c r="C5" s="399" t="s">
        <v>668</v>
      </c>
      <c r="D5" s="400"/>
      <c r="E5" s="166">
        <f>Table5[[#Totals],[First Name]]</f>
        <v>80</v>
      </c>
      <c r="G5" s="158" t="s">
        <v>713</v>
      </c>
      <c r="H5" s="156">
        <v>500</v>
      </c>
      <c r="L5" s="162" t="s">
        <v>714</v>
      </c>
      <c r="M5" s="163"/>
      <c r="N5" s="163">
        <f>Table6[[#This Row],[Cost per Person]]*2</f>
        <v>0</v>
      </c>
      <c r="O5" s="164">
        <v>16950</v>
      </c>
    </row>
    <row r="6" spans="2:15" x14ac:dyDescent="0.2">
      <c r="C6" s="404" t="s">
        <v>666</v>
      </c>
      <c r="D6" s="405"/>
      <c r="E6" s="167">
        <f>$E$4/($E$5)</f>
        <v>311.25</v>
      </c>
      <c r="L6" s="162" t="s">
        <v>715</v>
      </c>
      <c r="M6" s="163"/>
      <c r="N6" s="163">
        <f>Table6[[#This Row],[Cost per Person]]*2</f>
        <v>0</v>
      </c>
      <c r="O6" s="164">
        <v>12615.09</v>
      </c>
    </row>
    <row r="7" spans="2:15" x14ac:dyDescent="0.2">
      <c r="L7" s="162" t="s">
        <v>671</v>
      </c>
      <c r="M7" s="163"/>
      <c r="N7" s="163">
        <f>Table6[[#This Row],[Cost per Person]]*2</f>
        <v>0</v>
      </c>
      <c r="O7" s="164">
        <v>0</v>
      </c>
    </row>
    <row r="8" spans="2:15" x14ac:dyDescent="0.2">
      <c r="L8" s="162" t="s">
        <v>716</v>
      </c>
      <c r="M8" s="163"/>
      <c r="N8" s="163">
        <f>Table6[[#This Row],[Cost per Person]]*2</f>
        <v>0</v>
      </c>
      <c r="O8" s="164">
        <f>Table6[[#This Row],[Cost per Person]]*$E$5</f>
        <v>0</v>
      </c>
    </row>
    <row r="9" spans="2:15" x14ac:dyDescent="0.2">
      <c r="B9" s="391" t="s">
        <v>76</v>
      </c>
      <c r="C9" s="392"/>
      <c r="D9" s="392"/>
      <c r="E9" s="393"/>
      <c r="F9" s="406" t="s">
        <v>673</v>
      </c>
      <c r="G9" s="407"/>
      <c r="H9" s="407"/>
      <c r="I9" s="408"/>
      <c r="L9" s="162"/>
      <c r="M9" s="163"/>
      <c r="N9" s="163">
        <f>Table6[[#This Row],[Cost per Person]]*2</f>
        <v>0</v>
      </c>
      <c r="O9" s="164">
        <f>Table6[[#This Row],[Cost per Person]]*$E$5</f>
        <v>0</v>
      </c>
    </row>
    <row r="10" spans="2:15" x14ac:dyDescent="0.2">
      <c r="B10" s="151" t="s">
        <v>53</v>
      </c>
      <c r="C10" s="151" t="s">
        <v>54</v>
      </c>
      <c r="D10" s="151" t="s">
        <v>55</v>
      </c>
      <c r="E10" s="151" t="s">
        <v>56</v>
      </c>
      <c r="F10" s="151" t="s">
        <v>450</v>
      </c>
      <c r="G10" s="151" t="s">
        <v>451</v>
      </c>
      <c r="H10" s="151" t="s">
        <v>717</v>
      </c>
      <c r="I10" s="151" t="s">
        <v>62</v>
      </c>
      <c r="L10" s="151" t="s">
        <v>25</v>
      </c>
      <c r="M10" s="151"/>
      <c r="N10" s="151"/>
      <c r="O10" s="165">
        <f>SUBTOTAL(109,Table6[Total])</f>
        <v>49431.75</v>
      </c>
    </row>
    <row r="11" spans="2:15" x14ac:dyDescent="0.2">
      <c r="B11" s="150" t="s">
        <v>74</v>
      </c>
      <c r="C11" s="150" t="s">
        <v>75</v>
      </c>
      <c r="D11" s="150" t="s">
        <v>76</v>
      </c>
      <c r="E11" s="153">
        <f t="shared" ref="E11:E40" si="0">IF(D11="Brother",$H$4,IF(D11="Other",$H$5,0))</f>
        <v>300</v>
      </c>
      <c r="F11" s="153">
        <v>100</v>
      </c>
      <c r="G11" s="153">
        <v>100</v>
      </c>
      <c r="H11" s="153">
        <v>100</v>
      </c>
      <c r="I11" s="153">
        <f>Table5[[#This Row],[Amount Due]]-Table5[[#This Row],[Payment 1]]-Table5[[#This Row],[Payment 2]]-Table5[[#This Row],[Payment 3]]</f>
        <v>0</v>
      </c>
    </row>
    <row r="12" spans="2:15" x14ac:dyDescent="0.2">
      <c r="B12" s="150" t="s">
        <v>80</v>
      </c>
      <c r="C12" s="150" t="s">
        <v>81</v>
      </c>
      <c r="D12" s="150" t="s">
        <v>76</v>
      </c>
      <c r="E12" s="153">
        <f>IF(D12="Brother",$H$4,IF(D12="Other",$H$5,0))</f>
        <v>300</v>
      </c>
      <c r="F12" s="153">
        <v>100</v>
      </c>
      <c r="G12" s="153">
        <v>100</v>
      </c>
      <c r="H12" s="153">
        <v>100</v>
      </c>
      <c r="I12" s="153">
        <f>Table5[[#This Row],[Amount Due]]-Table5[[#This Row],[Payment 1]]-Table5[[#This Row],[Payment 2]]-Table5[[#This Row],[Payment 3]]</f>
        <v>0</v>
      </c>
    </row>
    <row r="13" spans="2:15" x14ac:dyDescent="0.2">
      <c r="B13" s="150" t="s">
        <v>718</v>
      </c>
      <c r="C13" s="150" t="s">
        <v>375</v>
      </c>
      <c r="D13" s="150" t="s">
        <v>76</v>
      </c>
      <c r="E13" s="153">
        <f t="shared" si="0"/>
        <v>300</v>
      </c>
      <c r="F13" s="153">
        <v>100</v>
      </c>
      <c r="G13" s="153">
        <v>100</v>
      </c>
      <c r="H13" s="153">
        <v>100</v>
      </c>
      <c r="I13" s="153">
        <f>Table5[[#This Row],[Amount Due]]-Table5[[#This Row],[Payment 1]]-Table5[[#This Row],[Payment 2]]-Table5[[#This Row],[Payment 3]]</f>
        <v>0</v>
      </c>
      <c r="L13" s="170"/>
      <c r="M13" s="152"/>
    </row>
    <row r="14" spans="2:15" x14ac:dyDescent="0.2">
      <c r="B14" s="150" t="s">
        <v>87</v>
      </c>
      <c r="C14" s="150" t="s">
        <v>88</v>
      </c>
      <c r="D14" s="150" t="s">
        <v>76</v>
      </c>
      <c r="E14" s="153">
        <f t="shared" si="0"/>
        <v>300</v>
      </c>
      <c r="F14" s="153">
        <v>100</v>
      </c>
      <c r="G14" s="153">
        <v>100</v>
      </c>
      <c r="H14" s="153">
        <v>100</v>
      </c>
      <c r="I14" s="153">
        <f>Table5[[#This Row],[Amount Due]]-Table5[[#This Row],[Payment 1]]-Table5[[#This Row],[Payment 2]]-Table5[[#This Row],[Payment 3]]</f>
        <v>0</v>
      </c>
    </row>
    <row r="15" spans="2:15" x14ac:dyDescent="0.2">
      <c r="B15" s="150" t="s">
        <v>719</v>
      </c>
      <c r="C15" s="150" t="s">
        <v>205</v>
      </c>
      <c r="D15" s="150" t="s">
        <v>76</v>
      </c>
      <c r="E15" s="153">
        <f t="shared" si="0"/>
        <v>300</v>
      </c>
      <c r="F15" s="153">
        <v>100</v>
      </c>
      <c r="G15" s="153">
        <v>100</v>
      </c>
      <c r="H15" s="153">
        <v>100</v>
      </c>
      <c r="I15" s="153">
        <f>Table5[[#This Row],[Amount Due]]-Table5[[#This Row],[Payment 1]]-Table5[[#This Row],[Payment 2]]-Table5[[#This Row],[Payment 3]]</f>
        <v>0</v>
      </c>
    </row>
    <row r="16" spans="2:15" x14ac:dyDescent="0.2">
      <c r="B16" s="150" t="s">
        <v>102</v>
      </c>
      <c r="C16" s="150" t="s">
        <v>103</v>
      </c>
      <c r="D16" s="150" t="s">
        <v>76</v>
      </c>
      <c r="E16" s="153">
        <f t="shared" si="0"/>
        <v>300</v>
      </c>
      <c r="F16" s="153">
        <v>100</v>
      </c>
      <c r="G16" s="153">
        <v>100</v>
      </c>
      <c r="H16" s="153">
        <v>100</v>
      </c>
      <c r="I16" s="153">
        <f>Table5[[#This Row],[Amount Due]]-Table5[[#This Row],[Payment 1]]-Table5[[#This Row],[Payment 2]]-Table5[[#This Row],[Payment 3]]</f>
        <v>0</v>
      </c>
    </row>
    <row r="17" spans="2:9" x14ac:dyDescent="0.2">
      <c r="B17" s="150" t="s">
        <v>110</v>
      </c>
      <c r="C17" s="150" t="s">
        <v>111</v>
      </c>
      <c r="D17" s="150" t="s">
        <v>76</v>
      </c>
      <c r="E17" s="153">
        <f t="shared" si="0"/>
        <v>300</v>
      </c>
      <c r="F17" s="153">
        <v>100</v>
      </c>
      <c r="G17" s="153">
        <v>100</v>
      </c>
      <c r="H17" s="153">
        <v>100</v>
      </c>
      <c r="I17" s="153">
        <f>Table5[[#This Row],[Amount Due]]-Table5[[#This Row],[Payment 1]]-Table5[[#This Row],[Payment 2]]-Table5[[#This Row],[Payment 3]]</f>
        <v>0</v>
      </c>
    </row>
    <row r="18" spans="2:9" x14ac:dyDescent="0.2">
      <c r="B18" s="150" t="s">
        <v>116</v>
      </c>
      <c r="C18" s="150" t="s">
        <v>117</v>
      </c>
      <c r="D18" s="150" t="s">
        <v>76</v>
      </c>
      <c r="E18" s="153">
        <f t="shared" si="0"/>
        <v>300</v>
      </c>
      <c r="F18" s="153">
        <v>100</v>
      </c>
      <c r="G18" s="153">
        <v>100</v>
      </c>
      <c r="H18" s="153">
        <v>100</v>
      </c>
      <c r="I18" s="153">
        <f>Table5[[#This Row],[Amount Due]]-Table5[[#This Row],[Payment 1]]-Table5[[#This Row],[Payment 2]]-Table5[[#This Row],[Payment 3]]</f>
        <v>0</v>
      </c>
    </row>
    <row r="19" spans="2:9" x14ac:dyDescent="0.2">
      <c r="B19" s="150" t="s">
        <v>720</v>
      </c>
      <c r="C19" s="150" t="s">
        <v>341</v>
      </c>
      <c r="D19" s="150" t="s">
        <v>76</v>
      </c>
      <c r="E19" s="153">
        <f t="shared" si="0"/>
        <v>300</v>
      </c>
      <c r="F19" s="153">
        <v>100</v>
      </c>
      <c r="G19" s="153">
        <v>100</v>
      </c>
      <c r="H19" s="153">
        <v>100</v>
      </c>
      <c r="I19" s="153">
        <f>Table5[[#This Row],[Amount Due]]-Table5[[#This Row],[Payment 1]]-Table5[[#This Row],[Payment 2]]-Table5[[#This Row],[Payment 3]]</f>
        <v>0</v>
      </c>
    </row>
    <row r="20" spans="2:9" x14ac:dyDescent="0.2">
      <c r="B20" s="150" t="s">
        <v>120</v>
      </c>
      <c r="C20" s="150" t="s">
        <v>121</v>
      </c>
      <c r="D20" s="150" t="s">
        <v>76</v>
      </c>
      <c r="E20" s="153">
        <f t="shared" si="0"/>
        <v>300</v>
      </c>
      <c r="F20" s="153">
        <v>100</v>
      </c>
      <c r="G20" s="153">
        <v>100</v>
      </c>
      <c r="H20" s="153">
        <v>100</v>
      </c>
      <c r="I20" s="153">
        <f>Table5[[#This Row],[Amount Due]]-Table5[[#This Row],[Payment 1]]-Table5[[#This Row],[Payment 2]]-Table5[[#This Row],[Payment 3]]</f>
        <v>0</v>
      </c>
    </row>
    <row r="21" spans="2:9" x14ac:dyDescent="0.2">
      <c r="B21" s="150" t="s">
        <v>123</v>
      </c>
      <c r="C21" s="150" t="s">
        <v>88</v>
      </c>
      <c r="D21" s="150" t="s">
        <v>76</v>
      </c>
      <c r="E21" s="153">
        <f t="shared" si="0"/>
        <v>300</v>
      </c>
      <c r="F21" s="153">
        <v>100</v>
      </c>
      <c r="G21" s="153">
        <v>100</v>
      </c>
      <c r="H21" s="153">
        <v>100</v>
      </c>
      <c r="I21" s="153">
        <f>Table5[[#This Row],[Amount Due]]-Table5[[#This Row],[Payment 1]]-Table5[[#This Row],[Payment 2]]-Table5[[#This Row],[Payment 3]]</f>
        <v>0</v>
      </c>
    </row>
    <row r="22" spans="2:9" x14ac:dyDescent="0.2">
      <c r="B22" s="150" t="s">
        <v>130</v>
      </c>
      <c r="C22" s="150" t="s">
        <v>131</v>
      </c>
      <c r="D22" s="150" t="s">
        <v>76</v>
      </c>
      <c r="E22" s="153">
        <f>IF(D22="Brother",$H$4,IF(D22="Other",$H$5,0))</f>
        <v>300</v>
      </c>
      <c r="F22" s="153">
        <v>100</v>
      </c>
      <c r="G22" s="153">
        <v>100</v>
      </c>
      <c r="H22" s="153">
        <v>100</v>
      </c>
      <c r="I22" s="153">
        <f>Table5[[#This Row],[Amount Due]]-Table5[[#This Row],[Payment 1]]-Table5[[#This Row],[Payment 2]]-Table5[[#This Row],[Payment 3]]</f>
        <v>0</v>
      </c>
    </row>
    <row r="23" spans="2:9" x14ac:dyDescent="0.2">
      <c r="B23" s="150" t="s">
        <v>721</v>
      </c>
      <c r="C23" s="150" t="s">
        <v>202</v>
      </c>
      <c r="D23" s="150" t="s">
        <v>76</v>
      </c>
      <c r="E23" s="153">
        <f t="shared" si="0"/>
        <v>300</v>
      </c>
      <c r="F23" s="153">
        <v>100</v>
      </c>
      <c r="G23" s="153">
        <v>100</v>
      </c>
      <c r="H23" s="153">
        <v>100</v>
      </c>
      <c r="I23" s="153">
        <f>Table5[[#This Row],[Amount Due]]-Table5[[#This Row],[Payment 1]]-Table5[[#This Row],[Payment 2]]-Table5[[#This Row],[Payment 3]]</f>
        <v>0</v>
      </c>
    </row>
    <row r="24" spans="2:9" x14ac:dyDescent="0.2">
      <c r="B24" s="150" t="s">
        <v>722</v>
      </c>
      <c r="C24" s="150" t="s">
        <v>723</v>
      </c>
      <c r="D24" s="150" t="s">
        <v>76</v>
      </c>
      <c r="E24" s="153">
        <f t="shared" si="0"/>
        <v>300</v>
      </c>
      <c r="F24" s="153">
        <v>100</v>
      </c>
      <c r="G24" s="153">
        <v>100</v>
      </c>
      <c r="H24" s="153">
        <v>100</v>
      </c>
      <c r="I24" s="153">
        <f>Table5[[#This Row],[Amount Due]]-Table5[[#This Row],[Payment 1]]-Table5[[#This Row],[Payment 2]]-Table5[[#This Row],[Payment 3]]</f>
        <v>0</v>
      </c>
    </row>
    <row r="25" spans="2:9" x14ac:dyDescent="0.2">
      <c r="B25" s="150" t="s">
        <v>724</v>
      </c>
      <c r="C25" s="150" t="s">
        <v>117</v>
      </c>
      <c r="D25" s="150" t="s">
        <v>76</v>
      </c>
      <c r="E25" s="153">
        <f t="shared" si="0"/>
        <v>300</v>
      </c>
      <c r="F25" s="153">
        <v>100</v>
      </c>
      <c r="G25" s="153">
        <v>100</v>
      </c>
      <c r="H25" s="153">
        <v>100</v>
      </c>
      <c r="I25" s="153">
        <f>Table5[[#This Row],[Amount Due]]-Table5[[#This Row],[Payment 1]]-Table5[[#This Row],[Payment 2]]-Table5[[#This Row],[Payment 3]]</f>
        <v>0</v>
      </c>
    </row>
    <row r="26" spans="2:9" x14ac:dyDescent="0.2">
      <c r="B26" s="150" t="s">
        <v>725</v>
      </c>
      <c r="C26" s="150" t="s">
        <v>726</v>
      </c>
      <c r="D26" s="150" t="s">
        <v>76</v>
      </c>
      <c r="E26" s="153">
        <f t="shared" si="0"/>
        <v>300</v>
      </c>
      <c r="F26" s="153">
        <v>100</v>
      </c>
      <c r="G26" s="153">
        <v>100</v>
      </c>
      <c r="H26" s="153">
        <v>100</v>
      </c>
      <c r="I26" s="153">
        <f>Table5[[#This Row],[Amount Due]]-Table5[[#This Row],[Payment 1]]-Table5[[#This Row],[Payment 2]]-Table5[[#This Row],[Payment 3]]</f>
        <v>0</v>
      </c>
    </row>
    <row r="27" spans="2:9" x14ac:dyDescent="0.2">
      <c r="B27" s="150" t="s">
        <v>727</v>
      </c>
      <c r="C27" s="150" t="s">
        <v>728</v>
      </c>
      <c r="D27" s="150" t="s">
        <v>76</v>
      </c>
      <c r="E27" s="153">
        <f t="shared" si="0"/>
        <v>300</v>
      </c>
      <c r="F27" s="153">
        <v>100</v>
      </c>
      <c r="G27" s="153">
        <v>100</v>
      </c>
      <c r="H27" s="153">
        <v>100</v>
      </c>
      <c r="I27" s="153">
        <f>Table5[[#This Row],[Amount Due]]-Table5[[#This Row],[Payment 1]]-Table5[[#This Row],[Payment 2]]-Table5[[#This Row],[Payment 3]]</f>
        <v>0</v>
      </c>
    </row>
    <row r="28" spans="2:9" x14ac:dyDescent="0.2">
      <c r="B28" s="150" t="s">
        <v>139</v>
      </c>
      <c r="C28" s="150" t="s">
        <v>140</v>
      </c>
      <c r="D28" s="150" t="s">
        <v>76</v>
      </c>
      <c r="E28" s="153">
        <f t="shared" si="0"/>
        <v>300</v>
      </c>
      <c r="F28" s="153">
        <v>100</v>
      </c>
      <c r="G28" s="153">
        <v>100</v>
      </c>
      <c r="H28" s="153">
        <v>100</v>
      </c>
      <c r="I28" s="153">
        <f>Table5[[#This Row],[Amount Due]]-Table5[[#This Row],[Payment 1]]-Table5[[#This Row],[Payment 2]]-Table5[[#This Row],[Payment 3]]</f>
        <v>0</v>
      </c>
    </row>
    <row r="29" spans="2:9" x14ac:dyDescent="0.2">
      <c r="B29" s="150" t="s">
        <v>729</v>
      </c>
      <c r="C29" s="150" t="s">
        <v>75</v>
      </c>
      <c r="D29" s="150" t="s">
        <v>76</v>
      </c>
      <c r="E29" s="153">
        <f t="shared" si="0"/>
        <v>300</v>
      </c>
      <c r="F29" s="153">
        <v>100</v>
      </c>
      <c r="G29" s="153">
        <v>100</v>
      </c>
      <c r="H29" s="153">
        <v>100</v>
      </c>
      <c r="I29" s="153">
        <f>Table5[[#This Row],[Amount Due]]-Table5[[#This Row],[Payment 1]]-Table5[[#This Row],[Payment 2]]-Table5[[#This Row],[Payment 3]]</f>
        <v>0</v>
      </c>
    </row>
    <row r="30" spans="2:9" x14ac:dyDescent="0.2">
      <c r="B30" s="150" t="s">
        <v>169</v>
      </c>
      <c r="C30" s="150" t="s">
        <v>170</v>
      </c>
      <c r="D30" s="150" t="s">
        <v>76</v>
      </c>
      <c r="E30" s="153">
        <f t="shared" si="0"/>
        <v>300</v>
      </c>
      <c r="F30" s="153">
        <v>100</v>
      </c>
      <c r="G30" s="153">
        <v>100</v>
      </c>
      <c r="H30" s="153">
        <v>100</v>
      </c>
      <c r="I30" s="153">
        <f>Table5[[#This Row],[Amount Due]]-Table5[[#This Row],[Payment 1]]-Table5[[#This Row],[Payment 2]]-Table5[[#This Row],[Payment 3]]</f>
        <v>0</v>
      </c>
    </row>
    <row r="31" spans="2:9" x14ac:dyDescent="0.2">
      <c r="B31" s="150" t="s">
        <v>730</v>
      </c>
      <c r="C31" s="150" t="s">
        <v>731</v>
      </c>
      <c r="D31" s="150" t="s">
        <v>76</v>
      </c>
      <c r="E31" s="153">
        <f t="shared" si="0"/>
        <v>300</v>
      </c>
      <c r="F31" s="153">
        <v>100</v>
      </c>
      <c r="G31" s="153">
        <v>100</v>
      </c>
      <c r="H31" s="153">
        <v>100</v>
      </c>
      <c r="I31" s="153">
        <f>Table5[[#This Row],[Amount Due]]-Table5[[#This Row],[Payment 1]]-Table5[[#This Row],[Payment 2]]-Table5[[#This Row],[Payment 3]]</f>
        <v>0</v>
      </c>
    </row>
    <row r="32" spans="2:9" x14ac:dyDescent="0.2">
      <c r="B32" s="150" t="s">
        <v>732</v>
      </c>
      <c r="C32" s="150" t="s">
        <v>287</v>
      </c>
      <c r="D32" s="150" t="s">
        <v>76</v>
      </c>
      <c r="E32" s="153">
        <f t="shared" si="0"/>
        <v>300</v>
      </c>
      <c r="F32" s="153">
        <v>100</v>
      </c>
      <c r="G32" s="153">
        <v>100</v>
      </c>
      <c r="H32" s="153">
        <v>100</v>
      </c>
      <c r="I32" s="153">
        <f>Table5[[#This Row],[Amount Due]]-Table5[[#This Row],[Payment 1]]-Table5[[#This Row],[Payment 2]]-Table5[[#This Row],[Payment 3]]</f>
        <v>0</v>
      </c>
    </row>
    <row r="33" spans="2:9" x14ac:dyDescent="0.2">
      <c r="B33" s="150" t="s">
        <v>690</v>
      </c>
      <c r="C33" s="150" t="s">
        <v>733</v>
      </c>
      <c r="D33" s="150" t="s">
        <v>76</v>
      </c>
      <c r="E33" s="153">
        <f t="shared" si="0"/>
        <v>300</v>
      </c>
      <c r="F33" s="153">
        <v>100</v>
      </c>
      <c r="G33" s="153">
        <v>100</v>
      </c>
      <c r="H33" s="153">
        <v>100</v>
      </c>
      <c r="I33" s="153">
        <f>Table5[[#This Row],[Amount Due]]-Table5[[#This Row],[Payment 1]]-Table5[[#This Row],[Payment 2]]-Table5[[#This Row],[Payment 3]]</f>
        <v>0</v>
      </c>
    </row>
    <row r="34" spans="2:9" x14ac:dyDescent="0.2">
      <c r="B34" s="150" t="s">
        <v>690</v>
      </c>
      <c r="C34" s="150" t="s">
        <v>508</v>
      </c>
      <c r="D34" s="150" t="s">
        <v>76</v>
      </c>
      <c r="E34" s="153">
        <f t="shared" si="0"/>
        <v>300</v>
      </c>
      <c r="F34" s="153">
        <v>100</v>
      </c>
      <c r="G34" s="153">
        <v>100</v>
      </c>
      <c r="H34" s="153">
        <v>100</v>
      </c>
      <c r="I34" s="153">
        <f>Table5[[#This Row],[Amount Due]]-Table5[[#This Row],[Payment 1]]-Table5[[#This Row],[Payment 2]]-Table5[[#This Row],[Payment 3]]</f>
        <v>0</v>
      </c>
    </row>
    <row r="35" spans="2:9" x14ac:dyDescent="0.2">
      <c r="B35" s="150" t="s">
        <v>734</v>
      </c>
      <c r="C35" s="150" t="s">
        <v>735</v>
      </c>
      <c r="D35" s="150" t="s">
        <v>76</v>
      </c>
      <c r="E35" s="153">
        <f t="shared" si="0"/>
        <v>300</v>
      </c>
      <c r="F35" s="153">
        <v>100</v>
      </c>
      <c r="G35" s="153">
        <v>100</v>
      </c>
      <c r="H35" s="153">
        <v>100</v>
      </c>
      <c r="I35" s="153">
        <f>Table5[[#This Row],[Amount Due]]-Table5[[#This Row],[Payment 1]]-Table5[[#This Row],[Payment 2]]-Table5[[#This Row],[Payment 3]]</f>
        <v>0</v>
      </c>
    </row>
    <row r="36" spans="2:9" x14ac:dyDescent="0.2">
      <c r="B36" s="150" t="s">
        <v>192</v>
      </c>
      <c r="C36" s="150" t="s">
        <v>243</v>
      </c>
      <c r="D36" s="150" t="s">
        <v>76</v>
      </c>
      <c r="E36" s="153">
        <f t="shared" si="0"/>
        <v>300</v>
      </c>
      <c r="F36" s="153">
        <v>100</v>
      </c>
      <c r="G36" s="153">
        <v>100</v>
      </c>
      <c r="H36" s="153">
        <v>100</v>
      </c>
      <c r="I36" s="153">
        <f>Table5[[#This Row],[Amount Due]]-Table5[[#This Row],[Payment 1]]-Table5[[#This Row],[Payment 2]]-Table5[[#This Row],[Payment 3]]</f>
        <v>0</v>
      </c>
    </row>
    <row r="37" spans="2:9" x14ac:dyDescent="0.2">
      <c r="B37" s="150" t="s">
        <v>736</v>
      </c>
      <c r="C37" s="150" t="s">
        <v>737</v>
      </c>
      <c r="D37" s="150" t="s">
        <v>76</v>
      </c>
      <c r="E37" s="153">
        <f t="shared" si="0"/>
        <v>300</v>
      </c>
      <c r="F37" s="153">
        <v>100</v>
      </c>
      <c r="G37" s="153">
        <v>100</v>
      </c>
      <c r="H37" s="153">
        <v>100</v>
      </c>
      <c r="I37" s="153">
        <f>Table5[[#This Row],[Amount Due]]-Table5[[#This Row],[Payment 1]]-Table5[[#This Row],[Payment 2]]-Table5[[#This Row],[Payment 3]]</f>
        <v>0</v>
      </c>
    </row>
    <row r="38" spans="2:9" x14ac:dyDescent="0.2">
      <c r="B38" s="150" t="s">
        <v>738</v>
      </c>
      <c r="C38" s="150" t="s">
        <v>92</v>
      </c>
      <c r="D38" s="150" t="s">
        <v>76</v>
      </c>
      <c r="E38" s="153">
        <f t="shared" si="0"/>
        <v>300</v>
      </c>
      <c r="F38" s="153">
        <v>100</v>
      </c>
      <c r="G38" s="153">
        <v>100</v>
      </c>
      <c r="H38" s="153">
        <v>100</v>
      </c>
      <c r="I38" s="153">
        <f>Table5[[#This Row],[Amount Due]]-Table5[[#This Row],[Payment 1]]-Table5[[#This Row],[Payment 2]]-Table5[[#This Row],[Payment 3]]</f>
        <v>0</v>
      </c>
    </row>
    <row r="39" spans="2:9" x14ac:dyDescent="0.2">
      <c r="B39" s="150" t="s">
        <v>739</v>
      </c>
      <c r="C39" s="150" t="s">
        <v>111</v>
      </c>
      <c r="D39" s="150" t="s">
        <v>76</v>
      </c>
      <c r="E39" s="153">
        <f t="shared" si="0"/>
        <v>300</v>
      </c>
      <c r="F39" s="153">
        <v>100</v>
      </c>
      <c r="G39" s="153">
        <v>100</v>
      </c>
      <c r="H39" s="153">
        <v>100</v>
      </c>
      <c r="I39" s="153">
        <f>Table5[[#This Row],[Amount Due]]-Table5[[#This Row],[Payment 1]]-Table5[[#This Row],[Payment 2]]-Table5[[#This Row],[Payment 3]]</f>
        <v>0</v>
      </c>
    </row>
    <row r="40" spans="2:9" x14ac:dyDescent="0.2">
      <c r="B40" s="150" t="s">
        <v>226</v>
      </c>
      <c r="C40" s="150" t="s">
        <v>227</v>
      </c>
      <c r="D40" s="150" t="s">
        <v>76</v>
      </c>
      <c r="E40" s="153">
        <f t="shared" si="0"/>
        <v>300</v>
      </c>
      <c r="F40" s="153">
        <v>100</v>
      </c>
      <c r="G40" s="153">
        <v>100</v>
      </c>
      <c r="H40" s="153">
        <v>100</v>
      </c>
      <c r="I40" s="153">
        <f>Table5[[#This Row],[Amount Due]]-Table5[[#This Row],[Payment 1]]-Table5[[#This Row],[Payment 2]]-Table5[[#This Row],[Payment 3]]</f>
        <v>0</v>
      </c>
    </row>
    <row r="41" spans="2:9" x14ac:dyDescent="0.2">
      <c r="B41" s="150" t="s">
        <v>697</v>
      </c>
      <c r="C41" s="150" t="s">
        <v>75</v>
      </c>
      <c r="D41" s="150" t="s">
        <v>76</v>
      </c>
      <c r="E41" s="153">
        <f t="shared" ref="E41:E72" si="1">IF(D41="Brother",$H$4,IF(D41="Other",$H$5,0))</f>
        <v>300</v>
      </c>
      <c r="F41" s="153">
        <v>100</v>
      </c>
      <c r="G41" s="153">
        <v>100</v>
      </c>
      <c r="H41" s="153">
        <v>100</v>
      </c>
      <c r="I41" s="153">
        <f>Table5[[#This Row],[Amount Due]]-Table5[[#This Row],[Payment 1]]-Table5[[#This Row],[Payment 2]]-Table5[[#This Row],[Payment 3]]</f>
        <v>0</v>
      </c>
    </row>
    <row r="42" spans="2:9" x14ac:dyDescent="0.2">
      <c r="B42" s="150" t="s">
        <v>740</v>
      </c>
      <c r="C42" s="150" t="s">
        <v>75</v>
      </c>
      <c r="D42" s="150" t="s">
        <v>76</v>
      </c>
      <c r="E42" s="153">
        <f t="shared" si="1"/>
        <v>300</v>
      </c>
      <c r="F42" s="153">
        <v>100</v>
      </c>
      <c r="G42" s="153">
        <v>100</v>
      </c>
      <c r="H42" s="153">
        <v>100</v>
      </c>
      <c r="I42" s="153">
        <f>Table5[[#This Row],[Amount Due]]-Table5[[#This Row],[Payment 1]]-Table5[[#This Row],[Payment 2]]-Table5[[#This Row],[Payment 3]]</f>
        <v>0</v>
      </c>
    </row>
    <row r="43" spans="2:9" x14ac:dyDescent="0.2">
      <c r="B43" s="150" t="s">
        <v>698</v>
      </c>
      <c r="C43" s="150" t="s">
        <v>741</v>
      </c>
      <c r="D43" s="150" t="s">
        <v>76</v>
      </c>
      <c r="E43" s="153">
        <f t="shared" si="1"/>
        <v>300</v>
      </c>
      <c r="F43" s="153">
        <v>100</v>
      </c>
      <c r="G43" s="153">
        <v>100</v>
      </c>
      <c r="H43" s="153">
        <v>100</v>
      </c>
      <c r="I43" s="153">
        <f>Table5[[#This Row],[Amount Due]]-Table5[[#This Row],[Payment 1]]-Table5[[#This Row],[Payment 2]]-Table5[[#This Row],[Payment 3]]</f>
        <v>0</v>
      </c>
    </row>
    <row r="44" spans="2:9" x14ac:dyDescent="0.2">
      <c r="B44" s="150" t="s">
        <v>742</v>
      </c>
      <c r="C44" s="150" t="s">
        <v>256</v>
      </c>
      <c r="D44" s="150" t="s">
        <v>76</v>
      </c>
      <c r="E44" s="153">
        <f t="shared" si="1"/>
        <v>300</v>
      </c>
      <c r="F44" s="153">
        <v>100</v>
      </c>
      <c r="G44" s="153">
        <v>100</v>
      </c>
      <c r="H44" s="153">
        <v>100</v>
      </c>
      <c r="I44" s="153">
        <f>Table5[[#This Row],[Amount Due]]-Table5[[#This Row],[Payment 1]]-Table5[[#This Row],[Payment 2]]-Table5[[#This Row],[Payment 3]]</f>
        <v>0</v>
      </c>
    </row>
    <row r="45" spans="2:9" x14ac:dyDescent="0.2">
      <c r="B45" s="150" t="s">
        <v>234</v>
      </c>
      <c r="C45" s="150" t="s">
        <v>743</v>
      </c>
      <c r="D45" s="150" t="s">
        <v>76</v>
      </c>
      <c r="E45" s="153">
        <f t="shared" si="1"/>
        <v>300</v>
      </c>
      <c r="F45" s="153">
        <v>100</v>
      </c>
      <c r="G45" s="153">
        <v>100</v>
      </c>
      <c r="H45" s="153">
        <v>100</v>
      </c>
      <c r="I45" s="153">
        <f>Table5[[#This Row],[Amount Due]]-Table5[[#This Row],[Payment 1]]-Table5[[#This Row],[Payment 2]]-Table5[[#This Row],[Payment 3]]</f>
        <v>0</v>
      </c>
    </row>
    <row r="46" spans="2:9" x14ac:dyDescent="0.2">
      <c r="B46" s="150" t="s">
        <v>744</v>
      </c>
      <c r="C46" s="150" t="s">
        <v>352</v>
      </c>
      <c r="D46" s="150" t="s">
        <v>76</v>
      </c>
      <c r="E46" s="153">
        <f t="shared" si="1"/>
        <v>300</v>
      </c>
      <c r="F46" s="153">
        <v>100</v>
      </c>
      <c r="G46" s="153">
        <v>100</v>
      </c>
      <c r="H46" s="153">
        <v>100</v>
      </c>
      <c r="I46" s="153">
        <f>Table5[[#This Row],[Amount Due]]-Table5[[#This Row],[Payment 1]]-Table5[[#This Row],[Payment 2]]-Table5[[#This Row],[Payment 3]]</f>
        <v>0</v>
      </c>
    </row>
    <row r="47" spans="2:9" x14ac:dyDescent="0.2">
      <c r="B47" s="150" t="s">
        <v>245</v>
      </c>
      <c r="C47" s="150" t="s">
        <v>246</v>
      </c>
      <c r="D47" s="150" t="s">
        <v>76</v>
      </c>
      <c r="E47" s="153">
        <f t="shared" si="1"/>
        <v>300</v>
      </c>
      <c r="F47" s="153">
        <v>100</v>
      </c>
      <c r="G47" s="153">
        <v>100</v>
      </c>
      <c r="H47" s="153">
        <v>100</v>
      </c>
      <c r="I47" s="153">
        <f>Table5[[#This Row],[Amount Due]]-Table5[[#This Row],[Payment 1]]-Table5[[#This Row],[Payment 2]]-Table5[[#This Row],[Payment 3]]</f>
        <v>0</v>
      </c>
    </row>
    <row r="48" spans="2:9" x14ac:dyDescent="0.2">
      <c r="B48" s="150" t="s">
        <v>253</v>
      </c>
      <c r="C48" s="150" t="s">
        <v>256</v>
      </c>
      <c r="D48" s="150" t="s">
        <v>76</v>
      </c>
      <c r="E48" s="153">
        <f t="shared" si="1"/>
        <v>300</v>
      </c>
      <c r="F48" s="153">
        <v>100</v>
      </c>
      <c r="G48" s="153">
        <v>100</v>
      </c>
      <c r="H48" s="153">
        <v>100</v>
      </c>
      <c r="I48" s="153">
        <f>Table5[[#This Row],[Amount Due]]-Table5[[#This Row],[Payment 1]]-Table5[[#This Row],[Payment 2]]-Table5[[#This Row],[Payment 3]]</f>
        <v>0</v>
      </c>
    </row>
    <row r="49" spans="2:9" x14ac:dyDescent="0.2">
      <c r="B49" s="150" t="s">
        <v>253</v>
      </c>
      <c r="C49" s="150" t="s">
        <v>679</v>
      </c>
      <c r="D49" s="150" t="s">
        <v>76</v>
      </c>
      <c r="E49" s="153">
        <f t="shared" si="1"/>
        <v>300</v>
      </c>
      <c r="F49" s="153">
        <v>100</v>
      </c>
      <c r="G49" s="153">
        <v>100</v>
      </c>
      <c r="H49" s="153">
        <v>100</v>
      </c>
      <c r="I49" s="153">
        <f>Table5[[#This Row],[Amount Due]]-Table5[[#This Row],[Payment 1]]-Table5[[#This Row],[Payment 2]]-Table5[[#This Row],[Payment 3]]</f>
        <v>0</v>
      </c>
    </row>
    <row r="50" spans="2:9" x14ac:dyDescent="0.2">
      <c r="B50" s="150" t="s">
        <v>258</v>
      </c>
      <c r="C50" s="150" t="s">
        <v>88</v>
      </c>
      <c r="D50" s="150" t="s">
        <v>76</v>
      </c>
      <c r="E50" s="153">
        <f t="shared" si="1"/>
        <v>300</v>
      </c>
      <c r="F50" s="153">
        <v>100</v>
      </c>
      <c r="G50" s="153">
        <v>100</v>
      </c>
      <c r="H50" s="153">
        <v>100</v>
      </c>
      <c r="I50" s="153">
        <f>Table5[[#This Row],[Amount Due]]-Table5[[#This Row],[Payment 1]]-Table5[[#This Row],[Payment 2]]-Table5[[#This Row],[Payment 3]]</f>
        <v>0</v>
      </c>
    </row>
    <row r="51" spans="2:9" x14ac:dyDescent="0.2">
      <c r="B51" s="150" t="s">
        <v>700</v>
      </c>
      <c r="C51" s="150" t="s">
        <v>745</v>
      </c>
      <c r="D51" s="150" t="s">
        <v>76</v>
      </c>
      <c r="E51" s="153">
        <f t="shared" si="1"/>
        <v>300</v>
      </c>
      <c r="F51" s="153">
        <v>100</v>
      </c>
      <c r="G51" s="153">
        <v>100</v>
      </c>
      <c r="H51" s="153">
        <v>100</v>
      </c>
      <c r="I51" s="153">
        <f>Table5[[#This Row],[Amount Due]]-Table5[[#This Row],[Payment 1]]-Table5[[#This Row],[Payment 2]]-Table5[[#This Row],[Payment 3]]</f>
        <v>0</v>
      </c>
    </row>
    <row r="52" spans="2:9" x14ac:dyDescent="0.2">
      <c r="B52" s="150" t="s">
        <v>81</v>
      </c>
      <c r="C52" s="150" t="s">
        <v>148</v>
      </c>
      <c r="D52" s="150" t="s">
        <v>76</v>
      </c>
      <c r="E52" s="153">
        <f t="shared" si="1"/>
        <v>300</v>
      </c>
      <c r="F52" s="153">
        <v>100</v>
      </c>
      <c r="G52" s="153">
        <v>100</v>
      </c>
      <c r="H52" s="153">
        <v>100</v>
      </c>
      <c r="I52" s="153">
        <f>Table5[[#This Row],[Amount Due]]-Table5[[#This Row],[Payment 1]]-Table5[[#This Row],[Payment 2]]-Table5[[#This Row],[Payment 3]]</f>
        <v>0</v>
      </c>
    </row>
    <row r="53" spans="2:9" x14ac:dyDescent="0.2">
      <c r="B53" s="150" t="s">
        <v>746</v>
      </c>
      <c r="C53" s="150" t="s">
        <v>508</v>
      </c>
      <c r="D53" s="150" t="s">
        <v>76</v>
      </c>
      <c r="E53" s="153">
        <f t="shared" si="1"/>
        <v>300</v>
      </c>
      <c r="F53" s="153">
        <v>100</v>
      </c>
      <c r="G53" s="153">
        <v>100</v>
      </c>
      <c r="H53" s="153">
        <v>100</v>
      </c>
      <c r="I53" s="153">
        <f>Table5[[#This Row],[Amount Due]]-Table5[[#This Row],[Payment 1]]-Table5[[#This Row],[Payment 2]]-Table5[[#This Row],[Payment 3]]</f>
        <v>0</v>
      </c>
    </row>
    <row r="54" spans="2:9" x14ac:dyDescent="0.2">
      <c r="B54" s="150" t="s">
        <v>747</v>
      </c>
      <c r="C54" s="150" t="s">
        <v>111</v>
      </c>
      <c r="D54" s="150" t="s">
        <v>76</v>
      </c>
      <c r="E54" s="153">
        <f t="shared" si="1"/>
        <v>300</v>
      </c>
      <c r="F54" s="153">
        <v>100</v>
      </c>
      <c r="G54" s="153">
        <v>100</v>
      </c>
      <c r="H54" s="153">
        <v>100</v>
      </c>
      <c r="I54" s="153">
        <f>Table5[[#This Row],[Amount Due]]-Table5[[#This Row],[Payment 1]]-Table5[[#This Row],[Payment 2]]-Table5[[#This Row],[Payment 3]]</f>
        <v>0</v>
      </c>
    </row>
    <row r="55" spans="2:9" x14ac:dyDescent="0.2">
      <c r="B55" s="150" t="s">
        <v>748</v>
      </c>
      <c r="C55" s="150" t="s">
        <v>749</v>
      </c>
      <c r="D55" s="150" t="s">
        <v>76</v>
      </c>
      <c r="E55" s="153">
        <f t="shared" si="1"/>
        <v>300</v>
      </c>
      <c r="F55" s="153">
        <v>100</v>
      </c>
      <c r="G55" s="153">
        <v>100</v>
      </c>
      <c r="H55" s="153">
        <v>100</v>
      </c>
      <c r="I55" s="153">
        <f>Table5[[#This Row],[Amount Due]]-Table5[[#This Row],[Payment 1]]-Table5[[#This Row],[Payment 2]]-Table5[[#This Row],[Payment 3]]</f>
        <v>0</v>
      </c>
    </row>
    <row r="56" spans="2:9" x14ac:dyDescent="0.2">
      <c r="B56" s="150" t="s">
        <v>750</v>
      </c>
      <c r="C56" s="150" t="s">
        <v>751</v>
      </c>
      <c r="D56" s="150" t="s">
        <v>76</v>
      </c>
      <c r="E56" s="153">
        <f t="shared" si="1"/>
        <v>300</v>
      </c>
      <c r="F56" s="153">
        <v>100</v>
      </c>
      <c r="G56" s="153">
        <v>100</v>
      </c>
      <c r="H56" s="153">
        <v>100</v>
      </c>
      <c r="I56" s="153">
        <f>Table5[[#This Row],[Amount Due]]-Table5[[#This Row],[Payment 1]]-Table5[[#This Row],[Payment 2]]-Table5[[#This Row],[Payment 3]]</f>
        <v>0</v>
      </c>
    </row>
    <row r="57" spans="2:9" x14ac:dyDescent="0.2">
      <c r="B57" s="150" t="s">
        <v>752</v>
      </c>
      <c r="C57" s="150" t="s">
        <v>405</v>
      </c>
      <c r="D57" s="150" t="s">
        <v>76</v>
      </c>
      <c r="E57" s="153">
        <f t="shared" si="1"/>
        <v>300</v>
      </c>
      <c r="F57" s="153">
        <v>100</v>
      </c>
      <c r="G57" s="153">
        <v>100</v>
      </c>
      <c r="H57" s="153">
        <v>100</v>
      </c>
      <c r="I57" s="153">
        <f>Table5[[#This Row],[Amount Due]]-Table5[[#This Row],[Payment 1]]-Table5[[#This Row],[Payment 2]]-Table5[[#This Row],[Payment 3]]</f>
        <v>0</v>
      </c>
    </row>
    <row r="58" spans="2:9" x14ac:dyDescent="0.2">
      <c r="B58" s="150" t="s">
        <v>753</v>
      </c>
      <c r="C58" s="150" t="s">
        <v>754</v>
      </c>
      <c r="D58" s="150" t="s">
        <v>76</v>
      </c>
      <c r="E58" s="153">
        <f t="shared" si="1"/>
        <v>300</v>
      </c>
      <c r="F58" s="153">
        <v>100</v>
      </c>
      <c r="G58" s="153">
        <v>100</v>
      </c>
      <c r="H58" s="153">
        <v>100</v>
      </c>
      <c r="I58" s="153">
        <f>Table5[[#This Row],[Amount Due]]-Table5[[#This Row],[Payment 1]]-Table5[[#This Row],[Payment 2]]-Table5[[#This Row],[Payment 3]]</f>
        <v>0</v>
      </c>
    </row>
    <row r="59" spans="2:9" x14ac:dyDescent="0.2">
      <c r="B59" s="150" t="s">
        <v>755</v>
      </c>
      <c r="C59" s="150" t="s">
        <v>756</v>
      </c>
      <c r="D59" s="150" t="s">
        <v>76</v>
      </c>
      <c r="E59" s="153">
        <f t="shared" si="1"/>
        <v>300</v>
      </c>
      <c r="F59" s="153">
        <v>100</v>
      </c>
      <c r="G59" s="153">
        <v>100</v>
      </c>
      <c r="H59" s="153">
        <v>100</v>
      </c>
      <c r="I59" s="153">
        <f>Table5[[#This Row],[Amount Due]]-Table5[[#This Row],[Payment 1]]-Table5[[#This Row],[Payment 2]]-Table5[[#This Row],[Payment 3]]</f>
        <v>0</v>
      </c>
    </row>
    <row r="60" spans="2:9" x14ac:dyDescent="0.2">
      <c r="B60" s="150" t="s">
        <v>300</v>
      </c>
      <c r="C60" s="150" t="s">
        <v>301</v>
      </c>
      <c r="D60" s="150" t="s">
        <v>76</v>
      </c>
      <c r="E60" s="153">
        <f t="shared" si="1"/>
        <v>300</v>
      </c>
      <c r="F60" s="153">
        <v>100</v>
      </c>
      <c r="G60" s="153">
        <v>100</v>
      </c>
      <c r="H60" s="153">
        <v>100</v>
      </c>
      <c r="I60" s="153">
        <f>Table5[[#This Row],[Amount Due]]-Table5[[#This Row],[Payment 1]]-Table5[[#This Row],[Payment 2]]-Table5[[#This Row],[Payment 3]]</f>
        <v>0</v>
      </c>
    </row>
    <row r="61" spans="2:9" x14ac:dyDescent="0.2">
      <c r="B61" s="150" t="s">
        <v>300</v>
      </c>
      <c r="C61" s="150" t="s">
        <v>705</v>
      </c>
      <c r="D61" s="150" t="s">
        <v>76</v>
      </c>
      <c r="E61" s="153">
        <f t="shared" si="1"/>
        <v>300</v>
      </c>
      <c r="F61" s="153">
        <v>100</v>
      </c>
      <c r="G61" s="153">
        <v>100</v>
      </c>
      <c r="H61" s="153">
        <v>100</v>
      </c>
      <c r="I61" s="153">
        <f>Table5[[#This Row],[Amount Due]]-Table5[[#This Row],[Payment 1]]-Table5[[#This Row],[Payment 2]]-Table5[[#This Row],[Payment 3]]</f>
        <v>0</v>
      </c>
    </row>
    <row r="62" spans="2:9" x14ac:dyDescent="0.2">
      <c r="B62" s="150" t="s">
        <v>757</v>
      </c>
      <c r="C62" s="150" t="s">
        <v>758</v>
      </c>
      <c r="D62" s="150" t="s">
        <v>76</v>
      </c>
      <c r="E62" s="153">
        <f>IF(D62="Brother",$H$4,IF(D62="Other",$H$5,0))</f>
        <v>300</v>
      </c>
      <c r="F62" s="153">
        <v>100</v>
      </c>
      <c r="G62" s="153">
        <v>100</v>
      </c>
      <c r="H62" s="153">
        <v>100</v>
      </c>
      <c r="I62" s="153">
        <f>Table5[[#This Row],[Amount Due]]-Table5[[#This Row],[Payment 1]]-Table5[[#This Row],[Payment 2]]-Table5[[#This Row],[Payment 3]]</f>
        <v>0</v>
      </c>
    </row>
    <row r="63" spans="2:9" x14ac:dyDescent="0.2">
      <c r="B63" s="150" t="s">
        <v>307</v>
      </c>
      <c r="C63" s="150" t="s">
        <v>261</v>
      </c>
      <c r="D63" s="150" t="s">
        <v>76</v>
      </c>
      <c r="E63" s="153">
        <f t="shared" si="1"/>
        <v>300</v>
      </c>
      <c r="F63" s="153">
        <v>100</v>
      </c>
      <c r="G63" s="153">
        <v>100</v>
      </c>
      <c r="H63" s="153">
        <v>100</v>
      </c>
      <c r="I63" s="153">
        <f>Table5[[#This Row],[Amount Due]]-Table5[[#This Row],[Payment 1]]-Table5[[#This Row],[Payment 2]]-Table5[[#This Row],[Payment 3]]</f>
        <v>0</v>
      </c>
    </row>
    <row r="64" spans="2:9" x14ac:dyDescent="0.2">
      <c r="B64" s="150" t="s">
        <v>310</v>
      </c>
      <c r="C64" s="150" t="s">
        <v>261</v>
      </c>
      <c r="D64" s="150" t="s">
        <v>76</v>
      </c>
      <c r="E64" s="153">
        <f t="shared" si="1"/>
        <v>300</v>
      </c>
      <c r="F64" s="153">
        <v>100</v>
      </c>
      <c r="G64" s="153">
        <v>100</v>
      </c>
      <c r="H64" s="153">
        <v>100</v>
      </c>
      <c r="I64" s="153">
        <f>Table5[[#This Row],[Amount Due]]-Table5[[#This Row],[Payment 1]]-Table5[[#This Row],[Payment 2]]-Table5[[#This Row],[Payment 3]]</f>
        <v>0</v>
      </c>
    </row>
    <row r="65" spans="2:9" x14ac:dyDescent="0.2">
      <c r="B65" s="150" t="s">
        <v>312</v>
      </c>
      <c r="C65" s="150" t="s">
        <v>88</v>
      </c>
      <c r="D65" s="150" t="s">
        <v>76</v>
      </c>
      <c r="E65" s="153">
        <f t="shared" si="1"/>
        <v>300</v>
      </c>
      <c r="F65" s="153">
        <v>100</v>
      </c>
      <c r="G65" s="153">
        <v>100</v>
      </c>
      <c r="H65" s="153">
        <v>100</v>
      </c>
      <c r="I65" s="153">
        <f>Table5[[#This Row],[Amount Due]]-Table5[[#This Row],[Payment 1]]-Table5[[#This Row],[Payment 2]]-Table5[[#This Row],[Payment 3]]</f>
        <v>0</v>
      </c>
    </row>
    <row r="66" spans="2:9" x14ac:dyDescent="0.2">
      <c r="B66" s="150" t="s">
        <v>759</v>
      </c>
      <c r="C66" s="150" t="s">
        <v>760</v>
      </c>
      <c r="D66" s="150" t="s">
        <v>76</v>
      </c>
      <c r="E66" s="153">
        <f t="shared" si="1"/>
        <v>300</v>
      </c>
      <c r="F66" s="153">
        <v>100</v>
      </c>
      <c r="G66" s="153">
        <v>100</v>
      </c>
      <c r="H66" s="153">
        <v>100</v>
      </c>
      <c r="I66" s="153">
        <f>Table5[[#This Row],[Amount Due]]-Table5[[#This Row],[Payment 1]]-Table5[[#This Row],[Payment 2]]-Table5[[#This Row],[Payment 3]]</f>
        <v>0</v>
      </c>
    </row>
    <row r="67" spans="2:9" x14ac:dyDescent="0.2">
      <c r="B67" s="150" t="s">
        <v>761</v>
      </c>
      <c r="C67" s="150" t="s">
        <v>199</v>
      </c>
      <c r="D67" s="150" t="s">
        <v>76</v>
      </c>
      <c r="E67" s="153">
        <f t="shared" si="1"/>
        <v>300</v>
      </c>
      <c r="F67" s="153">
        <v>100</v>
      </c>
      <c r="G67" s="153">
        <v>100</v>
      </c>
      <c r="H67" s="153">
        <v>100</v>
      </c>
      <c r="I67" s="153">
        <f>Table5[[#This Row],[Amount Due]]-Table5[[#This Row],[Payment 1]]-Table5[[#This Row],[Payment 2]]-Table5[[#This Row],[Payment 3]]</f>
        <v>0</v>
      </c>
    </row>
    <row r="68" spans="2:9" x14ac:dyDescent="0.2">
      <c r="B68" s="150" t="s">
        <v>762</v>
      </c>
      <c r="C68" s="150" t="s">
        <v>494</v>
      </c>
      <c r="D68" s="150" t="s">
        <v>76</v>
      </c>
      <c r="E68" s="153">
        <f t="shared" si="1"/>
        <v>300</v>
      </c>
      <c r="F68" s="153">
        <v>100</v>
      </c>
      <c r="G68" s="153">
        <v>100</v>
      </c>
      <c r="H68" s="153">
        <v>100</v>
      </c>
      <c r="I68" s="153">
        <f>Table5[[#This Row],[Amount Due]]-Table5[[#This Row],[Payment 1]]-Table5[[#This Row],[Payment 2]]-Table5[[#This Row],[Payment 3]]</f>
        <v>0</v>
      </c>
    </row>
    <row r="69" spans="2:9" x14ac:dyDescent="0.2">
      <c r="B69" s="150" t="s">
        <v>763</v>
      </c>
      <c r="C69" s="150" t="s">
        <v>764</v>
      </c>
      <c r="D69" s="150" t="s">
        <v>76</v>
      </c>
      <c r="E69" s="153">
        <f t="shared" si="1"/>
        <v>300</v>
      </c>
      <c r="F69" s="153">
        <v>100</v>
      </c>
      <c r="G69" s="153">
        <v>100</v>
      </c>
      <c r="H69" s="153">
        <v>100</v>
      </c>
      <c r="I69" s="153">
        <f>Table5[[#This Row],[Amount Due]]-Table5[[#This Row],[Payment 1]]-Table5[[#This Row],[Payment 2]]-Table5[[#This Row],[Payment 3]]</f>
        <v>0</v>
      </c>
    </row>
    <row r="70" spans="2:9" x14ac:dyDescent="0.2">
      <c r="B70" s="150" t="s">
        <v>765</v>
      </c>
      <c r="C70" s="150" t="s">
        <v>205</v>
      </c>
      <c r="D70" s="150" t="s">
        <v>76</v>
      </c>
      <c r="E70" s="153">
        <f t="shared" si="1"/>
        <v>300</v>
      </c>
      <c r="F70" s="153">
        <v>100</v>
      </c>
      <c r="G70" s="153">
        <v>100</v>
      </c>
      <c r="H70" s="153">
        <v>100</v>
      </c>
      <c r="I70" s="153">
        <f>Table5[[#This Row],[Amount Due]]-Table5[[#This Row],[Payment 1]]-Table5[[#This Row],[Payment 2]]-Table5[[#This Row],[Payment 3]]</f>
        <v>0</v>
      </c>
    </row>
    <row r="71" spans="2:9" x14ac:dyDescent="0.2">
      <c r="B71" s="150" t="s">
        <v>706</v>
      </c>
      <c r="C71" s="150" t="s">
        <v>199</v>
      </c>
      <c r="D71" s="150" t="s">
        <v>76</v>
      </c>
      <c r="E71" s="153">
        <f t="shared" si="1"/>
        <v>300</v>
      </c>
      <c r="F71" s="153">
        <v>100</v>
      </c>
      <c r="G71" s="153">
        <v>100</v>
      </c>
      <c r="H71" s="153">
        <v>100</v>
      </c>
      <c r="I71" s="153">
        <f>Table5[[#This Row],[Amount Due]]-Table5[[#This Row],[Payment 1]]-Table5[[#This Row],[Payment 2]]-Table5[[#This Row],[Payment 3]]</f>
        <v>0</v>
      </c>
    </row>
    <row r="72" spans="2:9" x14ac:dyDescent="0.2">
      <c r="B72" s="150" t="s">
        <v>334</v>
      </c>
      <c r="C72" s="150" t="s">
        <v>335</v>
      </c>
      <c r="D72" s="150" t="s">
        <v>76</v>
      </c>
      <c r="E72" s="153">
        <f t="shared" si="1"/>
        <v>300</v>
      </c>
      <c r="F72" s="153">
        <v>100</v>
      </c>
      <c r="G72" s="153">
        <v>100</v>
      </c>
      <c r="H72" s="153">
        <v>100</v>
      </c>
      <c r="I72" s="153">
        <f>Table5[[#This Row],[Amount Due]]-Table5[[#This Row],[Payment 1]]-Table5[[#This Row],[Payment 2]]-Table5[[#This Row],[Payment 3]]</f>
        <v>0</v>
      </c>
    </row>
    <row r="73" spans="2:9" x14ac:dyDescent="0.2">
      <c r="B73" s="150" t="s">
        <v>766</v>
      </c>
      <c r="C73" s="150" t="s">
        <v>691</v>
      </c>
      <c r="D73" s="150" t="s">
        <v>76</v>
      </c>
      <c r="E73" s="153">
        <f t="shared" ref="E73:E91" si="2">IF(D73="Brother",$H$4,IF(D73="Other",$H$5,0))</f>
        <v>300</v>
      </c>
      <c r="F73" s="153">
        <v>100</v>
      </c>
      <c r="G73" s="153">
        <v>100</v>
      </c>
      <c r="H73" s="153">
        <v>100</v>
      </c>
      <c r="I73" s="153">
        <f>Table5[[#This Row],[Amount Due]]-Table5[[#This Row],[Payment 1]]-Table5[[#This Row],[Payment 2]]-Table5[[#This Row],[Payment 3]]</f>
        <v>0</v>
      </c>
    </row>
    <row r="74" spans="2:9" x14ac:dyDescent="0.2">
      <c r="B74" s="150" t="s">
        <v>767</v>
      </c>
      <c r="C74" s="150" t="s">
        <v>768</v>
      </c>
      <c r="D74" s="150" t="s">
        <v>76</v>
      </c>
      <c r="E74" s="153">
        <f t="shared" si="2"/>
        <v>300</v>
      </c>
      <c r="F74" s="153">
        <v>100</v>
      </c>
      <c r="G74" s="153">
        <v>100</v>
      </c>
      <c r="H74" s="153">
        <v>100</v>
      </c>
      <c r="I74" s="153">
        <f>Table5[[#This Row],[Amount Due]]-Table5[[#This Row],[Payment 1]]-Table5[[#This Row],[Payment 2]]-Table5[[#This Row],[Payment 3]]</f>
        <v>0</v>
      </c>
    </row>
    <row r="75" spans="2:9" x14ac:dyDescent="0.2">
      <c r="B75" s="150" t="s">
        <v>346</v>
      </c>
      <c r="C75" s="150" t="s">
        <v>347</v>
      </c>
      <c r="D75" s="150" t="s">
        <v>76</v>
      </c>
      <c r="E75" s="153">
        <f t="shared" si="2"/>
        <v>300</v>
      </c>
      <c r="F75" s="153">
        <v>100</v>
      </c>
      <c r="G75" s="153">
        <v>100</v>
      </c>
      <c r="H75" s="153">
        <v>100</v>
      </c>
      <c r="I75" s="153">
        <f>Table5[[#This Row],[Amount Due]]-Table5[[#This Row],[Payment 1]]-Table5[[#This Row],[Payment 2]]-Table5[[#This Row],[Payment 3]]</f>
        <v>0</v>
      </c>
    </row>
    <row r="76" spans="2:9" x14ac:dyDescent="0.2">
      <c r="B76" s="150" t="s">
        <v>360</v>
      </c>
      <c r="C76" s="150" t="s">
        <v>692</v>
      </c>
      <c r="D76" s="150" t="s">
        <v>76</v>
      </c>
      <c r="E76" s="153">
        <f t="shared" si="2"/>
        <v>300</v>
      </c>
      <c r="F76" s="153">
        <v>100</v>
      </c>
      <c r="G76" s="153">
        <v>100</v>
      </c>
      <c r="H76" s="153">
        <v>100</v>
      </c>
      <c r="I76" s="153">
        <f>Table5[[#This Row],[Amount Due]]-Table5[[#This Row],[Payment 1]]-Table5[[#This Row],[Payment 2]]-Table5[[#This Row],[Payment 3]]</f>
        <v>0</v>
      </c>
    </row>
    <row r="77" spans="2:9" x14ac:dyDescent="0.2">
      <c r="B77" s="150" t="s">
        <v>769</v>
      </c>
      <c r="C77" s="150" t="s">
        <v>731</v>
      </c>
      <c r="D77" s="150" t="s">
        <v>76</v>
      </c>
      <c r="E77" s="153">
        <f t="shared" si="2"/>
        <v>300</v>
      </c>
      <c r="F77" s="153">
        <v>100</v>
      </c>
      <c r="G77" s="153">
        <v>100</v>
      </c>
      <c r="H77" s="153">
        <v>100</v>
      </c>
      <c r="I77" s="153">
        <f>Table5[[#This Row],[Amount Due]]-Table5[[#This Row],[Payment 1]]-Table5[[#This Row],[Payment 2]]-Table5[[#This Row],[Payment 3]]</f>
        <v>0</v>
      </c>
    </row>
    <row r="78" spans="2:9" x14ac:dyDescent="0.2">
      <c r="B78" s="150" t="s">
        <v>365</v>
      </c>
      <c r="C78" s="150" t="s">
        <v>682</v>
      </c>
      <c r="D78" s="150" t="s">
        <v>76</v>
      </c>
      <c r="E78" s="153">
        <f t="shared" si="2"/>
        <v>300</v>
      </c>
      <c r="F78" s="153">
        <v>100</v>
      </c>
      <c r="G78" s="153">
        <v>100</v>
      </c>
      <c r="H78" s="153">
        <v>100</v>
      </c>
      <c r="I78" s="153">
        <f>Table5[[#This Row],[Amount Due]]-Table5[[#This Row],[Payment 1]]-Table5[[#This Row],[Payment 2]]-Table5[[#This Row],[Payment 3]]</f>
        <v>0</v>
      </c>
    </row>
    <row r="79" spans="2:9" x14ac:dyDescent="0.2">
      <c r="B79" s="150" t="s">
        <v>770</v>
      </c>
      <c r="C79" s="150" t="s">
        <v>771</v>
      </c>
      <c r="D79" s="150" t="s">
        <v>76</v>
      </c>
      <c r="E79" s="153">
        <f t="shared" si="2"/>
        <v>300</v>
      </c>
      <c r="F79" s="153">
        <v>100</v>
      </c>
      <c r="G79" s="153">
        <v>100</v>
      </c>
      <c r="H79" s="153">
        <v>100</v>
      </c>
      <c r="I79" s="153">
        <f>Table5[[#This Row],[Amount Due]]-Table5[[#This Row],[Payment 1]]-Table5[[#This Row],[Payment 2]]-Table5[[#This Row],[Payment 3]]</f>
        <v>0</v>
      </c>
    </row>
    <row r="80" spans="2:9" x14ac:dyDescent="0.2">
      <c r="B80" s="150" t="s">
        <v>772</v>
      </c>
      <c r="C80" s="150" t="s">
        <v>218</v>
      </c>
      <c r="D80" s="150" t="s">
        <v>76</v>
      </c>
      <c r="E80" s="153">
        <f t="shared" si="2"/>
        <v>300</v>
      </c>
      <c r="F80" s="153">
        <v>100</v>
      </c>
      <c r="G80" s="153">
        <v>100</v>
      </c>
      <c r="H80" s="153">
        <v>100</v>
      </c>
      <c r="I80" s="153">
        <f>Table5[[#This Row],[Amount Due]]-Table5[[#This Row],[Payment 1]]-Table5[[#This Row],[Payment 2]]-Table5[[#This Row],[Payment 3]]</f>
        <v>0</v>
      </c>
    </row>
    <row r="81" spans="2:9" x14ac:dyDescent="0.2">
      <c r="B81" s="150" t="s">
        <v>773</v>
      </c>
      <c r="C81" s="150" t="s">
        <v>731</v>
      </c>
      <c r="D81" s="150" t="s">
        <v>76</v>
      </c>
      <c r="E81" s="153">
        <f t="shared" si="2"/>
        <v>300</v>
      </c>
      <c r="F81" s="153">
        <v>100</v>
      </c>
      <c r="G81" s="153">
        <v>100</v>
      </c>
      <c r="H81" s="153">
        <v>100</v>
      </c>
      <c r="I81" s="153">
        <f>Table5[[#This Row],[Amount Due]]-Table5[[#This Row],[Payment 1]]-Table5[[#This Row],[Payment 2]]-Table5[[#This Row],[Payment 3]]</f>
        <v>0</v>
      </c>
    </row>
    <row r="82" spans="2:9" x14ac:dyDescent="0.2">
      <c r="B82" s="150" t="s">
        <v>386</v>
      </c>
      <c r="C82" s="150" t="s">
        <v>387</v>
      </c>
      <c r="D82" s="150" t="s">
        <v>76</v>
      </c>
      <c r="E82" s="153">
        <f t="shared" si="2"/>
        <v>300</v>
      </c>
      <c r="F82" s="153">
        <v>100</v>
      </c>
      <c r="G82" s="153">
        <v>100</v>
      </c>
      <c r="H82" s="153">
        <v>100</v>
      </c>
      <c r="I82" s="153">
        <f>Table5[[#This Row],[Amount Due]]-Table5[[#This Row],[Payment 1]]-Table5[[#This Row],[Payment 2]]-Table5[[#This Row],[Payment 3]]</f>
        <v>0</v>
      </c>
    </row>
    <row r="83" spans="2:9" x14ac:dyDescent="0.2">
      <c r="B83" s="150" t="s">
        <v>774</v>
      </c>
      <c r="C83" s="150" t="s">
        <v>775</v>
      </c>
      <c r="D83" s="150" t="s">
        <v>76</v>
      </c>
      <c r="E83" s="153">
        <f t="shared" si="2"/>
        <v>300</v>
      </c>
      <c r="F83" s="153">
        <v>100</v>
      </c>
      <c r="G83" s="153">
        <v>100</v>
      </c>
      <c r="H83" s="153">
        <v>100</v>
      </c>
      <c r="I83" s="153">
        <f>Table5[[#This Row],[Amount Due]]-Table5[[#This Row],[Payment 1]]-Table5[[#This Row],[Payment 2]]-Table5[[#This Row],[Payment 3]]</f>
        <v>0</v>
      </c>
    </row>
    <row r="84" spans="2:9" x14ac:dyDescent="0.2">
      <c r="B84" s="150" t="s">
        <v>707</v>
      </c>
      <c r="C84" s="150" t="s">
        <v>692</v>
      </c>
      <c r="D84" s="150" t="s">
        <v>713</v>
      </c>
      <c r="E84" s="153">
        <f t="shared" si="2"/>
        <v>500</v>
      </c>
      <c r="F84" s="153">
        <v>100</v>
      </c>
      <c r="G84" s="153">
        <v>200</v>
      </c>
      <c r="H84" s="153">
        <v>200</v>
      </c>
      <c r="I84" s="153">
        <f>Table5[[#This Row],[Amount Due]]-Table5[[#This Row],[Payment 1]]-Table5[[#This Row],[Payment 2]]-Table5[[#This Row],[Payment 3]]</f>
        <v>0</v>
      </c>
    </row>
    <row r="85" spans="2:9" x14ac:dyDescent="0.2">
      <c r="B85" s="150" t="s">
        <v>776</v>
      </c>
      <c r="C85" s="150" t="s">
        <v>777</v>
      </c>
      <c r="D85" s="150" t="s">
        <v>713</v>
      </c>
      <c r="E85" s="153">
        <f t="shared" si="2"/>
        <v>500</v>
      </c>
      <c r="F85" s="153">
        <v>100</v>
      </c>
      <c r="G85" s="153">
        <v>200</v>
      </c>
      <c r="H85" s="153">
        <v>200</v>
      </c>
      <c r="I85" s="153">
        <f>Table5[[#This Row],[Amount Due]]-Table5[[#This Row],[Payment 1]]-Table5[[#This Row],[Payment 2]]-Table5[[#This Row],[Payment 3]]</f>
        <v>0</v>
      </c>
    </row>
    <row r="86" spans="2:9" x14ac:dyDescent="0.2">
      <c r="B86" s="150" t="s">
        <v>778</v>
      </c>
      <c r="C86" s="150" t="s">
        <v>447</v>
      </c>
      <c r="D86" s="150" t="s">
        <v>713</v>
      </c>
      <c r="E86" s="153">
        <f t="shared" si="2"/>
        <v>500</v>
      </c>
      <c r="F86" s="153">
        <v>100</v>
      </c>
      <c r="G86" s="153">
        <v>200</v>
      </c>
      <c r="H86" s="153">
        <v>200</v>
      </c>
      <c r="I86" s="153">
        <f>Table5[[#This Row],[Amount Due]]-Table5[[#This Row],[Payment 1]]-Table5[[#This Row],[Payment 2]]-Table5[[#This Row],[Payment 3]]</f>
        <v>0</v>
      </c>
    </row>
    <row r="87" spans="2:9" x14ac:dyDescent="0.2">
      <c r="B87" s="150" t="s">
        <v>779</v>
      </c>
      <c r="C87" s="150" t="s">
        <v>780</v>
      </c>
      <c r="D87" s="150" t="s">
        <v>713</v>
      </c>
      <c r="E87" s="153">
        <f t="shared" si="2"/>
        <v>500</v>
      </c>
      <c r="F87" s="153">
        <v>100</v>
      </c>
      <c r="G87" s="153">
        <v>200</v>
      </c>
      <c r="H87" s="153">
        <v>200</v>
      </c>
      <c r="I87" s="153">
        <f>Table5[[#This Row],[Amount Due]]-Table5[[#This Row],[Payment 1]]-Table5[[#This Row],[Payment 2]]-Table5[[#This Row],[Payment 3]]</f>
        <v>0</v>
      </c>
    </row>
    <row r="88" spans="2:9" x14ac:dyDescent="0.2">
      <c r="B88" s="150" t="s">
        <v>781</v>
      </c>
      <c r="C88" s="150" t="s">
        <v>190</v>
      </c>
      <c r="D88" s="150" t="s">
        <v>713</v>
      </c>
      <c r="E88" s="153">
        <f t="shared" si="2"/>
        <v>500</v>
      </c>
      <c r="F88" s="153">
        <v>100</v>
      </c>
      <c r="G88" s="153">
        <v>200</v>
      </c>
      <c r="H88" s="153">
        <v>200</v>
      </c>
      <c r="I88" s="153">
        <f>Table5[[#This Row],[Amount Due]]-Table5[[#This Row],[Payment 1]]-Table5[[#This Row],[Payment 2]]-Table5[[#This Row],[Payment 3]]</f>
        <v>0</v>
      </c>
    </row>
    <row r="89" spans="2:9" x14ac:dyDescent="0.2">
      <c r="B89" s="150" t="s">
        <v>782</v>
      </c>
      <c r="C89" s="150" t="s">
        <v>783</v>
      </c>
      <c r="D89" s="150" t="s">
        <v>713</v>
      </c>
      <c r="E89" s="153">
        <f t="shared" si="2"/>
        <v>500</v>
      </c>
      <c r="F89" s="153">
        <v>100</v>
      </c>
      <c r="G89" s="153">
        <v>200</v>
      </c>
      <c r="H89" s="153">
        <v>200</v>
      </c>
      <c r="I89" s="153">
        <f>Table5[[#This Row],[Amount Due]]-Table5[[#This Row],[Payment 1]]-Table5[[#This Row],[Payment 2]]-Table5[[#This Row],[Payment 3]]</f>
        <v>0</v>
      </c>
    </row>
    <row r="90" spans="2:9" x14ac:dyDescent="0.2">
      <c r="B90" s="150" t="s">
        <v>784</v>
      </c>
      <c r="C90" s="150" t="s">
        <v>205</v>
      </c>
      <c r="E90" s="153">
        <f t="shared" si="2"/>
        <v>0</v>
      </c>
      <c r="F90" s="153"/>
      <c r="G90" s="153"/>
      <c r="H90" s="153"/>
      <c r="I90" s="153">
        <f>Table5[[#This Row],[Amount Due]]-Table5[[#This Row],[Payment 1]]-Table5[[#This Row],[Payment 2]]-Table5[[#This Row],[Payment 3]]</f>
        <v>0</v>
      </c>
    </row>
    <row r="91" spans="2:9" x14ac:dyDescent="0.2">
      <c r="E91" s="153">
        <f t="shared" si="2"/>
        <v>0</v>
      </c>
      <c r="F91" s="153"/>
      <c r="G91" s="153"/>
      <c r="H91" s="153"/>
      <c r="I91" s="153">
        <f>Table5[[#This Row],[Amount Due]]-Table5[[#This Row],[Payment 1]]-Table5[[#This Row],[Payment 2]]-Table5[[#This Row],[Payment 3]]</f>
        <v>0</v>
      </c>
    </row>
    <row r="92" spans="2:9" x14ac:dyDescent="0.2">
      <c r="B92" s="150" t="s">
        <v>25</v>
      </c>
      <c r="C92" s="150">
        <f>SUBTOTAL(103,Table5[First Name])</f>
        <v>80</v>
      </c>
      <c r="E92" s="152">
        <f>SUBTOTAL(109,Table5[Amount Due])</f>
        <v>24900</v>
      </c>
      <c r="F92" s="150">
        <f>1+SUBTOTAL(103,Table5[Payment 1])</f>
        <v>80</v>
      </c>
      <c r="G92" s="150">
        <f>1+SUBTOTAL(103,Table5[Payment 2])</f>
        <v>80</v>
      </c>
      <c r="H92" s="150">
        <f>1+SUBTOTAL(103,Table5[Payment 3])</f>
        <v>80</v>
      </c>
      <c r="I92" s="152">
        <f>SUBTOTAL(109,Table5[Remaining Balance])</f>
        <v>0</v>
      </c>
    </row>
  </sheetData>
  <mergeCells count="9">
    <mergeCell ref="L2:O2"/>
    <mergeCell ref="F9:I9"/>
    <mergeCell ref="B9:E9"/>
    <mergeCell ref="G2:H2"/>
    <mergeCell ref="C2:D2"/>
    <mergeCell ref="C3:D3"/>
    <mergeCell ref="C4:D4"/>
    <mergeCell ref="C5:D5"/>
    <mergeCell ref="C6:D6"/>
  </mergeCells>
  <conditionalFormatting sqref="I11:I92">
    <cfRule type="cellIs" dxfId="0" priority="1" operator="greaterThan">
      <formula>0</formula>
    </cfRule>
  </conditionalFormatting>
  <dataValidations disablePrompts="1" count="1">
    <dataValidation type="list" allowBlank="1" showInputMessage="1" showErrorMessage="1" sqref="D11:D91" xr:uid="{9CD1607D-35A2-5E4E-B9A1-8921037D363C}">
      <formula1>$G$4:$G$5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6FB61-2C50-8A43-860D-A2C87E8290B4}">
  <sheetPr codeName="Sheet7">
    <tabColor theme="9" tint="0.79998168889431442"/>
  </sheetPr>
  <dimension ref="B1:W36"/>
  <sheetViews>
    <sheetView topLeftCell="A2" zoomScale="107" zoomScaleNormal="150" workbookViewId="0">
      <selection activeCell="K29" sqref="K29"/>
    </sheetView>
  </sheetViews>
  <sheetFormatPr baseColWidth="10" defaultColWidth="10.6640625" defaultRowHeight="16" x14ac:dyDescent="0.2"/>
  <cols>
    <col min="1" max="1" width="5.1640625" style="1" customWidth="1"/>
    <col min="2" max="2" width="21.1640625" style="1" customWidth="1"/>
    <col min="3" max="3" width="12.83203125" style="1" bestFit="1" customWidth="1"/>
    <col min="4" max="5" width="14.1640625" style="1" bestFit="1" customWidth="1"/>
    <col min="6" max="6" width="13.6640625" style="1" bestFit="1" customWidth="1"/>
    <col min="7" max="7" width="5.1640625" style="1" customWidth="1"/>
    <col min="8" max="8" width="20.1640625" style="1" bestFit="1" customWidth="1"/>
    <col min="9" max="9" width="12.5" style="1" bestFit="1" customWidth="1"/>
    <col min="10" max="11" width="14.1640625" style="1" bestFit="1" customWidth="1"/>
    <col min="12" max="12" width="13.6640625" style="1" bestFit="1" customWidth="1"/>
    <col min="13" max="13" width="5.1640625" style="1" customWidth="1"/>
    <col min="14" max="14" width="20.1640625" style="1" bestFit="1" customWidth="1"/>
    <col min="15" max="15" width="12.83203125" style="1" bestFit="1" customWidth="1"/>
    <col min="16" max="17" width="14.1640625" style="1" bestFit="1" customWidth="1"/>
    <col min="18" max="18" width="13.1640625" style="1" bestFit="1" customWidth="1"/>
    <col min="19" max="16384" width="10.6640625" style="1"/>
  </cols>
  <sheetData>
    <row r="1" spans="2:23" ht="17" thickBot="1" x14ac:dyDescent="0.25"/>
    <row r="2" spans="2:23" ht="30" thickBot="1" x14ac:dyDescent="0.4">
      <c r="B2" s="362" t="s">
        <v>17</v>
      </c>
      <c r="C2" s="363"/>
      <c r="D2" s="363"/>
      <c r="E2" s="363"/>
      <c r="F2" s="363"/>
      <c r="G2" s="363"/>
      <c r="H2" s="363"/>
      <c r="I2" s="363"/>
      <c r="J2" s="363"/>
      <c r="K2" s="363"/>
      <c r="L2" s="363"/>
      <c r="M2" s="363"/>
      <c r="N2" s="363"/>
      <c r="O2" s="363"/>
      <c r="P2" s="363"/>
      <c r="Q2" s="363"/>
      <c r="R2" s="364"/>
    </row>
    <row r="3" spans="2:23" ht="20" thickBot="1" x14ac:dyDescent="0.3">
      <c r="B3" s="359" t="s">
        <v>18</v>
      </c>
      <c r="C3" s="360"/>
      <c r="D3" s="360"/>
      <c r="E3" s="360"/>
      <c r="F3" s="361"/>
      <c r="G3" s="14"/>
      <c r="H3" s="359" t="s">
        <v>19</v>
      </c>
      <c r="I3" s="360"/>
      <c r="J3" s="360"/>
      <c r="K3" s="360"/>
      <c r="L3" s="361"/>
      <c r="N3" s="359" t="s">
        <v>20</v>
      </c>
      <c r="O3" s="360"/>
      <c r="P3" s="360"/>
      <c r="Q3" s="360"/>
      <c r="R3" s="361"/>
    </row>
    <row r="4" spans="2:23" ht="17" thickBot="1" x14ac:dyDescent="0.25">
      <c r="B4" s="15" t="s">
        <v>21</v>
      </c>
      <c r="C4" s="17" t="s">
        <v>2</v>
      </c>
      <c r="D4" s="17" t="s">
        <v>3</v>
      </c>
      <c r="E4" s="17" t="s">
        <v>4</v>
      </c>
      <c r="F4" s="18" t="s">
        <v>22</v>
      </c>
      <c r="G4" s="14"/>
      <c r="H4" s="15" t="s">
        <v>21</v>
      </c>
      <c r="I4" s="17" t="s">
        <v>2</v>
      </c>
      <c r="J4" s="17" t="s">
        <v>3</v>
      </c>
      <c r="K4" s="17" t="s">
        <v>4</v>
      </c>
      <c r="L4" s="56" t="s">
        <v>22</v>
      </c>
      <c r="N4" s="15" t="s">
        <v>21</v>
      </c>
      <c r="O4" s="17" t="s">
        <v>2</v>
      </c>
      <c r="P4" s="17" t="s">
        <v>3</v>
      </c>
      <c r="Q4" s="17" t="s">
        <v>4</v>
      </c>
      <c r="R4" s="18" t="s">
        <v>22</v>
      </c>
    </row>
    <row r="5" spans="2:23" x14ac:dyDescent="0.2">
      <c r="B5" s="63" t="s">
        <v>23</v>
      </c>
      <c r="C5" s="20">
        <f>'IFC &amp; Nationals Payments'!F16</f>
        <v>4515</v>
      </c>
      <c r="D5" s="20">
        <f>'IFC &amp; Nationals Payments'!K16</f>
        <v>5689.62</v>
      </c>
      <c r="E5" s="20">
        <f>'IFC &amp; Nationals Payments'!P16</f>
        <v>5080.6000000000004</v>
      </c>
      <c r="F5" s="24">
        <f>SUM(C5:E5)</f>
        <v>15285.22</v>
      </c>
      <c r="G5" s="14"/>
      <c r="H5" s="63" t="s">
        <v>23</v>
      </c>
      <c r="I5" s="69">
        <f>SUMIF('Out Going Funds'!$B$6:$B$19,'Budget '!$H5,'Out Going Funds'!$E$6:$E$19)-SUMIF('In Coming Funds'!$B$6:$B$19,'Budget '!$H5,'In Coming Funds'!$E$6:$E$19)</f>
        <v>333.75</v>
      </c>
      <c r="J5" s="69">
        <f>SUMIF('Out Going Funds'!$F$6:$F$19,'Budget '!$H5,'Out Going Funds'!$I$6:$I$19)-SUMIF('In Coming Funds'!$F$6:$F$19,'Budget '!$H5,'In Coming Funds'!$I$6:$I$19)</f>
        <v>5689.62</v>
      </c>
      <c r="K5" s="69">
        <f>SUMIF('Out Going Funds'!$J$6:$J$19,'Budget '!$H5,'Out Going Funds'!$M$6:$M$19)-SUMIF('In Coming Funds'!$J$6:$J$19,'Budget '!$H5,'In Coming Funds'!$M$6:$M$19)</f>
        <v>5080.6000000000004</v>
      </c>
      <c r="L5" s="24">
        <f>SUM(I5:K5)</f>
        <v>11103.970000000001</v>
      </c>
      <c r="N5" s="63" t="s">
        <v>23</v>
      </c>
      <c r="O5" s="69">
        <f t="shared" ref="O5:R6" si="0">C5-I5</f>
        <v>4181.25</v>
      </c>
      <c r="P5" s="69">
        <f t="shared" si="0"/>
        <v>0</v>
      </c>
      <c r="Q5" s="69">
        <f t="shared" si="0"/>
        <v>0</v>
      </c>
      <c r="R5" s="24">
        <f t="shared" si="0"/>
        <v>4181.2499999999982</v>
      </c>
    </row>
    <row r="6" spans="2:23" ht="17" thickBot="1" x14ac:dyDescent="0.25">
      <c r="B6" s="64" t="s">
        <v>24</v>
      </c>
      <c r="C6" s="20">
        <f>'IFC &amp; Nationals Payments'!F10</f>
        <v>15778.22</v>
      </c>
      <c r="D6" s="20">
        <f>'IFC &amp; Nationals Payments'!K10</f>
        <v>10259.85</v>
      </c>
      <c r="E6" s="20">
        <f>'IFC &amp; Nationals Payments'!P10</f>
        <v>3013.7</v>
      </c>
      <c r="F6" s="26">
        <f>SUM(C6:E6)</f>
        <v>29051.77</v>
      </c>
      <c r="G6" s="14"/>
      <c r="H6" s="64" t="s">
        <v>24</v>
      </c>
      <c r="I6" s="69">
        <f>SUMIF('Out Going Funds'!$B$6:$B$19,'Budget '!$H6,'Out Going Funds'!$E$6:$E$19)-SUMIF('In Coming Funds'!$B$6:$B$19,'Budget '!$H6,'In Coming Funds'!$E$6:$E$19)</f>
        <v>13993.470000000001</v>
      </c>
      <c r="J6" s="69">
        <f>SUMIF('Out Going Funds'!$F$6:$F$19,'Budget '!$H6,'Out Going Funds'!$I$6:$I$19)-SUMIF('In Coming Funds'!$F$6:$F$19,'Budget '!$H6,'In Coming Funds'!$I$6:$I$19)</f>
        <v>13361.04</v>
      </c>
      <c r="K6" s="69">
        <f>SUMIF('Out Going Funds'!$J$6:$J$19,'Budget '!$H6,'Out Going Funds'!$M$6:$M$19)-SUMIF('In Coming Funds'!$J$6:$J$19,'Budget '!$H6,'In Coming Funds'!$M$6:$M$19)</f>
        <v>5424.41</v>
      </c>
      <c r="L6" s="26">
        <f>SUM(I6:K6)</f>
        <v>32778.92</v>
      </c>
      <c r="N6" s="64" t="s">
        <v>24</v>
      </c>
      <c r="O6" s="69">
        <f t="shared" si="0"/>
        <v>1784.7499999999982</v>
      </c>
      <c r="P6" s="69">
        <f t="shared" si="0"/>
        <v>-3101.1900000000005</v>
      </c>
      <c r="Q6" s="69">
        <f t="shared" si="0"/>
        <v>-2410.71</v>
      </c>
      <c r="R6" s="26">
        <f t="shared" si="0"/>
        <v>-3727.1499999999978</v>
      </c>
      <c r="W6" s="1">
        <v>322</v>
      </c>
    </row>
    <row r="7" spans="2:23" ht="17" thickBot="1" x14ac:dyDescent="0.25">
      <c r="B7" s="16" t="s">
        <v>25</v>
      </c>
      <c r="C7" s="21">
        <f>SUM(C5:C6)</f>
        <v>20293.22</v>
      </c>
      <c r="D7" s="21">
        <f>SUM(D5:D6)</f>
        <v>15949.470000000001</v>
      </c>
      <c r="E7" s="21">
        <f>SUM(E5:E6)</f>
        <v>8094.3</v>
      </c>
      <c r="F7" s="22">
        <f>SUM(F5:F6)</f>
        <v>44336.99</v>
      </c>
      <c r="G7" s="14"/>
      <c r="H7" s="16" t="s">
        <v>25</v>
      </c>
      <c r="I7" s="21">
        <f>SUM(I5:I6)</f>
        <v>14327.220000000001</v>
      </c>
      <c r="J7" s="21">
        <f>SUM(J5:J6)</f>
        <v>19050.66</v>
      </c>
      <c r="K7" s="21">
        <f>SUM(K5:K6)</f>
        <v>10505.01</v>
      </c>
      <c r="L7" s="57">
        <f>SUM(L5:L6)</f>
        <v>43882.89</v>
      </c>
      <c r="N7" s="16" t="s">
        <v>25</v>
      </c>
      <c r="O7" s="21">
        <f>SUM(O5:O6)</f>
        <v>5965.9999999999982</v>
      </c>
      <c r="P7" s="21">
        <f>SUM(P5:P6)</f>
        <v>-3101.1900000000005</v>
      </c>
      <c r="Q7" s="21">
        <f>SUM(Q5:Q6)</f>
        <v>-2410.71</v>
      </c>
      <c r="R7" s="28">
        <f>SUM(R5:R6)</f>
        <v>454.10000000000036</v>
      </c>
      <c r="W7" s="1">
        <v>352</v>
      </c>
    </row>
    <row r="8" spans="2:23" ht="17" thickBot="1" x14ac:dyDescent="0.25">
      <c r="B8" s="15" t="s">
        <v>26</v>
      </c>
      <c r="C8" s="17" t="s">
        <v>2</v>
      </c>
      <c r="D8" s="17" t="s">
        <v>3</v>
      </c>
      <c r="E8" s="17" t="s">
        <v>4</v>
      </c>
      <c r="F8" s="27" t="s">
        <v>22</v>
      </c>
      <c r="G8" s="14"/>
      <c r="H8" s="15" t="s">
        <v>26</v>
      </c>
      <c r="I8" s="17" t="s">
        <v>2</v>
      </c>
      <c r="J8" s="17" t="s">
        <v>3</v>
      </c>
      <c r="K8" s="17" t="s">
        <v>4</v>
      </c>
      <c r="L8" s="27" t="s">
        <v>22</v>
      </c>
      <c r="N8" s="15" t="s">
        <v>26</v>
      </c>
      <c r="O8" s="17" t="s">
        <v>2</v>
      </c>
      <c r="P8" s="17" t="s">
        <v>3</v>
      </c>
      <c r="Q8" s="17" t="s">
        <v>4</v>
      </c>
      <c r="R8" s="27" t="s">
        <v>22</v>
      </c>
      <c r="W8" s="1">
        <v>65</v>
      </c>
    </row>
    <row r="9" spans="2:23" x14ac:dyDescent="0.2">
      <c r="B9" s="65" t="s">
        <v>27</v>
      </c>
      <c r="C9" s="20">
        <v>312</v>
      </c>
      <c r="D9" s="20">
        <v>0</v>
      </c>
      <c r="E9" s="20">
        <v>2895</v>
      </c>
      <c r="F9" s="24">
        <f t="shared" ref="F9:F18" si="1">SUM(C9:E9)</f>
        <v>3207</v>
      </c>
      <c r="G9" s="14"/>
      <c r="H9" s="65" t="s">
        <v>27</v>
      </c>
      <c r="I9" s="69">
        <f>SUMIF('Out Going Funds'!$B$23:$B$58,'Budget '!$H9,'Out Going Funds'!$E$23:$E$58)-SUMIF('In Coming Funds'!$B$23:$B$51,'Budget '!$H9,'In Coming Funds'!$E$23:$E$51)</f>
        <v>312</v>
      </c>
      <c r="J9" s="69">
        <f>SUMIF('Out Going Funds'!$F$23:$F$58,'Budget '!$H9,'Out Going Funds'!$I$23:$I$58)-SUMIF('In Coming Funds'!$F$23:$F$51,'Budget '!$H9,'In Coming Funds'!$I$23:$I$51)</f>
        <v>0</v>
      </c>
      <c r="K9" s="69">
        <f>SUMIF('Out Going Funds'!$J$23:$J$58,'Budget '!$H9,'Out Going Funds'!$M$23:$M$58)-SUMIF('In Coming Funds'!$J$23:$J$51,'Budget '!$H9,'In Coming Funds'!$M$23:$M$51)</f>
        <v>0</v>
      </c>
      <c r="L9" s="24">
        <f t="shared" ref="L9:L18" si="2">SUM(I9:K9)</f>
        <v>312</v>
      </c>
      <c r="N9" s="65" t="s">
        <v>27</v>
      </c>
      <c r="O9" s="69">
        <f t="shared" ref="O9:O18" si="3">C9-I9</f>
        <v>0</v>
      </c>
      <c r="P9" s="69">
        <f t="shared" ref="P9:P18" si="4">D9-J9</f>
        <v>0</v>
      </c>
      <c r="Q9" s="69">
        <f t="shared" ref="Q9:Q18" si="5">E9-K9</f>
        <v>2895</v>
      </c>
      <c r="R9" s="25">
        <f t="shared" ref="R9:R18" si="6">F9-L9</f>
        <v>2895</v>
      </c>
      <c r="W9" s="1">
        <v>40</v>
      </c>
    </row>
    <row r="10" spans="2:23" x14ac:dyDescent="0.2">
      <c r="B10" s="66" t="s">
        <v>28</v>
      </c>
      <c r="C10" s="20">
        <v>2500</v>
      </c>
      <c r="D10" s="20">
        <f>4500+350+4000+1500</f>
        <v>10350</v>
      </c>
      <c r="E10" s="20">
        <f>1500+700+350+3000</f>
        <v>5550</v>
      </c>
      <c r="F10" s="25">
        <f t="shared" si="1"/>
        <v>18400</v>
      </c>
      <c r="G10" s="14"/>
      <c r="H10" s="66" t="s">
        <v>28</v>
      </c>
      <c r="I10" s="69">
        <f>SUMIF('Out Going Funds'!$B$23:$B$58,'Budget '!$H10,'Out Going Funds'!$E$23:$E$58)-SUMIF('In Coming Funds'!$B$23:$B$51,'Budget '!$H10,'In Coming Funds'!$E$23:$E$51)</f>
        <v>2600</v>
      </c>
      <c r="J10" s="69">
        <f>SUMIF('Out Going Funds'!$F$23:$F$58,'Budget '!$H10,'Out Going Funds'!$I$23:$I$58)-SUMIF('In Coming Funds'!$F$23:$F$51,'Budget '!$H10,'In Coming Funds'!$I$23:$I$51)</f>
        <v>2801.38</v>
      </c>
      <c r="K10" s="69">
        <f>SUMIF('Out Going Funds'!$J$23:$J$58,'Budget '!$H10,'Out Going Funds'!$M$23:$M$58)-SUMIF('In Coming Funds'!$J$23:$J$51,'Budget '!$H10,'In Coming Funds'!$M$23:$M$51)</f>
        <v>2773.6400000000003</v>
      </c>
      <c r="L10" s="25">
        <f t="shared" si="2"/>
        <v>8175.02</v>
      </c>
      <c r="N10" s="66" t="s">
        <v>28</v>
      </c>
      <c r="O10" s="69">
        <f t="shared" si="3"/>
        <v>-100</v>
      </c>
      <c r="P10" s="69">
        <f t="shared" si="4"/>
        <v>7548.62</v>
      </c>
      <c r="Q10" s="69">
        <f t="shared" si="5"/>
        <v>2776.3599999999997</v>
      </c>
      <c r="R10" s="25">
        <f t="shared" si="6"/>
        <v>10224.98</v>
      </c>
      <c r="W10" s="1">
        <v>20</v>
      </c>
    </row>
    <row r="11" spans="2:23" x14ac:dyDescent="0.2">
      <c r="B11" s="66" t="s">
        <v>29</v>
      </c>
      <c r="C11" s="20"/>
      <c r="D11" s="20">
        <v>350</v>
      </c>
      <c r="E11" s="20">
        <v>350</v>
      </c>
      <c r="F11" s="25">
        <f t="shared" si="1"/>
        <v>700</v>
      </c>
      <c r="G11" s="14"/>
      <c r="H11" s="66" t="s">
        <v>29</v>
      </c>
      <c r="I11" s="69">
        <f>SUMIF('Out Going Funds'!$B$23:$B$58,'Budget '!$H11,'Out Going Funds'!$E$23:$E$58)-SUMIF('In Coming Funds'!$B$23:$B$51,'Budget '!$H11,'In Coming Funds'!$E$23:$E$51)</f>
        <v>0</v>
      </c>
      <c r="J11" s="69">
        <f>SUMIF('Out Going Funds'!$F$23:$F$58,'Budget '!$H11,'Out Going Funds'!$I$23:$I$58)-SUMIF('In Coming Funds'!$F$23:$F$51,'Budget '!$H11,'In Coming Funds'!$I$23:$I$51)</f>
        <v>207.57999999999998</v>
      </c>
      <c r="K11" s="69">
        <f>SUMIF('Out Going Funds'!$J$23:$J$58,'Budget '!$H11,'Out Going Funds'!$M$23:$M$58)-SUMIF('In Coming Funds'!$J$23:$J$51,'Budget '!$H11,'In Coming Funds'!$M$23:$M$51)</f>
        <v>307.95</v>
      </c>
      <c r="L11" s="25">
        <f t="shared" si="2"/>
        <v>515.53</v>
      </c>
      <c r="N11" s="66" t="s">
        <v>29</v>
      </c>
      <c r="O11" s="69">
        <f t="shared" si="3"/>
        <v>0</v>
      </c>
      <c r="P11" s="69">
        <f t="shared" si="4"/>
        <v>142.42000000000002</v>
      </c>
      <c r="Q11" s="69">
        <f t="shared" si="5"/>
        <v>42.050000000000011</v>
      </c>
      <c r="R11" s="25">
        <f t="shared" si="6"/>
        <v>184.47000000000003</v>
      </c>
      <c r="W11" s="1">
        <v>10</v>
      </c>
    </row>
    <row r="12" spans="2:23" x14ac:dyDescent="0.2">
      <c r="B12" s="66" t="s">
        <v>30</v>
      </c>
      <c r="C12" s="177">
        <v>2100</v>
      </c>
      <c r="D12" s="20">
        <f>6500+6500</f>
        <v>13000</v>
      </c>
      <c r="E12" s="20">
        <v>14900</v>
      </c>
      <c r="F12" s="25">
        <f t="shared" si="1"/>
        <v>30000</v>
      </c>
      <c r="G12" s="14"/>
      <c r="H12" s="66" t="s">
        <v>30</v>
      </c>
      <c r="I12" s="69">
        <f>SUMIF('Out Going Funds'!$B$23:$B$58,'Budget '!$H12,'Out Going Funds'!$E$23:$E$58)-SUMIF('In Coming Funds'!$B$23:$B$51,'Budget '!$H12,'In Coming Funds'!$E$23:$E$51)</f>
        <v>2100</v>
      </c>
      <c r="J12" s="69">
        <f>SUMIF('Out Going Funds'!$F$23:$F$58,'Budget '!$H12,'Out Going Funds'!$I$23:$I$58)-SUMIF('In Coming Funds'!$F$23:$F$51,'Budget '!$H12,'In Coming Funds'!$I$23:$I$51)</f>
        <v>13000</v>
      </c>
      <c r="K12" s="69">
        <f>SUMIF('Out Going Funds'!$J$23:$J$58,'Budget '!$H12,'Out Going Funds'!$M$23:$M$58)-SUMIF('In Coming Funds'!$J$23:$J$51,'Budget '!$H12,'In Coming Funds'!$M$23:$M$51)</f>
        <v>10017.440000000002</v>
      </c>
      <c r="L12" s="25">
        <f t="shared" si="2"/>
        <v>25117.440000000002</v>
      </c>
      <c r="N12" s="66" t="s">
        <v>30</v>
      </c>
      <c r="O12" s="69">
        <f t="shared" si="3"/>
        <v>0</v>
      </c>
      <c r="P12" s="69">
        <f t="shared" si="4"/>
        <v>0</v>
      </c>
      <c r="Q12" s="69">
        <f t="shared" si="5"/>
        <v>4882.5599999999977</v>
      </c>
      <c r="R12" s="25">
        <f t="shared" si="6"/>
        <v>4882.5599999999977</v>
      </c>
      <c r="W12" s="1">
        <v>10</v>
      </c>
    </row>
    <row r="13" spans="2:23" x14ac:dyDescent="0.2">
      <c r="B13" s="66" t="s">
        <v>31</v>
      </c>
      <c r="C13" s="20">
        <v>0</v>
      </c>
      <c r="D13" s="20">
        <v>1500</v>
      </c>
      <c r="E13" s="20"/>
      <c r="F13" s="25">
        <f t="shared" si="1"/>
        <v>1500</v>
      </c>
      <c r="G13" s="14"/>
      <c r="H13" s="66" t="s">
        <v>31</v>
      </c>
      <c r="I13" s="69">
        <f>SUMIF('Out Going Funds'!$B$23:$B$58,'Budget '!$H13,'Out Going Funds'!$E$23:$E$58)-SUMIF('In Coming Funds'!$B$23:$B$51,'Budget '!$H13,'In Coming Funds'!$E$23:$E$51)</f>
        <v>0</v>
      </c>
      <c r="J13" s="69">
        <f>SUMIF('Out Going Funds'!$F$23:$F$58,'Budget '!$H13,'Out Going Funds'!$I$23:$I$58)-SUMIF('In Coming Funds'!$F$23:$F$51,'Budget '!$H13,'In Coming Funds'!$I$23:$I$51)</f>
        <v>1219.44</v>
      </c>
      <c r="K13" s="69">
        <f>SUMIF('Out Going Funds'!$J$23:$J$58,'Budget '!$H13,'Out Going Funds'!$M$23:$M$58)-SUMIF('In Coming Funds'!$J$23:$J$51,'Budget '!$H13,'In Coming Funds'!$M$23:$M$51)</f>
        <v>0</v>
      </c>
      <c r="L13" s="25">
        <f t="shared" si="2"/>
        <v>1219.44</v>
      </c>
      <c r="N13" s="66" t="s">
        <v>31</v>
      </c>
      <c r="O13" s="69">
        <f t="shared" si="3"/>
        <v>0</v>
      </c>
      <c r="P13" s="69">
        <f t="shared" si="4"/>
        <v>280.55999999999995</v>
      </c>
      <c r="Q13" s="69">
        <f t="shared" si="5"/>
        <v>0</v>
      </c>
      <c r="R13" s="25">
        <f t="shared" si="6"/>
        <v>280.55999999999995</v>
      </c>
      <c r="W13" s="1">
        <v>33</v>
      </c>
    </row>
    <row r="14" spans="2:23" x14ac:dyDescent="0.2">
      <c r="B14" s="66" t="s">
        <v>32</v>
      </c>
      <c r="C14" s="20">
        <f>16.67*Fall!$C$22</f>
        <v>2233.7800000000002</v>
      </c>
      <c r="D14" s="20">
        <f>16.67*Winter!$C$22</f>
        <v>2533.84</v>
      </c>
      <c r="E14" s="20"/>
      <c r="F14" s="25">
        <f t="shared" si="1"/>
        <v>4767.6200000000008</v>
      </c>
      <c r="G14" s="14"/>
      <c r="H14" s="66" t="s">
        <v>32</v>
      </c>
      <c r="I14" s="69">
        <f>SUMIF('Out Going Funds'!$B$23:$B$58,'Budget '!$H14,'Out Going Funds'!$E$23:$E$58)-SUMIF('In Coming Funds'!$B$23:$B$51,'Budget '!$H14,'In Coming Funds'!$E$23:$E$51)</f>
        <v>0</v>
      </c>
      <c r="J14" s="69">
        <f>SUMIF('Out Going Funds'!$F$23:$F$58,'Budget '!$H14,'Out Going Funds'!$I$23:$I$58)-SUMIF('In Coming Funds'!$F$23:$F$51,'Budget '!$H14,'In Coming Funds'!$I$23:$I$51)</f>
        <v>1480</v>
      </c>
      <c r="K14" s="69">
        <f>SUMIF('Out Going Funds'!$J$23:$J$58,'Budget '!$H14,'Out Going Funds'!$M$23:$M$58)-SUMIF('In Coming Funds'!$J$23:$J$51,'Budget '!$H14,'In Coming Funds'!$M$23:$M$51)</f>
        <v>0</v>
      </c>
      <c r="L14" s="25">
        <f t="shared" si="2"/>
        <v>1480</v>
      </c>
      <c r="N14" s="66" t="s">
        <v>32</v>
      </c>
      <c r="O14" s="69">
        <f t="shared" si="3"/>
        <v>2233.7800000000002</v>
      </c>
      <c r="P14" s="69">
        <f t="shared" si="4"/>
        <v>1053.8400000000001</v>
      </c>
      <c r="Q14" s="69">
        <f t="shared" si="5"/>
        <v>0</v>
      </c>
      <c r="R14" s="25">
        <f t="shared" si="6"/>
        <v>3287.6200000000008</v>
      </c>
      <c r="W14" s="1">
        <v>3000</v>
      </c>
    </row>
    <row r="15" spans="2:23" x14ac:dyDescent="0.2">
      <c r="B15" s="66" t="s">
        <v>33</v>
      </c>
      <c r="C15" s="20">
        <v>2000</v>
      </c>
      <c r="D15" s="20">
        <v>3000</v>
      </c>
      <c r="E15" s="20">
        <v>0</v>
      </c>
      <c r="F15" s="25">
        <f t="shared" si="1"/>
        <v>5000</v>
      </c>
      <c r="G15" s="14"/>
      <c r="H15" s="66" t="s">
        <v>33</v>
      </c>
      <c r="I15" s="69">
        <f>SUMIF('Out Going Funds'!$B$23:$B$58,'Budget '!$H15,'Out Going Funds'!$E$23:$E$58)-SUMIF('In Coming Funds'!$B$23:$B$51,'Budget '!$H15,'In Coming Funds'!$E$23:$E$51)</f>
        <v>0</v>
      </c>
      <c r="J15" s="69">
        <f>SUMIF('Out Going Funds'!$F$23:$F$58,'Budget '!$H15,'Out Going Funds'!$I$23:$I$58)-SUMIF('In Coming Funds'!$F$23:$F$51,'Budget '!$H15,'In Coming Funds'!$I$23:$I$51)</f>
        <v>3061</v>
      </c>
      <c r="K15" s="69">
        <f>SUMIF('Out Going Funds'!$J$23:$J$58,'Budget '!$H15,'Out Going Funds'!$M$23:$M$58)-SUMIF('In Coming Funds'!$J$23:$J$51,'Budget '!$H15,'In Coming Funds'!$M$23:$M$51)</f>
        <v>0</v>
      </c>
      <c r="L15" s="25">
        <f t="shared" si="2"/>
        <v>3061</v>
      </c>
      <c r="N15" s="66" t="s">
        <v>33</v>
      </c>
      <c r="O15" s="69">
        <f t="shared" si="3"/>
        <v>2000</v>
      </c>
      <c r="P15" s="69">
        <f t="shared" si="4"/>
        <v>-61</v>
      </c>
      <c r="Q15" s="69">
        <f t="shared" si="5"/>
        <v>0</v>
      </c>
      <c r="R15" s="25">
        <f t="shared" si="6"/>
        <v>1939</v>
      </c>
      <c r="W15" s="1">
        <f>SUM(W6:W14)</f>
        <v>3852</v>
      </c>
    </row>
    <row r="16" spans="2:23" x14ac:dyDescent="0.2">
      <c r="B16" s="66" t="s">
        <v>34</v>
      </c>
      <c r="C16" s="20">
        <v>522</v>
      </c>
      <c r="D16" s="20">
        <v>391.5</v>
      </c>
      <c r="E16" s="20">
        <f>151*5</f>
        <v>755</v>
      </c>
      <c r="F16" s="25">
        <f t="shared" si="1"/>
        <v>1668.5</v>
      </c>
      <c r="H16" s="66" t="s">
        <v>34</v>
      </c>
      <c r="I16" s="69">
        <f>SUMIF('Out Going Funds'!$B$23:$B$58,'Budget '!$H16,'Out Going Funds'!$E$23:$E$58)-SUMIF('In Coming Funds'!$B$23:$B$51,'Budget '!$H16,'In Coming Funds'!$E$23:$E$51)</f>
        <v>576</v>
      </c>
      <c r="J16" s="69">
        <f>SUMIF('Out Going Funds'!$F$23:$F$58,'Budget '!$H16,'Out Going Funds'!$I$23:$I$58)-SUMIF('In Coming Funds'!$F$23:$F$51,'Budget '!$H16,'In Coming Funds'!$I$23:$I$51)</f>
        <v>324.64999999999998</v>
      </c>
      <c r="K16" s="69">
        <f>SUMIF('Out Going Funds'!$J$23:$J$58,'Budget '!$H16,'Out Going Funds'!$M$23:$M$58)-SUMIF('In Coming Funds'!$J$23:$J$51,'Budget '!$H16,'In Coming Funds'!$M$23:$M$51)</f>
        <v>302</v>
      </c>
      <c r="L16" s="25">
        <f t="shared" si="2"/>
        <v>1202.6500000000001</v>
      </c>
      <c r="N16" s="66" t="s">
        <v>34</v>
      </c>
      <c r="O16" s="69">
        <f t="shared" si="3"/>
        <v>-54</v>
      </c>
      <c r="P16" s="69">
        <f t="shared" si="4"/>
        <v>66.850000000000023</v>
      </c>
      <c r="Q16" s="69">
        <f t="shared" si="5"/>
        <v>453</v>
      </c>
      <c r="R16" s="25">
        <f t="shared" si="6"/>
        <v>465.84999999999991</v>
      </c>
    </row>
    <row r="17" spans="2:18" x14ac:dyDescent="0.2">
      <c r="B17" s="66" t="s">
        <v>35</v>
      </c>
      <c r="C17" s="20">
        <v>1000</v>
      </c>
      <c r="D17" s="20">
        <v>1000</v>
      </c>
      <c r="E17" s="20">
        <v>4000</v>
      </c>
      <c r="F17" s="25">
        <f t="shared" si="1"/>
        <v>6000</v>
      </c>
      <c r="G17" s="14"/>
      <c r="H17" s="66" t="s">
        <v>35</v>
      </c>
      <c r="I17" s="69">
        <f>SUMIF('Out Going Funds'!$B$23:$B$58,'Budget '!$H17,'Out Going Funds'!$E$23:$E$58)-SUMIF('In Coming Funds'!$B$23:$B$51,'Budget '!$H17,'In Coming Funds'!$E$23:$E$51)</f>
        <v>594</v>
      </c>
      <c r="J17" s="69">
        <f>SUMIF('Out Going Funds'!$F$23:$F$58,'Budget '!$H17,'Out Going Funds'!$I$23:$I$58)-SUMIF('In Coming Funds'!$F$23:$F$51,'Budget '!$H17,'In Coming Funds'!$I$23:$I$51)</f>
        <v>1074.4099999999999</v>
      </c>
      <c r="K17" s="69">
        <f>SUMIF('Out Going Funds'!$J$23:$J$58,'Budget '!$H17,'Out Going Funds'!$M$23:$M$58)-SUMIF('In Coming Funds'!$J$23:$J$51,'Budget '!$H17,'In Coming Funds'!$M$23:$M$51)</f>
        <v>7177.4399999999987</v>
      </c>
      <c r="L17" s="25">
        <f t="shared" si="2"/>
        <v>8845.8499999999985</v>
      </c>
      <c r="N17" s="66" t="s">
        <v>35</v>
      </c>
      <c r="O17" s="69">
        <f t="shared" si="3"/>
        <v>406</v>
      </c>
      <c r="P17" s="69">
        <f t="shared" si="4"/>
        <v>-74.409999999999854</v>
      </c>
      <c r="Q17" s="69">
        <f t="shared" si="5"/>
        <v>-3177.4399999999987</v>
      </c>
      <c r="R17" s="25">
        <f t="shared" si="6"/>
        <v>-2845.8499999999985</v>
      </c>
    </row>
    <row r="18" spans="2:18" ht="17" thickBot="1" x14ac:dyDescent="0.25">
      <c r="B18" s="67" t="s">
        <v>36</v>
      </c>
      <c r="C18" s="20">
        <v>0</v>
      </c>
      <c r="D18" s="20">
        <v>0</v>
      </c>
      <c r="E18" s="20">
        <v>0</v>
      </c>
      <c r="F18" s="26">
        <f t="shared" si="1"/>
        <v>0</v>
      </c>
      <c r="G18" s="14"/>
      <c r="H18" s="67" t="s">
        <v>36</v>
      </c>
      <c r="I18" s="69">
        <f>SUMIF('Out Going Funds'!$B$23:$B$58,'Budget '!$H18,'Out Going Funds'!$E$23:$E$58)-SUMIF('In Coming Funds'!$B$23:$B$51,'Budget '!$H18,'In Coming Funds'!$E$23:$E$51)</f>
        <v>0</v>
      </c>
      <c r="J18" s="69">
        <f>SUMIF('Out Going Funds'!$F$23:$F$58,'Budget '!$H18,'Out Going Funds'!$I$23:$I$58)-SUMIF('In Coming Funds'!$F$23:$F$51,'Budget '!$H18,'In Coming Funds'!$I$23:$I$51)</f>
        <v>0</v>
      </c>
      <c r="K18" s="69">
        <f>SUMIF('Out Going Funds'!$J$23:$J$58,'Budget '!$H18,'Out Going Funds'!$M$23:$M$58)-SUMIF('In Coming Funds'!$J$23:$J$51,'Budget '!$H18,'In Coming Funds'!$M$23:$M$51)</f>
        <v>0</v>
      </c>
      <c r="L18" s="26">
        <f t="shared" si="2"/>
        <v>0</v>
      </c>
      <c r="N18" s="67" t="s">
        <v>36</v>
      </c>
      <c r="O18" s="69">
        <f t="shared" si="3"/>
        <v>0</v>
      </c>
      <c r="P18" s="69">
        <f t="shared" si="4"/>
        <v>0</v>
      </c>
      <c r="Q18" s="69">
        <f t="shared" si="5"/>
        <v>0</v>
      </c>
      <c r="R18" s="25">
        <f t="shared" si="6"/>
        <v>0</v>
      </c>
    </row>
    <row r="19" spans="2:18" ht="17" thickBot="1" x14ac:dyDescent="0.25">
      <c r="B19" s="16" t="s">
        <v>25</v>
      </c>
      <c r="C19" s="21">
        <f>SUM(C9:C18)</f>
        <v>10667.78</v>
      </c>
      <c r="D19" s="21">
        <f>SUM(D9:D18)</f>
        <v>32125.34</v>
      </c>
      <c r="E19" s="21">
        <f>SUM(E9:E18)</f>
        <v>28450</v>
      </c>
      <c r="F19" s="28">
        <f>SUM(F9:F18)</f>
        <v>71243.12</v>
      </c>
      <c r="G19" s="14"/>
      <c r="H19" s="16" t="s">
        <v>25</v>
      </c>
      <c r="I19" s="21">
        <f>SUM(I9:I18)</f>
        <v>6182</v>
      </c>
      <c r="J19" s="21">
        <f>SUM(J9:J18)</f>
        <v>23168.46</v>
      </c>
      <c r="K19" s="21">
        <f>SUM(K9:K18)</f>
        <v>20578.47</v>
      </c>
      <c r="L19" s="28">
        <f>SUM(L9:L18)</f>
        <v>49928.930000000008</v>
      </c>
      <c r="N19" s="16" t="s">
        <v>25</v>
      </c>
      <c r="O19" s="21">
        <f>SUM(O9:O18)</f>
        <v>4485.7800000000007</v>
      </c>
      <c r="P19" s="21">
        <f>SUM(P9:P18)</f>
        <v>8956.880000000001</v>
      </c>
      <c r="Q19" s="21">
        <f>SUM(Q9:Q18)</f>
        <v>7871.5299999999988</v>
      </c>
      <c r="R19" s="28">
        <f>SUM(R9:R18)</f>
        <v>21314.189999999995</v>
      </c>
    </row>
    <row r="20" spans="2:18" ht="17" thickBot="1" x14ac:dyDescent="0.25">
      <c r="B20" s="15" t="s">
        <v>37</v>
      </c>
      <c r="C20" s="17" t="s">
        <v>2</v>
      </c>
      <c r="D20" s="17" t="s">
        <v>3</v>
      </c>
      <c r="E20" s="17" t="s">
        <v>4</v>
      </c>
      <c r="F20" s="27" t="s">
        <v>22</v>
      </c>
      <c r="G20" s="14"/>
      <c r="H20" s="15" t="s">
        <v>37</v>
      </c>
      <c r="I20" s="17" t="s">
        <v>2</v>
      </c>
      <c r="J20" s="17" t="s">
        <v>3</v>
      </c>
      <c r="K20" s="17" t="s">
        <v>4</v>
      </c>
      <c r="L20" s="27" t="s">
        <v>22</v>
      </c>
      <c r="N20" s="15" t="s">
        <v>37</v>
      </c>
      <c r="O20" s="17" t="s">
        <v>2</v>
      </c>
      <c r="P20" s="17" t="s">
        <v>3</v>
      </c>
      <c r="Q20" s="17" t="s">
        <v>4</v>
      </c>
      <c r="R20" s="27" t="s">
        <v>22</v>
      </c>
    </row>
    <row r="21" spans="2:18" x14ac:dyDescent="0.2">
      <c r="B21" s="180" t="s">
        <v>38</v>
      </c>
      <c r="C21" s="181">
        <v>3500</v>
      </c>
      <c r="D21" s="181">
        <v>0</v>
      </c>
      <c r="E21" s="181">
        <v>0</v>
      </c>
      <c r="F21" s="182">
        <f t="shared" ref="F21:F34" si="7">SUM(C21:E21)</f>
        <v>3500</v>
      </c>
      <c r="G21" s="14"/>
      <c r="H21" s="63" t="s">
        <v>38</v>
      </c>
      <c r="I21" s="69">
        <f>SUMIF('Out Going Funds'!$B$62:$B$107,'Budget '!$H21,'Out Going Funds'!$E$62:$E$107)-SUMIF('In Coming Funds'!$B$55:$B$88,'Budget '!$H21,'In Coming Funds'!$E$55:$E$88)</f>
        <v>3874.23</v>
      </c>
      <c r="J21" s="69">
        <f ca="1">SUMIF('Out Going Funds'!$F$62:$F$607,'Budget '!$H21,'Out Going Funds'!$I$62:$I$107)-SUMIF('In Coming Funds'!$F$55:$F$588,'Budget '!$H21,'In Coming Funds'!$I$55:$I$88)</f>
        <v>0</v>
      </c>
      <c r="K21" s="69">
        <f ca="1">SUMIF('Out Going Funds'!$J$62:$J$108,'Budget '!$H21,'Out Going Funds'!$M$62:$M$107)-SUMIF('In Coming Funds'!$J$55:$J$88,'Budget '!$H21,'In Coming Funds'!$M$55:$M$88)</f>
        <v>0</v>
      </c>
      <c r="L21" s="24">
        <f t="shared" ref="L21:L34" ca="1" si="8">SUM(I21:K21)</f>
        <v>3874.23</v>
      </c>
      <c r="N21" s="63" t="s">
        <v>38</v>
      </c>
      <c r="O21" s="69">
        <f t="shared" ref="O21:O33" si="9">C21-I21</f>
        <v>-374.23</v>
      </c>
      <c r="P21" s="69">
        <f t="shared" ref="P21:P33" ca="1" si="10">D21-J21</f>
        <v>0</v>
      </c>
      <c r="Q21" s="69">
        <f t="shared" ref="Q21:Q33" ca="1" si="11">E21-K21</f>
        <v>0</v>
      </c>
      <c r="R21" s="25">
        <f t="shared" ref="R21:R33" ca="1" si="12">F21-L21</f>
        <v>-374.23</v>
      </c>
    </row>
    <row r="22" spans="2:18" x14ac:dyDescent="0.2">
      <c r="B22" s="183" t="s">
        <v>39</v>
      </c>
      <c r="C22" s="181">
        <v>8000</v>
      </c>
      <c r="D22" s="181">
        <v>6000</v>
      </c>
      <c r="E22" s="181">
        <v>7000</v>
      </c>
      <c r="F22" s="184">
        <f t="shared" si="7"/>
        <v>21000</v>
      </c>
      <c r="G22" s="14"/>
      <c r="H22" s="68" t="s">
        <v>39</v>
      </c>
      <c r="I22" s="69">
        <f>SUMIF('Out Going Funds'!$B$62:$B$107,'Budget '!$H22,'Out Going Funds'!$E$62:$E$107)-SUMIF('In Coming Funds'!$B$55:$B$88,'Budget '!$H22,'In Coming Funds'!$E$55:$E$88)</f>
        <v>85</v>
      </c>
      <c r="J22" s="69">
        <f ca="1">SUMIF('Out Going Funds'!$F$62:$F$607,'Budget '!$H22,'Out Going Funds'!$I$62:$I$107)-SUMIF('In Coming Funds'!$F$55:$F$588,'Budget '!$H22,'In Coming Funds'!$I$55:$I$88)</f>
        <v>5033.3200000000006</v>
      </c>
      <c r="K22" s="69">
        <f ca="1">SUMIF('Out Going Funds'!$J$62:$J$108,'Budget '!$H22,'Out Going Funds'!$M$62:$M$107)-SUMIF('In Coming Funds'!$J$55:$J$88,'Budget '!$H22,'In Coming Funds'!$M$55:$M$88)</f>
        <v>5374.3499999999995</v>
      </c>
      <c r="L22" s="25">
        <f t="shared" ca="1" si="8"/>
        <v>10492.67</v>
      </c>
      <c r="N22" s="68" t="s">
        <v>39</v>
      </c>
      <c r="O22" s="69">
        <f t="shared" si="9"/>
        <v>7915</v>
      </c>
      <c r="P22" s="69">
        <f t="shared" ca="1" si="10"/>
        <v>966.67999999999938</v>
      </c>
      <c r="Q22" s="69">
        <f t="shared" ca="1" si="11"/>
        <v>1625.6500000000005</v>
      </c>
      <c r="R22" s="25">
        <f t="shared" ca="1" si="12"/>
        <v>10507.33</v>
      </c>
    </row>
    <row r="23" spans="2:18" x14ac:dyDescent="0.2">
      <c r="B23" s="68" t="s">
        <v>40</v>
      </c>
      <c r="C23" s="20">
        <v>1200</v>
      </c>
      <c r="D23" s="20">
        <v>800</v>
      </c>
      <c r="E23" s="20">
        <v>1200</v>
      </c>
      <c r="F23" s="25">
        <f t="shared" si="7"/>
        <v>3200</v>
      </c>
      <c r="G23" s="14"/>
      <c r="H23" s="68" t="s">
        <v>40</v>
      </c>
      <c r="I23" s="69">
        <f>SUMIF('Out Going Funds'!$B$62:$B$107,'Budget '!$H23,'Out Going Funds'!$E$62:$E$107)-SUMIF('In Coming Funds'!$B$55:$B$88,'Budget '!$H23,'In Coming Funds'!$E$55:$E$88)</f>
        <v>262.16999999999996</v>
      </c>
      <c r="J23" s="69">
        <f ca="1">SUMIF('Out Going Funds'!$F$62:$F$607,'Budget '!$H23,'Out Going Funds'!$I$62:$I$107)-SUMIF('In Coming Funds'!$F$55:$F$588,'Budget '!$H23,'In Coming Funds'!$I$55:$I$88)</f>
        <v>816.22</v>
      </c>
      <c r="K23" s="69">
        <f ca="1">SUMIF('Out Going Funds'!$J$62:$J$108,'Budget '!$H23,'Out Going Funds'!$M$62:$M$107)-SUMIF('In Coming Funds'!$J$55:$J$88,'Budget '!$H23,'In Coming Funds'!$M$55:$M$88)</f>
        <v>1132.8700000000001</v>
      </c>
      <c r="L23" s="25">
        <f t="shared" ca="1" si="8"/>
        <v>2211.2600000000002</v>
      </c>
      <c r="N23" s="68" t="s">
        <v>40</v>
      </c>
      <c r="O23" s="69">
        <f t="shared" si="9"/>
        <v>937.83</v>
      </c>
      <c r="P23" s="69">
        <f t="shared" ca="1" si="10"/>
        <v>-16.220000000000027</v>
      </c>
      <c r="Q23" s="69">
        <f t="shared" ca="1" si="11"/>
        <v>67.129999999999882</v>
      </c>
      <c r="R23" s="25">
        <f t="shared" ca="1" si="12"/>
        <v>988.73999999999978</v>
      </c>
    </row>
    <row r="24" spans="2:18" x14ac:dyDescent="0.2">
      <c r="B24" s="68" t="s">
        <v>41</v>
      </c>
      <c r="C24" s="20">
        <v>2000</v>
      </c>
      <c r="D24" s="20">
        <v>1800</v>
      </c>
      <c r="E24" s="20">
        <v>0</v>
      </c>
      <c r="F24" s="25">
        <f t="shared" si="7"/>
        <v>3800</v>
      </c>
      <c r="G24" s="14"/>
      <c r="H24" s="68" t="s">
        <v>41</v>
      </c>
      <c r="I24" s="69">
        <f>SUMIF('Out Going Funds'!$B$62:$B$107,'Budget '!$H24,'Out Going Funds'!$E$62:$E$107)-SUMIF('In Coming Funds'!$B$55:$B$88,'Budget '!$H24,'In Coming Funds'!$E$55:$E$88)</f>
        <v>2362.34</v>
      </c>
      <c r="J24" s="69">
        <f ca="1">SUMIF('Out Going Funds'!$F$62:$F$607,'Budget '!$H24,'Out Going Funds'!$I$62:$I$107)-SUMIF('In Coming Funds'!$F$55:$F$588,'Budget '!$H24,'In Coming Funds'!$I$55:$I$88)</f>
        <v>1975.3299999999997</v>
      </c>
      <c r="K24" s="69">
        <f ca="1">SUMIF('Out Going Funds'!$J$62:$J$108,'Budget '!$H24,'Out Going Funds'!$M$62:$M$107)-SUMIF('In Coming Funds'!$J$55:$J$88,'Budget '!$H24,'In Coming Funds'!$M$55:$M$88)</f>
        <v>0</v>
      </c>
      <c r="L24" s="25">
        <f t="shared" ca="1" si="8"/>
        <v>4337.67</v>
      </c>
      <c r="N24" s="68" t="s">
        <v>41</v>
      </c>
      <c r="O24" s="69">
        <f t="shared" si="9"/>
        <v>-362.34000000000015</v>
      </c>
      <c r="P24" s="69">
        <f t="shared" ca="1" si="10"/>
        <v>-175.3299999999997</v>
      </c>
      <c r="Q24" s="69">
        <f t="shared" ca="1" si="11"/>
        <v>0</v>
      </c>
      <c r="R24" s="25">
        <f t="shared" ca="1" si="12"/>
        <v>-537.67000000000007</v>
      </c>
    </row>
    <row r="25" spans="2:18" x14ac:dyDescent="0.2">
      <c r="B25" s="68" t="s">
        <v>42</v>
      </c>
      <c r="C25" s="20">
        <v>750</v>
      </c>
      <c r="D25" s="20">
        <v>700</v>
      </c>
      <c r="E25" s="20">
        <v>200</v>
      </c>
      <c r="F25" s="25">
        <f t="shared" si="7"/>
        <v>1650</v>
      </c>
      <c r="G25" s="14"/>
      <c r="H25" s="68" t="s">
        <v>42</v>
      </c>
      <c r="I25" s="69">
        <v>750</v>
      </c>
      <c r="J25" s="69">
        <f ca="1">SUMIF('Out Going Funds'!$F$62:$F$607,'Budget '!$H25,'Out Going Funds'!$I$62:$I$107)-SUMIF('In Coming Funds'!$F$55:$F$588,'Budget '!$H25,'In Coming Funds'!$I$55:$I$88)</f>
        <v>575.11</v>
      </c>
      <c r="K25" s="69">
        <f ca="1">SUMIF('Out Going Funds'!$J$62:$J$108,'Budget '!$H25,'Out Going Funds'!$M$62:$M$107)-SUMIF('In Coming Funds'!$J$55:$J$88,'Budget '!$H25,'In Coming Funds'!$M$55:$M$88)</f>
        <v>457.48000000000008</v>
      </c>
      <c r="L25" s="25">
        <f t="shared" ca="1" si="8"/>
        <v>1782.5900000000001</v>
      </c>
      <c r="N25" s="68" t="s">
        <v>42</v>
      </c>
      <c r="O25" s="69">
        <f t="shared" si="9"/>
        <v>0</v>
      </c>
      <c r="P25" s="69">
        <f t="shared" ca="1" si="10"/>
        <v>124.88999999999999</v>
      </c>
      <c r="Q25" s="69">
        <f t="shared" ca="1" si="11"/>
        <v>-257.48000000000008</v>
      </c>
      <c r="R25" s="25">
        <f t="shared" ca="1" si="12"/>
        <v>-132.59000000000015</v>
      </c>
    </row>
    <row r="26" spans="2:18" x14ac:dyDescent="0.2">
      <c r="B26" s="68" t="s">
        <v>43</v>
      </c>
      <c r="C26" s="20">
        <v>100</v>
      </c>
      <c r="D26" s="20">
        <v>100</v>
      </c>
      <c r="E26" s="20">
        <v>100</v>
      </c>
      <c r="F26" s="25">
        <f t="shared" si="7"/>
        <v>300</v>
      </c>
      <c r="G26" s="14"/>
      <c r="H26" s="68" t="s">
        <v>43</v>
      </c>
      <c r="I26" s="69">
        <f>SUMIF('Out Going Funds'!$B$62:$B$107,'Budget '!$H26,'Out Going Funds'!$E$62:$E$107)-SUMIF('In Coming Funds'!$B$55:$B$88,'Budget '!$H26,'In Coming Funds'!$E$55:$E$88)</f>
        <v>448</v>
      </c>
      <c r="J26" s="69">
        <f ca="1">SUMIF('Out Going Funds'!$F$62:$F$607,'Budget '!$H26,'Out Going Funds'!$I$62:$I$107)-SUMIF('In Coming Funds'!$F$55:$F$588,'Budget '!$H26,'In Coming Funds'!$I$55:$I$88)</f>
        <v>168</v>
      </c>
      <c r="K26" s="69">
        <f ca="1">SUMIF('Out Going Funds'!$J$62:$J$108,'Budget '!$H26,'Out Going Funds'!$M$62:$M$107)-SUMIF('In Coming Funds'!$J$55:$J$88,'Budget '!$H26,'In Coming Funds'!$M$55:$M$88)</f>
        <v>0</v>
      </c>
      <c r="L26" s="25">
        <f t="shared" ca="1" si="8"/>
        <v>616</v>
      </c>
      <c r="N26" s="68" t="s">
        <v>43</v>
      </c>
      <c r="O26" s="69">
        <f t="shared" si="9"/>
        <v>-348</v>
      </c>
      <c r="P26" s="69">
        <f t="shared" ca="1" si="10"/>
        <v>-68</v>
      </c>
      <c r="Q26" s="69">
        <f t="shared" ca="1" si="11"/>
        <v>100</v>
      </c>
      <c r="R26" s="25">
        <f t="shared" ca="1" si="12"/>
        <v>-316</v>
      </c>
    </row>
    <row r="27" spans="2:18" x14ac:dyDescent="0.2">
      <c r="B27" s="68" t="s">
        <v>44</v>
      </c>
      <c r="C27" s="20">
        <v>-500</v>
      </c>
      <c r="D27" s="20">
        <v>-500</v>
      </c>
      <c r="E27" s="20">
        <v>-500</v>
      </c>
      <c r="F27" s="25">
        <f t="shared" si="7"/>
        <v>-1500</v>
      </c>
      <c r="G27" s="14"/>
      <c r="H27" s="68" t="s">
        <v>44</v>
      </c>
      <c r="I27" s="69">
        <f>SUMIF('Out Going Funds'!$B$62:$B$107,'Budget '!$H27,'Out Going Funds'!$E$62:$E$107)-SUMIF('In Coming Funds'!$B$55:$B$88,'Budget '!$H27,'In Coming Funds'!$E$55:$E$88)</f>
        <v>0</v>
      </c>
      <c r="J27" s="69">
        <f ca="1">SUMIF('Out Going Funds'!$F$62:$F$607,'Budget '!$H27,'Out Going Funds'!$I$62:$I$107)-SUMIF('In Coming Funds'!$F$55:$F$588,'Budget '!$H27,'In Coming Funds'!$I$55:$I$88)</f>
        <v>0</v>
      </c>
      <c r="K27" s="69">
        <f ca="1">SUMIF('Out Going Funds'!$J$62:$J$108,'Budget '!$H27,'Out Going Funds'!$M$62:$M$107)-SUMIF('In Coming Funds'!$J$55:$J$88,'Budget '!$H27,'In Coming Funds'!$M$55:$M$88)</f>
        <v>0</v>
      </c>
      <c r="L27" s="25">
        <f t="shared" ca="1" si="8"/>
        <v>0</v>
      </c>
      <c r="N27" s="68" t="s">
        <v>44</v>
      </c>
      <c r="O27" s="69">
        <f t="shared" si="9"/>
        <v>-500</v>
      </c>
      <c r="P27" s="69">
        <f t="shared" ca="1" si="10"/>
        <v>-500</v>
      </c>
      <c r="Q27" s="69">
        <f t="shared" ca="1" si="11"/>
        <v>-500</v>
      </c>
      <c r="R27" s="25">
        <f t="shared" ca="1" si="12"/>
        <v>-1500</v>
      </c>
    </row>
    <row r="28" spans="2:18" x14ac:dyDescent="0.2">
      <c r="B28" s="68" t="s">
        <v>45</v>
      </c>
      <c r="C28" s="20">
        <v>0</v>
      </c>
      <c r="D28" s="20">
        <v>0</v>
      </c>
      <c r="E28" s="20">
        <v>0</v>
      </c>
      <c r="F28" s="25">
        <f t="shared" si="7"/>
        <v>0</v>
      </c>
      <c r="G28" s="14"/>
      <c r="H28" s="68" t="s">
        <v>45</v>
      </c>
      <c r="I28" s="69">
        <f>SUMIF('Out Going Funds'!$B$62:$B$107,'Budget '!$H28,'Out Going Funds'!$E$62:$E$107)-SUMIF('In Coming Funds'!$B$55:$B$88,'Budget '!$H28,'In Coming Funds'!$E$55:$E$88)</f>
        <v>0</v>
      </c>
      <c r="J28" s="69">
        <f ca="1">SUMIF('Out Going Funds'!$F$62:$F$607,'Budget '!$H28,'Out Going Funds'!$I$62:$I$107)-SUMIF('In Coming Funds'!$F$55:$F$588,'Budget '!$H28,'In Coming Funds'!$I$55:$I$88)</f>
        <v>0</v>
      </c>
      <c r="K28" s="69">
        <f ca="1">SUMIF('Out Going Funds'!$J$62:$J$108,'Budget '!$H28,'Out Going Funds'!$M$62:$M$107)-SUMIF('In Coming Funds'!$J$55:$J$88,'Budget '!$H28,'In Coming Funds'!$M$55:$M$88)</f>
        <v>0</v>
      </c>
      <c r="L28" s="25">
        <f t="shared" ca="1" si="8"/>
        <v>0</v>
      </c>
      <c r="N28" s="68" t="s">
        <v>45</v>
      </c>
      <c r="O28" s="69">
        <f t="shared" si="9"/>
        <v>0</v>
      </c>
      <c r="P28" s="69">
        <f t="shared" ca="1" si="10"/>
        <v>0</v>
      </c>
      <c r="Q28" s="69">
        <f t="shared" ca="1" si="11"/>
        <v>0</v>
      </c>
      <c r="R28" s="25">
        <f t="shared" ca="1" si="12"/>
        <v>0</v>
      </c>
    </row>
    <row r="29" spans="2:18" x14ac:dyDescent="0.2">
      <c r="B29" s="68" t="s">
        <v>46</v>
      </c>
      <c r="C29" s="20">
        <v>2000</v>
      </c>
      <c r="D29" s="20">
        <v>3750</v>
      </c>
      <c r="E29" s="20">
        <v>4000</v>
      </c>
      <c r="F29" s="25">
        <f t="shared" si="7"/>
        <v>9750</v>
      </c>
      <c r="G29" s="14"/>
      <c r="H29" s="68" t="s">
        <v>46</v>
      </c>
      <c r="I29" s="69">
        <f>SUMIF('Out Going Funds'!$B$62:$B$107,'Budget '!$H29,'Out Going Funds'!$E$62:$E$107)-SUMIF('In Coming Funds'!$B$55:$B$88,'Budget '!$H29,'In Coming Funds'!$E$55:$E$88)</f>
        <v>1641.54</v>
      </c>
      <c r="J29" s="69">
        <f ca="1">SUMIF('Out Going Funds'!$F$62:$F$607,'Budget '!$H29,'Out Going Funds'!$I$62:$I$107)-SUMIF('In Coming Funds'!$F$55:$F$588,'Budget '!$H29,'In Coming Funds'!$I$55:$I$88)</f>
        <v>1009.8100000000004</v>
      </c>
      <c r="K29" s="69">
        <f ca="1">SUMIF('Out Going Funds'!$J$62:$J$108,'Budget '!$H29,'Out Going Funds'!$M$62:$M$107)-SUMIF('In Coming Funds'!$J$55:$J$88,'Budget '!$H29,'In Coming Funds'!$M$55:$M$88)</f>
        <v>4001.53</v>
      </c>
      <c r="L29" s="25">
        <f t="shared" ca="1" si="8"/>
        <v>6652.880000000001</v>
      </c>
      <c r="N29" s="68" t="s">
        <v>46</v>
      </c>
      <c r="O29" s="69">
        <f t="shared" si="9"/>
        <v>358.46000000000004</v>
      </c>
      <c r="P29" s="69">
        <f t="shared" ca="1" si="10"/>
        <v>2740.1899999999996</v>
      </c>
      <c r="Q29" s="69">
        <f t="shared" ca="1" si="11"/>
        <v>-1.5300000000002001</v>
      </c>
      <c r="R29" s="25">
        <f t="shared" ca="1" si="12"/>
        <v>3097.119999999999</v>
      </c>
    </row>
    <row r="30" spans="2:18" x14ac:dyDescent="0.2">
      <c r="B30" s="68" t="s">
        <v>47</v>
      </c>
      <c r="C30" s="20">
        <v>0</v>
      </c>
      <c r="D30" s="20">
        <v>0</v>
      </c>
      <c r="E30" s="20">
        <v>0</v>
      </c>
      <c r="F30" s="25">
        <f t="shared" si="7"/>
        <v>0</v>
      </c>
      <c r="G30" s="14"/>
      <c r="H30" s="68" t="s">
        <v>47</v>
      </c>
      <c r="I30" s="69">
        <f>SUMIF('Out Going Funds'!$B$62:$B$107,'Budget '!$H30,'Out Going Funds'!$E$62:$E$107)-SUMIF('In Coming Funds'!$B$55:$B$88,'Budget '!$H30,'In Coming Funds'!$E$55:$E$88)</f>
        <v>0</v>
      </c>
      <c r="J30" s="69">
        <f ca="1">SUMIF('Out Going Funds'!$F$62:$F$607,'Budget '!$H30,'Out Going Funds'!$I$62:$I$107)-SUMIF('In Coming Funds'!$F$55:$F$588,'Budget '!$H30,'In Coming Funds'!$I$55:$I$88)</f>
        <v>0</v>
      </c>
      <c r="K30" s="69">
        <f ca="1">SUMIF('Out Going Funds'!$J$62:$J$108,'Budget '!$H30,'Out Going Funds'!$M$62:$M$107)-SUMIF('In Coming Funds'!$J$55:$J$88,'Budget '!$H30,'In Coming Funds'!$M$55:$M$88)</f>
        <v>0</v>
      </c>
      <c r="L30" s="25">
        <f t="shared" ca="1" si="8"/>
        <v>0</v>
      </c>
      <c r="N30" s="68" t="s">
        <v>47</v>
      </c>
      <c r="O30" s="69">
        <f t="shared" si="9"/>
        <v>0</v>
      </c>
      <c r="P30" s="69">
        <f t="shared" ca="1" si="10"/>
        <v>0</v>
      </c>
      <c r="Q30" s="69">
        <f t="shared" ca="1" si="11"/>
        <v>0</v>
      </c>
      <c r="R30" s="25">
        <f t="shared" ca="1" si="12"/>
        <v>0</v>
      </c>
    </row>
    <row r="31" spans="2:18" x14ac:dyDescent="0.2">
      <c r="B31" s="68" t="s">
        <v>48</v>
      </c>
      <c r="C31" s="20">
        <v>1500</v>
      </c>
      <c r="D31" s="20">
        <v>0</v>
      </c>
      <c r="E31" s="20">
        <v>0</v>
      </c>
      <c r="F31" s="25">
        <f t="shared" si="7"/>
        <v>1500</v>
      </c>
      <c r="G31" s="14"/>
      <c r="H31" s="68" t="s">
        <v>48</v>
      </c>
      <c r="I31" s="69">
        <f>SUMIF('Out Going Funds'!$B$62:$B$107,'Budget '!$H31,'Out Going Funds'!$E$62:$E$107)-SUMIF('In Coming Funds'!$B$55:$B$88,'Budget '!$H31,'In Coming Funds'!$E$55:$E$88)</f>
        <v>3797.7799999999997</v>
      </c>
      <c r="J31" s="69">
        <f ca="1">SUMIF('Out Going Funds'!$F$62:$F$607,'Budget '!$H31,'Out Going Funds'!$I$62:$I$107)-SUMIF('In Coming Funds'!$F$55:$F$588,'Budget '!$H31,'In Coming Funds'!$I$55:$I$88)</f>
        <v>0</v>
      </c>
      <c r="K31" s="69">
        <f ca="1">SUMIF('Out Going Funds'!$J$62:$J$108,'Budget '!$H31,'Out Going Funds'!$M$62:$M$107)-SUMIF('In Coming Funds'!$J$55:$J$88,'Budget '!$H31,'In Coming Funds'!$M$55:$M$88)</f>
        <v>0</v>
      </c>
      <c r="L31" s="25">
        <f t="shared" ca="1" si="8"/>
        <v>3797.7799999999997</v>
      </c>
      <c r="N31" s="68" t="s">
        <v>48</v>
      </c>
      <c r="O31" s="69">
        <f t="shared" si="9"/>
        <v>-2297.7799999999997</v>
      </c>
      <c r="P31" s="69">
        <f t="shared" ca="1" si="10"/>
        <v>0</v>
      </c>
      <c r="Q31" s="69">
        <f t="shared" ca="1" si="11"/>
        <v>0</v>
      </c>
      <c r="R31" s="25">
        <f t="shared" ca="1" si="12"/>
        <v>-2297.7799999999997</v>
      </c>
    </row>
    <row r="32" spans="2:18" x14ac:dyDescent="0.2">
      <c r="B32" s="68" t="s">
        <v>49</v>
      </c>
      <c r="C32" s="20">
        <v>100</v>
      </c>
      <c r="D32" s="20">
        <v>100</v>
      </c>
      <c r="E32" s="20">
        <v>100</v>
      </c>
      <c r="F32" s="25">
        <f t="shared" si="7"/>
        <v>300</v>
      </c>
      <c r="G32" s="14"/>
      <c r="H32" s="68" t="s">
        <v>49</v>
      </c>
      <c r="I32" s="69">
        <f>SUMIF('Out Going Funds'!$B$62:$B$107,'Budget '!$H32,'Out Going Funds'!$E$62:$E$107)-SUMIF('In Coming Funds'!$B$55:$B$88,'Budget '!$H32,'In Coming Funds'!$E$55:$E$88)</f>
        <v>0</v>
      </c>
      <c r="J32" s="69">
        <f ca="1">SUMIF('Out Going Funds'!$F$62:$F$607,'Budget '!$H32,'Out Going Funds'!$I$62:$I$107)-SUMIF('In Coming Funds'!$F$55:$F$588,'Budget '!$H32,'In Coming Funds'!$I$55:$I$88)</f>
        <v>0</v>
      </c>
      <c r="K32" s="69">
        <f ca="1">SUMIF('Out Going Funds'!$J$62:$J$108,'Budget '!$H32,'Out Going Funds'!$M$62:$M$107)-SUMIF('In Coming Funds'!$J$55:$J$88,'Budget '!$H32,'In Coming Funds'!$M$55:$M$88)</f>
        <v>0</v>
      </c>
      <c r="L32" s="25">
        <f t="shared" ca="1" si="8"/>
        <v>0</v>
      </c>
      <c r="N32" s="68" t="s">
        <v>49</v>
      </c>
      <c r="O32" s="69">
        <f t="shared" si="9"/>
        <v>100</v>
      </c>
      <c r="P32" s="69">
        <f t="shared" ca="1" si="10"/>
        <v>100</v>
      </c>
      <c r="Q32" s="69">
        <f t="shared" ca="1" si="11"/>
        <v>100</v>
      </c>
      <c r="R32" s="25">
        <f t="shared" ca="1" si="12"/>
        <v>300</v>
      </c>
    </row>
    <row r="33" spans="2:18" ht="17" thickBot="1" x14ac:dyDescent="0.25">
      <c r="B33" s="64" t="s">
        <v>50</v>
      </c>
      <c r="C33" s="177">
        <v>0</v>
      </c>
      <c r="D33" s="20">
        <v>250</v>
      </c>
      <c r="E33" s="20">
        <v>3500</v>
      </c>
      <c r="F33" s="25">
        <f t="shared" si="7"/>
        <v>3750</v>
      </c>
      <c r="G33" s="14"/>
      <c r="H33" s="64" t="s">
        <v>50</v>
      </c>
      <c r="I33" s="69">
        <f>SUMIF('Out Going Funds'!$B$62:$B$107,'Budget '!$H33,'Out Going Funds'!$E$62:$E$107)-SUMIF('In Coming Funds'!$B$55:$B$88,'Budget '!$H33,'In Coming Funds'!$E$55:$E$88)</f>
        <v>0</v>
      </c>
      <c r="J33" s="69">
        <f ca="1">SUMIF('Out Going Funds'!$F$62:$F$607,'Budget '!$H33,'Out Going Funds'!$I$62:$I$107)-SUMIF('In Coming Funds'!$F$55:$F$588,'Budget '!$H33,'In Coming Funds'!$I$55:$I$88)</f>
        <v>239.41</v>
      </c>
      <c r="K33" s="69">
        <f ca="1">SUMIF('Out Going Funds'!$J$62:$J$108,'Budget '!$H33,'Out Going Funds'!$M$62:$M$107)-SUMIF('In Coming Funds'!$J$55:$J$88,'Budget '!$H33,'In Coming Funds'!$M$55:$M$88)</f>
        <v>3401.39</v>
      </c>
      <c r="L33" s="25">
        <f t="shared" ca="1" si="8"/>
        <v>3640.7999999999997</v>
      </c>
      <c r="N33" s="64" t="s">
        <v>50</v>
      </c>
      <c r="O33" s="69">
        <f t="shared" si="9"/>
        <v>0</v>
      </c>
      <c r="P33" s="69">
        <f t="shared" ca="1" si="10"/>
        <v>10.590000000000003</v>
      </c>
      <c r="Q33" s="69">
        <f t="shared" ca="1" si="11"/>
        <v>98.610000000000127</v>
      </c>
      <c r="R33" s="25">
        <f t="shared" ca="1" si="12"/>
        <v>109.20000000000027</v>
      </c>
    </row>
    <row r="34" spans="2:18" ht="17" thickBot="1" x14ac:dyDescent="0.25">
      <c r="B34" s="16" t="s">
        <v>25</v>
      </c>
      <c r="C34" s="21">
        <f>SUM(C21:C33)</f>
        <v>18650</v>
      </c>
      <c r="D34" s="21">
        <f>SUM(D21:D33)</f>
        <v>13000</v>
      </c>
      <c r="E34" s="21">
        <f>SUM(E21:E33)</f>
        <v>15600</v>
      </c>
      <c r="F34" s="28">
        <f t="shared" si="7"/>
        <v>47250</v>
      </c>
      <c r="G34" s="14"/>
      <c r="H34" s="16" t="s">
        <v>25</v>
      </c>
      <c r="I34" s="21">
        <f>SUM(I21:I33)</f>
        <v>13221.059999999998</v>
      </c>
      <c r="J34" s="21">
        <f ca="1">SUM(J21:J33)</f>
        <v>9817.2000000000007</v>
      </c>
      <c r="K34" s="21">
        <f ca="1">SUM(K21:K33)</f>
        <v>14367.619999999999</v>
      </c>
      <c r="L34" s="28">
        <f t="shared" ca="1" si="8"/>
        <v>37405.879999999997</v>
      </c>
      <c r="N34" s="16" t="s">
        <v>25</v>
      </c>
      <c r="O34" s="21">
        <f>SUM(O21:O33)</f>
        <v>5428.9400000000005</v>
      </c>
      <c r="P34" s="21">
        <f ca="1">SUM(P21:P33)</f>
        <v>3182.7999999999993</v>
      </c>
      <c r="Q34" s="21">
        <f ca="1">SUM(Q21:Q33)</f>
        <v>1232.3800000000003</v>
      </c>
      <c r="R34" s="28">
        <f ca="1">SUM(O34:Q34)</f>
        <v>9844.1200000000008</v>
      </c>
    </row>
    <row r="35" spans="2:18" ht="17" thickBot="1" x14ac:dyDescent="0.25">
      <c r="B35" s="19" t="s">
        <v>22</v>
      </c>
      <c r="C35" s="23">
        <f>C7+C19+C34</f>
        <v>49611</v>
      </c>
      <c r="D35" s="23">
        <f>D7+D19+D34</f>
        <v>61074.81</v>
      </c>
      <c r="E35" s="23">
        <f>E7+E19+E34</f>
        <v>52144.3</v>
      </c>
      <c r="F35" s="29">
        <f>F7+F19+F34</f>
        <v>162830.10999999999</v>
      </c>
      <c r="H35" s="19" t="s">
        <v>22</v>
      </c>
      <c r="I35" s="23">
        <f>I7+I19+I34</f>
        <v>33730.28</v>
      </c>
      <c r="J35" s="23">
        <f ca="1">J7+J19+J34</f>
        <v>52036.319999999992</v>
      </c>
      <c r="K35" s="23">
        <f ca="1">K7+K19+K34</f>
        <v>45451.100000000006</v>
      </c>
      <c r="L35" s="29">
        <f ca="1">L7+L19+L34</f>
        <v>131217.70000000001</v>
      </c>
      <c r="N35" s="19" t="s">
        <v>22</v>
      </c>
      <c r="O35" s="23">
        <f>O7+O19+O34</f>
        <v>15880.72</v>
      </c>
      <c r="P35" s="23">
        <f ca="1">P7+P19+P34</f>
        <v>9038.49</v>
      </c>
      <c r="Q35" s="23">
        <f ca="1">Q7+Q19+Q34</f>
        <v>6693.1999999999989</v>
      </c>
      <c r="R35" s="29">
        <f ca="1">R7+R19+R34</f>
        <v>31612.409999999996</v>
      </c>
    </row>
    <row r="36" spans="2:18" ht="21" x14ac:dyDescent="0.25">
      <c r="B36" s="70"/>
    </row>
  </sheetData>
  <mergeCells count="4">
    <mergeCell ref="B3:F3"/>
    <mergeCell ref="H3:L3"/>
    <mergeCell ref="N3:R3"/>
    <mergeCell ref="B2:R2"/>
  </mergeCells>
  <conditionalFormatting sqref="N1:R1048576">
    <cfRule type="cellIs" dxfId="18" priority="1" operator="lessThan">
      <formula>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DAA79-D949-C946-9FFA-8A5A6DF35B8C}">
  <sheetPr codeName="Sheet4">
    <tabColor theme="4" tint="0.79998168889431442"/>
  </sheetPr>
  <dimension ref="B1:W218"/>
  <sheetViews>
    <sheetView zoomScale="65" zoomScaleNormal="75" workbookViewId="0">
      <pane xSplit="7" topLeftCell="H1" activePane="topRight" state="frozen"/>
      <selection activeCell="A72" sqref="A72"/>
      <selection pane="topRight" activeCell="L74" sqref="L74"/>
    </sheetView>
  </sheetViews>
  <sheetFormatPr baseColWidth="10" defaultColWidth="10.6640625" defaultRowHeight="19" x14ac:dyDescent="0.3"/>
  <cols>
    <col min="1" max="1" width="3.1640625" style="73" customWidth="1"/>
    <col min="2" max="2" width="15.5" style="73" bestFit="1" customWidth="1"/>
    <col min="3" max="3" width="12.83203125" style="73" bestFit="1" customWidth="1"/>
    <col min="4" max="4" width="13.33203125" style="73" bestFit="1" customWidth="1"/>
    <col min="5" max="5" width="15" style="73" customWidth="1"/>
    <col min="6" max="6" width="19.5" style="73" customWidth="1"/>
    <col min="7" max="7" width="24.6640625" style="73" bestFit="1" customWidth="1"/>
    <col min="8" max="8" width="21.83203125" style="73" bestFit="1" customWidth="1"/>
    <col min="9" max="9" width="15.5" style="73" bestFit="1" customWidth="1"/>
    <col min="10" max="10" width="23.83203125" style="73" bestFit="1" customWidth="1"/>
    <col min="11" max="11" width="19.6640625" style="73" bestFit="1" customWidth="1"/>
    <col min="12" max="12" width="20.1640625" style="73" bestFit="1" customWidth="1"/>
    <col min="13" max="13" width="18.5" style="73" bestFit="1" customWidth="1"/>
    <col min="14" max="14" width="22.83203125" style="73" bestFit="1" customWidth="1"/>
    <col min="15" max="15" width="20.6640625" style="73" bestFit="1" customWidth="1"/>
    <col min="16" max="16" width="34.6640625" style="73" bestFit="1" customWidth="1"/>
    <col min="17" max="17" width="30" style="73" bestFit="1" customWidth="1"/>
    <col min="18" max="18" width="26" style="73" bestFit="1" customWidth="1"/>
    <col min="19" max="19" width="49.83203125" style="73" bestFit="1" customWidth="1"/>
    <col min="20" max="20" width="12.1640625" style="73" bestFit="1" customWidth="1"/>
    <col min="21" max="21" width="23.1640625" style="73" bestFit="1" customWidth="1"/>
    <col min="22" max="22" width="25.6640625" style="73" bestFit="1" customWidth="1"/>
    <col min="23" max="23" width="7.1640625" style="73" bestFit="1" customWidth="1"/>
    <col min="24" max="24" width="3.6640625" style="73" bestFit="1" customWidth="1"/>
    <col min="25" max="16384" width="10.6640625" style="73"/>
  </cols>
  <sheetData>
    <row r="1" spans="2:23" ht="20" thickBot="1" x14ac:dyDescent="0.35"/>
    <row r="2" spans="2:23" s="75" customFormat="1" ht="30" customHeight="1" thickBot="1" x14ac:dyDescent="0.35">
      <c r="B2" s="74" t="s">
        <v>51</v>
      </c>
      <c r="C2" s="365"/>
      <c r="D2" s="366"/>
      <c r="F2" s="233" t="s">
        <v>52</v>
      </c>
      <c r="G2" s="76" t="s">
        <v>53</v>
      </c>
      <c r="H2" s="77" t="s">
        <v>54</v>
      </c>
      <c r="I2" s="78" t="s">
        <v>55</v>
      </c>
      <c r="J2" s="79" t="s">
        <v>56</v>
      </c>
      <c r="K2" s="79" t="s">
        <v>57</v>
      </c>
      <c r="L2" s="80" t="s">
        <v>58</v>
      </c>
      <c r="M2" s="78" t="s">
        <v>59</v>
      </c>
      <c r="N2" s="80" t="s">
        <v>60</v>
      </c>
      <c r="O2" s="81" t="s">
        <v>61</v>
      </c>
      <c r="P2" s="82" t="s">
        <v>62</v>
      </c>
      <c r="Q2" s="82" t="s">
        <v>63</v>
      </c>
      <c r="R2" s="82" t="s">
        <v>64</v>
      </c>
      <c r="S2" s="82" t="s">
        <v>65</v>
      </c>
      <c r="T2" s="83" t="s">
        <v>66</v>
      </c>
      <c r="U2" s="83" t="s">
        <v>67</v>
      </c>
      <c r="V2" s="82" t="s">
        <v>68</v>
      </c>
      <c r="W2" s="73"/>
    </row>
    <row r="3" spans="2:23" ht="22" thickBot="1" x14ac:dyDescent="0.35">
      <c r="F3" s="73" t="s">
        <v>69</v>
      </c>
      <c r="G3" s="188" t="s">
        <v>70</v>
      </c>
      <c r="H3" s="188" t="s">
        <v>71</v>
      </c>
      <c r="I3" s="84" t="s">
        <v>72</v>
      </c>
      <c r="J3" s="85">
        <f>IF(I3="Brother",$C$6*Table[[#This Row],[Seniority Dues]],IF(I3="EC",$C$7,IF(I3="Alumni",$C$8,IF(I3="Dropped",$C$11,IF(I3="President",$C$10,IF(I3="Inactive",$C$9,IF(Table[[#This Row],[Type]]="New Member",$C$13,0)))))))</f>
        <v>200</v>
      </c>
      <c r="K3" s="86"/>
      <c r="L3" s="87"/>
      <c r="M3" s="88">
        <v>200</v>
      </c>
      <c r="N3" s="87"/>
      <c r="O3" s="132">
        <f>Table[[#This Row],[Payment]]</f>
        <v>200</v>
      </c>
      <c r="P3" s="133">
        <f t="shared" ref="P3:P34" si="0">J3+L3-M3+K3</f>
        <v>0</v>
      </c>
      <c r="Q3" s="147"/>
      <c r="R3" s="168"/>
      <c r="S3" s="89"/>
      <c r="T3" s="188">
        <v>4</v>
      </c>
      <c r="U3" s="135"/>
      <c r="V3" s="134">
        <f>IF(Table[[#This Row],[Year]]=1, 1.2, IF(Table[[#This Row],[Year]]=2, 1.1, IF(Table[[#This Row],[Year]]=3, 1, IF(Table[[#This Row],[Year]]=4, 0.8, IF(Table[[#This Row],[Year]]=5, 0.7, 0)))))</f>
        <v>0.8</v>
      </c>
    </row>
    <row r="4" spans="2:23" ht="22" thickBot="1" x14ac:dyDescent="0.35">
      <c r="B4" s="367" t="s">
        <v>55</v>
      </c>
      <c r="C4" s="368"/>
      <c r="D4" s="369"/>
      <c r="E4" s="90"/>
      <c r="F4" s="73" t="s">
        <v>73</v>
      </c>
      <c r="G4" s="188" t="s">
        <v>74</v>
      </c>
      <c r="H4" s="188" t="s">
        <v>75</v>
      </c>
      <c r="I4" s="84" t="s">
        <v>76</v>
      </c>
      <c r="J4" s="85">
        <f>IF(I4="Brother",$C$6*Table[[#This Row],[Seniority Dues]],IF(I4="EC",$C$7,IF(I4="Alumni",$C$8,IF(I4="Dropped",$C$11,IF(I4="President",$C$10,IF(I4="Inactive",$C$9,IF(Table[[#This Row],[Type]]="New Member",$C$13,0)))))))</f>
        <v>384</v>
      </c>
      <c r="K4" s="86"/>
      <c r="L4" s="87"/>
      <c r="M4" s="88">
        <v>384</v>
      </c>
      <c r="N4" s="87"/>
      <c r="O4" s="132">
        <f>Table[[#This Row],[Payment]]</f>
        <v>384</v>
      </c>
      <c r="P4" s="133">
        <f t="shared" si="0"/>
        <v>0</v>
      </c>
      <c r="Q4" s="147"/>
      <c r="R4" s="168"/>
      <c r="S4" s="89"/>
      <c r="T4" s="188">
        <v>4</v>
      </c>
      <c r="U4" s="135"/>
      <c r="V4" s="134">
        <f>IF(Table[[#This Row],[Year]]=1, 1.2, IF(Table[[#This Row],[Year]]=2, 1.1, IF(Table[[#This Row],[Year]]=3, 1, IF(Table[[#This Row],[Year]]=4, 0.8, IF(Table[[#This Row],[Year]]=5, 0.7, 0)))))</f>
        <v>0.8</v>
      </c>
    </row>
    <row r="5" spans="2:23" ht="22" thickBot="1" x14ac:dyDescent="0.35">
      <c r="B5" s="91" t="s">
        <v>55</v>
      </c>
      <c r="C5" s="92" t="s">
        <v>77</v>
      </c>
      <c r="D5" s="93" t="s">
        <v>78</v>
      </c>
      <c r="E5" s="90"/>
      <c r="F5" s="73" t="s">
        <v>79</v>
      </c>
      <c r="G5" s="188" t="s">
        <v>80</v>
      </c>
      <c r="H5" s="188" t="s">
        <v>81</v>
      </c>
      <c r="I5" s="84" t="s">
        <v>72</v>
      </c>
      <c r="J5" s="85">
        <f>IF(I5="Brother",$C$6*Table[[#This Row],[Seniority Dues]],IF(I5="EC",$C$7,IF(I5="Alumni",$C$8,IF(I5="Dropped",$C$11,IF(I5="President",$C$10,IF(I5="Inactive",$C$9,IF(Table[[#This Row],[Type]]="New Member",$C$13,0)))))))</f>
        <v>200</v>
      </c>
      <c r="K5" s="86">
        <v>-90</v>
      </c>
      <c r="L5" s="87">
        <v>280</v>
      </c>
      <c r="M5" s="88"/>
      <c r="N5" s="87"/>
      <c r="O5" s="132">
        <f>Table[[#This Row],[Payment]]</f>
        <v>0</v>
      </c>
      <c r="P5" s="133">
        <f t="shared" si="0"/>
        <v>390</v>
      </c>
      <c r="Q5" s="147"/>
      <c r="R5" s="168"/>
      <c r="S5" s="89"/>
      <c r="T5" s="188">
        <v>4</v>
      </c>
      <c r="U5" s="135"/>
      <c r="V5" s="134">
        <f>IF(Table[[#This Row],[Year]]=1, 1.2, IF(Table[[#This Row],[Year]]=2, 1.1, IF(Table[[#This Row],[Year]]=3, 1, IF(Table[[#This Row],[Year]]=4, 0.8, IF(Table[[#This Row],[Year]]=5, 0.7, 0)))))</f>
        <v>0.8</v>
      </c>
    </row>
    <row r="6" spans="2:23" ht="21" x14ac:dyDescent="0.3">
      <c r="B6" s="94" t="s">
        <v>76</v>
      </c>
      <c r="C6" s="95">
        <v>480</v>
      </c>
      <c r="D6" s="96">
        <f>COUNTIF(Table[Type],B6)</f>
        <v>77</v>
      </c>
      <c r="E6" s="90"/>
      <c r="F6" s="73" t="s">
        <v>82</v>
      </c>
      <c r="G6" s="190" t="s">
        <v>83</v>
      </c>
      <c r="H6" s="190" t="s">
        <v>84</v>
      </c>
      <c r="I6" s="84" t="s">
        <v>76</v>
      </c>
      <c r="J6" s="85">
        <f>IF(I6="Brother",$C$6*Table[[#This Row],[Seniority Dues]],IF(I6="EC",$C$7,IF(I6="Alumni",$C$8,IF(I6="Dropped",$C$11,IF(I6="President",$C$10,IF(I6="Inactive",$C$9,IF(Table[[#This Row],[Type]]="New Member",$C$13,0)))))))</f>
        <v>528</v>
      </c>
      <c r="K6" s="86"/>
      <c r="L6" s="87"/>
      <c r="M6" s="88">
        <v>528</v>
      </c>
      <c r="N6" s="87"/>
      <c r="O6" s="132">
        <f>Table[[#This Row],[Payment]]</f>
        <v>528</v>
      </c>
      <c r="P6" s="133">
        <f t="shared" si="0"/>
        <v>0</v>
      </c>
      <c r="Q6" s="147"/>
      <c r="R6" s="168"/>
      <c r="S6" s="89"/>
      <c r="T6" s="218">
        <v>2</v>
      </c>
      <c r="U6" s="135"/>
      <c r="V6" s="134">
        <f>IF(Table[[#This Row],[Year]]=1, 1.2, IF(Table[[#This Row],[Year]]=2, 1.1, IF(Table[[#This Row],[Year]]=3, 1, IF(Table[[#This Row],[Year]]=4, 0.8, IF(Table[[#This Row],[Year]]=5, 0.7, 0)))))</f>
        <v>1.1000000000000001</v>
      </c>
    </row>
    <row r="7" spans="2:23" ht="21" x14ac:dyDescent="0.3">
      <c r="B7" s="94" t="s">
        <v>85</v>
      </c>
      <c r="C7" s="95">
        <v>225</v>
      </c>
      <c r="D7" s="94">
        <f>COUNTIF(Table[Type],B7)</f>
        <v>7</v>
      </c>
      <c r="E7" s="90"/>
      <c r="F7" s="73" t="s">
        <v>86</v>
      </c>
      <c r="G7" s="188" t="s">
        <v>87</v>
      </c>
      <c r="H7" s="188" t="s">
        <v>88</v>
      </c>
      <c r="I7" s="84" t="s">
        <v>85</v>
      </c>
      <c r="J7" s="85">
        <f>IF(I7="Brother",$C$6*Table[[#This Row],[Seniority Dues]],IF(I7="EC",$C$7,IF(I7="Alumni",$C$8,IF(I7="Dropped",$C$11,IF(I7="President",$C$10,IF(I7="Inactive",$C$9,IF(Table[[#This Row],[Type]]="New Member",$C$13,0)))))))</f>
        <v>225</v>
      </c>
      <c r="K7" s="86"/>
      <c r="L7" s="87">
        <v>225</v>
      </c>
      <c r="M7" s="88"/>
      <c r="N7" s="87"/>
      <c r="O7" s="132">
        <f>Table[[#This Row],[Payment]]</f>
        <v>0</v>
      </c>
      <c r="P7" s="133">
        <f t="shared" si="0"/>
        <v>450</v>
      </c>
      <c r="Q7" s="147"/>
      <c r="R7" s="168"/>
      <c r="S7" s="89"/>
      <c r="T7" s="188">
        <v>4</v>
      </c>
      <c r="U7" s="135"/>
      <c r="V7" s="134">
        <f>IF(Table[[#This Row],[Year]]=1, 1.2, IF(Table[[#This Row],[Year]]=2, 1.1, IF(Table[[#This Row],[Year]]=3, 1, IF(Table[[#This Row],[Year]]=4, 0.8, IF(Table[[#This Row],[Year]]=5, 0.7, 0)))))</f>
        <v>0.8</v>
      </c>
    </row>
    <row r="8" spans="2:23" ht="21" x14ac:dyDescent="0.3">
      <c r="B8" s="94" t="s">
        <v>89</v>
      </c>
      <c r="C8" s="95">
        <v>225</v>
      </c>
      <c r="D8" s="94">
        <f>COUNTIF(Table[Type],B8)</f>
        <v>0</v>
      </c>
      <c r="E8" s="90"/>
      <c r="F8" s="73" t="s">
        <v>90</v>
      </c>
      <c r="G8" s="188" t="s">
        <v>91</v>
      </c>
      <c r="H8" s="188" t="s">
        <v>92</v>
      </c>
      <c r="I8" s="84" t="s">
        <v>76</v>
      </c>
      <c r="J8" s="85">
        <f>IF(I8="Brother",$C$6*Table[[#This Row],[Seniority Dues]],IF(I8="EC",$C$7,IF(I8="Alumni",$C$8,IF(I8="Dropped",$C$11,IF(I8="President",$C$10,IF(I8="Inactive",$C$9,IF(Table[[#This Row],[Type]]="New Member",$C$13,0)))))))</f>
        <v>384</v>
      </c>
      <c r="K8" s="86"/>
      <c r="L8" s="87"/>
      <c r="M8" s="88">
        <v>384</v>
      </c>
      <c r="N8" s="87"/>
      <c r="O8" s="132">
        <f>Table[[#This Row],[Payment]]</f>
        <v>384</v>
      </c>
      <c r="P8" s="133">
        <f t="shared" si="0"/>
        <v>0</v>
      </c>
      <c r="Q8" s="147"/>
      <c r="R8" s="168"/>
      <c r="S8" s="89"/>
      <c r="T8" s="189">
        <v>4</v>
      </c>
      <c r="U8" s="135"/>
      <c r="V8" s="134">
        <f>IF(Table[[#This Row],[Year]]=1, 1.2, IF(Table[[#This Row],[Year]]=2, 1.1, IF(Table[[#This Row],[Year]]=3, 1, IF(Table[[#This Row],[Year]]=4, 0.8, IF(Table[[#This Row],[Year]]=5, 0.7, 0)))))</f>
        <v>0.8</v>
      </c>
    </row>
    <row r="9" spans="2:23" ht="21" x14ac:dyDescent="0.3">
      <c r="B9" s="94" t="s">
        <v>72</v>
      </c>
      <c r="C9" s="95">
        <v>200</v>
      </c>
      <c r="D9" s="94">
        <f>COUNTIF(Table[Type],B9)</f>
        <v>27</v>
      </c>
      <c r="E9" s="90"/>
      <c r="F9" s="73" t="s">
        <v>93</v>
      </c>
      <c r="G9" s="190" t="s">
        <v>94</v>
      </c>
      <c r="H9" s="190" t="s">
        <v>95</v>
      </c>
      <c r="I9" s="84" t="s">
        <v>76</v>
      </c>
      <c r="J9" s="85">
        <f>IF(I9="Brother",$C$6*Table[[#This Row],[Seniority Dues]],IF(I9="EC",$C$7,IF(I9="Alumni",$C$8,IF(I9="Dropped",$C$11,IF(I9="President",$C$10,IF(I9="Inactive",$C$9,IF(Table[[#This Row],[Type]]="New Member",$C$13,0)))))))</f>
        <v>528</v>
      </c>
      <c r="K9" s="86"/>
      <c r="L9" s="87"/>
      <c r="M9" s="88">
        <f>Table[[#This Row],[Amount Due]]</f>
        <v>528</v>
      </c>
      <c r="N9" s="87"/>
      <c r="O9" s="132">
        <f>Table[[#This Row],[Payment]]</f>
        <v>528</v>
      </c>
      <c r="P9" s="133">
        <f t="shared" si="0"/>
        <v>0</v>
      </c>
      <c r="Q9" s="147"/>
      <c r="R9" s="168"/>
      <c r="S9" s="89"/>
      <c r="T9" s="218">
        <v>2</v>
      </c>
      <c r="U9" s="135"/>
      <c r="V9" s="134">
        <f>IF(Table[[#This Row],[Year]]=1, 1.2, IF(Table[[#This Row],[Year]]=2, 1.1, IF(Table[[#This Row],[Year]]=3, 1, IF(Table[[#This Row],[Year]]=4, 0.8, IF(Table[[#This Row],[Year]]=5, 0.7, 0)))))</f>
        <v>1.1000000000000001</v>
      </c>
    </row>
    <row r="10" spans="2:23" ht="21" x14ac:dyDescent="0.3">
      <c r="B10" s="94" t="s">
        <v>96</v>
      </c>
      <c r="C10" s="95">
        <v>0</v>
      </c>
      <c r="D10" s="94">
        <f>COUNTIF(Table[Type],B10)</f>
        <v>1</v>
      </c>
      <c r="E10" s="90"/>
      <c r="F10" s="73" t="s">
        <v>97</v>
      </c>
      <c r="G10" s="190" t="s">
        <v>98</v>
      </c>
      <c r="H10" s="190" t="s">
        <v>99</v>
      </c>
      <c r="I10" s="84" t="s">
        <v>76</v>
      </c>
      <c r="J10" s="85">
        <f>IF(I10="Brother",$C$6*Table[[#This Row],[Seniority Dues]],IF(I10="EC",$C$7,IF(I10="Alumni",$C$8,IF(I10="Dropped",$C$11,IF(I10="President",$C$10,IF(I10="Inactive",$C$9,IF(Table[[#This Row],[Type]]="New Member",$C$13,0)))))))</f>
        <v>528</v>
      </c>
      <c r="K10" s="86"/>
      <c r="L10" s="87"/>
      <c r="M10" s="88">
        <f>Table[[#This Row],[Amount Due]]</f>
        <v>528</v>
      </c>
      <c r="N10" s="87"/>
      <c r="O10" s="132">
        <f>Table[[#This Row],[Payment]]</f>
        <v>528</v>
      </c>
      <c r="P10" s="133">
        <f t="shared" si="0"/>
        <v>0</v>
      </c>
      <c r="Q10" s="147"/>
      <c r="R10" s="168"/>
      <c r="S10" s="89"/>
      <c r="T10" s="218">
        <v>2</v>
      </c>
      <c r="U10" s="135"/>
      <c r="V10" s="134">
        <f>IF(Table[[#This Row],[Year]]=1, 1.2, IF(Table[[#This Row],[Year]]=2, 1.1, IF(Table[[#This Row],[Year]]=3, 1, IF(Table[[#This Row],[Year]]=4, 0.8, IF(Table[[#This Row],[Year]]=5, 0.7, 0)))))</f>
        <v>1.1000000000000001</v>
      </c>
    </row>
    <row r="11" spans="2:23" ht="21" x14ac:dyDescent="0.3">
      <c r="B11" s="94" t="s">
        <v>100</v>
      </c>
      <c r="C11" s="95">
        <v>0</v>
      </c>
      <c r="D11" s="94">
        <f>COUNTIF(Table[Type],B11)</f>
        <v>1</v>
      </c>
      <c r="F11" s="73" t="s">
        <v>101</v>
      </c>
      <c r="G11" s="188" t="s">
        <v>102</v>
      </c>
      <c r="H11" s="188" t="s">
        <v>103</v>
      </c>
      <c r="I11" s="84" t="s">
        <v>76</v>
      </c>
      <c r="J11" s="85">
        <f>IF(I11="Brother",$C$6*Table[[#This Row],[Seniority Dues]],IF(I11="EC",$C$7,IF(I11="Alumni",$C$8,IF(I11="Dropped",$C$11,IF(I11="President",$C$10,IF(I11="Inactive",$C$9,IF(Table[[#This Row],[Type]]="New Member",$C$13,0)))))))</f>
        <v>384</v>
      </c>
      <c r="K11" s="86"/>
      <c r="L11" s="87"/>
      <c r="M11" s="88">
        <v>200</v>
      </c>
      <c r="N11" s="87"/>
      <c r="O11" s="132">
        <f>Table[[#This Row],[Payment]]</f>
        <v>200</v>
      </c>
      <c r="P11" s="133">
        <f t="shared" si="0"/>
        <v>184</v>
      </c>
      <c r="Q11" s="147"/>
      <c r="R11" s="168"/>
      <c r="S11" s="89"/>
      <c r="T11" s="188">
        <v>4</v>
      </c>
      <c r="U11" s="135"/>
      <c r="V11" s="134">
        <f>IF(Table[[#This Row],[Year]]=1, 1.2, IF(Table[[#This Row],[Year]]=2, 1.1, IF(Table[[#This Row],[Year]]=3, 1, IF(Table[[#This Row],[Year]]=4, 0.8, IF(Table[[#This Row],[Year]]=5, 0.7, 0)))))</f>
        <v>0.8</v>
      </c>
    </row>
    <row r="12" spans="2:23" ht="21" x14ac:dyDescent="0.3">
      <c r="B12" s="94" t="s">
        <v>104</v>
      </c>
      <c r="C12" s="95">
        <v>0</v>
      </c>
      <c r="D12" s="94">
        <f>COUNTIF(Table[Type],B12)</f>
        <v>1</v>
      </c>
      <c r="F12" s="73" t="s">
        <v>105</v>
      </c>
      <c r="G12" s="188" t="s">
        <v>106</v>
      </c>
      <c r="H12" s="188" t="s">
        <v>107</v>
      </c>
      <c r="I12" s="84" t="s">
        <v>72</v>
      </c>
      <c r="J12" s="85">
        <f>IF(I12="Brother",$C$6*Table[[#This Row],[Seniority Dues]],IF(I12="EC",$C$7,IF(I12="Alumni",$C$8,IF(I12="Dropped",$C$11,IF(I12="President",$C$10,IF(I12="Inactive",$C$9,IF(Table[[#This Row],[Type]]="New Member",$C$13,0)))))))</f>
        <v>200</v>
      </c>
      <c r="K12" s="86"/>
      <c r="L12" s="87"/>
      <c r="M12" s="88">
        <v>200</v>
      </c>
      <c r="N12" s="87"/>
      <c r="O12" s="132">
        <f>Table[[#This Row],[Payment]]</f>
        <v>200</v>
      </c>
      <c r="P12" s="133">
        <f t="shared" si="0"/>
        <v>0</v>
      </c>
      <c r="Q12" s="147"/>
      <c r="R12" s="168"/>
      <c r="S12" s="89"/>
      <c r="T12" s="189">
        <v>3</v>
      </c>
      <c r="U12" s="135"/>
      <c r="V12" s="134">
        <f>IF(Table[[#This Row],[Year]]=1, 1.2, IF(Table[[#This Row],[Year]]=2, 1.1, IF(Table[[#This Row],[Year]]=3, 1, IF(Table[[#This Row],[Year]]=4, 0.8, IF(Table[[#This Row],[Year]]=5, 0.7, 0)))))</f>
        <v>1</v>
      </c>
    </row>
    <row r="13" spans="2:23" ht="22" thickBot="1" x14ac:dyDescent="0.35">
      <c r="B13" s="97" t="s">
        <v>108</v>
      </c>
      <c r="C13" s="98">
        <v>500</v>
      </c>
      <c r="D13" s="99">
        <f>COUNTIF(Table[Type],B13)</f>
        <v>22</v>
      </c>
      <c r="F13" s="73" t="s">
        <v>109</v>
      </c>
      <c r="G13" s="188" t="s">
        <v>110</v>
      </c>
      <c r="H13" s="188" t="s">
        <v>111</v>
      </c>
      <c r="I13" s="84" t="s">
        <v>76</v>
      </c>
      <c r="J13" s="85">
        <f>IF(I13="Brother",$C$6*Table[[#This Row],[Seniority Dues]],IF(I13="EC",$C$7,IF(I13="Alumni",$C$8,IF(I13="Dropped",$C$11,IF(I13="President",$C$10,IF(I13="Inactive",$C$9,IF(Table[[#This Row],[Type]]="New Member",$C$13,0)))))))</f>
        <v>384</v>
      </c>
      <c r="K13" s="86"/>
      <c r="L13" s="87"/>
      <c r="M13" s="88">
        <v>384</v>
      </c>
      <c r="N13" s="87"/>
      <c r="O13" s="132">
        <f>Table[[#This Row],[Payment]]</f>
        <v>384</v>
      </c>
      <c r="P13" s="133">
        <f t="shared" si="0"/>
        <v>0</v>
      </c>
      <c r="Q13" s="147"/>
      <c r="R13" s="168"/>
      <c r="S13" s="89"/>
      <c r="T13" s="188">
        <v>4</v>
      </c>
      <c r="U13" s="135"/>
      <c r="V13" s="134">
        <f>IF(Table[[#This Row],[Year]]=1, 1.2, IF(Table[[#This Row],[Year]]=2, 1.1, IF(Table[[#This Row],[Year]]=3, 1, IF(Table[[#This Row],[Year]]=4, 0.8, IF(Table[[#This Row],[Year]]=5, 0.7, 0)))))</f>
        <v>0.8</v>
      </c>
    </row>
    <row r="14" spans="2:23" ht="21" x14ac:dyDescent="0.3">
      <c r="F14" s="73" t="s">
        <v>112</v>
      </c>
      <c r="G14" s="190" t="s">
        <v>113</v>
      </c>
      <c r="H14" s="190" t="s">
        <v>114</v>
      </c>
      <c r="I14" s="84" t="s">
        <v>76</v>
      </c>
      <c r="J14" s="85">
        <f>IF(I14="Brother",$C$6*Table[[#This Row],[Seniority Dues]],IF(I14="EC",$C$7,IF(I14="Alumni",$C$8,IF(I14="Dropped",$C$11,IF(I14="President",$C$10,IF(I14="Inactive",$C$9,IF(Table[[#This Row],[Type]]="New Member",$C$13,0)))))))</f>
        <v>528</v>
      </c>
      <c r="K14" s="86"/>
      <c r="L14" s="87"/>
      <c r="M14" s="88">
        <v>528</v>
      </c>
      <c r="N14" s="87"/>
      <c r="O14" s="132">
        <f>Table[[#This Row],[Payment]]</f>
        <v>528</v>
      </c>
      <c r="P14" s="133">
        <f t="shared" si="0"/>
        <v>0</v>
      </c>
      <c r="Q14" s="147"/>
      <c r="R14" s="168"/>
      <c r="S14" s="89"/>
      <c r="T14" s="218">
        <v>2</v>
      </c>
      <c r="U14" s="135"/>
      <c r="V14" s="134">
        <f>IF(Table[[#This Row],[Year]]=1, 1.2, IF(Table[[#This Row],[Year]]=2, 1.1, IF(Table[[#This Row],[Year]]=3, 1, IF(Table[[#This Row],[Year]]=4, 0.8, IF(Table[[#This Row],[Year]]=5, 0.7, 0)))))</f>
        <v>1.1000000000000001</v>
      </c>
    </row>
    <row r="15" spans="2:23" ht="22" thickBot="1" x14ac:dyDescent="0.35">
      <c r="F15" s="73" t="s">
        <v>115</v>
      </c>
      <c r="G15" s="188" t="s">
        <v>116</v>
      </c>
      <c r="H15" s="188" t="s">
        <v>117</v>
      </c>
      <c r="I15" s="84" t="s">
        <v>85</v>
      </c>
      <c r="J15" s="85">
        <f>IF(I15="Brother",$C$6*Table[[#This Row],[Seniority Dues]],IF(I15="EC",$C$7,IF(I15="Alumni",$C$8,IF(I15="Dropped",$C$11,IF(I15="President",$C$10,IF(I15="Inactive",$C$9,IF(Table[[#This Row],[Type]]="New Member",$C$13,0)))))))</f>
        <v>225</v>
      </c>
      <c r="K15" s="86"/>
      <c r="L15" s="87"/>
      <c r="M15" s="88"/>
      <c r="N15" s="87"/>
      <c r="O15" s="132">
        <f>Table[[#This Row],[Payment]]</f>
        <v>0</v>
      </c>
      <c r="P15" s="133">
        <f t="shared" si="0"/>
        <v>225</v>
      </c>
      <c r="Q15" s="147"/>
      <c r="R15" s="168"/>
      <c r="S15" s="89"/>
      <c r="T15" s="188">
        <v>4</v>
      </c>
      <c r="U15" s="135"/>
      <c r="V15" s="134">
        <f>IF(Table[[#This Row],[Year]]=1, 1.2, IF(Table[[#This Row],[Year]]=2, 1.1, IF(Table[[#This Row],[Year]]=3, 1, IF(Table[[#This Row],[Year]]=4, 0.8, IF(Table[[#This Row],[Year]]=5, 0.7, 0)))))</f>
        <v>0.8</v>
      </c>
    </row>
    <row r="16" spans="2:23" ht="22" thickBot="1" x14ac:dyDescent="0.35">
      <c r="B16" s="100" t="s">
        <v>66</v>
      </c>
      <c r="C16" s="101" t="s">
        <v>78</v>
      </c>
      <c r="D16" s="102" t="s">
        <v>118</v>
      </c>
      <c r="F16" s="73" t="s">
        <v>119</v>
      </c>
      <c r="G16" s="188" t="s">
        <v>120</v>
      </c>
      <c r="H16" s="188" t="s">
        <v>121</v>
      </c>
      <c r="I16" s="84" t="s">
        <v>76</v>
      </c>
      <c r="J16" s="85">
        <f>IF(I16="Brother",$C$6*Table[[#This Row],[Seniority Dues]],IF(I16="EC",$C$7,IF(I16="Alumni",$C$8,IF(I16="Dropped",$C$11,IF(I16="President",$C$10,IF(I16="Inactive",$C$9,IF(Table[[#This Row],[Type]]="New Member",$C$13,0)))))))</f>
        <v>384</v>
      </c>
      <c r="K16" s="86"/>
      <c r="L16" s="87"/>
      <c r="M16" s="88">
        <v>384</v>
      </c>
      <c r="N16" s="87"/>
      <c r="O16" s="132">
        <f>Table[[#This Row],[Payment]]</f>
        <v>384</v>
      </c>
      <c r="P16" s="133">
        <f t="shared" si="0"/>
        <v>0</v>
      </c>
      <c r="Q16" s="147"/>
      <c r="R16" s="168"/>
      <c r="S16" s="89"/>
      <c r="T16" s="188">
        <v>4</v>
      </c>
      <c r="U16" s="135"/>
      <c r="V16" s="134">
        <f>IF(Table[[#This Row],[Year]]=1, 1.2, IF(Table[[#This Row],[Year]]=2, 1.1, IF(Table[[#This Row],[Year]]=3, 1, IF(Table[[#This Row],[Year]]=4, 0.8, IF(Table[[#This Row],[Year]]=5, 0.7, 0)))))</f>
        <v>0.8</v>
      </c>
    </row>
    <row r="17" spans="2:22" ht="21" x14ac:dyDescent="0.3">
      <c r="B17" s="103">
        <v>1</v>
      </c>
      <c r="C17" s="104">
        <f>COUNTIFS(T:T,B17,I:I,"&lt;&gt;Dropped")</f>
        <v>22</v>
      </c>
      <c r="D17" s="105">
        <f>C17/$C$22</f>
        <v>0.16417910447761194</v>
      </c>
      <c r="F17" s="73" t="s">
        <v>122</v>
      </c>
      <c r="G17" s="188" t="s">
        <v>123</v>
      </c>
      <c r="H17" s="188" t="s">
        <v>88</v>
      </c>
      <c r="I17" s="84" t="s">
        <v>72</v>
      </c>
      <c r="J17" s="85">
        <f>IF(I17="Brother",$C$6*Table[[#This Row],[Seniority Dues]],IF(I17="EC",$C$7,IF(I17="Alumni",$C$8,IF(I17="Dropped",$C$11,IF(I17="President",$C$10,IF(I17="Inactive",$C$9,IF(Table[[#This Row],[Type]]="New Member",$C$13,0)))))))</f>
        <v>200</v>
      </c>
      <c r="K17" s="86"/>
      <c r="L17" s="87"/>
      <c r="M17" s="88"/>
      <c r="N17" s="87"/>
      <c r="O17" s="132">
        <f>Table[[#This Row],[Payment]]</f>
        <v>0</v>
      </c>
      <c r="P17" s="133">
        <f t="shared" si="0"/>
        <v>200</v>
      </c>
      <c r="Q17" s="147"/>
      <c r="R17" s="168"/>
      <c r="S17" s="89"/>
      <c r="T17" s="188">
        <v>4</v>
      </c>
      <c r="U17" s="135"/>
      <c r="V17" s="134">
        <f>IF(Table[[#This Row],[Year]]=1, 1.2, IF(Table[[#This Row],[Year]]=2, 1.1, IF(Table[[#This Row],[Year]]=3, 1, IF(Table[[#This Row],[Year]]=4, 0.8, IF(Table[[#This Row],[Year]]=5, 0.7, 0)))))</f>
        <v>0.8</v>
      </c>
    </row>
    <row r="18" spans="2:22" ht="21" x14ac:dyDescent="0.3">
      <c r="B18" s="106">
        <v>2</v>
      </c>
      <c r="C18" s="107">
        <f>COUNTIFS(T:T,B18,I:I,"&lt;&gt;Dropped")</f>
        <v>37</v>
      </c>
      <c r="D18" s="108">
        <f>C18/$C$22</f>
        <v>0.27611940298507465</v>
      </c>
      <c r="F18" s="73" t="s">
        <v>124</v>
      </c>
      <c r="G18" s="188" t="s">
        <v>125</v>
      </c>
      <c r="H18" s="188" t="s">
        <v>95</v>
      </c>
      <c r="I18" s="84" t="s">
        <v>76</v>
      </c>
      <c r="J18" s="85">
        <f>IF(I18="Brother",$C$6*Table[[#This Row],[Seniority Dues]],IF(I18="EC",$C$7,IF(I18="Alumni",$C$8,IF(I18="Dropped",$C$11,IF(I18="President",$C$10,IF(I18="Inactive",$C$9,IF(Table[[#This Row],[Type]]="New Member",$C$13,0)))))))</f>
        <v>480</v>
      </c>
      <c r="K18" s="86"/>
      <c r="L18" s="87"/>
      <c r="M18" s="88">
        <v>480</v>
      </c>
      <c r="N18" s="87"/>
      <c r="O18" s="132">
        <f>Table[[#This Row],[Payment]]</f>
        <v>480</v>
      </c>
      <c r="P18" s="133">
        <f t="shared" si="0"/>
        <v>0</v>
      </c>
      <c r="Q18" s="147"/>
      <c r="R18" s="168"/>
      <c r="S18" s="89"/>
      <c r="T18" s="189">
        <v>3</v>
      </c>
      <c r="U18" s="135"/>
      <c r="V18" s="134">
        <f>IF(Table[[#This Row],[Year]]=1, 1.2, IF(Table[[#This Row],[Year]]=2, 1.1, IF(Table[[#This Row],[Year]]=3, 1, IF(Table[[#This Row],[Year]]=4, 0.8, IF(Table[[#This Row],[Year]]=5, 0.7, 0)))))</f>
        <v>1</v>
      </c>
    </row>
    <row r="19" spans="2:22" ht="21" x14ac:dyDescent="0.3">
      <c r="B19" s="106">
        <v>3</v>
      </c>
      <c r="C19" s="107">
        <f>COUNTIFS(T:T,B19,I:I,"&lt;&gt;Dropped")</f>
        <v>31</v>
      </c>
      <c r="D19" s="108">
        <f>C19/$C$22</f>
        <v>0.23134328358208955</v>
      </c>
      <c r="F19" s="73" t="s">
        <v>126</v>
      </c>
      <c r="G19" s="188" t="s">
        <v>127</v>
      </c>
      <c r="H19" s="188" t="s">
        <v>128</v>
      </c>
      <c r="I19" s="84" t="s">
        <v>96</v>
      </c>
      <c r="J19" s="85">
        <f>IF(I19="Brother",$C$6*Table[[#This Row],[Seniority Dues]],IF(I19="EC",$C$7,IF(I19="Alumni",$C$8,IF(I19="Dropped",$C$11,IF(I19="President",$C$10,IF(I19="Inactive",$C$9,IF(Table[[#This Row],[Type]]="New Member",$C$13,0)))))))</f>
        <v>0</v>
      </c>
      <c r="K19" s="86"/>
      <c r="L19" s="87"/>
      <c r="M19" s="88"/>
      <c r="N19" s="87"/>
      <c r="O19" s="132">
        <f>Table[[#This Row],[Payment]]</f>
        <v>0</v>
      </c>
      <c r="P19" s="133">
        <f t="shared" si="0"/>
        <v>0</v>
      </c>
      <c r="Q19" s="147"/>
      <c r="R19" s="168"/>
      <c r="S19" s="89"/>
      <c r="T19" s="189">
        <v>3</v>
      </c>
      <c r="U19" s="135"/>
      <c r="V19" s="134">
        <f>IF(Table[[#This Row],[Year]]=1, 1.2, IF(Table[[#This Row],[Year]]=2, 1.1, IF(Table[[#This Row],[Year]]=3, 1, IF(Table[[#This Row],[Year]]=4, 0.8, IF(Table[[#This Row],[Year]]=5, 0.7, 0)))))</f>
        <v>1</v>
      </c>
    </row>
    <row r="20" spans="2:22" ht="21" x14ac:dyDescent="0.3">
      <c r="B20" s="106">
        <v>4</v>
      </c>
      <c r="C20" s="107">
        <f>COUNTIFS(T:T,B20,I:I,"&lt;&gt;Dropped")</f>
        <v>40</v>
      </c>
      <c r="D20" s="108">
        <f>C20/$C$22</f>
        <v>0.29850746268656714</v>
      </c>
      <c r="F20" s="73" t="s">
        <v>129</v>
      </c>
      <c r="G20" s="188" t="s">
        <v>130</v>
      </c>
      <c r="H20" s="188" t="s">
        <v>131</v>
      </c>
      <c r="I20" s="84" t="s">
        <v>76</v>
      </c>
      <c r="J20" s="85">
        <f>IF(I20="Brother",$C$6*Table[[#This Row],[Seniority Dues]],IF(I20="EC",$C$7,IF(I20="Alumni",$C$8,IF(I20="Dropped",$C$11,IF(I20="President",$C$10,IF(I20="Inactive",$C$9,IF(Table[[#This Row],[Type]]="New Member",$C$13,0)))))))</f>
        <v>384</v>
      </c>
      <c r="K20" s="86"/>
      <c r="L20" s="87"/>
      <c r="M20" s="88"/>
      <c r="N20" s="87"/>
      <c r="O20" s="132">
        <f>Table[[#This Row],[Payment]]</f>
        <v>0</v>
      </c>
      <c r="P20" s="133">
        <f t="shared" si="0"/>
        <v>384</v>
      </c>
      <c r="Q20" s="147"/>
      <c r="R20" s="168"/>
      <c r="S20" s="89"/>
      <c r="T20" s="188">
        <v>4</v>
      </c>
      <c r="U20" s="135"/>
      <c r="V20" s="134">
        <f>IF(Table[[#This Row],[Year]]=1, 1.2, IF(Table[[#This Row],[Year]]=2, 1.1, IF(Table[[#This Row],[Year]]=3, 1, IF(Table[[#This Row],[Year]]=4, 0.8, IF(Table[[#This Row],[Year]]=5, 0.7, 0)))))</f>
        <v>0.8</v>
      </c>
    </row>
    <row r="21" spans="2:22" ht="22" thickBot="1" x14ac:dyDescent="0.35">
      <c r="B21" s="109">
        <v>5</v>
      </c>
      <c r="C21" s="110">
        <f>COUNTIFS(T:T,B21,I:I,"&lt;&gt;Dropped")</f>
        <v>4</v>
      </c>
      <c r="D21" s="111">
        <f>C21/$C$22</f>
        <v>2.9850746268656716E-2</v>
      </c>
      <c r="F21" s="73" t="s">
        <v>132</v>
      </c>
      <c r="G21" s="190" t="s">
        <v>133</v>
      </c>
      <c r="H21" s="190" t="s">
        <v>134</v>
      </c>
      <c r="I21" s="84" t="s">
        <v>76</v>
      </c>
      <c r="J21" s="85">
        <f>IF(I21="Brother",$C$6*Table[[#This Row],[Seniority Dues]],IF(I21="EC",$C$7,IF(I21="Alumni",$C$8,IF(I21="Dropped",$C$11,IF(I21="President",$C$10,IF(I21="Inactive",$C$9,IF(Table[[#This Row],[Type]]="New Member",$C$13,0)))))))</f>
        <v>528</v>
      </c>
      <c r="K21" s="86"/>
      <c r="L21" s="87"/>
      <c r="M21" s="88">
        <v>528</v>
      </c>
      <c r="N21" s="87"/>
      <c r="O21" s="132">
        <f>Table[[#This Row],[Payment]]</f>
        <v>528</v>
      </c>
      <c r="P21" s="133">
        <f t="shared" si="0"/>
        <v>0</v>
      </c>
      <c r="Q21" s="147"/>
      <c r="R21" s="168"/>
      <c r="S21" s="89"/>
      <c r="T21" s="218">
        <v>2</v>
      </c>
      <c r="U21" s="135"/>
      <c r="V21" s="134">
        <f>IF(Table[[#This Row],[Year]]=1, 1.2, IF(Table[[#This Row],[Year]]=2, 1.1, IF(Table[[#This Row],[Year]]=3, 1, IF(Table[[#This Row],[Year]]=4, 0.8, IF(Table[[#This Row],[Year]]=5, 0.7, 0)))))</f>
        <v>1.1000000000000001</v>
      </c>
    </row>
    <row r="22" spans="2:22" ht="22" thickBot="1" x14ac:dyDescent="0.35">
      <c r="B22" s="109" t="s">
        <v>25</v>
      </c>
      <c r="C22" s="110">
        <f>SUM(C17:C21)</f>
        <v>134</v>
      </c>
      <c r="D22" s="112"/>
      <c r="F22" s="73" t="s">
        <v>135</v>
      </c>
      <c r="G22" s="188" t="s">
        <v>136</v>
      </c>
      <c r="H22" s="188" t="s">
        <v>137</v>
      </c>
      <c r="I22" s="84" t="s">
        <v>72</v>
      </c>
      <c r="J22" s="85">
        <f>IF(I22="Brother",$C$6*Table[[#This Row],[Seniority Dues]],IF(I22="EC",$C$7,IF(I22="Alumni",$C$8,IF(I22="Dropped",$C$11,IF(I22="President",$C$10,IF(I22="Inactive",$C$9,IF(Table[[#This Row],[Type]]="New Member",$C$13,0)))))))</f>
        <v>200</v>
      </c>
      <c r="K22" s="86"/>
      <c r="L22" s="87">
        <v>240</v>
      </c>
      <c r="M22" s="88"/>
      <c r="N22" s="87"/>
      <c r="O22" s="132">
        <f>Table[[#This Row],[Payment]]</f>
        <v>0</v>
      </c>
      <c r="P22" s="133">
        <f t="shared" si="0"/>
        <v>440</v>
      </c>
      <c r="Q22" s="147"/>
      <c r="R22" s="168"/>
      <c r="S22" s="89"/>
      <c r="T22" s="188">
        <v>4</v>
      </c>
      <c r="U22" s="135"/>
      <c r="V22" s="134">
        <f>IF(Table[[#This Row],[Year]]=1, 1.2, IF(Table[[#This Row],[Year]]=2, 1.1, IF(Table[[#This Row],[Year]]=3, 1, IF(Table[[#This Row],[Year]]=4, 0.8, IF(Table[[#This Row],[Year]]=5, 0.7, 0)))))</f>
        <v>0.8</v>
      </c>
    </row>
    <row r="23" spans="2:22" ht="21" x14ac:dyDescent="0.3">
      <c r="B23" s="107"/>
      <c r="C23" s="107"/>
      <c r="D23" s="107"/>
      <c r="F23" s="73" t="s">
        <v>138</v>
      </c>
      <c r="G23" s="188" t="s">
        <v>139</v>
      </c>
      <c r="H23" s="188" t="s">
        <v>140</v>
      </c>
      <c r="I23" s="84" t="s">
        <v>85</v>
      </c>
      <c r="J23" s="172">
        <f>IF(I23="Brother",$C$6*Table[[#This Row],[Seniority Dues]],IF(I23="EC",$C$7,IF(I23="Alumni",$C$8,IF(I23="Dropped",$C$11,IF(I23="President",$C$10,IF(I23="Inactive",$C$9,IF(Table[[#This Row],[Type]]="New Member",$C$13,0)))))))</f>
        <v>225</v>
      </c>
      <c r="K23" s="172"/>
      <c r="L23" s="175"/>
      <c r="M23" s="174"/>
      <c r="N23" s="87"/>
      <c r="O23" s="132">
        <f>Table[[#This Row],[Payment]]</f>
        <v>0</v>
      </c>
      <c r="P23" s="176">
        <f t="shared" si="0"/>
        <v>225</v>
      </c>
      <c r="Q23" s="186"/>
      <c r="R23" s="187"/>
      <c r="S23" s="173"/>
      <c r="T23" s="188">
        <v>4</v>
      </c>
      <c r="U23" s="135"/>
      <c r="V23" s="173">
        <f>IF(Table[[#This Row],[Year]]=1, 1.2, IF(Table[[#This Row],[Year]]=2, 1.1, IF(Table[[#This Row],[Year]]=3, 1, IF(Table[[#This Row],[Year]]=4, 0.8, IF(Table[[#This Row],[Year]]=5, 0.7, 0)))))</f>
        <v>0.8</v>
      </c>
    </row>
    <row r="24" spans="2:22" ht="21" x14ac:dyDescent="0.3">
      <c r="B24" s="107"/>
      <c r="C24" s="107"/>
      <c r="D24" s="107"/>
      <c r="F24" s="73" t="s">
        <v>141</v>
      </c>
      <c r="G24" s="190" t="s">
        <v>142</v>
      </c>
      <c r="H24" s="224" t="s">
        <v>143</v>
      </c>
      <c r="I24" s="185" t="s">
        <v>76</v>
      </c>
      <c r="J24" s="172">
        <f>IF(I24="Brother",$C$6*Table[[#This Row],[Seniority Dues]],IF(I24="EC",$C$7,IF(I24="Alumni",$C$8,IF(I24="Dropped",$C$11,IF(I24="President",$C$10,IF(I24="Inactive",$C$9,IF(Table[[#This Row],[Type]]="New Member",$C$13,0)))))))</f>
        <v>528</v>
      </c>
      <c r="K24" s="172"/>
      <c r="L24" s="175"/>
      <c r="M24" s="174">
        <v>528</v>
      </c>
      <c r="N24" s="87"/>
      <c r="O24" s="132">
        <f>Table[[#This Row],[Payment]]</f>
        <v>528</v>
      </c>
      <c r="P24" s="176">
        <f t="shared" si="0"/>
        <v>0</v>
      </c>
      <c r="Q24" s="186"/>
      <c r="R24" s="187"/>
      <c r="S24" s="173"/>
      <c r="T24" s="218">
        <v>2</v>
      </c>
      <c r="U24" s="135"/>
      <c r="V24" s="173">
        <f>IF(Table[[#This Row],[Year]]=1, 1.2, IF(Table[[#This Row],[Year]]=2, 1.1, IF(Table[[#This Row],[Year]]=3, 1, IF(Table[[#This Row],[Year]]=4, 0.8, IF(Table[[#This Row],[Year]]=5, 0.7, 0)))))</f>
        <v>1.1000000000000001</v>
      </c>
    </row>
    <row r="25" spans="2:22" ht="21" x14ac:dyDescent="0.3">
      <c r="B25" s="107"/>
      <c r="C25" s="107"/>
      <c r="D25" s="107"/>
      <c r="F25" s="73" t="s">
        <v>144</v>
      </c>
      <c r="G25" s="188" t="s">
        <v>145</v>
      </c>
      <c r="H25" s="188" t="s">
        <v>92</v>
      </c>
      <c r="I25" s="185" t="s">
        <v>76</v>
      </c>
      <c r="J25" s="172">
        <f>IF(I25="Brother",$C$6*Table[[#This Row],[Seniority Dues]],IF(I25="EC",$C$7,IF(I25="Alumni",$C$8,IF(I25="Dropped",$C$11,IF(I25="President",$C$10,IF(I25="Inactive",$C$9,IF(Table[[#This Row],[Type]]="New Member",$C$13,0)))))))</f>
        <v>384</v>
      </c>
      <c r="K25" s="172"/>
      <c r="L25" s="175"/>
      <c r="M25" s="174">
        <v>384</v>
      </c>
      <c r="N25" s="87"/>
      <c r="O25" s="132">
        <f>Table[[#This Row],[Payment]]</f>
        <v>384</v>
      </c>
      <c r="P25" s="176">
        <f t="shared" si="0"/>
        <v>0</v>
      </c>
      <c r="Q25" s="186"/>
      <c r="R25" s="187"/>
      <c r="S25" s="173"/>
      <c r="T25" s="188">
        <v>4</v>
      </c>
      <c r="U25" s="135"/>
      <c r="V25" s="173">
        <f>IF(Table[[#This Row],[Year]]=1, 1.2, IF(Table[[#This Row],[Year]]=2, 1.1, IF(Table[[#This Row],[Year]]=3, 1, IF(Table[[#This Row],[Year]]=4, 0.8, IF(Table[[#This Row],[Year]]=5, 0.7, 0)))))</f>
        <v>0.8</v>
      </c>
    </row>
    <row r="26" spans="2:22" ht="21" x14ac:dyDescent="0.3">
      <c r="B26" s="107"/>
      <c r="C26" s="107"/>
      <c r="D26" s="107"/>
      <c r="F26" s="73" t="s">
        <v>146</v>
      </c>
      <c r="G26" s="190" t="s">
        <v>147</v>
      </c>
      <c r="H26" s="190" t="s">
        <v>148</v>
      </c>
      <c r="I26" s="185" t="s">
        <v>72</v>
      </c>
      <c r="J26" s="172">
        <f>IF(I26="Brother",$C$6*Table[[#This Row],[Seniority Dues]],IF(I26="EC",$C$7,IF(I26="Alumni",$C$8,IF(I26="Dropped",$C$11,IF(I26="President",$C$10,IF(I26="Inactive",$C$9,IF(Table[[#This Row],[Type]]="New Member",$C$13,0)))))))</f>
        <v>200</v>
      </c>
      <c r="K26" s="172">
        <v>-40</v>
      </c>
      <c r="L26" s="175"/>
      <c r="M26" s="174">
        <v>160</v>
      </c>
      <c r="N26" s="87"/>
      <c r="O26" s="132">
        <f>Table[[#This Row],[Payment]]</f>
        <v>160</v>
      </c>
      <c r="P26" s="176">
        <f t="shared" si="0"/>
        <v>0</v>
      </c>
      <c r="Q26" s="186"/>
      <c r="R26" s="187"/>
      <c r="S26" s="173"/>
      <c r="T26" s="218">
        <v>4</v>
      </c>
      <c r="U26" s="135"/>
      <c r="V26" s="173">
        <f>IF(Table[[#This Row],[Year]]=1, 1.2, IF(Table[[#This Row],[Year]]=2, 1.1, IF(Table[[#This Row],[Year]]=3, 1, IF(Table[[#This Row],[Year]]=4, 0.8, IF(Table[[#This Row],[Year]]=5, 0.7, 0)))))</f>
        <v>0.8</v>
      </c>
    </row>
    <row r="27" spans="2:22" ht="21" x14ac:dyDescent="0.3">
      <c r="B27" s="107"/>
      <c r="C27" s="107"/>
      <c r="D27" s="107"/>
      <c r="F27" s="73" t="s">
        <v>149</v>
      </c>
      <c r="G27" s="188" t="s">
        <v>150</v>
      </c>
      <c r="H27" s="188" t="s">
        <v>151</v>
      </c>
      <c r="I27" s="185" t="s">
        <v>76</v>
      </c>
      <c r="J27" s="172">
        <f>IF(I27="Brother",$C$6*Table[[#This Row],[Seniority Dues]],IF(I27="EC",$C$7,IF(I27="Alumni",$C$8,IF(I27="Dropped",$C$11,IF(I27="President",$C$10,IF(I27="Inactive",$C$9,IF(Table[[#This Row],[Type]]="New Member",$C$13,0)))))))</f>
        <v>480</v>
      </c>
      <c r="K27" s="172"/>
      <c r="L27" s="175"/>
      <c r="M27" s="174">
        <v>240</v>
      </c>
      <c r="N27" s="87"/>
      <c r="O27" s="132">
        <f>Table[[#This Row],[Payment]]</f>
        <v>240</v>
      </c>
      <c r="P27" s="176">
        <f t="shared" si="0"/>
        <v>240</v>
      </c>
      <c r="Q27" s="186"/>
      <c r="R27" s="187"/>
      <c r="S27" s="173"/>
      <c r="T27" s="188">
        <v>3</v>
      </c>
      <c r="U27" s="135"/>
      <c r="V27" s="173">
        <f>IF(Table[[#This Row],[Year]]=1, 1.2, IF(Table[[#This Row],[Year]]=2, 1.1, IF(Table[[#This Row],[Year]]=3, 1, IF(Table[[#This Row],[Year]]=4, 0.8, IF(Table[[#This Row],[Year]]=5, 0.7, 0)))))</f>
        <v>1</v>
      </c>
    </row>
    <row r="28" spans="2:22" ht="21" x14ac:dyDescent="0.3">
      <c r="B28" s="107"/>
      <c r="C28" s="107"/>
      <c r="D28" s="107"/>
      <c r="F28" s="73" t="s">
        <v>152</v>
      </c>
      <c r="G28" s="188" t="s">
        <v>153</v>
      </c>
      <c r="H28" s="188" t="s">
        <v>88</v>
      </c>
      <c r="I28" s="185" t="s">
        <v>76</v>
      </c>
      <c r="J28" s="172">
        <f>IF(I28="Brother",$C$6*Table[[#This Row],[Seniority Dues]],IF(I28="EC",$C$7,IF(I28="Alumni",$C$8,IF(I28="Dropped",$C$11,IF(I28="President",$C$10,IF(I28="Inactive",$C$9,IF(Table[[#This Row],[Type]]="New Member",$C$13,0)))))))</f>
        <v>384</v>
      </c>
      <c r="K28" s="172"/>
      <c r="L28" s="175"/>
      <c r="M28" s="174">
        <v>384</v>
      </c>
      <c r="N28" s="87"/>
      <c r="O28" s="132">
        <f>Table[[#This Row],[Payment]]</f>
        <v>384</v>
      </c>
      <c r="P28" s="176">
        <f t="shared" si="0"/>
        <v>0</v>
      </c>
      <c r="Q28" s="186"/>
      <c r="R28" s="187"/>
      <c r="S28" s="173"/>
      <c r="T28" s="188">
        <v>4</v>
      </c>
      <c r="U28" s="135"/>
      <c r="V28" s="173">
        <f>IF(Table[[#This Row],[Year]]=1, 1.2, IF(Table[[#This Row],[Year]]=2, 1.1, IF(Table[[#This Row],[Year]]=3, 1, IF(Table[[#This Row],[Year]]=4, 0.8, IF(Table[[#This Row],[Year]]=5, 0.7, 0)))))</f>
        <v>0.8</v>
      </c>
    </row>
    <row r="29" spans="2:22" ht="21" x14ac:dyDescent="0.3">
      <c r="B29" s="107"/>
      <c r="C29" s="107"/>
      <c r="D29" s="107"/>
      <c r="F29" s="73" t="s">
        <v>154</v>
      </c>
      <c r="G29" s="188" t="s">
        <v>155</v>
      </c>
      <c r="H29" s="188" t="s">
        <v>111</v>
      </c>
      <c r="I29" s="185" t="s">
        <v>76</v>
      </c>
      <c r="J29" s="172">
        <f>IF(I29="Brother",$C$6*Table[[#This Row],[Seniority Dues]],IF(I29="EC",$C$7,IF(I29="Alumni",$C$8,IF(I29="Dropped",$C$11,IF(I29="President",$C$10,IF(I29="Inactive",$C$9,IF(Table[[#This Row],[Type]]="New Member",$C$13,0)))))))</f>
        <v>480</v>
      </c>
      <c r="K29" s="172"/>
      <c r="L29" s="175"/>
      <c r="M29" s="174">
        <v>480</v>
      </c>
      <c r="N29" s="87"/>
      <c r="O29" s="132">
        <f>Table[[#This Row],[Payment]]</f>
        <v>480</v>
      </c>
      <c r="P29" s="176">
        <f t="shared" si="0"/>
        <v>0</v>
      </c>
      <c r="Q29" s="186"/>
      <c r="R29" s="187"/>
      <c r="S29" s="173"/>
      <c r="T29" s="189">
        <v>3</v>
      </c>
      <c r="U29" s="135"/>
      <c r="V29" s="173">
        <f>IF(Table[[#This Row],[Year]]=1, 1.2, IF(Table[[#This Row],[Year]]=2, 1.1, IF(Table[[#This Row],[Year]]=3, 1, IF(Table[[#This Row],[Year]]=4, 0.8, IF(Table[[#This Row],[Year]]=5, 0.7, 0)))))</f>
        <v>1</v>
      </c>
    </row>
    <row r="30" spans="2:22" ht="21" x14ac:dyDescent="0.3">
      <c r="B30" s="107"/>
      <c r="C30" s="107"/>
      <c r="D30" s="107"/>
      <c r="F30" s="73" t="s">
        <v>156</v>
      </c>
      <c r="G30" s="188" t="s">
        <v>157</v>
      </c>
      <c r="H30" s="188" t="s">
        <v>158</v>
      </c>
      <c r="I30" s="185" t="s">
        <v>76</v>
      </c>
      <c r="J30" s="172">
        <f>IF(I30="Brother",$C$6*Table[[#This Row],[Seniority Dues]],IF(I30="EC",$C$7,IF(I30="Alumni",$C$8,IF(I30="Dropped",$C$11,IF(I30="President",$C$10,IF(I30="Inactive",$C$9,IF(Table[[#This Row],[Type]]="New Member",$C$13,0)))))))</f>
        <v>480</v>
      </c>
      <c r="K30" s="172"/>
      <c r="L30" s="175"/>
      <c r="M30" s="174">
        <v>480</v>
      </c>
      <c r="N30" s="87"/>
      <c r="O30" s="132">
        <f>Table[[#This Row],[Payment]]</f>
        <v>480</v>
      </c>
      <c r="P30" s="176">
        <f t="shared" si="0"/>
        <v>0</v>
      </c>
      <c r="Q30" s="186"/>
      <c r="R30" s="187"/>
      <c r="S30" s="173"/>
      <c r="T30" s="189">
        <v>3</v>
      </c>
      <c r="U30" s="135"/>
      <c r="V30" s="173">
        <f>IF(Table[[#This Row],[Year]]=1, 1.2, IF(Table[[#This Row],[Year]]=2, 1.1, IF(Table[[#This Row],[Year]]=3, 1, IF(Table[[#This Row],[Year]]=4, 0.8, IF(Table[[#This Row],[Year]]=5, 0.7, 0)))))</f>
        <v>1</v>
      </c>
    </row>
    <row r="31" spans="2:22" ht="21" x14ac:dyDescent="0.3">
      <c r="B31" s="107"/>
      <c r="C31" s="107"/>
      <c r="D31" s="107"/>
      <c r="F31" s="73" t="s">
        <v>159</v>
      </c>
      <c r="G31" s="188" t="s">
        <v>160</v>
      </c>
      <c r="H31" s="188" t="s">
        <v>161</v>
      </c>
      <c r="I31" s="185" t="s">
        <v>76</v>
      </c>
      <c r="J31" s="172">
        <f>IF(I31="Brother",$C$6*Table[[#This Row],[Seniority Dues]],IF(I31="EC",$C$7,IF(I31="Alumni",$C$8,IF(I31="Dropped",$C$11,IF(I31="President",$C$10,IF(I31="Inactive",$C$9,IF(Table[[#This Row],[Type]]="New Member",$C$13,0)))))))</f>
        <v>384</v>
      </c>
      <c r="K31" s="172"/>
      <c r="L31" s="175"/>
      <c r="M31" s="174">
        <v>384</v>
      </c>
      <c r="N31" s="87"/>
      <c r="O31" s="132">
        <f>Table[[#This Row],[Payment]]</f>
        <v>384</v>
      </c>
      <c r="P31" s="176">
        <f t="shared" si="0"/>
        <v>0</v>
      </c>
      <c r="Q31" s="186"/>
      <c r="R31" s="187"/>
      <c r="S31" s="173"/>
      <c r="T31" s="188">
        <v>4</v>
      </c>
      <c r="U31" s="135"/>
      <c r="V31" s="173">
        <f>IF(Table[[#This Row],[Year]]=1, 1.2, IF(Table[[#This Row],[Year]]=2, 1.1, IF(Table[[#This Row],[Year]]=3, 1, IF(Table[[#This Row],[Year]]=4, 0.8, IF(Table[[#This Row],[Year]]=5, 0.7, 0)))))</f>
        <v>0.8</v>
      </c>
    </row>
    <row r="32" spans="2:22" ht="21" x14ac:dyDescent="0.3">
      <c r="B32" s="107"/>
      <c r="C32" s="107"/>
      <c r="D32" s="107"/>
      <c r="F32" s="73" t="s">
        <v>162</v>
      </c>
      <c r="G32" s="190" t="s">
        <v>163</v>
      </c>
      <c r="H32" s="190" t="s">
        <v>164</v>
      </c>
      <c r="I32" s="185" t="s">
        <v>76</v>
      </c>
      <c r="J32" s="172">
        <f>IF(I32="Brother",$C$6*Table[[#This Row],[Seniority Dues]],IF(I32="EC",$C$7,IF(I32="Alumni",$C$8,IF(I32="Dropped",$C$11,IF(I32="President",$C$10,IF(I32="Inactive",$C$9,IF(Table[[#This Row],[Type]]="New Member",$C$13,0)))))))</f>
        <v>528</v>
      </c>
      <c r="K32" s="172"/>
      <c r="L32" s="175"/>
      <c r="M32" s="174">
        <v>528</v>
      </c>
      <c r="N32" s="87"/>
      <c r="O32" s="132">
        <f>Table[[#This Row],[Payment]]</f>
        <v>528</v>
      </c>
      <c r="P32" s="176">
        <f t="shared" si="0"/>
        <v>0</v>
      </c>
      <c r="Q32" s="186"/>
      <c r="R32" s="187"/>
      <c r="S32" s="173"/>
      <c r="T32" s="218">
        <v>2</v>
      </c>
      <c r="U32" s="135"/>
      <c r="V32" s="173">
        <f>IF(Table[[#This Row],[Year]]=1, 1.2, IF(Table[[#This Row],[Year]]=2, 1.1, IF(Table[[#This Row],[Year]]=3, 1, IF(Table[[#This Row],[Year]]=4, 0.8, IF(Table[[#This Row],[Year]]=5, 0.7, 0)))))</f>
        <v>1.1000000000000001</v>
      </c>
    </row>
    <row r="33" spans="2:22" ht="21" x14ac:dyDescent="0.3">
      <c r="B33" s="107"/>
      <c r="C33" s="107"/>
      <c r="D33" s="107"/>
      <c r="F33" s="73" t="s">
        <v>165</v>
      </c>
      <c r="G33" s="190" t="s">
        <v>166</v>
      </c>
      <c r="H33" s="190" t="s">
        <v>167</v>
      </c>
      <c r="I33" s="185" t="s">
        <v>76</v>
      </c>
      <c r="J33" s="172">
        <f>IF(I33="Brother",$C$6*Table[[#This Row],[Seniority Dues]],IF(I33="EC",$C$7,IF(I33="Alumni",$C$8,IF(I33="Dropped",$C$11,IF(I33="President",$C$10,IF(I33="Inactive",$C$9,IF(Table[[#This Row],[Type]]="New Member",$C$13,0)))))))</f>
        <v>528</v>
      </c>
      <c r="K33" s="172"/>
      <c r="L33" s="175"/>
      <c r="M33" s="174">
        <v>528</v>
      </c>
      <c r="N33" s="87"/>
      <c r="O33" s="132">
        <f>Table[[#This Row],[Payment]]</f>
        <v>528</v>
      </c>
      <c r="P33" s="176">
        <f t="shared" si="0"/>
        <v>0</v>
      </c>
      <c r="Q33" s="186"/>
      <c r="R33" s="187"/>
      <c r="S33" s="173"/>
      <c r="T33" s="218">
        <v>2</v>
      </c>
      <c r="U33" s="135"/>
      <c r="V33" s="173">
        <f>IF(Table[[#This Row],[Year]]=1, 1.2, IF(Table[[#This Row],[Year]]=2, 1.1, IF(Table[[#This Row],[Year]]=3, 1, IF(Table[[#This Row],[Year]]=4, 0.8, IF(Table[[#This Row],[Year]]=5, 0.7, 0)))))</f>
        <v>1.1000000000000001</v>
      </c>
    </row>
    <row r="34" spans="2:22" ht="21" x14ac:dyDescent="0.3">
      <c r="B34" s="107"/>
      <c r="C34" s="107"/>
      <c r="D34" s="107"/>
      <c r="F34" s="73" t="s">
        <v>168</v>
      </c>
      <c r="G34" s="188" t="s">
        <v>169</v>
      </c>
      <c r="H34" s="188" t="s">
        <v>170</v>
      </c>
      <c r="I34" s="185" t="s">
        <v>76</v>
      </c>
      <c r="J34" s="172">
        <f>IF(I34="Brother",$C$6*Table[[#This Row],[Seniority Dues]],IF(I34="EC",$C$7,IF(I34="Alumni",$C$8,IF(I34="Dropped",$C$11,IF(I34="President",$C$10,IF(I34="Inactive",$C$9,IF(Table[[#This Row],[Type]]="New Member",$C$13,0)))))))</f>
        <v>384</v>
      </c>
      <c r="K34" s="172"/>
      <c r="L34" s="175"/>
      <c r="M34" s="174">
        <v>384</v>
      </c>
      <c r="N34" s="87"/>
      <c r="O34" s="132">
        <f>Table[[#This Row],[Payment]]</f>
        <v>384</v>
      </c>
      <c r="P34" s="176">
        <f t="shared" si="0"/>
        <v>0</v>
      </c>
      <c r="Q34" s="186"/>
      <c r="R34" s="187"/>
      <c r="S34" s="173"/>
      <c r="T34" s="188">
        <v>4</v>
      </c>
      <c r="U34" s="135"/>
      <c r="V34" s="173">
        <f>IF(Table[[#This Row],[Year]]=1, 1.2, IF(Table[[#This Row],[Year]]=2, 1.1, IF(Table[[#This Row],[Year]]=3, 1, IF(Table[[#This Row],[Year]]=4, 0.8, IF(Table[[#This Row],[Year]]=5, 0.7, 0)))))</f>
        <v>0.8</v>
      </c>
    </row>
    <row r="35" spans="2:22" ht="21" x14ac:dyDescent="0.3">
      <c r="B35" s="107"/>
      <c r="C35" s="107"/>
      <c r="D35" s="107"/>
      <c r="F35" s="73" t="s">
        <v>171</v>
      </c>
      <c r="G35" s="190" t="s">
        <v>172</v>
      </c>
      <c r="H35" s="190" t="s">
        <v>173</v>
      </c>
      <c r="I35" s="185" t="s">
        <v>76</v>
      </c>
      <c r="J35" s="172">
        <f>IF(I35="Brother",$C$6*Table[[#This Row],[Seniority Dues]],IF(I35="EC",$C$7,IF(I35="Alumni",$C$8,IF(I35="Dropped",$C$11,IF(I35="President",$C$10,IF(I35="Inactive",$C$9,IF(Table[[#This Row],[Type]]="New Member",$C$13,0)))))))</f>
        <v>528</v>
      </c>
      <c r="K35" s="172"/>
      <c r="L35" s="175"/>
      <c r="M35" s="174">
        <v>528</v>
      </c>
      <c r="N35" s="87"/>
      <c r="O35" s="132">
        <f>Table[[#This Row],[Payment]]</f>
        <v>528</v>
      </c>
      <c r="P35" s="176">
        <f t="shared" ref="P35:P66" si="1">J35+L35-M35+K35</f>
        <v>0</v>
      </c>
      <c r="Q35" s="186"/>
      <c r="R35" s="187"/>
      <c r="S35" s="173"/>
      <c r="T35" s="218">
        <v>2</v>
      </c>
      <c r="U35" s="135"/>
      <c r="V35" s="173">
        <f>IF(Table[[#This Row],[Year]]=1, 1.2, IF(Table[[#This Row],[Year]]=2, 1.1, IF(Table[[#This Row],[Year]]=3, 1, IF(Table[[#This Row],[Year]]=4, 0.8, IF(Table[[#This Row],[Year]]=5, 0.7, 0)))))</f>
        <v>1.1000000000000001</v>
      </c>
    </row>
    <row r="36" spans="2:22" ht="21" x14ac:dyDescent="0.3">
      <c r="B36" s="107"/>
      <c r="C36" s="107"/>
      <c r="D36" s="107"/>
      <c r="F36" s="73" t="s">
        <v>174</v>
      </c>
      <c r="G36" s="188" t="s">
        <v>175</v>
      </c>
      <c r="H36" s="188" t="s">
        <v>176</v>
      </c>
      <c r="I36" s="185" t="s">
        <v>76</v>
      </c>
      <c r="J36" s="172">
        <f>IF(I36="Brother",$C$6*Table[[#This Row],[Seniority Dues]],IF(I36="EC",$C$7,IF(I36="Alumni",$C$8,IF(I36="Dropped",$C$11,IF(I36="President",$C$10,IF(I36="Inactive",$C$9,IF(Table[[#This Row],[Type]]="New Member",$C$13,0)))))))</f>
        <v>384</v>
      </c>
      <c r="K36" s="172"/>
      <c r="L36" s="175"/>
      <c r="M36" s="174">
        <v>384</v>
      </c>
      <c r="N36" s="87"/>
      <c r="O36" s="132">
        <f>Table[[#This Row],[Payment]]</f>
        <v>384</v>
      </c>
      <c r="P36" s="176">
        <f t="shared" si="1"/>
        <v>0</v>
      </c>
      <c r="Q36" s="186"/>
      <c r="R36" s="187"/>
      <c r="S36" s="173"/>
      <c r="T36" s="189">
        <v>4</v>
      </c>
      <c r="U36" s="135"/>
      <c r="V36" s="173">
        <f>IF(Table[[#This Row],[Year]]=1, 1.2, IF(Table[[#This Row],[Year]]=2, 1.1, IF(Table[[#This Row],[Year]]=3, 1, IF(Table[[#This Row],[Year]]=4, 0.8, IF(Table[[#This Row],[Year]]=5, 0.7, 0)))))</f>
        <v>0.8</v>
      </c>
    </row>
    <row r="37" spans="2:22" ht="21" x14ac:dyDescent="0.3">
      <c r="B37" s="107"/>
      <c r="C37" s="107"/>
      <c r="D37" s="107"/>
      <c r="F37" s="73" t="s">
        <v>177</v>
      </c>
      <c r="G37" s="188" t="s">
        <v>178</v>
      </c>
      <c r="H37" s="188" t="s">
        <v>179</v>
      </c>
      <c r="I37" s="185" t="s">
        <v>72</v>
      </c>
      <c r="J37" s="172">
        <f>IF(I37="Brother",$C$6*Table[[#This Row],[Seniority Dues]],IF(I37="EC",$C$7,IF(I37="Alumni",$C$8,IF(I37="Dropped",$C$11,IF(I37="President",$C$10,IF(I37="Inactive",$C$9,IF(Table[[#This Row],[Type]]="New Member",$C$13,0)))))))</f>
        <v>200</v>
      </c>
      <c r="K37" s="172"/>
      <c r="L37" s="175"/>
      <c r="M37" s="174">
        <v>200</v>
      </c>
      <c r="N37" s="87"/>
      <c r="O37" s="132">
        <f>Table[[#This Row],[Payment]]</f>
        <v>200</v>
      </c>
      <c r="P37" s="176">
        <f t="shared" si="1"/>
        <v>0</v>
      </c>
      <c r="Q37" s="186"/>
      <c r="R37" s="187"/>
      <c r="S37" s="173"/>
      <c r="T37" s="188">
        <v>3</v>
      </c>
      <c r="U37" s="135"/>
      <c r="V37" s="173">
        <f>IF(Table[[#This Row],[Year]]=1, 1.2, IF(Table[[#This Row],[Year]]=2, 1.1, IF(Table[[#This Row],[Year]]=3, 1, IF(Table[[#This Row],[Year]]=4, 0.8, IF(Table[[#This Row],[Year]]=5, 0.7, 0)))))</f>
        <v>1</v>
      </c>
    </row>
    <row r="38" spans="2:22" ht="21" x14ac:dyDescent="0.3">
      <c r="B38" s="107"/>
      <c r="C38" s="107"/>
      <c r="D38" s="107"/>
      <c r="F38" s="73" t="s">
        <v>180</v>
      </c>
      <c r="G38" s="190" t="s">
        <v>181</v>
      </c>
      <c r="H38" s="190" t="s">
        <v>151</v>
      </c>
      <c r="I38" s="185" t="s">
        <v>76</v>
      </c>
      <c r="J38" s="172">
        <f>IF(I38="Brother",$C$6*Table[[#This Row],[Seniority Dues]],IF(I38="EC",$C$7,IF(I38="Alumni",$C$8,IF(I38="Dropped",$C$11,IF(I38="President",$C$10,IF(I38="Inactive",$C$9,IF(Table[[#This Row],[Type]]="New Member",$C$13,0)))))))</f>
        <v>480</v>
      </c>
      <c r="K38" s="172"/>
      <c r="L38" s="175"/>
      <c r="M38" s="174">
        <v>680</v>
      </c>
      <c r="N38" s="87"/>
      <c r="O38" s="132">
        <f>Table[[#This Row],[Payment]]</f>
        <v>680</v>
      </c>
      <c r="P38" s="176">
        <f t="shared" si="1"/>
        <v>-200</v>
      </c>
      <c r="Q38" s="186"/>
      <c r="R38" s="187"/>
      <c r="S38" s="173"/>
      <c r="T38" s="218">
        <v>3</v>
      </c>
      <c r="U38" s="135"/>
      <c r="V38" s="173">
        <f>IF(Table[[#This Row],[Year]]=1, 1.2, IF(Table[[#This Row],[Year]]=2, 1.1, IF(Table[[#This Row],[Year]]=3, 1, IF(Table[[#This Row],[Year]]=4, 0.8, IF(Table[[#This Row],[Year]]=5, 0.7, 0)))))</f>
        <v>1</v>
      </c>
    </row>
    <row r="39" spans="2:22" ht="21" x14ac:dyDescent="0.3">
      <c r="B39" s="107"/>
      <c r="C39" s="107"/>
      <c r="D39" s="107"/>
      <c r="F39" s="73" t="s">
        <v>182</v>
      </c>
      <c r="G39" s="190" t="s">
        <v>183</v>
      </c>
      <c r="H39" s="190" t="s">
        <v>184</v>
      </c>
      <c r="I39" s="185" t="s">
        <v>76</v>
      </c>
      <c r="J39" s="172">
        <f>IF(I39="Brother",$C$6*Table[[#This Row],[Seniority Dues]],IF(I39="EC",$C$7,IF(I39="Alumni",$C$8,IF(I39="Dropped",$C$11,IF(I39="President",$C$10,IF(I39="Inactive",$C$9,IF(Table[[#This Row],[Type]]="New Member",$C$13,0)))))))</f>
        <v>528</v>
      </c>
      <c r="K39" s="172"/>
      <c r="L39" s="175"/>
      <c r="M39" s="174">
        <v>528</v>
      </c>
      <c r="N39" s="87"/>
      <c r="O39" s="132">
        <f>Table[[#This Row],[Payment]]</f>
        <v>528</v>
      </c>
      <c r="P39" s="176">
        <f t="shared" si="1"/>
        <v>0</v>
      </c>
      <c r="Q39" s="186"/>
      <c r="R39" s="187"/>
      <c r="S39" s="173"/>
      <c r="T39" s="218">
        <v>2</v>
      </c>
      <c r="U39" s="135"/>
      <c r="V39" s="173">
        <f>IF(Table[[#This Row],[Year]]=1, 1.2, IF(Table[[#This Row],[Year]]=2, 1.1, IF(Table[[#This Row],[Year]]=3, 1, IF(Table[[#This Row],[Year]]=4, 0.8, IF(Table[[#This Row],[Year]]=5, 0.7, 0)))))</f>
        <v>1.1000000000000001</v>
      </c>
    </row>
    <row r="40" spans="2:22" ht="21" x14ac:dyDescent="0.3">
      <c r="B40" s="107"/>
      <c r="C40" s="107"/>
      <c r="D40" s="107"/>
      <c r="F40" s="73" t="s">
        <v>185</v>
      </c>
      <c r="G40" s="190" t="s">
        <v>186</v>
      </c>
      <c r="H40" s="190" t="s">
        <v>187</v>
      </c>
      <c r="I40" s="185" t="s">
        <v>76</v>
      </c>
      <c r="J40" s="172">
        <f>IF(I40="Brother",$C$6*Table[[#This Row],[Seniority Dues]],IF(I40="EC",$C$7,IF(I40="Alumni",$C$8,IF(I40="Dropped",$C$11,IF(I40="President",$C$10,IF(I40="Inactive",$C$9,IF(Table[[#This Row],[Type]]="New Member",$C$13,0)))))))</f>
        <v>528</v>
      </c>
      <c r="K40" s="172"/>
      <c r="L40" s="175"/>
      <c r="M40" s="174">
        <v>528</v>
      </c>
      <c r="N40" s="87"/>
      <c r="O40" s="132">
        <f>Table[[#This Row],[Payment]]</f>
        <v>528</v>
      </c>
      <c r="P40" s="176">
        <f t="shared" si="1"/>
        <v>0</v>
      </c>
      <c r="Q40" s="186"/>
      <c r="R40" s="187"/>
      <c r="S40" s="173"/>
      <c r="T40" s="218">
        <v>2</v>
      </c>
      <c r="U40" s="135"/>
      <c r="V40" s="173">
        <f>IF(Table[[#This Row],[Year]]=1, 1.2, IF(Table[[#This Row],[Year]]=2, 1.1, IF(Table[[#This Row],[Year]]=3, 1, IF(Table[[#This Row],[Year]]=4, 0.8, IF(Table[[#This Row],[Year]]=5, 0.7, 0)))))</f>
        <v>1.1000000000000001</v>
      </c>
    </row>
    <row r="41" spans="2:22" ht="21" x14ac:dyDescent="0.3">
      <c r="B41" s="107"/>
      <c r="C41" s="107"/>
      <c r="D41" s="107"/>
      <c r="F41" s="73" t="s">
        <v>188</v>
      </c>
      <c r="G41" s="188" t="s">
        <v>189</v>
      </c>
      <c r="H41" s="188" t="s">
        <v>190</v>
      </c>
      <c r="I41" s="185" t="s">
        <v>85</v>
      </c>
      <c r="J41" s="172">
        <f>IF(I41="Brother",$C$6*Table[[#This Row],[Seniority Dues]],IF(I41="EC",$C$7,IF(I41="Alumni",$C$8,IF(I41="Dropped",$C$11,IF(I41="President",$C$10,IF(I41="Inactive",$C$9,IF(Table[[#This Row],[Type]]="New Member",$C$13,0)))))))</f>
        <v>225</v>
      </c>
      <c r="K41" s="172"/>
      <c r="L41" s="175"/>
      <c r="M41" s="174">
        <v>225</v>
      </c>
      <c r="N41" s="87"/>
      <c r="O41" s="132">
        <f>Table[[#This Row],[Payment]]</f>
        <v>225</v>
      </c>
      <c r="P41" s="176">
        <f t="shared" si="1"/>
        <v>0</v>
      </c>
      <c r="Q41" s="186"/>
      <c r="R41" s="187"/>
      <c r="S41" s="173"/>
      <c r="T41" s="188">
        <v>3</v>
      </c>
      <c r="U41" s="135"/>
      <c r="V41" s="173">
        <f>IF(Table[[#This Row],[Year]]=1, 1.2, IF(Table[[#This Row],[Year]]=2, 1.1, IF(Table[[#This Row],[Year]]=3, 1, IF(Table[[#This Row],[Year]]=4, 0.8, IF(Table[[#This Row],[Year]]=5, 0.7, 0)))))</f>
        <v>1</v>
      </c>
    </row>
    <row r="42" spans="2:22" ht="21" x14ac:dyDescent="0.3">
      <c r="B42" s="107"/>
      <c r="C42" s="107"/>
      <c r="D42" s="107"/>
      <c r="F42" s="73" t="s">
        <v>191</v>
      </c>
      <c r="G42" s="190" t="s">
        <v>192</v>
      </c>
      <c r="H42" s="190" t="s">
        <v>193</v>
      </c>
      <c r="I42" s="185" t="s">
        <v>76</v>
      </c>
      <c r="J42" s="172">
        <f>IF(I42="Brother",$C$6*Table[[#This Row],[Seniority Dues]],IF(I42="EC",$C$7,IF(I42="Alumni",$C$8,IF(I42="Dropped",$C$11,IF(I42="President",$C$10,IF(I42="Inactive",$C$9,IF(Table[[#This Row],[Type]]="New Member",$C$13,0)))))))</f>
        <v>528</v>
      </c>
      <c r="K42" s="172"/>
      <c r="L42" s="175"/>
      <c r="M42" s="174">
        <v>528</v>
      </c>
      <c r="N42" s="87"/>
      <c r="O42" s="132">
        <f>Table[[#This Row],[Payment]]</f>
        <v>528</v>
      </c>
      <c r="P42" s="176">
        <f t="shared" si="1"/>
        <v>0</v>
      </c>
      <c r="Q42" s="186"/>
      <c r="R42" s="187"/>
      <c r="S42" s="173"/>
      <c r="T42" s="218">
        <v>2</v>
      </c>
      <c r="U42" s="135"/>
      <c r="V42" s="173">
        <f>IF(Table[[#This Row],[Year]]=1, 1.2, IF(Table[[#This Row],[Year]]=2, 1.1, IF(Table[[#This Row],[Year]]=3, 1, IF(Table[[#This Row],[Year]]=4, 0.8, IF(Table[[#This Row],[Year]]=5, 0.7, 0)))))</f>
        <v>1.1000000000000001</v>
      </c>
    </row>
    <row r="43" spans="2:22" ht="21" x14ac:dyDescent="0.3">
      <c r="B43" s="107"/>
      <c r="C43" s="107"/>
      <c r="D43" s="107"/>
      <c r="F43" s="73" t="s">
        <v>194</v>
      </c>
      <c r="G43" s="188" t="s">
        <v>195</v>
      </c>
      <c r="H43" s="188" t="s">
        <v>196</v>
      </c>
      <c r="I43" s="185" t="s">
        <v>72</v>
      </c>
      <c r="J43" s="172">
        <f>IF(I43="Brother",$C$6*Table[[#This Row],[Seniority Dues]],IF(I43="EC",$C$7,IF(I43="Alumni",$C$8,IF(I43="Dropped",$C$11,IF(I43="President",$C$10,IF(I43="Inactive",$C$9,IF(Table[[#This Row],[Type]]="New Member",$C$13,0)))))))</f>
        <v>200</v>
      </c>
      <c r="K43" s="172"/>
      <c r="L43" s="175"/>
      <c r="M43" s="174"/>
      <c r="N43" s="87"/>
      <c r="O43" s="132">
        <f>Table[[#This Row],[Payment]]</f>
        <v>0</v>
      </c>
      <c r="P43" s="176">
        <f t="shared" si="1"/>
        <v>200</v>
      </c>
      <c r="Q43" s="186"/>
      <c r="R43" s="187"/>
      <c r="S43" s="173"/>
      <c r="T43" s="188">
        <v>3</v>
      </c>
      <c r="U43" s="135"/>
      <c r="V43" s="173">
        <f>IF(Table[[#This Row],[Year]]=1, 1.2, IF(Table[[#This Row],[Year]]=2, 1.1, IF(Table[[#This Row],[Year]]=3, 1, IF(Table[[#This Row],[Year]]=4, 0.8, IF(Table[[#This Row],[Year]]=5, 0.7, 0)))))</f>
        <v>1</v>
      </c>
    </row>
    <row r="44" spans="2:22" ht="21" x14ac:dyDescent="0.3">
      <c r="B44" s="107"/>
      <c r="C44" s="107"/>
      <c r="D44" s="107"/>
      <c r="F44" s="73" t="s">
        <v>197</v>
      </c>
      <c r="G44" s="188" t="s">
        <v>198</v>
      </c>
      <c r="H44" s="188" t="s">
        <v>199</v>
      </c>
      <c r="I44" s="185" t="s">
        <v>72</v>
      </c>
      <c r="J44" s="172">
        <f>IF(I44="Brother",$C$6*Table[[#This Row],[Seniority Dues]],IF(I44="EC",$C$7,IF(I44="Alumni",$C$8,IF(I44="Dropped",$C$11,IF(I44="President",$C$10,IF(I44="Inactive",$C$9,IF(Table[[#This Row],[Type]]="New Member",$C$13,0)))))))</f>
        <v>200</v>
      </c>
      <c r="K44" s="172"/>
      <c r="L44" s="175"/>
      <c r="M44" s="174"/>
      <c r="N44" s="87"/>
      <c r="O44" s="132">
        <f>Table[[#This Row],[Payment]]</f>
        <v>0</v>
      </c>
      <c r="P44" s="176">
        <f t="shared" si="1"/>
        <v>200</v>
      </c>
      <c r="Q44" s="186"/>
      <c r="R44" s="187"/>
      <c r="S44" s="173"/>
      <c r="T44" s="188">
        <v>5</v>
      </c>
      <c r="U44" s="135"/>
      <c r="V44" s="173">
        <f>IF(Table[[#This Row],[Year]]=1, 1.2, IF(Table[[#This Row],[Year]]=2, 1.1, IF(Table[[#This Row],[Year]]=3, 1, IF(Table[[#This Row],[Year]]=4, 0.8, IF(Table[[#This Row],[Year]]=5, 0.7, 0)))))</f>
        <v>0.7</v>
      </c>
    </row>
    <row r="45" spans="2:22" ht="21" x14ac:dyDescent="0.3">
      <c r="B45" s="107"/>
      <c r="C45" s="107"/>
      <c r="D45" s="107"/>
      <c r="F45" s="73" t="s">
        <v>200</v>
      </c>
      <c r="G45" s="188" t="s">
        <v>201</v>
      </c>
      <c r="H45" s="188" t="s">
        <v>202</v>
      </c>
      <c r="I45" s="185" t="s">
        <v>76</v>
      </c>
      <c r="J45" s="172">
        <f>IF(I45="Brother",$C$6*Table[[#This Row],[Seniority Dues]],IF(I45="EC",$C$7,IF(I45="Alumni",$C$8,IF(I45="Dropped",$C$11,IF(I45="President",$C$10,IF(I45="Inactive",$C$9,IF(Table[[#This Row],[Type]]="New Member",$C$13,0)))))))</f>
        <v>384</v>
      </c>
      <c r="K45" s="172"/>
      <c r="L45" s="175"/>
      <c r="M45" s="174">
        <v>384</v>
      </c>
      <c r="N45" s="87"/>
      <c r="O45" s="132">
        <f>Table[[#This Row],[Payment]]</f>
        <v>384</v>
      </c>
      <c r="P45" s="176">
        <f t="shared" si="1"/>
        <v>0</v>
      </c>
      <c r="Q45" s="186"/>
      <c r="R45" s="187"/>
      <c r="S45" s="173"/>
      <c r="T45" s="188">
        <v>4</v>
      </c>
      <c r="U45" s="135"/>
      <c r="V45" s="173">
        <f>IF(Table[[#This Row],[Year]]=1, 1.2, IF(Table[[#This Row],[Year]]=2, 1.1, IF(Table[[#This Row],[Year]]=3, 1, IF(Table[[#This Row],[Year]]=4, 0.8, IF(Table[[#This Row],[Year]]=5, 0.7, 0)))))</f>
        <v>0.8</v>
      </c>
    </row>
    <row r="46" spans="2:22" ht="21" x14ac:dyDescent="0.3">
      <c r="B46" s="107"/>
      <c r="C46" s="107"/>
      <c r="D46" s="107"/>
      <c r="F46" s="73" t="s">
        <v>203</v>
      </c>
      <c r="G46" s="188" t="s">
        <v>204</v>
      </c>
      <c r="H46" s="188" t="s">
        <v>205</v>
      </c>
      <c r="I46" s="185" t="s">
        <v>72</v>
      </c>
      <c r="J46" s="172">
        <f>IF(I46="Brother",$C$6*Table[[#This Row],[Seniority Dues]],IF(I46="EC",$C$7,IF(I46="Alumni",$C$8,IF(I46="Dropped",$C$11,IF(I46="President",$C$10,IF(I46="Inactive",$C$9,IF(Table[[#This Row],[Type]]="New Member",$C$13,0)))))))</f>
        <v>200</v>
      </c>
      <c r="K46" s="172"/>
      <c r="L46" s="175"/>
      <c r="M46" s="174"/>
      <c r="N46" s="87"/>
      <c r="O46" s="132">
        <f>Table[[#This Row],[Payment]]</f>
        <v>0</v>
      </c>
      <c r="P46" s="176">
        <f t="shared" si="1"/>
        <v>200</v>
      </c>
      <c r="Q46" s="186"/>
      <c r="R46" s="187"/>
      <c r="S46" s="173"/>
      <c r="T46" s="188">
        <v>3</v>
      </c>
      <c r="U46" s="135"/>
      <c r="V46" s="173">
        <f>IF(Table[[#This Row],[Year]]=1, 1.2, IF(Table[[#This Row],[Year]]=2, 1.1, IF(Table[[#This Row],[Year]]=3, 1, IF(Table[[#This Row],[Year]]=4, 0.8, IF(Table[[#This Row],[Year]]=5, 0.7, 0)))))</f>
        <v>1</v>
      </c>
    </row>
    <row r="47" spans="2:22" ht="21" x14ac:dyDescent="0.3">
      <c r="B47" s="107"/>
      <c r="C47" s="107"/>
      <c r="D47" s="107"/>
      <c r="F47" s="73" t="s">
        <v>206</v>
      </c>
      <c r="G47" s="190" t="s">
        <v>207</v>
      </c>
      <c r="H47" s="190" t="s">
        <v>208</v>
      </c>
      <c r="I47" s="185" t="s">
        <v>76</v>
      </c>
      <c r="J47" s="172">
        <f>IF(I47="Brother",$C$6*Table[[#This Row],[Seniority Dues]],IF(I47="EC",$C$7,IF(I47="Alumni",$C$8,IF(I47="Dropped",$C$11,IF(I47="President",$C$10,IF(I47="Inactive",$C$9,IF(Table[[#This Row],[Type]]="New Member",$C$13,0)))))))</f>
        <v>528</v>
      </c>
      <c r="K47" s="172"/>
      <c r="L47" s="175"/>
      <c r="M47" s="174">
        <v>528</v>
      </c>
      <c r="N47" s="87"/>
      <c r="O47" s="132">
        <f>Table[[#This Row],[Payment]]</f>
        <v>528</v>
      </c>
      <c r="P47" s="176">
        <f t="shared" si="1"/>
        <v>0</v>
      </c>
      <c r="Q47" s="186"/>
      <c r="R47" s="187"/>
      <c r="S47" s="173"/>
      <c r="T47" s="218">
        <v>2</v>
      </c>
      <c r="U47" s="135"/>
      <c r="V47" s="173">
        <f>IF(Table[[#This Row],[Year]]=1, 1.2, IF(Table[[#This Row],[Year]]=2, 1.1, IF(Table[[#This Row],[Year]]=3, 1, IF(Table[[#This Row],[Year]]=4, 0.8, IF(Table[[#This Row],[Year]]=5, 0.7, 0)))))</f>
        <v>1.1000000000000001</v>
      </c>
    </row>
    <row r="48" spans="2:22" ht="21" x14ac:dyDescent="0.3">
      <c r="B48" s="107"/>
      <c r="C48" s="107"/>
      <c r="D48" s="107"/>
      <c r="F48" s="73" t="s">
        <v>209</v>
      </c>
      <c r="G48" s="190" t="s">
        <v>210</v>
      </c>
      <c r="H48" s="190" t="s">
        <v>211</v>
      </c>
      <c r="I48" s="185" t="s">
        <v>76</v>
      </c>
      <c r="J48" s="172">
        <f>IF(I48="Brother",$C$6*Table[[#This Row],[Seniority Dues]],IF(I48="EC",$C$7,IF(I48="Alumni",$C$8,IF(I48="Dropped",$C$11,IF(I48="President",$C$10,IF(I48="Inactive",$C$9,IF(Table[[#This Row],[Type]]="New Member",$C$13,0)))))))</f>
        <v>528</v>
      </c>
      <c r="K48" s="172"/>
      <c r="L48" s="175"/>
      <c r="M48" s="174">
        <v>528</v>
      </c>
      <c r="N48" s="87"/>
      <c r="O48" s="132">
        <f>Table[[#This Row],[Payment]]</f>
        <v>528</v>
      </c>
      <c r="P48" s="176">
        <f t="shared" si="1"/>
        <v>0</v>
      </c>
      <c r="Q48" s="186"/>
      <c r="R48" s="187"/>
      <c r="S48" s="173"/>
      <c r="T48" s="218">
        <v>2</v>
      </c>
      <c r="U48" s="135"/>
      <c r="V48" s="173">
        <f>IF(Table[[#This Row],[Year]]=1, 1.2, IF(Table[[#This Row],[Year]]=2, 1.1, IF(Table[[#This Row],[Year]]=3, 1, IF(Table[[#This Row],[Year]]=4, 0.8, IF(Table[[#This Row],[Year]]=5, 0.7, 0)))))</f>
        <v>1.1000000000000001</v>
      </c>
    </row>
    <row r="49" spans="2:22" ht="21" x14ac:dyDescent="0.3">
      <c r="B49" s="107"/>
      <c r="C49" s="107"/>
      <c r="D49" s="107"/>
      <c r="F49" s="73" t="s">
        <v>212</v>
      </c>
      <c r="G49" s="190" t="s">
        <v>213</v>
      </c>
      <c r="H49" s="190" t="s">
        <v>214</v>
      </c>
      <c r="I49" s="185" t="s">
        <v>76</v>
      </c>
      <c r="J49" s="172">
        <f>IF(I49="Brother",$C$6*Table[[#This Row],[Seniority Dues]],IF(I49="EC",$C$7,IF(I49="Alumni",$C$8,IF(I49="Dropped",$C$11,IF(I49="President",$C$10,IF(I49="Inactive",$C$9,IF(Table[[#This Row],[Type]]="New Member",$C$13,0)))))))</f>
        <v>528</v>
      </c>
      <c r="K49" s="172"/>
      <c r="L49" s="175"/>
      <c r="M49" s="174">
        <v>528</v>
      </c>
      <c r="N49" s="87" t="s">
        <v>215</v>
      </c>
      <c r="O49" s="132">
        <f>Table[[#This Row],[Payment]]</f>
        <v>528</v>
      </c>
      <c r="P49" s="176">
        <f t="shared" si="1"/>
        <v>0</v>
      </c>
      <c r="Q49" s="186"/>
      <c r="R49" s="187"/>
      <c r="S49" s="173"/>
      <c r="T49" s="218">
        <v>2</v>
      </c>
      <c r="U49" s="135"/>
      <c r="V49" s="173">
        <f>IF(Table[[#This Row],[Year]]=1, 1.2, IF(Table[[#This Row],[Year]]=2, 1.1, IF(Table[[#This Row],[Year]]=3, 1, IF(Table[[#This Row],[Year]]=4, 0.8, IF(Table[[#This Row],[Year]]=5, 0.7, 0)))))</f>
        <v>1.1000000000000001</v>
      </c>
    </row>
    <row r="50" spans="2:22" ht="21" x14ac:dyDescent="0.3">
      <c r="B50" s="107"/>
      <c r="C50" s="107"/>
      <c r="D50" s="107"/>
      <c r="F50" s="73" t="s">
        <v>216</v>
      </c>
      <c r="G50" s="190" t="s">
        <v>217</v>
      </c>
      <c r="H50" s="190" t="s">
        <v>218</v>
      </c>
      <c r="I50" s="185" t="s">
        <v>76</v>
      </c>
      <c r="J50" s="172">
        <f>IF(I50="Brother",$C$6*Table[[#This Row],[Seniority Dues]],IF(I50="EC",$C$7,IF(I50="Alumni",$C$8,IF(I50="Dropped",$C$11,IF(I50="President",$C$10,IF(I50="Inactive",$C$9,IF(Table[[#This Row],[Type]]="New Member",$C$13,0)))))))</f>
        <v>528</v>
      </c>
      <c r="K50" s="172"/>
      <c r="L50" s="175"/>
      <c r="M50" s="174">
        <v>528</v>
      </c>
      <c r="N50" s="87"/>
      <c r="O50" s="132">
        <f>Table[[#This Row],[Payment]]</f>
        <v>528</v>
      </c>
      <c r="P50" s="176">
        <f t="shared" si="1"/>
        <v>0</v>
      </c>
      <c r="Q50" s="186"/>
      <c r="R50" s="187"/>
      <c r="S50" s="173"/>
      <c r="T50" s="218">
        <v>2</v>
      </c>
      <c r="U50" s="135"/>
      <c r="V50" s="173">
        <f>IF(Table[[#This Row],[Year]]=1, 1.2, IF(Table[[#This Row],[Year]]=2, 1.1, IF(Table[[#This Row],[Year]]=3, 1, IF(Table[[#This Row],[Year]]=4, 0.8, IF(Table[[#This Row],[Year]]=5, 0.7, 0)))))</f>
        <v>1.1000000000000001</v>
      </c>
    </row>
    <row r="51" spans="2:22" ht="21" x14ac:dyDescent="0.3">
      <c r="B51" s="107"/>
      <c r="C51" s="107"/>
      <c r="D51" s="107"/>
      <c r="F51" s="73" t="s">
        <v>219</v>
      </c>
      <c r="G51" s="188" t="s">
        <v>220</v>
      </c>
      <c r="H51" s="188" t="s">
        <v>202</v>
      </c>
      <c r="I51" s="185" t="s">
        <v>72</v>
      </c>
      <c r="J51" s="172">
        <f>IF(I51="Brother",$C$6*Table[[#This Row],[Seniority Dues]],IF(I51="EC",$C$7,IF(I51="Alumni",$C$8,IF(I51="Dropped",$C$11,IF(I51="President",$C$10,IF(I51="Inactive",$C$9,IF(Table[[#This Row],[Type]]="New Member",$C$13,0)))))))</f>
        <v>200</v>
      </c>
      <c r="K51" s="172"/>
      <c r="L51" s="175"/>
      <c r="M51" s="174"/>
      <c r="N51" s="87"/>
      <c r="O51" s="132">
        <f>Table[[#This Row],[Payment]]</f>
        <v>0</v>
      </c>
      <c r="P51" s="176">
        <f t="shared" si="1"/>
        <v>200</v>
      </c>
      <c r="Q51" s="186"/>
      <c r="R51" s="187"/>
      <c r="S51" s="173"/>
      <c r="T51" s="188">
        <v>3</v>
      </c>
      <c r="U51" s="135"/>
      <c r="V51" s="173">
        <f>IF(Table[[#This Row],[Year]]=1, 1.2, IF(Table[[#This Row],[Year]]=2, 1.1, IF(Table[[#This Row],[Year]]=3, 1, IF(Table[[#This Row],[Year]]=4, 0.8, IF(Table[[#This Row],[Year]]=5, 0.7, 0)))))</f>
        <v>1</v>
      </c>
    </row>
    <row r="52" spans="2:22" ht="21" x14ac:dyDescent="0.3">
      <c r="B52" s="107"/>
      <c r="C52" s="107"/>
      <c r="D52" s="107"/>
      <c r="F52" s="73" t="s">
        <v>221</v>
      </c>
      <c r="G52" s="188" t="s">
        <v>220</v>
      </c>
      <c r="H52" s="188" t="s">
        <v>222</v>
      </c>
      <c r="I52" s="185" t="s">
        <v>76</v>
      </c>
      <c r="J52" s="172">
        <f>IF(I52="Brother",$C$6*Table[[#This Row],[Seniority Dues]],IF(I52="EC",$C$7,IF(I52="Alumni",$C$8,IF(I52="Dropped",$C$11,IF(I52="President",$C$10,IF(I52="Inactive",$C$9,IF(Table[[#This Row],[Type]]="New Member",$C$13,0)))))))</f>
        <v>480</v>
      </c>
      <c r="K52" s="172"/>
      <c r="L52" s="175"/>
      <c r="M52" s="174">
        <v>480</v>
      </c>
      <c r="N52" s="87"/>
      <c r="O52" s="132">
        <f>Table[[#This Row],[Payment]]</f>
        <v>480</v>
      </c>
      <c r="P52" s="176">
        <f t="shared" si="1"/>
        <v>0</v>
      </c>
      <c r="Q52" s="186"/>
      <c r="R52" s="187"/>
      <c r="S52" s="173"/>
      <c r="T52" s="188">
        <v>3</v>
      </c>
      <c r="U52" s="135"/>
      <c r="V52" s="173">
        <f>IF(Table[[#This Row],[Year]]=1, 1.2, IF(Table[[#This Row],[Year]]=2, 1.1, IF(Table[[#This Row],[Year]]=3, 1, IF(Table[[#This Row],[Year]]=4, 0.8, IF(Table[[#This Row],[Year]]=5, 0.7, 0)))))</f>
        <v>1</v>
      </c>
    </row>
    <row r="53" spans="2:22" ht="21" x14ac:dyDescent="0.3">
      <c r="B53" s="107"/>
      <c r="C53" s="107"/>
      <c r="D53" s="107"/>
      <c r="F53" s="73" t="s">
        <v>223</v>
      </c>
      <c r="G53" s="188" t="s">
        <v>224</v>
      </c>
      <c r="H53" s="188" t="s">
        <v>202</v>
      </c>
      <c r="I53" s="185" t="s">
        <v>72</v>
      </c>
      <c r="J53" s="172">
        <f>IF(I53="Brother",$C$6*Table[[#This Row],[Seniority Dues]],IF(I53="EC",$C$7,IF(I53="Alumni",$C$8,IF(I53="Dropped",$C$11,IF(I53="President",$C$10,IF(I53="Inactive",$C$9,IF(Table[[#This Row],[Type]]="New Member",$C$13,0)))))))</f>
        <v>200</v>
      </c>
      <c r="K53" s="172"/>
      <c r="L53" s="175"/>
      <c r="M53" s="174">
        <v>200</v>
      </c>
      <c r="N53" s="87"/>
      <c r="O53" s="132">
        <f>Table[[#This Row],[Payment]]</f>
        <v>200</v>
      </c>
      <c r="P53" s="176">
        <f t="shared" si="1"/>
        <v>0</v>
      </c>
      <c r="Q53" s="186"/>
      <c r="R53" s="187"/>
      <c r="S53" s="173"/>
      <c r="T53" s="188">
        <v>3</v>
      </c>
      <c r="U53" s="135"/>
      <c r="V53" s="173">
        <f>IF(Table[[#This Row],[Year]]=1, 1.2, IF(Table[[#This Row],[Year]]=2, 1.1, IF(Table[[#This Row],[Year]]=3, 1, IF(Table[[#This Row],[Year]]=4, 0.8, IF(Table[[#This Row],[Year]]=5, 0.7, 0)))))</f>
        <v>1</v>
      </c>
    </row>
    <row r="54" spans="2:22" ht="21" x14ac:dyDescent="0.3">
      <c r="B54" s="107"/>
      <c r="C54" s="107"/>
      <c r="D54" s="107"/>
      <c r="F54" s="73" t="s">
        <v>225</v>
      </c>
      <c r="G54" s="188" t="s">
        <v>226</v>
      </c>
      <c r="H54" s="188" t="s">
        <v>227</v>
      </c>
      <c r="I54" s="185" t="s">
        <v>76</v>
      </c>
      <c r="J54" s="172">
        <f>IF(I54="Brother",$C$6*Table[[#This Row],[Seniority Dues]],IF(I54="EC",$C$7,IF(I54="Alumni",$C$8,IF(I54="Dropped",$C$11,IF(I54="President",$C$10,IF(I54="Inactive",$C$9,IF(Table[[#This Row],[Type]]="New Member",$C$13,0)))))))</f>
        <v>384</v>
      </c>
      <c r="K54" s="172"/>
      <c r="L54" s="175"/>
      <c r="M54" s="174">
        <v>384</v>
      </c>
      <c r="N54" s="87"/>
      <c r="O54" s="132">
        <f>Table[[#This Row],[Payment]]</f>
        <v>384</v>
      </c>
      <c r="P54" s="176">
        <f t="shared" si="1"/>
        <v>0</v>
      </c>
      <c r="Q54" s="186"/>
      <c r="R54" s="187"/>
      <c r="S54" s="173"/>
      <c r="T54" s="188">
        <v>4</v>
      </c>
      <c r="U54" s="135"/>
      <c r="V54" s="173">
        <f>IF(Table[[#This Row],[Year]]=1, 1.2, IF(Table[[#This Row],[Year]]=2, 1.1, IF(Table[[#This Row],[Year]]=3, 1, IF(Table[[#This Row],[Year]]=4, 0.8, IF(Table[[#This Row],[Year]]=5, 0.7, 0)))))</f>
        <v>0.8</v>
      </c>
    </row>
    <row r="55" spans="2:22" ht="21" x14ac:dyDescent="0.3">
      <c r="B55" s="107"/>
      <c r="C55" s="107"/>
      <c r="D55" s="107"/>
      <c r="F55" s="73" t="s">
        <v>228</v>
      </c>
      <c r="G55" s="190" t="s">
        <v>229</v>
      </c>
      <c r="H55" s="190" t="s">
        <v>230</v>
      </c>
      <c r="I55" s="185" t="s">
        <v>76</v>
      </c>
      <c r="J55" s="172">
        <f>IF(I55="Brother",$C$6*Table[[#This Row],[Seniority Dues]],IF(I55="EC",$C$7,IF(I55="Alumni",$C$8,IF(I55="Dropped",$C$11,IF(I55="President",$C$10,IF(I55="Inactive",$C$9,IF(Table[[#This Row],[Type]]="New Member",$C$13,0)))))))</f>
        <v>528</v>
      </c>
      <c r="K55" s="172"/>
      <c r="L55" s="175"/>
      <c r="M55" s="174">
        <v>528</v>
      </c>
      <c r="N55" s="87"/>
      <c r="O55" s="132">
        <f>Table[[#This Row],[Payment]]</f>
        <v>528</v>
      </c>
      <c r="P55" s="176">
        <f t="shared" si="1"/>
        <v>0</v>
      </c>
      <c r="Q55" s="186"/>
      <c r="R55" s="187"/>
      <c r="S55" s="173"/>
      <c r="T55" s="218">
        <v>2</v>
      </c>
      <c r="U55" s="135"/>
      <c r="V55" s="173">
        <f>IF(Table[[#This Row],[Year]]=1, 1.2, IF(Table[[#This Row],[Year]]=2, 1.1, IF(Table[[#This Row],[Year]]=3, 1, IF(Table[[#This Row],[Year]]=4, 0.8, IF(Table[[#This Row],[Year]]=5, 0.7, 0)))))</f>
        <v>1.1000000000000001</v>
      </c>
    </row>
    <row r="56" spans="2:22" ht="21" x14ac:dyDescent="0.3">
      <c r="B56" s="107"/>
      <c r="C56" s="107"/>
      <c r="D56" s="107"/>
      <c r="F56" s="73" t="s">
        <v>231</v>
      </c>
      <c r="G56" s="190" t="s">
        <v>232</v>
      </c>
      <c r="H56" s="190" t="s">
        <v>92</v>
      </c>
      <c r="I56" s="185" t="s">
        <v>76</v>
      </c>
      <c r="J56" s="172">
        <f>IF(I56="Brother",$C$6*Table[[#This Row],[Seniority Dues]],IF(I56="EC",$C$7,IF(I56="Alumni",$C$8,IF(I56="Dropped",$C$11,IF(I56="President",$C$10,IF(I56="Inactive",$C$9,IF(Table[[#This Row],[Type]]="New Member",$C$13,0)))))))</f>
        <v>528</v>
      </c>
      <c r="K56" s="172"/>
      <c r="L56" s="175"/>
      <c r="M56" s="174">
        <v>528</v>
      </c>
      <c r="N56" s="87"/>
      <c r="O56" s="132">
        <f>Table[[#This Row],[Payment]]</f>
        <v>528</v>
      </c>
      <c r="P56" s="176">
        <f t="shared" si="1"/>
        <v>0</v>
      </c>
      <c r="Q56" s="186"/>
      <c r="R56" s="187"/>
      <c r="S56" s="173"/>
      <c r="T56" s="218">
        <v>2</v>
      </c>
      <c r="U56" s="135"/>
      <c r="V56" s="173">
        <f>IF(Table[[#This Row],[Year]]=1, 1.2, IF(Table[[#This Row],[Year]]=2, 1.1, IF(Table[[#This Row],[Year]]=3, 1, IF(Table[[#This Row],[Year]]=4, 0.8, IF(Table[[#This Row],[Year]]=5, 0.7, 0)))))</f>
        <v>1.1000000000000001</v>
      </c>
    </row>
    <row r="57" spans="2:22" ht="21" x14ac:dyDescent="0.3">
      <c r="B57" s="107"/>
      <c r="C57" s="107"/>
      <c r="D57" s="107"/>
      <c r="F57" s="73" t="s">
        <v>233</v>
      </c>
      <c r="G57" s="188" t="s">
        <v>234</v>
      </c>
      <c r="H57" s="188" t="s">
        <v>235</v>
      </c>
      <c r="I57" s="185" t="s">
        <v>85</v>
      </c>
      <c r="J57" s="172">
        <f>IF(I57="Brother",$C$6*Table[[#This Row],[Seniority Dues]],IF(I57="EC",$C$7,IF(I57="Alumni",$C$8,IF(I57="Dropped",$C$11,IF(I57="President",$C$10,IF(I57="Inactive",$C$9,IF(Table[[#This Row],[Type]]="New Member",$C$13,0)))))))</f>
        <v>225</v>
      </c>
      <c r="K57" s="172"/>
      <c r="L57" s="175"/>
      <c r="M57" s="174"/>
      <c r="N57" s="87"/>
      <c r="O57" s="132">
        <f>Table[[#This Row],[Payment]]</f>
        <v>0</v>
      </c>
      <c r="P57" s="176">
        <f t="shared" si="1"/>
        <v>225</v>
      </c>
      <c r="Q57" s="186"/>
      <c r="R57" s="187"/>
      <c r="S57" s="173"/>
      <c r="T57" s="188">
        <v>5</v>
      </c>
      <c r="U57" s="135"/>
      <c r="V57" s="173">
        <f>IF(Table[[#This Row],[Year]]=1, 1.2, IF(Table[[#This Row],[Year]]=2, 1.1, IF(Table[[#This Row],[Year]]=3, 1, IF(Table[[#This Row],[Year]]=4, 0.8, IF(Table[[#This Row],[Year]]=5, 0.7, 0)))))</f>
        <v>0.7</v>
      </c>
    </row>
    <row r="58" spans="2:22" ht="21" x14ac:dyDescent="0.3">
      <c r="B58" s="107"/>
      <c r="C58" s="107"/>
      <c r="D58" s="107"/>
      <c r="F58" s="73" t="s">
        <v>236</v>
      </c>
      <c r="G58" s="190" t="s">
        <v>237</v>
      </c>
      <c r="H58" s="190" t="s">
        <v>238</v>
      </c>
      <c r="I58" s="185" t="s">
        <v>76</v>
      </c>
      <c r="J58" s="172">
        <f>IF(I58="Brother",$C$6*Table[[#This Row],[Seniority Dues]],IF(I58="EC",$C$7,IF(I58="Alumni",$C$8,IF(I58="Dropped",$C$11,IF(I58="President",$C$10,IF(I58="Inactive",$C$9,IF(Table[[#This Row],[Type]]="New Member",$C$13,0)))))))</f>
        <v>528</v>
      </c>
      <c r="K58" s="172"/>
      <c r="L58" s="175"/>
      <c r="M58" s="174">
        <v>528</v>
      </c>
      <c r="N58" s="87"/>
      <c r="O58" s="132">
        <f>Table[[#This Row],[Payment]]</f>
        <v>528</v>
      </c>
      <c r="P58" s="176">
        <f t="shared" si="1"/>
        <v>0</v>
      </c>
      <c r="Q58" s="186"/>
      <c r="R58" s="187"/>
      <c r="S58" s="173"/>
      <c r="T58" s="218">
        <v>2</v>
      </c>
      <c r="U58" s="135"/>
      <c r="V58" s="173">
        <f>IF(Table[[#This Row],[Year]]=1, 1.2, IF(Table[[#This Row],[Year]]=2, 1.1, IF(Table[[#This Row],[Year]]=3, 1, IF(Table[[#This Row],[Year]]=4, 0.8, IF(Table[[#This Row],[Year]]=5, 0.7, 0)))))</f>
        <v>1.1000000000000001</v>
      </c>
    </row>
    <row r="59" spans="2:22" ht="21" x14ac:dyDescent="0.3">
      <c r="B59" s="107"/>
      <c r="C59" s="107"/>
      <c r="D59" s="107"/>
      <c r="F59" s="73" t="s">
        <v>239</v>
      </c>
      <c r="G59" s="190" t="s">
        <v>240</v>
      </c>
      <c r="H59" s="190" t="s">
        <v>205</v>
      </c>
      <c r="I59" s="185" t="s">
        <v>76</v>
      </c>
      <c r="J59" s="172">
        <f>IF(I59="Brother",$C$6*Table[[#This Row],[Seniority Dues]],IF(I59="EC",$C$7,IF(I59="Alumni",$C$8,IF(I59="Dropped",$C$11,IF(I59="President",$C$10,IF(I59="Inactive",$C$9,IF(Table[[#This Row],[Type]]="New Member",$C$13,0)))))))</f>
        <v>528</v>
      </c>
      <c r="K59" s="172"/>
      <c r="L59" s="175"/>
      <c r="M59" s="174">
        <v>528</v>
      </c>
      <c r="N59" s="87"/>
      <c r="O59" s="132">
        <f>Table[[#This Row],[Payment]]</f>
        <v>528</v>
      </c>
      <c r="P59" s="176">
        <f t="shared" si="1"/>
        <v>0</v>
      </c>
      <c r="Q59" s="186"/>
      <c r="R59" s="187"/>
      <c r="S59" s="173"/>
      <c r="T59" s="218">
        <v>2</v>
      </c>
      <c r="U59" s="135"/>
      <c r="V59" s="173">
        <f>IF(Table[[#This Row],[Year]]=1, 1.2, IF(Table[[#This Row],[Year]]=2, 1.1, IF(Table[[#This Row],[Year]]=3, 1, IF(Table[[#This Row],[Year]]=4, 0.8, IF(Table[[#This Row],[Year]]=5, 0.7, 0)))))</f>
        <v>1.1000000000000001</v>
      </c>
    </row>
    <row r="60" spans="2:22" ht="21" x14ac:dyDescent="0.3">
      <c r="B60" s="107"/>
      <c r="C60" s="107"/>
      <c r="D60" s="107"/>
      <c r="F60" s="73" t="s">
        <v>241</v>
      </c>
      <c r="G60" s="190" t="s">
        <v>242</v>
      </c>
      <c r="H60" s="190" t="s">
        <v>243</v>
      </c>
      <c r="I60" s="185" t="s">
        <v>76</v>
      </c>
      <c r="J60" s="172">
        <f>IF(I60="Brother",$C$6*Table[[#This Row],[Seniority Dues]],IF(I60="EC",$C$7,IF(I60="Alumni",$C$8,IF(I60="Dropped",$C$11,IF(I60="President",$C$10,IF(I60="Inactive",$C$9,IF(Table[[#This Row],[Type]]="New Member",$C$13,0)))))))</f>
        <v>528</v>
      </c>
      <c r="K60" s="172"/>
      <c r="L60" s="175"/>
      <c r="M60" s="174">
        <v>528</v>
      </c>
      <c r="N60" s="87"/>
      <c r="O60" s="132">
        <f>Table[[#This Row],[Payment]]</f>
        <v>528</v>
      </c>
      <c r="P60" s="176">
        <f t="shared" si="1"/>
        <v>0</v>
      </c>
      <c r="Q60" s="186"/>
      <c r="R60" s="187"/>
      <c r="S60" s="173"/>
      <c r="T60" s="218">
        <v>2</v>
      </c>
      <c r="U60" s="135"/>
      <c r="V60" s="173">
        <f>IF(Table[[#This Row],[Year]]=1, 1.2, IF(Table[[#This Row],[Year]]=2, 1.1, IF(Table[[#This Row],[Year]]=3, 1, IF(Table[[#This Row],[Year]]=4, 0.8, IF(Table[[#This Row],[Year]]=5, 0.7, 0)))))</f>
        <v>1.1000000000000001</v>
      </c>
    </row>
    <row r="61" spans="2:22" ht="21" x14ac:dyDescent="0.3">
      <c r="B61" s="107"/>
      <c r="C61" s="107"/>
      <c r="D61" s="107"/>
      <c r="F61" s="73" t="s">
        <v>244</v>
      </c>
      <c r="G61" s="188" t="s">
        <v>245</v>
      </c>
      <c r="H61" s="188" t="s">
        <v>246</v>
      </c>
      <c r="I61" s="185" t="s">
        <v>72</v>
      </c>
      <c r="J61" s="172">
        <f>IF(I61="Brother",$C$6*Table[[#This Row],[Seniority Dues]],IF(I61="EC",$C$7,IF(I61="Alumni",$C$8,IF(I61="Dropped",$C$11,IF(I61="President",$C$10,IF(I61="Inactive",$C$9,IF(Table[[#This Row],[Type]]="New Member",$C$13,0)))))))</f>
        <v>200</v>
      </c>
      <c r="K61" s="172"/>
      <c r="L61" s="175"/>
      <c r="M61" s="174">
        <v>200</v>
      </c>
      <c r="N61" s="87"/>
      <c r="O61" s="132">
        <f>Table[[#This Row],[Payment]]</f>
        <v>200</v>
      </c>
      <c r="P61" s="176">
        <f t="shared" si="1"/>
        <v>0</v>
      </c>
      <c r="Q61" s="186"/>
      <c r="R61" s="187"/>
      <c r="S61" s="173"/>
      <c r="T61" s="188">
        <v>4</v>
      </c>
      <c r="U61" s="135"/>
      <c r="V61" s="173">
        <f>IF(Table[[#This Row],[Year]]=1, 1.2, IF(Table[[#This Row],[Year]]=2, 1.1, IF(Table[[#This Row],[Year]]=3, 1, IF(Table[[#This Row],[Year]]=4, 0.8, IF(Table[[#This Row],[Year]]=5, 0.7, 0)))))</f>
        <v>0.8</v>
      </c>
    </row>
    <row r="62" spans="2:22" ht="21" x14ac:dyDescent="0.3">
      <c r="B62" s="107"/>
      <c r="C62" s="107"/>
      <c r="D62" s="107"/>
      <c r="F62" s="73" t="s">
        <v>247</v>
      </c>
      <c r="G62" s="188" t="s">
        <v>248</v>
      </c>
      <c r="H62" s="188" t="s">
        <v>249</v>
      </c>
      <c r="I62" s="185" t="s">
        <v>85</v>
      </c>
      <c r="J62" s="172">
        <f>IF(I62="Brother",$C$6*Table[[#This Row],[Seniority Dues]],IF(I62="EC",$C$7,IF(I62="Alumni",$C$8,IF(I62="Dropped",$C$11,IF(I62="President",$C$10,IF(I62="Inactive",$C$9,IF(Table[[#This Row],[Type]]="New Member",$C$13,0)))))))</f>
        <v>225</v>
      </c>
      <c r="K62" s="172"/>
      <c r="L62" s="175"/>
      <c r="M62" s="174">
        <v>225</v>
      </c>
      <c r="N62" s="87"/>
      <c r="O62" s="132">
        <f>Table[[#This Row],[Payment]]</f>
        <v>225</v>
      </c>
      <c r="P62" s="176">
        <f t="shared" si="1"/>
        <v>0</v>
      </c>
      <c r="Q62" s="186"/>
      <c r="R62" s="187"/>
      <c r="S62" s="173"/>
      <c r="T62" s="188">
        <v>3</v>
      </c>
      <c r="U62" s="135"/>
      <c r="V62" s="173">
        <f>IF(Table[[#This Row],[Year]]=1, 1.2, IF(Table[[#This Row],[Year]]=2, 1.1, IF(Table[[#This Row],[Year]]=3, 1, IF(Table[[#This Row],[Year]]=4, 0.8, IF(Table[[#This Row],[Year]]=5, 0.7, 0)))))</f>
        <v>1</v>
      </c>
    </row>
    <row r="63" spans="2:22" ht="21" x14ac:dyDescent="0.3">
      <c r="B63" s="107"/>
      <c r="C63" s="107"/>
      <c r="D63" s="107"/>
      <c r="F63" s="73" t="s">
        <v>250</v>
      </c>
      <c r="G63" s="188" t="s">
        <v>251</v>
      </c>
      <c r="H63" s="188" t="s">
        <v>184</v>
      </c>
      <c r="I63" s="185" t="s">
        <v>76</v>
      </c>
      <c r="J63" s="172">
        <f>IF(I63="Brother",$C$6*Table[[#This Row],[Seniority Dues]],IF(I63="EC",$C$7,IF(I63="Alumni",$C$8,IF(I63="Dropped",$C$11,IF(I63="President",$C$10,IF(I63="Inactive",$C$9,IF(Table[[#This Row],[Type]]="New Member",$C$13,0)))))))</f>
        <v>480</v>
      </c>
      <c r="K63" s="172"/>
      <c r="L63" s="175"/>
      <c r="M63" s="174">
        <v>480</v>
      </c>
      <c r="N63" s="87"/>
      <c r="O63" s="132">
        <f>Table[[#This Row],[Payment]]</f>
        <v>480</v>
      </c>
      <c r="P63" s="176">
        <f t="shared" si="1"/>
        <v>0</v>
      </c>
      <c r="Q63" s="186"/>
      <c r="R63" s="187"/>
      <c r="S63" s="173"/>
      <c r="T63" s="189">
        <v>3</v>
      </c>
      <c r="U63" s="135"/>
      <c r="V63" s="173">
        <f>IF(Table[[#This Row],[Year]]=1, 1.2, IF(Table[[#This Row],[Year]]=2, 1.1, IF(Table[[#This Row],[Year]]=3, 1, IF(Table[[#This Row],[Year]]=4, 0.8, IF(Table[[#This Row],[Year]]=5, 0.7, 0)))))</f>
        <v>1</v>
      </c>
    </row>
    <row r="64" spans="2:22" ht="21" x14ac:dyDescent="0.3">
      <c r="B64" s="107"/>
      <c r="C64" s="107"/>
      <c r="D64" s="107"/>
      <c r="F64" s="73" t="s">
        <v>252</v>
      </c>
      <c r="G64" s="188" t="s">
        <v>253</v>
      </c>
      <c r="H64" s="188" t="s">
        <v>254</v>
      </c>
      <c r="I64" s="185" t="s">
        <v>76</v>
      </c>
      <c r="J64" s="172">
        <f>IF(I64="Brother",$C$6*Table[[#This Row],[Seniority Dues]],IF(I64="EC",$C$7,IF(I64="Alumni",$C$8,IF(I64="Dropped",$C$11,IF(I64="President",$C$10,IF(I64="Inactive",$C$9,IF(Table[[#This Row],[Type]]="New Member",$C$13,0)))))))</f>
        <v>384</v>
      </c>
      <c r="K64" s="172"/>
      <c r="L64" s="175"/>
      <c r="M64" s="174"/>
      <c r="N64" s="87"/>
      <c r="O64" s="132">
        <f>Table[[#This Row],[Payment]]</f>
        <v>0</v>
      </c>
      <c r="P64" s="176">
        <f t="shared" si="1"/>
        <v>384</v>
      </c>
      <c r="Q64" s="186"/>
      <c r="R64" s="187"/>
      <c r="S64" s="173"/>
      <c r="T64" s="188">
        <v>4</v>
      </c>
      <c r="U64" s="135"/>
      <c r="V64" s="173">
        <f>IF(Table[[#This Row],[Year]]=1, 1.2, IF(Table[[#This Row],[Year]]=2, 1.1, IF(Table[[#This Row],[Year]]=3, 1, IF(Table[[#This Row],[Year]]=4, 0.8, IF(Table[[#This Row],[Year]]=5, 0.7, 0)))))</f>
        <v>0.8</v>
      </c>
    </row>
    <row r="65" spans="2:22" ht="21" x14ac:dyDescent="0.3">
      <c r="B65" s="107"/>
      <c r="C65" s="107"/>
      <c r="D65" s="107"/>
      <c r="F65" s="73" t="s">
        <v>255</v>
      </c>
      <c r="G65" s="188" t="s">
        <v>253</v>
      </c>
      <c r="H65" s="188" t="s">
        <v>256</v>
      </c>
      <c r="I65" s="185" t="s">
        <v>85</v>
      </c>
      <c r="J65" s="172">
        <f>IF(I65="Brother",$C$6*Table[[#This Row],[Seniority Dues]],IF(I65="EC",$C$7,IF(I65="Alumni",$C$8,IF(I65="Dropped",$C$11,IF(I65="President",$C$10,IF(I65="Inactive",$C$9,IF(Table[[#This Row],[Type]]="New Member",$C$13,0)))))))</f>
        <v>225</v>
      </c>
      <c r="K65" s="172"/>
      <c r="L65" s="175"/>
      <c r="M65" s="174">
        <v>225</v>
      </c>
      <c r="N65" s="87"/>
      <c r="O65" s="132">
        <f>Table[[#This Row],[Payment]]</f>
        <v>225</v>
      </c>
      <c r="P65" s="176">
        <f t="shared" si="1"/>
        <v>0</v>
      </c>
      <c r="Q65" s="186"/>
      <c r="R65" s="187"/>
      <c r="S65" s="173"/>
      <c r="T65" s="188">
        <v>4</v>
      </c>
      <c r="U65" s="135"/>
      <c r="V65" s="173">
        <f>IF(Table[[#This Row],[Year]]=1, 1.2, IF(Table[[#This Row],[Year]]=2, 1.1, IF(Table[[#This Row],[Year]]=3, 1, IF(Table[[#This Row],[Year]]=4, 0.8, IF(Table[[#This Row],[Year]]=5, 0.7, 0)))))</f>
        <v>0.8</v>
      </c>
    </row>
    <row r="66" spans="2:22" ht="21" x14ac:dyDescent="0.3">
      <c r="B66" s="107"/>
      <c r="C66" s="107"/>
      <c r="D66" s="107"/>
      <c r="F66" s="73" t="s">
        <v>257</v>
      </c>
      <c r="G66" s="188" t="s">
        <v>258</v>
      </c>
      <c r="H66" s="188" t="s">
        <v>88</v>
      </c>
      <c r="I66" s="185" t="s">
        <v>72</v>
      </c>
      <c r="J66" s="172">
        <f>IF(I66="Brother",$C$6*Table[[#This Row],[Seniority Dues]],IF(I66="EC",$C$7,IF(I66="Alumni",$C$8,IF(I66="Dropped",$C$11,IF(I66="President",$C$10,IF(I66="Inactive",$C$9,IF(Table[[#This Row],[Type]]="New Member",$C$13,0)))))))</f>
        <v>200</v>
      </c>
      <c r="K66" s="172"/>
      <c r="L66" s="175"/>
      <c r="M66" s="174"/>
      <c r="N66" s="87"/>
      <c r="O66" s="132">
        <f>Table[[#This Row],[Payment]]</f>
        <v>0</v>
      </c>
      <c r="P66" s="176">
        <f t="shared" si="1"/>
        <v>200</v>
      </c>
      <c r="Q66" s="186"/>
      <c r="R66" s="187"/>
      <c r="S66" s="173"/>
      <c r="T66" s="188">
        <v>5</v>
      </c>
      <c r="U66" s="135"/>
      <c r="V66" s="173">
        <f>IF(Table[[#This Row],[Year]]=1, 1.2, IF(Table[[#This Row],[Year]]=2, 1.1, IF(Table[[#This Row],[Year]]=3, 1, IF(Table[[#This Row],[Year]]=4, 0.8, IF(Table[[#This Row],[Year]]=5, 0.7, 0)))))</f>
        <v>0.7</v>
      </c>
    </row>
    <row r="67" spans="2:22" ht="21" x14ac:dyDescent="0.3">
      <c r="B67" s="107"/>
      <c r="C67" s="107"/>
      <c r="D67" s="107"/>
      <c r="F67" s="73" t="s">
        <v>259</v>
      </c>
      <c r="G67" s="188" t="s">
        <v>260</v>
      </c>
      <c r="H67" s="188" t="s">
        <v>261</v>
      </c>
      <c r="I67" s="185" t="s">
        <v>76</v>
      </c>
      <c r="J67" s="172">
        <f>IF(I67="Brother",$C$6*Table[[#This Row],[Seniority Dues]],IF(I67="EC",$C$7,IF(I67="Alumni",$C$8,IF(I67="Dropped",$C$11,IF(I67="President",$C$10,IF(I67="Inactive",$C$9,IF(Table[[#This Row],[Type]]="New Member",$C$13,0)))))))</f>
        <v>480</v>
      </c>
      <c r="K67" s="172"/>
      <c r="L67" s="175"/>
      <c r="M67" s="174">
        <v>480</v>
      </c>
      <c r="N67" s="87"/>
      <c r="O67" s="132">
        <f>Table[[#This Row],[Payment]]</f>
        <v>480</v>
      </c>
      <c r="P67" s="176">
        <f t="shared" ref="P67:P98" si="2">J67+L67-M67+K67</f>
        <v>0</v>
      </c>
      <c r="Q67" s="186"/>
      <c r="R67" s="187"/>
      <c r="S67" s="173"/>
      <c r="T67" s="188">
        <v>3</v>
      </c>
      <c r="U67" s="135"/>
      <c r="V67" s="173">
        <f>IF(Table[[#This Row],[Year]]=1, 1.2, IF(Table[[#This Row],[Year]]=2, 1.1, IF(Table[[#This Row],[Year]]=3, 1, IF(Table[[#This Row],[Year]]=4, 0.8, IF(Table[[#This Row],[Year]]=5, 0.7, 0)))))</f>
        <v>1</v>
      </c>
    </row>
    <row r="68" spans="2:22" ht="21" x14ac:dyDescent="0.3">
      <c r="B68" s="107"/>
      <c r="C68" s="107"/>
      <c r="D68" s="107"/>
      <c r="F68" s="73" t="s">
        <v>262</v>
      </c>
      <c r="G68" s="190" t="s">
        <v>263</v>
      </c>
      <c r="H68" s="190" t="s">
        <v>264</v>
      </c>
      <c r="I68" s="185" t="s">
        <v>76</v>
      </c>
      <c r="J68" s="172">
        <f>IF(I68="Brother",$C$6*Table[[#This Row],[Seniority Dues]],IF(I68="EC",$C$7,IF(I68="Alumni",$C$8,IF(I68="Dropped",$C$11,IF(I68="President",$C$10,IF(I68="Inactive",$C$9,IF(Table[[#This Row],[Type]]="New Member",$C$13,0)))))))</f>
        <v>528</v>
      </c>
      <c r="K68" s="172"/>
      <c r="L68" s="175"/>
      <c r="M68" s="174">
        <v>528</v>
      </c>
      <c r="N68" s="87"/>
      <c r="O68" s="132">
        <f>Table[[#This Row],[Payment]]</f>
        <v>528</v>
      </c>
      <c r="P68" s="176">
        <f t="shared" si="2"/>
        <v>0</v>
      </c>
      <c r="Q68" s="186"/>
      <c r="R68" s="187"/>
      <c r="S68" s="173"/>
      <c r="T68" s="218">
        <v>2</v>
      </c>
      <c r="U68" s="135"/>
      <c r="V68" s="173">
        <f>IF(Table[[#This Row],[Year]]=1, 1.2, IF(Table[[#This Row],[Year]]=2, 1.1, IF(Table[[#This Row],[Year]]=3, 1, IF(Table[[#This Row],[Year]]=4, 0.8, IF(Table[[#This Row],[Year]]=5, 0.7, 0)))))</f>
        <v>1.1000000000000001</v>
      </c>
    </row>
    <row r="69" spans="2:22" ht="21" x14ac:dyDescent="0.3">
      <c r="B69" s="107"/>
      <c r="C69" s="107"/>
      <c r="D69" s="107"/>
      <c r="F69" s="73" t="s">
        <v>265</v>
      </c>
      <c r="G69" s="190" t="s">
        <v>266</v>
      </c>
      <c r="H69" s="190" t="s">
        <v>267</v>
      </c>
      <c r="I69" s="185" t="s">
        <v>76</v>
      </c>
      <c r="J69" s="172">
        <f>IF(I69="Brother",$C$6*Table[[#This Row],[Seniority Dues]],IF(I69="EC",$C$7,IF(I69="Alumni",$C$8,IF(I69="Dropped",$C$11,IF(I69="President",$C$10,IF(I69="Inactive",$C$9,IF(Table[[#This Row],[Type]]="New Member",$C$13,0)))))))</f>
        <v>480</v>
      </c>
      <c r="K69" s="172"/>
      <c r="L69" s="175"/>
      <c r="M69" s="174">
        <v>480</v>
      </c>
      <c r="N69" s="87"/>
      <c r="O69" s="132">
        <f>Table[[#This Row],[Payment]]</f>
        <v>480</v>
      </c>
      <c r="P69" s="176">
        <f t="shared" si="2"/>
        <v>0</v>
      </c>
      <c r="Q69" s="186"/>
      <c r="R69" s="187"/>
      <c r="S69" s="173"/>
      <c r="T69" s="218">
        <v>3</v>
      </c>
      <c r="U69" s="135"/>
      <c r="V69" s="173">
        <f>IF(Table[[#This Row],[Year]]=1, 1.2, IF(Table[[#This Row],[Year]]=2, 1.1, IF(Table[[#This Row],[Year]]=3, 1, IF(Table[[#This Row],[Year]]=4, 0.8, IF(Table[[#This Row],[Year]]=5, 0.7, 0)))))</f>
        <v>1</v>
      </c>
    </row>
    <row r="70" spans="2:22" ht="21" x14ac:dyDescent="0.3">
      <c r="B70" s="107"/>
      <c r="C70" s="107"/>
      <c r="D70" s="107"/>
      <c r="F70" s="73" t="s">
        <v>268</v>
      </c>
      <c r="G70" s="190" t="s">
        <v>269</v>
      </c>
      <c r="H70" s="213" t="s">
        <v>117</v>
      </c>
      <c r="I70" s="185" t="s">
        <v>76</v>
      </c>
      <c r="J70" s="172">
        <f>IF(I70="Brother",$C$6*Table[[#This Row],[Seniority Dues]],IF(I70="EC",$C$7,IF(I70="Alumni",$C$8,IF(I70="Dropped",$C$11,IF(I70="President",$C$10,IF(I70="Inactive",$C$9,IF(Table[[#This Row],[Type]]="New Member",$C$13,0)))))))</f>
        <v>528</v>
      </c>
      <c r="K70" s="172"/>
      <c r="L70" s="175"/>
      <c r="M70" s="174">
        <v>528</v>
      </c>
      <c r="N70" s="87"/>
      <c r="O70" s="132">
        <f>Table[[#This Row],[Payment]]</f>
        <v>528</v>
      </c>
      <c r="P70" s="176">
        <f t="shared" si="2"/>
        <v>0</v>
      </c>
      <c r="Q70" s="186"/>
      <c r="R70" s="187"/>
      <c r="S70" s="173"/>
      <c r="T70" s="218">
        <v>2</v>
      </c>
      <c r="U70" s="135"/>
      <c r="V70" s="173">
        <f>IF(Table[[#This Row],[Year]]=1, 1.2, IF(Table[[#This Row],[Year]]=2, 1.1, IF(Table[[#This Row],[Year]]=3, 1, IF(Table[[#This Row],[Year]]=4, 0.8, IF(Table[[#This Row],[Year]]=5, 0.7, 0)))))</f>
        <v>1.1000000000000001</v>
      </c>
    </row>
    <row r="71" spans="2:22" ht="21" x14ac:dyDescent="0.3">
      <c r="B71" s="107"/>
      <c r="C71" s="107"/>
      <c r="D71" s="107"/>
      <c r="F71" s="73" t="s">
        <v>270</v>
      </c>
      <c r="G71" s="190" t="s">
        <v>271</v>
      </c>
      <c r="H71" s="190" t="s">
        <v>272</v>
      </c>
      <c r="I71" s="185" t="s">
        <v>76</v>
      </c>
      <c r="J71" s="172">
        <f>IF(I71="Brother",$C$6*Table[[#This Row],[Seniority Dues]],IF(I71="EC",$C$7,IF(I71="Alumni",$C$8,IF(I71="Dropped",$C$11,IF(I71="President",$C$10,IF(I71="Inactive",$C$9,IF(Table[[#This Row],[Type]]="New Member",$C$13,0)))))))</f>
        <v>528</v>
      </c>
      <c r="K71" s="172"/>
      <c r="L71" s="175"/>
      <c r="M71" s="174">
        <v>528</v>
      </c>
      <c r="N71" s="87"/>
      <c r="O71" s="132">
        <f>Table[[#This Row],[Payment]]</f>
        <v>528</v>
      </c>
      <c r="P71" s="176">
        <f t="shared" si="2"/>
        <v>0</v>
      </c>
      <c r="Q71" s="186"/>
      <c r="R71" s="187"/>
      <c r="S71" s="173"/>
      <c r="T71" s="218">
        <v>2</v>
      </c>
      <c r="U71" s="135"/>
      <c r="V71" s="173">
        <f>IF(Table[[#This Row],[Year]]=1, 1.2, IF(Table[[#This Row],[Year]]=2, 1.1, IF(Table[[#This Row],[Year]]=3, 1, IF(Table[[#This Row],[Year]]=4, 0.8, IF(Table[[#This Row],[Year]]=5, 0.7, 0)))))</f>
        <v>1.1000000000000001</v>
      </c>
    </row>
    <row r="72" spans="2:22" ht="21" x14ac:dyDescent="0.3">
      <c r="B72" s="107"/>
      <c r="C72" s="107"/>
      <c r="D72" s="107"/>
      <c r="F72" s="73" t="s">
        <v>273</v>
      </c>
      <c r="G72" s="214" t="s">
        <v>274</v>
      </c>
      <c r="H72" s="214" t="s">
        <v>275</v>
      </c>
      <c r="I72" s="185" t="s">
        <v>76</v>
      </c>
      <c r="J72" s="172">
        <f>IF(I72="Brother",$C$6*Table[[#This Row],[Seniority Dues]],IF(I72="EC",$C$7,IF(I72="Alumni",$C$8,IF(I72="Dropped",$C$11,IF(I72="President",$C$10,IF(I72="Inactive",$C$9,IF(Table[[#This Row],[Type]]="New Member",$C$13,0)))))))</f>
        <v>528</v>
      </c>
      <c r="K72" s="172"/>
      <c r="L72" s="175"/>
      <c r="M72" s="174">
        <v>528</v>
      </c>
      <c r="N72" s="87"/>
      <c r="O72" s="132">
        <f>Table[[#This Row],[Payment]]</f>
        <v>528</v>
      </c>
      <c r="P72" s="176">
        <f t="shared" si="2"/>
        <v>0</v>
      </c>
      <c r="Q72" s="186"/>
      <c r="R72" s="187"/>
      <c r="S72" s="173"/>
      <c r="T72" s="134">
        <v>2</v>
      </c>
      <c r="U72" s="135"/>
      <c r="V72" s="173">
        <f>IF(Table[[#This Row],[Year]]=1, 1.2, IF(Table[[#This Row],[Year]]=2, 1.1, IF(Table[[#This Row],[Year]]=3, 1, IF(Table[[#This Row],[Year]]=4, 0.8, IF(Table[[#This Row],[Year]]=5, 0.7, 0)))))</f>
        <v>1.1000000000000001</v>
      </c>
    </row>
    <row r="73" spans="2:22" ht="21" x14ac:dyDescent="0.3">
      <c r="B73" s="107"/>
      <c r="C73" s="107"/>
      <c r="D73" s="107"/>
      <c r="F73" s="73" t="s">
        <v>276</v>
      </c>
      <c r="G73" s="188" t="s">
        <v>277</v>
      </c>
      <c r="H73" s="188" t="s">
        <v>278</v>
      </c>
      <c r="I73" s="185" t="s">
        <v>72</v>
      </c>
      <c r="J73" s="172">
        <f>IF(I73="Brother",$C$6*Table[[#This Row],[Seniority Dues]],IF(I73="EC",$C$7,IF(I73="Alumni",$C$8,IF(I73="Dropped",$C$11,IF(I73="President",$C$10,IF(I73="Inactive",$C$9,IF(Table[[#This Row],[Type]]="New Member",$C$13,0)))))))</f>
        <v>200</v>
      </c>
      <c r="K73" s="172"/>
      <c r="L73" s="175">
        <v>380</v>
      </c>
      <c r="M73" s="174"/>
      <c r="N73" s="87"/>
      <c r="O73" s="132">
        <f>Table[[#This Row],[Payment]]</f>
        <v>0</v>
      </c>
      <c r="P73" s="176">
        <f t="shared" si="2"/>
        <v>580</v>
      </c>
      <c r="Q73" s="186"/>
      <c r="R73" s="187"/>
      <c r="S73" s="173"/>
      <c r="T73" s="219">
        <v>4</v>
      </c>
      <c r="U73" s="135"/>
      <c r="V73" s="173">
        <f>IF(Table[[#This Row],[Year]]=1, 1.2, IF(Table[[#This Row],[Year]]=2, 1.1, IF(Table[[#This Row],[Year]]=3, 1, IF(Table[[#This Row],[Year]]=4, 0.8, IF(Table[[#This Row],[Year]]=5, 0.7, 0)))))</f>
        <v>0.8</v>
      </c>
    </row>
    <row r="74" spans="2:22" ht="21" x14ac:dyDescent="0.3">
      <c r="B74" s="107"/>
      <c r="C74" s="107"/>
      <c r="D74" s="107"/>
      <c r="F74" s="73" t="s">
        <v>279</v>
      </c>
      <c r="G74" s="190" t="s">
        <v>280</v>
      </c>
      <c r="H74" s="190" t="s">
        <v>281</v>
      </c>
      <c r="I74" s="185" t="s">
        <v>76</v>
      </c>
      <c r="J74" s="172">
        <f>IF(I74="Brother",$C$6*Table[[#This Row],[Seniority Dues]],IF(I74="EC",$C$7,IF(I74="Alumni",$C$8,IF(I74="Dropped",$C$11,IF(I74="President",$C$10,IF(I74="Inactive",$C$9,IF(Table[[#This Row],[Type]]="New Member",$C$13,0)))))))</f>
        <v>528</v>
      </c>
      <c r="K74" s="172"/>
      <c r="L74" s="175"/>
      <c r="M74" s="174">
        <v>528</v>
      </c>
      <c r="N74" s="87"/>
      <c r="O74" s="132">
        <f>Table[[#This Row],[Payment]]</f>
        <v>528</v>
      </c>
      <c r="P74" s="176">
        <f t="shared" si="2"/>
        <v>0</v>
      </c>
      <c r="Q74" s="186"/>
      <c r="R74" s="187"/>
      <c r="S74" s="173"/>
      <c r="T74" s="134">
        <v>2</v>
      </c>
      <c r="U74" s="135"/>
      <c r="V74" s="173">
        <f>IF(Table[[#This Row],[Year]]=1, 1.2, IF(Table[[#This Row],[Year]]=2, 1.1, IF(Table[[#This Row],[Year]]=3, 1, IF(Table[[#This Row],[Year]]=4, 0.8, IF(Table[[#This Row],[Year]]=5, 0.7, 0)))))</f>
        <v>1.1000000000000001</v>
      </c>
    </row>
    <row r="75" spans="2:22" ht="21" x14ac:dyDescent="0.3">
      <c r="B75" s="107"/>
      <c r="C75" s="107"/>
      <c r="D75" s="107"/>
      <c r="F75" s="73" t="s">
        <v>282</v>
      </c>
      <c r="G75" s="188" t="s">
        <v>283</v>
      </c>
      <c r="H75" s="188" t="s">
        <v>284</v>
      </c>
      <c r="I75" s="185" t="s">
        <v>76</v>
      </c>
      <c r="J75" s="172">
        <f>IF(I75="Brother",$C$6*Table[[#This Row],[Seniority Dues]],IF(I75="EC",$C$7,IF(I75="Alumni",$C$8,IF(I75="Dropped",$C$11,IF(I75="President",$C$10,IF(I75="Inactive",$C$9,IF(Table[[#This Row],[Type]]="New Member",$C$13,0)))))))</f>
        <v>384</v>
      </c>
      <c r="K75" s="172"/>
      <c r="L75" s="175"/>
      <c r="M75" s="174">
        <v>384</v>
      </c>
      <c r="N75" s="87"/>
      <c r="O75" s="132">
        <f>Table[[#This Row],[Payment]]</f>
        <v>384</v>
      </c>
      <c r="P75" s="176">
        <f t="shared" si="2"/>
        <v>0</v>
      </c>
      <c r="Q75" s="186"/>
      <c r="R75" s="187"/>
      <c r="S75" s="173"/>
      <c r="T75" s="219">
        <v>4</v>
      </c>
      <c r="U75" s="135"/>
      <c r="V75" s="173">
        <f>IF(Table[[#This Row],[Year]]=1, 1.2, IF(Table[[#This Row],[Year]]=2, 1.1, IF(Table[[#This Row],[Year]]=3, 1, IF(Table[[#This Row],[Year]]=4, 0.8, IF(Table[[#This Row],[Year]]=5, 0.7, 0)))))</f>
        <v>0.8</v>
      </c>
    </row>
    <row r="76" spans="2:22" ht="21" x14ac:dyDescent="0.3">
      <c r="B76" s="107"/>
      <c r="C76" s="107"/>
      <c r="D76" s="107"/>
      <c r="F76" s="73" t="s">
        <v>285</v>
      </c>
      <c r="G76" s="188" t="s">
        <v>286</v>
      </c>
      <c r="H76" s="188" t="s">
        <v>287</v>
      </c>
      <c r="I76" s="185" t="s">
        <v>76</v>
      </c>
      <c r="J76" s="172">
        <f>IF(I76="Brother",$C$6*Table[[#This Row],[Seniority Dues]],IF(I76="EC",$C$7,IF(I76="Alumni",$C$8,IF(I76="Dropped",$C$11,IF(I76="President",$C$10,IF(I76="Inactive",$C$9,IF(Table[[#This Row],[Type]]="New Member",$C$13,0)))))))</f>
        <v>480</v>
      </c>
      <c r="K76" s="172"/>
      <c r="L76" s="175"/>
      <c r="M76" s="174">
        <v>480</v>
      </c>
      <c r="N76" s="87"/>
      <c r="O76" s="132">
        <f>Table[[#This Row],[Payment]]</f>
        <v>480</v>
      </c>
      <c r="P76" s="176">
        <f t="shared" si="2"/>
        <v>0</v>
      </c>
      <c r="Q76" s="186"/>
      <c r="R76" s="187"/>
      <c r="S76" s="173"/>
      <c r="T76" s="219">
        <v>3</v>
      </c>
      <c r="U76" s="135"/>
      <c r="V76" s="173">
        <f>IF(Table[[#This Row],[Year]]=1, 1.2, IF(Table[[#This Row],[Year]]=2, 1.1, IF(Table[[#This Row],[Year]]=3, 1, IF(Table[[#This Row],[Year]]=4, 0.8, IF(Table[[#This Row],[Year]]=5, 0.7, 0)))))</f>
        <v>1</v>
      </c>
    </row>
    <row r="77" spans="2:22" ht="21" x14ac:dyDescent="0.3">
      <c r="B77" s="107"/>
      <c r="C77" s="107"/>
      <c r="D77" s="107"/>
      <c r="F77" s="73" t="s">
        <v>288</v>
      </c>
      <c r="G77" s="190" t="s">
        <v>289</v>
      </c>
      <c r="H77" s="190" t="s">
        <v>290</v>
      </c>
      <c r="I77" s="185" t="s">
        <v>76</v>
      </c>
      <c r="J77" s="172">
        <f>IF(I77="Brother",$C$6*Table[[#This Row],[Seniority Dues]],IF(I77="EC",$C$7,IF(I77="Alumni",$C$8,IF(I77="Dropped",$C$11,IF(I77="President",$C$10,IF(I77="Inactive",$C$9,IF(Table[[#This Row],[Type]]="New Member",$C$13,0)))))))</f>
        <v>528</v>
      </c>
      <c r="K77" s="172"/>
      <c r="L77" s="175"/>
      <c r="M77" s="174">
        <v>528</v>
      </c>
      <c r="N77" s="87"/>
      <c r="O77" s="132">
        <v>384</v>
      </c>
      <c r="P77" s="176">
        <f t="shared" si="2"/>
        <v>0</v>
      </c>
      <c r="Q77" s="186"/>
      <c r="R77" s="187"/>
      <c r="S77" s="173"/>
      <c r="T77" s="134">
        <v>2</v>
      </c>
      <c r="U77" s="135"/>
      <c r="V77" s="173">
        <f>IF(Table[[#This Row],[Year]]=1, 1.2, IF(Table[[#This Row],[Year]]=2, 1.1, IF(Table[[#This Row],[Year]]=3, 1, IF(Table[[#This Row],[Year]]=4, 0.8, IF(Table[[#This Row],[Year]]=5, 0.7, 0)))))</f>
        <v>1.1000000000000001</v>
      </c>
    </row>
    <row r="78" spans="2:22" ht="21" x14ac:dyDescent="0.3">
      <c r="B78" s="107"/>
      <c r="C78" s="107"/>
      <c r="D78" s="107"/>
      <c r="F78" s="73" t="s">
        <v>291</v>
      </c>
      <c r="G78" s="190" t="s">
        <v>292</v>
      </c>
      <c r="H78" s="224" t="s">
        <v>293</v>
      </c>
      <c r="I78" s="185" t="s">
        <v>76</v>
      </c>
      <c r="J78" s="172">
        <f>IF(I78="Brother",$C$6*Table[[#This Row],[Seniority Dues]],IF(I78="EC",$C$7,IF(I78="Alumni",$C$8,IF(I78="Dropped",$C$11,IF(I78="President",$C$10,IF(I78="Inactive",$C$9,IF(Table[[#This Row],[Type]]="New Member",$C$13,0)))))))</f>
        <v>528</v>
      </c>
      <c r="K78" s="172"/>
      <c r="L78" s="175"/>
      <c r="M78" s="174"/>
      <c r="N78" s="87"/>
      <c r="O78" s="132">
        <f>Table[[#This Row],[Payment]]</f>
        <v>0</v>
      </c>
      <c r="P78" s="176">
        <f t="shared" si="2"/>
        <v>528</v>
      </c>
      <c r="Q78" s="186"/>
      <c r="R78" s="187"/>
      <c r="S78" s="173"/>
      <c r="T78" s="134">
        <v>2</v>
      </c>
      <c r="U78" s="135"/>
      <c r="V78" s="173">
        <f>IF(Table[[#This Row],[Year]]=1, 1.2, IF(Table[[#This Row],[Year]]=2, 1.1, IF(Table[[#This Row],[Year]]=3, 1, IF(Table[[#This Row],[Year]]=4, 0.8, IF(Table[[#This Row],[Year]]=5, 0.7, 0)))))</f>
        <v>1.1000000000000001</v>
      </c>
    </row>
    <row r="79" spans="2:22" ht="21" x14ac:dyDescent="0.3">
      <c r="B79" s="107"/>
      <c r="C79" s="107"/>
      <c r="D79" s="107"/>
      <c r="F79" s="73" t="s">
        <v>294</v>
      </c>
      <c r="G79" s="190" t="s">
        <v>295</v>
      </c>
      <c r="H79" s="190" t="s">
        <v>296</v>
      </c>
      <c r="I79" s="185" t="s">
        <v>76</v>
      </c>
      <c r="J79" s="172">
        <f>IF(I79="Brother",$C$6*Table[[#This Row],[Seniority Dues]],IF(I79="EC",$C$7,IF(I79="Alumni",$C$8,IF(I79="Dropped",$C$11,IF(I79="President",$C$10,IF(I79="Inactive",$C$9,IF(Table[[#This Row],[Type]]="New Member",$C$13,0)))))))</f>
        <v>528</v>
      </c>
      <c r="K79" s="172"/>
      <c r="L79" s="175"/>
      <c r="M79" s="174">
        <v>528</v>
      </c>
      <c r="N79" s="87"/>
      <c r="O79" s="132">
        <f>Table[[#This Row],[Payment]]</f>
        <v>528</v>
      </c>
      <c r="P79" s="176">
        <f t="shared" si="2"/>
        <v>0</v>
      </c>
      <c r="Q79" s="186"/>
      <c r="R79" s="187"/>
      <c r="S79" s="173"/>
      <c r="T79" s="134">
        <v>2</v>
      </c>
      <c r="U79" s="135"/>
      <c r="V79" s="173">
        <f>IF(Table[[#This Row],[Year]]=1, 1.2, IF(Table[[#This Row],[Year]]=2, 1.1, IF(Table[[#This Row],[Year]]=3, 1, IF(Table[[#This Row],[Year]]=4, 0.8, IF(Table[[#This Row],[Year]]=5, 0.7, 0)))))</f>
        <v>1.1000000000000001</v>
      </c>
    </row>
    <row r="80" spans="2:22" ht="21" x14ac:dyDescent="0.3">
      <c r="B80" s="107"/>
      <c r="C80" s="107"/>
      <c r="D80" s="107"/>
      <c r="F80" s="73" t="s">
        <v>297</v>
      </c>
      <c r="G80" s="188" t="s">
        <v>298</v>
      </c>
      <c r="H80" s="188" t="s">
        <v>179</v>
      </c>
      <c r="I80" s="185" t="s">
        <v>72</v>
      </c>
      <c r="J80" s="172">
        <f>IF(I80="Brother",$C$6*Table[[#This Row],[Seniority Dues]],IF(I80="EC",$C$7,IF(I80="Alumni",$C$8,IF(I80="Dropped",$C$11,IF(I80="President",$C$10,IF(I80="Inactive",$C$9,IF(Table[[#This Row],[Type]]="New Member",$C$13,0)))))))</f>
        <v>200</v>
      </c>
      <c r="K80" s="172"/>
      <c r="L80" s="175">
        <v>528</v>
      </c>
      <c r="M80" s="174"/>
      <c r="N80" s="87"/>
      <c r="O80" s="132">
        <f>Table[[#This Row],[Payment]]</f>
        <v>0</v>
      </c>
      <c r="P80" s="176">
        <f t="shared" si="2"/>
        <v>728</v>
      </c>
      <c r="Q80" s="186"/>
      <c r="R80" s="187"/>
      <c r="S80" s="173"/>
      <c r="T80" s="220">
        <v>3</v>
      </c>
      <c r="U80" s="135"/>
      <c r="V80" s="173">
        <f>IF(Table[[#This Row],[Year]]=1, 1.2, IF(Table[[#This Row],[Year]]=2, 1.1, IF(Table[[#This Row],[Year]]=3, 1, IF(Table[[#This Row],[Year]]=4, 0.8, IF(Table[[#This Row],[Year]]=5, 0.7, 0)))))</f>
        <v>1</v>
      </c>
    </row>
    <row r="81" spans="2:22" ht="21" x14ac:dyDescent="0.3">
      <c r="B81" s="107"/>
      <c r="C81" s="107"/>
      <c r="D81" s="107"/>
      <c r="F81" s="73" t="s">
        <v>299</v>
      </c>
      <c r="G81" s="188" t="s">
        <v>300</v>
      </c>
      <c r="H81" s="188" t="s">
        <v>301</v>
      </c>
      <c r="I81" s="185" t="s">
        <v>72</v>
      </c>
      <c r="J81" s="172">
        <f>IF(I81="Brother",$C$6*Table[[#This Row],[Seniority Dues]],IF(I81="EC",$C$7,IF(I81="Alumni",$C$8,IF(I81="Dropped",$C$11,IF(I81="President",$C$10,IF(I81="Inactive",$C$9,IF(Table[[#This Row],[Type]]="New Member",$C$13,0)))))))</f>
        <v>200</v>
      </c>
      <c r="K81" s="172"/>
      <c r="L81" s="175">
        <v>480</v>
      </c>
      <c r="M81" s="174"/>
      <c r="N81" s="87"/>
      <c r="O81" s="132">
        <f>Table[[#This Row],[Payment]]</f>
        <v>0</v>
      </c>
      <c r="P81" s="176">
        <f t="shared" si="2"/>
        <v>680</v>
      </c>
      <c r="Q81" s="186"/>
      <c r="R81" s="187"/>
      <c r="S81" s="173"/>
      <c r="T81" s="219">
        <v>4</v>
      </c>
      <c r="U81" s="135"/>
      <c r="V81" s="173">
        <f>IF(Table[[#This Row],[Year]]=1, 1.2, IF(Table[[#This Row],[Year]]=2, 1.1, IF(Table[[#This Row],[Year]]=3, 1, IF(Table[[#This Row],[Year]]=4, 0.8, IF(Table[[#This Row],[Year]]=5, 0.7, 0)))))</f>
        <v>0.8</v>
      </c>
    </row>
    <row r="82" spans="2:22" ht="21" x14ac:dyDescent="0.3">
      <c r="B82" s="107"/>
      <c r="C82" s="107"/>
      <c r="D82" s="107"/>
      <c r="F82" s="73" t="s">
        <v>302</v>
      </c>
      <c r="G82" s="188" t="s">
        <v>303</v>
      </c>
      <c r="H82" s="188" t="s">
        <v>205</v>
      </c>
      <c r="I82" s="185" t="s">
        <v>72</v>
      </c>
      <c r="J82" s="172">
        <f>IF(I82="Brother",$C$6*Table[[#This Row],[Seniority Dues]],IF(I82="EC",$C$7,IF(I82="Alumni",$C$8,IF(I82="Dropped",$C$11,IF(I82="President",$C$10,IF(I82="Inactive",$C$9,IF(Table[[#This Row],[Type]]="New Member",$C$13,0)))))))</f>
        <v>200</v>
      </c>
      <c r="K82" s="172"/>
      <c r="L82" s="175"/>
      <c r="M82" s="174"/>
      <c r="N82" s="87"/>
      <c r="O82" s="132">
        <f>Table[[#This Row],[Payment]]</f>
        <v>0</v>
      </c>
      <c r="P82" s="176">
        <f t="shared" si="2"/>
        <v>200</v>
      </c>
      <c r="Q82" s="186"/>
      <c r="R82" s="187"/>
      <c r="S82" s="173"/>
      <c r="T82" s="219">
        <v>5</v>
      </c>
      <c r="U82" s="135"/>
      <c r="V82" s="173">
        <f>IF(Table[[#This Row],[Year]]=1, 1.2, IF(Table[[#This Row],[Year]]=2, 1.1, IF(Table[[#This Row],[Year]]=3, 1, IF(Table[[#This Row],[Year]]=4, 0.8, IF(Table[[#This Row],[Year]]=5, 0.7, 0)))))</f>
        <v>0.7</v>
      </c>
    </row>
    <row r="83" spans="2:22" ht="21" x14ac:dyDescent="0.3">
      <c r="B83" s="107"/>
      <c r="C83" s="107"/>
      <c r="D83" s="107"/>
      <c r="F83" s="73" t="s">
        <v>304</v>
      </c>
      <c r="G83" s="188" t="s">
        <v>305</v>
      </c>
      <c r="H83" s="188" t="s">
        <v>187</v>
      </c>
      <c r="I83" s="185" t="s">
        <v>76</v>
      </c>
      <c r="J83" s="172">
        <f>IF(I83="Brother",$C$6*Table[[#This Row],[Seniority Dues]],IF(I83="EC",$C$7,IF(I83="Alumni",$C$8,IF(I83="Dropped",$C$11,IF(I83="President",$C$10,IF(I83="Inactive",$C$9,IF(Table[[#This Row],[Type]]="New Member",$C$13,0)))))))</f>
        <v>480</v>
      </c>
      <c r="K83" s="172"/>
      <c r="L83" s="175"/>
      <c r="M83" s="174">
        <v>480</v>
      </c>
      <c r="N83" s="87"/>
      <c r="O83" s="132">
        <f>Table[[#This Row],[Payment]]</f>
        <v>480</v>
      </c>
      <c r="P83" s="176">
        <f t="shared" si="2"/>
        <v>0</v>
      </c>
      <c r="Q83" s="186"/>
      <c r="R83" s="187"/>
      <c r="S83" s="173"/>
      <c r="T83" s="219">
        <v>3</v>
      </c>
      <c r="U83" s="135"/>
      <c r="V83" s="173">
        <f>IF(Table[[#This Row],[Year]]=1, 1.2, IF(Table[[#This Row],[Year]]=2, 1.1, IF(Table[[#This Row],[Year]]=3, 1, IF(Table[[#This Row],[Year]]=4, 0.8, IF(Table[[#This Row],[Year]]=5, 0.7, 0)))))</f>
        <v>1</v>
      </c>
    </row>
    <row r="84" spans="2:22" ht="21" x14ac:dyDescent="0.3">
      <c r="B84" s="107"/>
      <c r="C84" s="107"/>
      <c r="D84" s="107"/>
      <c r="F84" s="73" t="s">
        <v>306</v>
      </c>
      <c r="G84" s="188" t="s">
        <v>307</v>
      </c>
      <c r="H84" s="188" t="s">
        <v>308</v>
      </c>
      <c r="I84" s="185" t="s">
        <v>72</v>
      </c>
      <c r="J84" s="172">
        <f>IF(I84="Brother",$C$6*Table[[#This Row],[Seniority Dues]],IF(I84="EC",$C$7,IF(I84="Alumni",$C$8,IF(I84="Dropped",$C$11,IF(I84="President",$C$10,IF(I84="Inactive",$C$9,IF(Table[[#This Row],[Type]]="New Member",$C$13,0)))))))</f>
        <v>200</v>
      </c>
      <c r="K84" s="172"/>
      <c r="L84" s="175"/>
      <c r="M84" s="174"/>
      <c r="N84" s="87"/>
      <c r="O84" s="132">
        <f>Table[[#This Row],[Payment]]</f>
        <v>0</v>
      </c>
      <c r="P84" s="176">
        <f t="shared" si="2"/>
        <v>200</v>
      </c>
      <c r="Q84" s="186"/>
      <c r="R84" s="187"/>
      <c r="S84" s="173"/>
      <c r="T84" s="219">
        <v>4</v>
      </c>
      <c r="U84" s="135"/>
      <c r="V84" s="173">
        <f>IF(Table[[#This Row],[Year]]=1, 1.2, IF(Table[[#This Row],[Year]]=2, 1.1, IF(Table[[#This Row],[Year]]=3, 1, IF(Table[[#This Row],[Year]]=4, 0.8, IF(Table[[#This Row],[Year]]=5, 0.7, 0)))))</f>
        <v>0.8</v>
      </c>
    </row>
    <row r="85" spans="2:22" ht="21" x14ac:dyDescent="0.3">
      <c r="B85" s="107"/>
      <c r="C85" s="107"/>
      <c r="D85" s="107"/>
      <c r="F85" s="73" t="s">
        <v>309</v>
      </c>
      <c r="G85" s="188" t="s">
        <v>310</v>
      </c>
      <c r="H85" s="188" t="s">
        <v>308</v>
      </c>
      <c r="I85" s="185" t="s">
        <v>100</v>
      </c>
      <c r="J85" s="172">
        <f>IF(I85="Brother",$C$6*Table[[#This Row],[Seniority Dues]],IF(I85="EC",$C$7,IF(I85="Alumni",$C$8,IF(I85="Dropped",$C$11,IF(I85="President",$C$10,IF(I85="Inactive",$C$9,IF(Table[[#This Row],[Type]]="New Member",$C$13,0)))))))</f>
        <v>0</v>
      </c>
      <c r="K85" s="172"/>
      <c r="L85" s="175"/>
      <c r="M85" s="174"/>
      <c r="N85" s="87"/>
      <c r="O85" s="132">
        <f>Table[[#This Row],[Payment]]</f>
        <v>0</v>
      </c>
      <c r="P85" s="176">
        <f t="shared" si="2"/>
        <v>0</v>
      </c>
      <c r="Q85" s="186"/>
      <c r="R85" s="187"/>
      <c r="S85" s="173"/>
      <c r="T85" s="219">
        <v>4</v>
      </c>
      <c r="U85" s="135"/>
      <c r="V85" s="173">
        <f>IF(Table[[#This Row],[Year]]=1, 1.2, IF(Table[[#This Row],[Year]]=2, 1.1, IF(Table[[#This Row],[Year]]=3, 1, IF(Table[[#This Row],[Year]]=4, 0.8, IF(Table[[#This Row],[Year]]=5, 0.7, 0)))))</f>
        <v>0.8</v>
      </c>
    </row>
    <row r="86" spans="2:22" ht="21" x14ac:dyDescent="0.3">
      <c r="B86" s="107"/>
      <c r="C86" s="107"/>
      <c r="D86" s="107"/>
      <c r="F86" s="73" t="s">
        <v>311</v>
      </c>
      <c r="G86" s="188" t="s">
        <v>312</v>
      </c>
      <c r="H86" s="188" t="s">
        <v>88</v>
      </c>
      <c r="I86" s="185" t="s">
        <v>72</v>
      </c>
      <c r="J86" s="172">
        <f>IF(I86="Brother",$C$6*Table[[#This Row],[Seniority Dues]],IF(I86="EC",$C$7,IF(I86="Alumni",$C$8,IF(I86="Dropped",$C$11,IF(I86="President",$C$10,IF(I86="Inactive",$C$9,IF(Table[[#This Row],[Type]]="New Member",$C$13,0)))))))</f>
        <v>200</v>
      </c>
      <c r="K86" s="172"/>
      <c r="L86" s="175"/>
      <c r="M86" s="174">
        <v>200</v>
      </c>
      <c r="N86" s="87"/>
      <c r="O86" s="132">
        <f>Table[[#This Row],[Payment]]</f>
        <v>200</v>
      </c>
      <c r="P86" s="176">
        <f t="shared" si="2"/>
        <v>0</v>
      </c>
      <c r="Q86" s="186"/>
      <c r="R86" s="187"/>
      <c r="S86" s="173"/>
      <c r="T86" s="219">
        <v>4</v>
      </c>
      <c r="U86" s="135"/>
      <c r="V86" s="173">
        <f>IF(Table[[#This Row],[Year]]=1, 1.2, IF(Table[[#This Row],[Year]]=2, 1.1, IF(Table[[#This Row],[Year]]=3, 1, IF(Table[[#This Row],[Year]]=4, 0.8, IF(Table[[#This Row],[Year]]=5, 0.7, 0)))))</f>
        <v>0.8</v>
      </c>
    </row>
    <row r="87" spans="2:22" ht="21" x14ac:dyDescent="0.3">
      <c r="B87" s="107"/>
      <c r="C87" s="107"/>
      <c r="D87" s="107"/>
      <c r="F87" s="73" t="s">
        <v>313</v>
      </c>
      <c r="G87" s="188" t="s">
        <v>314</v>
      </c>
      <c r="H87" s="188" t="s">
        <v>220</v>
      </c>
      <c r="I87" s="185" t="s">
        <v>76</v>
      </c>
      <c r="J87" s="172">
        <f>IF(I87="Brother",$C$6*Table[[#This Row],[Seniority Dues]],IF(I87="EC",$C$7,IF(I87="Alumni",$C$8,IF(I87="Dropped",$C$11,IF(I87="President",$C$10,IF(I87="Inactive",$C$9,IF(Table[[#This Row],[Type]]="New Member",$C$13,0)))))))</f>
        <v>384</v>
      </c>
      <c r="K87" s="172"/>
      <c r="L87" s="175"/>
      <c r="M87" s="174">
        <v>384</v>
      </c>
      <c r="N87" s="87"/>
      <c r="O87" s="132">
        <f>Table[[#This Row],[Payment]]</f>
        <v>384</v>
      </c>
      <c r="P87" s="176">
        <f t="shared" si="2"/>
        <v>0</v>
      </c>
      <c r="Q87" s="186"/>
      <c r="R87" s="187"/>
      <c r="S87" s="173"/>
      <c r="T87" s="219">
        <v>4</v>
      </c>
      <c r="U87" s="135"/>
      <c r="V87" s="173">
        <f>IF(Table[[#This Row],[Year]]=1, 1.2, IF(Table[[#This Row],[Year]]=2, 1.1, IF(Table[[#This Row],[Year]]=3, 1, IF(Table[[#This Row],[Year]]=4, 0.8, IF(Table[[#This Row],[Year]]=5, 0.7, 0)))))</f>
        <v>0.8</v>
      </c>
    </row>
    <row r="88" spans="2:22" ht="21" x14ac:dyDescent="0.3">
      <c r="B88" s="107"/>
      <c r="C88" s="107"/>
      <c r="D88" s="107"/>
      <c r="F88" s="73" t="s">
        <v>315</v>
      </c>
      <c r="G88" s="190" t="s">
        <v>316</v>
      </c>
      <c r="H88" s="190" t="s">
        <v>317</v>
      </c>
      <c r="I88" s="185" t="s">
        <v>76</v>
      </c>
      <c r="J88" s="172">
        <f>IF(I88="Brother",$C$6*Table[[#This Row],[Seniority Dues]],IF(I88="EC",$C$7,IF(I88="Alumni",$C$8,IF(I88="Dropped",$C$11,IF(I88="President",$C$10,IF(I88="Inactive",$C$9,IF(Table[[#This Row],[Type]]="New Member",$C$13,0)))))))</f>
        <v>480</v>
      </c>
      <c r="K88" s="172"/>
      <c r="L88" s="175"/>
      <c r="M88" s="174">
        <v>480</v>
      </c>
      <c r="N88" s="87"/>
      <c r="O88" s="132">
        <f>Table[[#This Row],[Payment]]</f>
        <v>480</v>
      </c>
      <c r="P88" s="176">
        <f t="shared" si="2"/>
        <v>0</v>
      </c>
      <c r="Q88" s="186"/>
      <c r="R88" s="187"/>
      <c r="S88" s="173"/>
      <c r="T88" s="134">
        <v>3</v>
      </c>
      <c r="U88" s="135"/>
      <c r="V88" s="173">
        <f>IF(Table[[#This Row],[Year]]=1, 1.2, IF(Table[[#This Row],[Year]]=2, 1.1, IF(Table[[#This Row],[Year]]=3, 1, IF(Table[[#This Row],[Year]]=4, 0.8, IF(Table[[#This Row],[Year]]=5, 0.7, 0)))))</f>
        <v>1</v>
      </c>
    </row>
    <row r="89" spans="2:22" ht="21" x14ac:dyDescent="0.3">
      <c r="B89" s="107"/>
      <c r="C89" s="107"/>
      <c r="D89" s="107"/>
      <c r="F89" s="73" t="s">
        <v>318</v>
      </c>
      <c r="G89" s="190" t="s">
        <v>319</v>
      </c>
      <c r="H89" s="190" t="s">
        <v>320</v>
      </c>
      <c r="I89" s="185" t="s">
        <v>76</v>
      </c>
      <c r="J89" s="172">
        <f>IF(I89="Brother",$C$6*Table[[#This Row],[Seniority Dues]],IF(I89="EC",$C$7,IF(I89="Alumni",$C$8,IF(I89="Dropped",$C$11,IF(I89="President",$C$10,IF(I89="Inactive",$C$9,IF(Table[[#This Row],[Type]]="New Member",$C$13,0)))))))</f>
        <v>528</v>
      </c>
      <c r="K89" s="172"/>
      <c r="L89" s="175"/>
      <c r="M89" s="174">
        <v>528</v>
      </c>
      <c r="N89" s="87"/>
      <c r="O89" s="132">
        <f>Table[[#This Row],[Payment]]</f>
        <v>528</v>
      </c>
      <c r="P89" s="176">
        <f t="shared" si="2"/>
        <v>0</v>
      </c>
      <c r="Q89" s="186"/>
      <c r="R89" s="187"/>
      <c r="S89" s="173"/>
      <c r="T89" s="134">
        <v>2</v>
      </c>
      <c r="U89" s="135"/>
      <c r="V89" s="173">
        <f>IF(Table[[#This Row],[Year]]=1, 1.2, IF(Table[[#This Row],[Year]]=2, 1.1, IF(Table[[#This Row],[Year]]=3, 1, IF(Table[[#This Row],[Year]]=4, 0.8, IF(Table[[#This Row],[Year]]=5, 0.7, 0)))))</f>
        <v>1.1000000000000001</v>
      </c>
    </row>
    <row r="90" spans="2:22" ht="21" x14ac:dyDescent="0.3">
      <c r="B90" s="107"/>
      <c r="C90" s="107"/>
      <c r="D90" s="107"/>
      <c r="F90" s="73" t="s">
        <v>321</v>
      </c>
      <c r="G90" s="188" t="s">
        <v>322</v>
      </c>
      <c r="H90" s="188" t="s">
        <v>323</v>
      </c>
      <c r="I90" s="185" t="s">
        <v>72</v>
      </c>
      <c r="J90" s="172">
        <f>IF(I90="Brother",$C$6*Table[[#This Row],[Seniority Dues]],IF(I90="EC",$C$7,IF(I90="Alumni",$C$8,IF(I90="Dropped",$C$11,IF(I90="President",$C$10,IF(I90="Inactive",$C$9,IF(Table[[#This Row],[Type]]="New Member",$C$13,0)))))))</f>
        <v>200</v>
      </c>
      <c r="K90" s="172"/>
      <c r="L90" s="175"/>
      <c r="M90" s="174">
        <v>200</v>
      </c>
      <c r="N90" s="87"/>
      <c r="O90" s="132">
        <f>Table[[#This Row],[Payment]]</f>
        <v>200</v>
      </c>
      <c r="P90" s="176">
        <f t="shared" si="2"/>
        <v>0</v>
      </c>
      <c r="Q90" s="186"/>
      <c r="R90" s="187"/>
      <c r="S90" s="173"/>
      <c r="T90" s="219">
        <v>3</v>
      </c>
      <c r="U90" s="135"/>
      <c r="V90" s="173">
        <f>IF(Table[[#This Row],[Year]]=1, 1.2, IF(Table[[#This Row],[Year]]=2, 1.1, IF(Table[[#This Row],[Year]]=3, 1, IF(Table[[#This Row],[Year]]=4, 0.8, IF(Table[[#This Row],[Year]]=5, 0.7, 0)))))</f>
        <v>1</v>
      </c>
    </row>
    <row r="91" spans="2:22" ht="21" x14ac:dyDescent="0.3">
      <c r="B91" s="107"/>
      <c r="C91" s="107"/>
      <c r="D91" s="107"/>
      <c r="F91" s="73" t="s">
        <v>324</v>
      </c>
      <c r="G91" s="190" t="s">
        <v>325</v>
      </c>
      <c r="H91" s="213" t="s">
        <v>326</v>
      </c>
      <c r="I91" s="185" t="s">
        <v>72</v>
      </c>
      <c r="J91" s="172">
        <f>IF(I91="Brother",$C$6*Table[[#This Row],[Seniority Dues]],IF(I91="EC",$C$7,IF(I91="Alumni",$C$8,IF(I91="Dropped",$C$11,IF(I91="President",$C$10,IF(I91="Inactive",$C$9,IF(Table[[#This Row],[Type]]="New Member",$C$13,0)))))))</f>
        <v>200</v>
      </c>
      <c r="K91" s="172"/>
      <c r="L91" s="175"/>
      <c r="M91" s="174">
        <v>200</v>
      </c>
      <c r="N91" s="87"/>
      <c r="O91" s="132">
        <f>Table[[#This Row],[Payment]]</f>
        <v>200</v>
      </c>
      <c r="P91" s="176">
        <f t="shared" si="2"/>
        <v>0</v>
      </c>
      <c r="Q91" s="186"/>
      <c r="R91" s="187"/>
      <c r="S91" s="173"/>
      <c r="T91" s="134">
        <v>3</v>
      </c>
      <c r="U91" s="135"/>
      <c r="V91" s="173">
        <f>IF(Table[[#This Row],[Year]]=1, 1.2, IF(Table[[#This Row],[Year]]=2, 1.1, IF(Table[[#This Row],[Year]]=3, 1, IF(Table[[#This Row],[Year]]=4, 0.8, IF(Table[[#This Row],[Year]]=5, 0.7, 0)))))</f>
        <v>1</v>
      </c>
    </row>
    <row r="92" spans="2:22" ht="21" x14ac:dyDescent="0.3">
      <c r="B92" s="107"/>
      <c r="C92" s="107"/>
      <c r="D92" s="107"/>
      <c r="F92" s="73" t="s">
        <v>327</v>
      </c>
      <c r="G92" s="190" t="s">
        <v>328</v>
      </c>
      <c r="H92" s="190" t="s">
        <v>329</v>
      </c>
      <c r="I92" s="185" t="s">
        <v>76</v>
      </c>
      <c r="J92" s="172">
        <f>IF(I92="Brother",$C$6*Table[[#This Row],[Seniority Dues]],IF(I92="EC",$C$7,IF(I92="Alumni",$C$8,IF(I92="Dropped",$C$11,IF(I92="President",$C$10,IF(I92="Inactive",$C$9,IF(Table[[#This Row],[Type]]="New Member",$C$13,0)))))))</f>
        <v>528</v>
      </c>
      <c r="K92" s="172"/>
      <c r="L92" s="175"/>
      <c r="M92" s="174">
        <v>528</v>
      </c>
      <c r="N92" s="87"/>
      <c r="O92" s="132">
        <f>Table[[#This Row],[Payment]]</f>
        <v>528</v>
      </c>
      <c r="P92" s="176">
        <f t="shared" si="2"/>
        <v>0</v>
      </c>
      <c r="Q92" s="186"/>
      <c r="R92" s="187"/>
      <c r="S92" s="173"/>
      <c r="T92" s="134">
        <v>2</v>
      </c>
      <c r="U92" s="135"/>
      <c r="V92" s="173">
        <f>IF(Table[[#This Row],[Year]]=1, 1.2, IF(Table[[#This Row],[Year]]=2, 1.1, IF(Table[[#This Row],[Year]]=3, 1, IF(Table[[#This Row],[Year]]=4, 0.8, IF(Table[[#This Row],[Year]]=5, 0.7, 0)))))</f>
        <v>1.1000000000000001</v>
      </c>
    </row>
    <row r="93" spans="2:22" ht="21" x14ac:dyDescent="0.3">
      <c r="B93" s="107"/>
      <c r="C93" s="107"/>
      <c r="D93" s="107"/>
      <c r="F93" s="73" t="s">
        <v>330</v>
      </c>
      <c r="G93" s="190" t="s">
        <v>331</v>
      </c>
      <c r="H93" s="190" t="s">
        <v>332</v>
      </c>
      <c r="I93" s="185" t="s">
        <v>76</v>
      </c>
      <c r="J93" s="172">
        <f>IF(I93="Brother",$C$6*Table[[#This Row],[Seniority Dues]],IF(I93="EC",$C$7,IF(I93="Alumni",$C$8,IF(I93="Dropped",$C$11,IF(I93="President",$C$10,IF(I93="Inactive",$C$9,IF(Table[[#This Row],[Type]]="New Member",$C$13,0)))))))</f>
        <v>528</v>
      </c>
      <c r="K93" s="172"/>
      <c r="L93" s="175"/>
      <c r="M93" s="174">
        <v>528</v>
      </c>
      <c r="N93" s="87"/>
      <c r="O93" s="132">
        <f>Table[[#This Row],[Payment]]</f>
        <v>528</v>
      </c>
      <c r="P93" s="176">
        <f t="shared" si="2"/>
        <v>0</v>
      </c>
      <c r="Q93" s="186"/>
      <c r="R93" s="187"/>
      <c r="S93" s="173"/>
      <c r="T93" s="134">
        <v>2</v>
      </c>
      <c r="U93" s="135"/>
      <c r="V93" s="173">
        <f>IF(Table[[#This Row],[Year]]=1, 1.2, IF(Table[[#This Row],[Year]]=2, 1.1, IF(Table[[#This Row],[Year]]=3, 1, IF(Table[[#This Row],[Year]]=4, 0.8, IF(Table[[#This Row],[Year]]=5, 0.7, 0)))))</f>
        <v>1.1000000000000001</v>
      </c>
    </row>
    <row r="94" spans="2:22" ht="21" x14ac:dyDescent="0.3">
      <c r="B94" s="107"/>
      <c r="C94" s="107"/>
      <c r="D94" s="107"/>
      <c r="F94" s="73" t="s">
        <v>333</v>
      </c>
      <c r="G94" s="188" t="s">
        <v>334</v>
      </c>
      <c r="H94" s="188" t="s">
        <v>335</v>
      </c>
      <c r="I94" s="185" t="s">
        <v>76</v>
      </c>
      <c r="J94" s="172">
        <f>IF(I94="Brother",$C$6*Table[[#This Row],[Seniority Dues]],IF(I94="EC",$C$7,IF(I94="Alumni",$C$8,IF(I94="Dropped",$C$11,IF(I94="President",$C$10,IF(I94="Inactive",$C$9,IF(Table[[#This Row],[Type]]="New Member",$C$13,0)))))))</f>
        <v>384</v>
      </c>
      <c r="K94" s="172"/>
      <c r="L94" s="175">
        <v>600</v>
      </c>
      <c r="M94" s="174"/>
      <c r="N94" s="87"/>
      <c r="O94" s="132">
        <f>Table[[#This Row],[Payment]]</f>
        <v>0</v>
      </c>
      <c r="P94" s="176">
        <f t="shared" si="2"/>
        <v>984</v>
      </c>
      <c r="Q94" s="186"/>
      <c r="R94" s="187"/>
      <c r="S94" s="173"/>
      <c r="T94" s="219">
        <v>4</v>
      </c>
      <c r="U94" s="135"/>
      <c r="V94" s="173">
        <f>IF(Table[[#This Row],[Year]]=1, 1.2, IF(Table[[#This Row],[Year]]=2, 1.1, IF(Table[[#This Row],[Year]]=3, 1, IF(Table[[#This Row],[Year]]=4, 0.8, IF(Table[[#This Row],[Year]]=5, 0.7, 0)))))</f>
        <v>0.8</v>
      </c>
    </row>
    <row r="95" spans="2:22" ht="21" x14ac:dyDescent="0.3">
      <c r="B95" s="107"/>
      <c r="C95" s="107"/>
      <c r="D95" s="107"/>
      <c r="F95" s="73" t="s">
        <v>336</v>
      </c>
      <c r="G95" s="188" t="s">
        <v>337</v>
      </c>
      <c r="H95" s="188" t="s">
        <v>338</v>
      </c>
      <c r="I95" s="185" t="s">
        <v>76</v>
      </c>
      <c r="J95" s="172">
        <f>IF(I95="Brother",$C$6*Table[[#This Row],[Seniority Dues]],IF(I95="EC",$C$7,IF(I95="Alumni",$C$8,IF(I95="Dropped",$C$11,IF(I95="President",$C$10,IF(I95="Inactive",$C$9,IF(Table[[#This Row],[Type]]="New Member",$C$13,0)))))))</f>
        <v>480</v>
      </c>
      <c r="K95" s="172"/>
      <c r="L95" s="175"/>
      <c r="M95" s="174">
        <v>480</v>
      </c>
      <c r="N95" s="87"/>
      <c r="O95" s="132">
        <f>Table[[#This Row],[Payment]]</f>
        <v>480</v>
      </c>
      <c r="P95" s="176">
        <f t="shared" si="2"/>
        <v>0</v>
      </c>
      <c r="Q95" s="186"/>
      <c r="R95" s="187"/>
      <c r="S95" s="173"/>
      <c r="T95" s="220">
        <v>3</v>
      </c>
      <c r="U95" s="135"/>
      <c r="V95" s="173">
        <f>IF(Table[[#This Row],[Year]]=1, 1.2, IF(Table[[#This Row],[Year]]=2, 1.1, IF(Table[[#This Row],[Year]]=3, 1, IF(Table[[#This Row],[Year]]=4, 0.8, IF(Table[[#This Row],[Year]]=5, 0.7, 0)))))</f>
        <v>1</v>
      </c>
    </row>
    <row r="96" spans="2:22" ht="21" x14ac:dyDescent="0.3">
      <c r="B96" s="107"/>
      <c r="C96" s="107"/>
      <c r="D96" s="107"/>
      <c r="F96" s="73" t="s">
        <v>339</v>
      </c>
      <c r="G96" s="188" t="s">
        <v>340</v>
      </c>
      <c r="H96" s="188" t="s">
        <v>341</v>
      </c>
      <c r="I96" s="185" t="s">
        <v>76</v>
      </c>
      <c r="J96" s="172">
        <f>IF(I96="Brother",$C$6*Table[[#This Row],[Seniority Dues]],IF(I96="EC",$C$7,IF(I96="Alumni",$C$8,IF(I96="Dropped",$C$11,IF(I96="President",$C$10,IF(I96="Inactive",$C$9,IF(Table[[#This Row],[Type]]="New Member",$C$13,0)))))))</f>
        <v>384</v>
      </c>
      <c r="K96" s="172"/>
      <c r="L96" s="175">
        <v>480</v>
      </c>
      <c r="M96" s="174"/>
      <c r="N96" s="87"/>
      <c r="O96" s="132">
        <f>Table[[#This Row],[Payment]]</f>
        <v>0</v>
      </c>
      <c r="P96" s="176">
        <f t="shared" si="2"/>
        <v>864</v>
      </c>
      <c r="Q96" s="186"/>
      <c r="R96" s="187"/>
      <c r="S96" s="173"/>
      <c r="T96" s="219">
        <v>4</v>
      </c>
      <c r="U96" s="135"/>
      <c r="V96" s="173">
        <f>IF(Table[[#This Row],[Year]]=1, 1.2, IF(Table[[#This Row],[Year]]=2, 1.1, IF(Table[[#This Row],[Year]]=3, 1, IF(Table[[#This Row],[Year]]=4, 0.8, IF(Table[[#This Row],[Year]]=5, 0.7, 0)))))</f>
        <v>0.8</v>
      </c>
    </row>
    <row r="97" spans="2:22" ht="21" x14ac:dyDescent="0.3">
      <c r="B97" s="107"/>
      <c r="C97" s="107"/>
      <c r="D97" s="107"/>
      <c r="F97" s="73" t="s">
        <v>342</v>
      </c>
      <c r="G97" s="190" t="s">
        <v>343</v>
      </c>
      <c r="H97" s="190" t="s">
        <v>344</v>
      </c>
      <c r="I97" s="185" t="s">
        <v>76</v>
      </c>
      <c r="J97" s="172">
        <f>IF(I97="Brother",$C$6*Table[[#This Row],[Seniority Dues]],IF(I97="EC",$C$7,IF(I97="Alumni",$C$8,IF(I97="Dropped",$C$11,IF(I97="President",$C$10,IF(I97="Inactive",$C$9,IF(Table[[#This Row],[Type]]="New Member",$C$13,0)))))))</f>
        <v>528</v>
      </c>
      <c r="K97" s="172"/>
      <c r="L97" s="175"/>
      <c r="M97" s="174">
        <v>528</v>
      </c>
      <c r="N97" s="87"/>
      <c r="O97" s="132">
        <f>Table[[#This Row],[Payment]]</f>
        <v>528</v>
      </c>
      <c r="P97" s="176">
        <f t="shared" si="2"/>
        <v>0</v>
      </c>
      <c r="Q97" s="186"/>
      <c r="R97" s="187"/>
      <c r="S97" s="173"/>
      <c r="T97" s="134">
        <v>2</v>
      </c>
      <c r="U97" s="135"/>
      <c r="V97" s="173">
        <f>IF(Table[[#This Row],[Year]]=1, 1.2, IF(Table[[#This Row],[Year]]=2, 1.1, IF(Table[[#This Row],[Year]]=3, 1, IF(Table[[#This Row],[Year]]=4, 0.8, IF(Table[[#This Row],[Year]]=5, 0.7, 0)))))</f>
        <v>1.1000000000000001</v>
      </c>
    </row>
    <row r="98" spans="2:22" ht="21" x14ac:dyDescent="0.3">
      <c r="B98" s="107"/>
      <c r="C98" s="107"/>
      <c r="D98" s="107"/>
      <c r="F98" s="73" t="s">
        <v>345</v>
      </c>
      <c r="G98" s="188" t="s">
        <v>346</v>
      </c>
      <c r="H98" s="188" t="s">
        <v>347</v>
      </c>
      <c r="I98" s="185" t="s">
        <v>72</v>
      </c>
      <c r="J98" s="172">
        <f>IF(I98="Brother",$C$6*Table[[#This Row],[Seniority Dues]],IF(I98="EC",$C$7,IF(I98="Alumni",$C$8,IF(I98="Dropped",$C$11,IF(I98="President",$C$10,IF(I98="Inactive",$C$9,IF(Table[[#This Row],[Type]]="New Member",$C$13,0)))))))</f>
        <v>200</v>
      </c>
      <c r="K98" s="172"/>
      <c r="L98" s="175">
        <v>200</v>
      </c>
      <c r="M98" s="174"/>
      <c r="N98" s="87"/>
      <c r="O98" s="132">
        <f>Table[[#This Row],[Payment]]</f>
        <v>0</v>
      </c>
      <c r="P98" s="176">
        <f t="shared" si="2"/>
        <v>400</v>
      </c>
      <c r="Q98" s="186"/>
      <c r="R98" s="187"/>
      <c r="S98" s="173"/>
      <c r="T98" s="219">
        <v>4</v>
      </c>
      <c r="U98" s="135"/>
      <c r="V98" s="173">
        <f>IF(Table[[#This Row],[Year]]=1, 1.2, IF(Table[[#This Row],[Year]]=2, 1.1, IF(Table[[#This Row],[Year]]=3, 1, IF(Table[[#This Row],[Year]]=4, 0.8, IF(Table[[#This Row],[Year]]=5, 0.7, 0)))))</f>
        <v>0.8</v>
      </c>
    </row>
    <row r="99" spans="2:22" ht="21" x14ac:dyDescent="0.3">
      <c r="B99" s="107"/>
      <c r="C99" s="107"/>
      <c r="D99" s="107"/>
      <c r="F99" s="73" t="s">
        <v>348</v>
      </c>
      <c r="G99" s="188" t="s">
        <v>349</v>
      </c>
      <c r="H99" s="188" t="s">
        <v>243</v>
      </c>
      <c r="I99" s="185" t="s">
        <v>76</v>
      </c>
      <c r="J99" s="172">
        <f>IF(I99="Brother",$C$6*Table[[#This Row],[Seniority Dues]],IF(I99="EC",$C$7,IF(I99="Alumni",$C$8,IF(I99="Dropped",$C$11,IF(I99="President",$C$10,IF(I99="Inactive",$C$9,IF(Table[[#This Row],[Type]]="New Member",$C$13,0)))))))</f>
        <v>480</v>
      </c>
      <c r="K99" s="172"/>
      <c r="L99" s="175"/>
      <c r="M99" s="174">
        <v>480</v>
      </c>
      <c r="N99" s="87"/>
      <c r="O99" s="132">
        <f>Table[[#This Row],[Payment]]</f>
        <v>480</v>
      </c>
      <c r="P99" s="176">
        <f t="shared" ref="P99:P130" si="3">J99+L99-M99+K99</f>
        <v>0</v>
      </c>
      <c r="Q99" s="186"/>
      <c r="R99" s="187"/>
      <c r="S99" s="173"/>
      <c r="T99" s="220">
        <v>3</v>
      </c>
      <c r="U99" s="135"/>
      <c r="V99" s="173">
        <f>IF(Table[[#This Row],[Year]]=1, 1.2, IF(Table[[#This Row],[Year]]=2, 1.1, IF(Table[[#This Row],[Year]]=3, 1, IF(Table[[#This Row],[Year]]=4, 0.8, IF(Table[[#This Row],[Year]]=5, 0.7, 0)))))</f>
        <v>1</v>
      </c>
    </row>
    <row r="100" spans="2:22" ht="21" x14ac:dyDescent="0.3">
      <c r="B100" s="107"/>
      <c r="C100" s="107"/>
      <c r="D100" s="107"/>
      <c r="F100" s="73" t="s">
        <v>350</v>
      </c>
      <c r="G100" s="188" t="s">
        <v>351</v>
      </c>
      <c r="H100" s="188" t="s">
        <v>352</v>
      </c>
      <c r="I100" s="185" t="s">
        <v>72</v>
      </c>
      <c r="J100" s="172">
        <f>IF(I100="Brother",$C$6*Table[[#This Row],[Seniority Dues]],IF(I100="EC",$C$7,IF(I100="Alumni",$C$8,IF(I100="Dropped",$C$11,IF(I100="President",$C$10,IF(I100="Inactive",$C$9,IF(Table[[#This Row],[Type]]="New Member",$C$13,0)))))))</f>
        <v>200</v>
      </c>
      <c r="K100" s="172"/>
      <c r="L100" s="175"/>
      <c r="M100" s="174"/>
      <c r="N100" s="87"/>
      <c r="O100" s="132">
        <f>Table[[#This Row],[Payment]]</f>
        <v>0</v>
      </c>
      <c r="P100" s="176">
        <f t="shared" si="3"/>
        <v>200</v>
      </c>
      <c r="Q100" s="186"/>
      <c r="R100" s="187"/>
      <c r="S100" s="173"/>
      <c r="T100" s="219">
        <v>3</v>
      </c>
      <c r="U100" s="135"/>
      <c r="V100" s="173">
        <f>IF(Table[[#This Row],[Year]]=1, 1.2, IF(Table[[#This Row],[Year]]=2, 1.1, IF(Table[[#This Row],[Year]]=3, 1, IF(Table[[#This Row],[Year]]=4, 0.8, IF(Table[[#This Row],[Year]]=5, 0.7, 0)))))</f>
        <v>1</v>
      </c>
    </row>
    <row r="101" spans="2:22" ht="21" x14ac:dyDescent="0.3">
      <c r="B101" s="107"/>
      <c r="C101" s="107"/>
      <c r="D101" s="107"/>
      <c r="F101" s="73" t="s">
        <v>353</v>
      </c>
      <c r="G101" s="190" t="s">
        <v>354</v>
      </c>
      <c r="H101" s="190" t="s">
        <v>355</v>
      </c>
      <c r="I101" s="185" t="s">
        <v>76</v>
      </c>
      <c r="J101" s="172">
        <f>IF(I101="Brother",$C$6*Table[[#This Row],[Seniority Dues]],IF(I101="EC",$C$7,IF(I101="Alumni",$C$8,IF(I101="Dropped",$C$11,IF(I101="President",$C$10,IF(I101="Inactive",$C$9,IF(Table[[#This Row],[Type]]="New Member",$C$13,0)))))))</f>
        <v>528</v>
      </c>
      <c r="K101" s="172"/>
      <c r="L101" s="175"/>
      <c r="M101" s="174">
        <v>528</v>
      </c>
      <c r="N101" s="87"/>
      <c r="O101" s="132">
        <f>Table[[#This Row],[Payment]]</f>
        <v>528</v>
      </c>
      <c r="P101" s="176">
        <f t="shared" si="3"/>
        <v>0</v>
      </c>
      <c r="Q101" s="186"/>
      <c r="R101" s="187"/>
      <c r="S101" s="173"/>
      <c r="T101" s="134">
        <v>2</v>
      </c>
      <c r="U101" s="135"/>
      <c r="V101" s="173">
        <f>IF(Table[[#This Row],[Year]]=1, 1.2, IF(Table[[#This Row],[Year]]=2, 1.1, IF(Table[[#This Row],[Year]]=3, 1, IF(Table[[#This Row],[Year]]=4, 0.8, IF(Table[[#This Row],[Year]]=5, 0.7, 0)))))</f>
        <v>1.1000000000000001</v>
      </c>
    </row>
    <row r="102" spans="2:22" ht="21" x14ac:dyDescent="0.3">
      <c r="B102" s="107"/>
      <c r="C102" s="107"/>
      <c r="D102" s="107"/>
      <c r="F102" s="73" t="s">
        <v>356</v>
      </c>
      <c r="G102" s="188" t="s">
        <v>357</v>
      </c>
      <c r="H102" s="188" t="s">
        <v>358</v>
      </c>
      <c r="I102" s="185" t="s">
        <v>72</v>
      </c>
      <c r="J102" s="172">
        <f>IF(I102="Brother",$C$6*Table[[#This Row],[Seniority Dues]],IF(I102="EC",$C$7,IF(I102="Alumni",$C$8,IF(I102="Dropped",$C$11,IF(I102="President",$C$10,IF(I102="Inactive",$C$9,IF(Table[[#This Row],[Type]]="New Member",$C$13,0)))))))</f>
        <v>200</v>
      </c>
      <c r="K102" s="172"/>
      <c r="L102" s="175"/>
      <c r="M102" s="174"/>
      <c r="N102" s="87"/>
      <c r="O102" s="132">
        <f>Table[[#This Row],[Payment]]</f>
        <v>0</v>
      </c>
      <c r="P102" s="176">
        <f t="shared" si="3"/>
        <v>200</v>
      </c>
      <c r="Q102" s="186"/>
      <c r="R102" s="187"/>
      <c r="S102" s="173"/>
      <c r="T102" s="219">
        <v>4</v>
      </c>
      <c r="U102" s="135"/>
      <c r="V102" s="173">
        <f>IF(Table[[#This Row],[Year]]=1, 1.2, IF(Table[[#This Row],[Year]]=2, 1.1, IF(Table[[#This Row],[Year]]=3, 1, IF(Table[[#This Row],[Year]]=4, 0.8, IF(Table[[#This Row],[Year]]=5, 0.7, 0)))))</f>
        <v>0.8</v>
      </c>
    </row>
    <row r="103" spans="2:22" ht="21" x14ac:dyDescent="0.3">
      <c r="B103" s="107"/>
      <c r="C103" s="107"/>
      <c r="D103" s="107"/>
      <c r="F103" s="73" t="s">
        <v>359</v>
      </c>
      <c r="G103" s="188" t="s">
        <v>360</v>
      </c>
      <c r="H103" s="188" t="s">
        <v>190</v>
      </c>
      <c r="I103" s="185" t="s">
        <v>76</v>
      </c>
      <c r="J103" s="172">
        <f>IF(I103="Brother",$C$6*Table[[#This Row],[Seniority Dues]],IF(I103="EC",$C$7,IF(I103="Alumni",$C$8,IF(I103="Dropped",$C$11,IF(I103="President",$C$10,IF(I103="Inactive",$C$9,IF(Table[[#This Row],[Type]]="New Member",$C$13,0)))))))</f>
        <v>384</v>
      </c>
      <c r="K103" s="172"/>
      <c r="L103" s="175"/>
      <c r="M103" s="174"/>
      <c r="N103" s="87"/>
      <c r="O103" s="132">
        <f>Table[[#This Row],[Payment]]</f>
        <v>0</v>
      </c>
      <c r="P103" s="176">
        <f t="shared" si="3"/>
        <v>384</v>
      </c>
      <c r="Q103" s="186"/>
      <c r="R103" s="187"/>
      <c r="S103" s="173"/>
      <c r="T103" s="219">
        <v>4</v>
      </c>
      <c r="U103" s="135"/>
      <c r="V103" s="173">
        <f>IF(Table[[#This Row],[Year]]=1, 1.2, IF(Table[[#This Row],[Year]]=2, 1.1, IF(Table[[#This Row],[Year]]=3, 1, IF(Table[[#This Row],[Year]]=4, 0.8, IF(Table[[#This Row],[Year]]=5, 0.7, 0)))))</f>
        <v>0.8</v>
      </c>
    </row>
    <row r="104" spans="2:22" ht="21" x14ac:dyDescent="0.3">
      <c r="B104" s="107"/>
      <c r="C104" s="107"/>
      <c r="D104" s="107"/>
      <c r="F104" s="73" t="s">
        <v>361</v>
      </c>
      <c r="G104" s="188" t="s">
        <v>362</v>
      </c>
      <c r="H104" s="188" t="s">
        <v>363</v>
      </c>
      <c r="I104" s="185" t="s">
        <v>76</v>
      </c>
      <c r="J104" s="172">
        <f>IF(I104="Brother",$C$6*Table[[#This Row],[Seniority Dues]],IF(I104="EC",$C$7,IF(I104="Alumni",$C$8,IF(I104="Dropped",$C$11,IF(I104="President",$C$10,IF(I104="Inactive",$C$9,IF(Table[[#This Row],[Type]]="New Member",$C$13,0)))))))</f>
        <v>384</v>
      </c>
      <c r="K104" s="172"/>
      <c r="L104" s="175"/>
      <c r="M104" s="174">
        <v>384</v>
      </c>
      <c r="N104" s="87"/>
      <c r="O104" s="132">
        <f>Table[[#This Row],[Payment]]</f>
        <v>384</v>
      </c>
      <c r="P104" s="176">
        <f t="shared" si="3"/>
        <v>0</v>
      </c>
      <c r="Q104" s="186"/>
      <c r="R104" s="187"/>
      <c r="S104" s="173"/>
      <c r="T104" s="220">
        <v>4</v>
      </c>
      <c r="U104" s="135"/>
      <c r="V104" s="173">
        <f>IF(Table[[#This Row],[Year]]=1, 1.2, IF(Table[[#This Row],[Year]]=2, 1.1, IF(Table[[#This Row],[Year]]=3, 1, IF(Table[[#This Row],[Year]]=4, 0.8, IF(Table[[#This Row],[Year]]=5, 0.7, 0)))))</f>
        <v>0.8</v>
      </c>
    </row>
    <row r="105" spans="2:22" ht="21" x14ac:dyDescent="0.3">
      <c r="B105" s="107"/>
      <c r="C105" s="107"/>
      <c r="D105" s="107"/>
      <c r="F105" s="73" t="s">
        <v>364</v>
      </c>
      <c r="G105" s="191" t="s">
        <v>365</v>
      </c>
      <c r="H105" s="215" t="s">
        <v>366</v>
      </c>
      <c r="I105" s="185" t="s">
        <v>76</v>
      </c>
      <c r="J105" s="172">
        <f>IF(I105="Brother",$C$6*Table[[#This Row],[Seniority Dues]],IF(I105="EC",$C$7,IF(I105="Alumni",$C$8,IF(I105="Dropped",$C$11,IF(I105="President",$C$10,IF(I105="Inactive",$C$9,IF(Table[[#This Row],[Type]]="New Member",$C$13,0)))))))</f>
        <v>384</v>
      </c>
      <c r="K105" s="172"/>
      <c r="L105" s="175"/>
      <c r="M105" s="174"/>
      <c r="N105" s="87"/>
      <c r="O105" s="132">
        <f>Table[[#This Row],[Payment]]</f>
        <v>0</v>
      </c>
      <c r="P105" s="176">
        <f t="shared" si="3"/>
        <v>384</v>
      </c>
      <c r="Q105" s="186"/>
      <c r="R105" s="187"/>
      <c r="S105" s="173"/>
      <c r="T105" s="219">
        <v>4</v>
      </c>
      <c r="U105" s="135"/>
      <c r="V105" s="173">
        <f>IF(Table[[#This Row],[Year]]=1, 1.2, IF(Table[[#This Row],[Year]]=2, 1.1, IF(Table[[#This Row],[Year]]=3, 1, IF(Table[[#This Row],[Year]]=4, 0.8, IF(Table[[#This Row],[Year]]=5, 0.7, 0)))))</f>
        <v>0.8</v>
      </c>
    </row>
    <row r="106" spans="2:22" ht="21" x14ac:dyDescent="0.3">
      <c r="B106" s="107"/>
      <c r="C106" s="107"/>
      <c r="D106" s="107"/>
      <c r="F106" s="73" t="s">
        <v>367</v>
      </c>
      <c r="G106" s="191" t="s">
        <v>368</v>
      </c>
      <c r="H106" s="215" t="s">
        <v>369</v>
      </c>
      <c r="I106" s="185" t="s">
        <v>76</v>
      </c>
      <c r="J106" s="172">
        <f>IF(I106="Brother",$C$6*Table[[#This Row],[Seniority Dues]],IF(I106="EC",$C$7,IF(I106="Alumni",$C$8,IF(I106="Dropped",$C$11,IF(I106="President",$C$10,IF(I106="Inactive",$C$9,IF(Table[[#This Row],[Type]]="New Member",$C$13,0)))))))</f>
        <v>480</v>
      </c>
      <c r="K106" s="172"/>
      <c r="L106" s="175"/>
      <c r="M106" s="174">
        <v>480</v>
      </c>
      <c r="N106" s="87"/>
      <c r="O106" s="132">
        <f>Table[[#This Row],[Payment]]</f>
        <v>480</v>
      </c>
      <c r="P106" s="176">
        <f t="shared" si="3"/>
        <v>0</v>
      </c>
      <c r="Q106" s="186"/>
      <c r="R106" s="187"/>
      <c r="S106" s="173"/>
      <c r="T106" s="220">
        <v>3</v>
      </c>
      <c r="U106" s="135"/>
      <c r="V106" s="173">
        <f>IF(Table[[#This Row],[Year]]=1, 1.2, IF(Table[[#This Row],[Year]]=2, 1.1, IF(Table[[#This Row],[Year]]=3, 1, IF(Table[[#This Row],[Year]]=4, 0.8, IF(Table[[#This Row],[Year]]=5, 0.7, 0)))))</f>
        <v>1</v>
      </c>
    </row>
    <row r="107" spans="2:22" ht="21" x14ac:dyDescent="0.3">
      <c r="B107" s="107"/>
      <c r="C107" s="107"/>
      <c r="D107" s="107"/>
      <c r="F107" s="73" t="s">
        <v>370</v>
      </c>
      <c r="G107" s="191" t="s">
        <v>371</v>
      </c>
      <c r="H107" s="215" t="s">
        <v>372</v>
      </c>
      <c r="I107" s="185" t="s">
        <v>72</v>
      </c>
      <c r="J107" s="172">
        <f>IF(I107="Brother",$C$6*Table[[#This Row],[Seniority Dues]],IF(I107="EC",$C$7,IF(I107="Alumni",$C$8,IF(I107="Dropped",$C$11,IF(I107="President",$C$10,IF(I107="Inactive",$C$9,IF(Table[[#This Row],[Type]]="New Member",$C$13,0)))))))</f>
        <v>200</v>
      </c>
      <c r="K107" s="172"/>
      <c r="L107" s="175"/>
      <c r="M107" s="174">
        <v>200</v>
      </c>
      <c r="N107" s="87"/>
      <c r="O107" s="132">
        <f>Table[[#This Row],[Payment]]</f>
        <v>200</v>
      </c>
      <c r="P107" s="176">
        <f t="shared" si="3"/>
        <v>0</v>
      </c>
      <c r="Q107" s="186"/>
      <c r="R107" s="187"/>
      <c r="S107" s="173"/>
      <c r="T107" s="219">
        <v>3</v>
      </c>
      <c r="U107" s="135"/>
      <c r="V107" s="173">
        <f>IF(Table[[#This Row],[Year]]=1, 1.2, IF(Table[[#This Row],[Year]]=2, 1.1, IF(Table[[#This Row],[Year]]=3, 1, IF(Table[[#This Row],[Year]]=4, 0.8, IF(Table[[#This Row],[Year]]=5, 0.7, 0)))))</f>
        <v>1</v>
      </c>
    </row>
    <row r="108" spans="2:22" ht="21" x14ac:dyDescent="0.3">
      <c r="B108" s="107"/>
      <c r="C108" s="107"/>
      <c r="D108" s="107"/>
      <c r="F108" s="73" t="s">
        <v>373</v>
      </c>
      <c r="G108" s="192" t="s">
        <v>374</v>
      </c>
      <c r="H108" s="196" t="s">
        <v>375</v>
      </c>
      <c r="I108" s="185" t="s">
        <v>76</v>
      </c>
      <c r="J108" s="172">
        <f>IF(I108="Brother",$C$6*Table[[#This Row],[Seniority Dues]],IF(I108="EC",$C$7,IF(I108="Alumni",$C$8,IF(I108="Dropped",$C$11,IF(I108="President",$C$10,IF(I108="Inactive",$C$9,IF(Table[[#This Row],[Type]]="New Member",$C$13,0)))))))</f>
        <v>528</v>
      </c>
      <c r="K108" s="172"/>
      <c r="L108" s="175"/>
      <c r="M108" s="174">
        <v>528</v>
      </c>
      <c r="N108" s="87"/>
      <c r="O108" s="132">
        <f>Table[[#This Row],[Payment]]</f>
        <v>528</v>
      </c>
      <c r="P108" s="176">
        <f t="shared" si="3"/>
        <v>0</v>
      </c>
      <c r="Q108" s="186"/>
      <c r="R108" s="187"/>
      <c r="S108" s="173"/>
      <c r="T108" s="134">
        <v>2</v>
      </c>
      <c r="U108" s="135"/>
      <c r="V108" s="173">
        <f>IF(Table[[#This Row],[Year]]=1, 1.2, IF(Table[[#This Row],[Year]]=2, 1.1, IF(Table[[#This Row],[Year]]=3, 1, IF(Table[[#This Row],[Year]]=4, 0.8, IF(Table[[#This Row],[Year]]=5, 0.7, 0)))))</f>
        <v>1.1000000000000001</v>
      </c>
    </row>
    <row r="109" spans="2:22" ht="21" x14ac:dyDescent="0.3">
      <c r="B109" s="107"/>
      <c r="C109" s="107"/>
      <c r="D109" s="107"/>
      <c r="F109" s="73" t="s">
        <v>376</v>
      </c>
      <c r="G109" s="191" t="s">
        <v>377</v>
      </c>
      <c r="H109" s="215" t="s">
        <v>151</v>
      </c>
      <c r="I109" s="185" t="s">
        <v>76</v>
      </c>
      <c r="J109" s="172">
        <f>IF(I109="Brother",$C$6*Table[[#This Row],[Seniority Dues]],IF(I109="EC",$C$7,IF(I109="Alumni",$C$8,IF(I109="Dropped",$C$11,IF(I109="President",$C$10,IF(I109="Inactive",$C$9,IF(Table[[#This Row],[Type]]="New Member",$C$13,0)))))))</f>
        <v>480</v>
      </c>
      <c r="K109" s="172"/>
      <c r="L109" s="175"/>
      <c r="M109" s="174"/>
      <c r="N109" s="87"/>
      <c r="O109" s="132">
        <f>Table[[#This Row],[Payment]]</f>
        <v>0</v>
      </c>
      <c r="P109" s="176">
        <f t="shared" si="3"/>
        <v>480</v>
      </c>
      <c r="Q109" s="186"/>
      <c r="R109" s="187"/>
      <c r="S109" s="173"/>
      <c r="T109" s="220">
        <v>3</v>
      </c>
      <c r="U109" s="135"/>
      <c r="V109" s="173">
        <f>IF(Table[[#This Row],[Year]]=1, 1.2, IF(Table[[#This Row],[Year]]=2, 1.1, IF(Table[[#This Row],[Year]]=3, 1, IF(Table[[#This Row],[Year]]=4, 0.8, IF(Table[[#This Row],[Year]]=5, 0.7, 0)))))</f>
        <v>1</v>
      </c>
    </row>
    <row r="110" spans="2:22" ht="21" x14ac:dyDescent="0.3">
      <c r="B110" s="107"/>
      <c r="C110" s="107"/>
      <c r="D110" s="107"/>
      <c r="F110" s="73" t="s">
        <v>378</v>
      </c>
      <c r="G110" s="192" t="s">
        <v>379</v>
      </c>
      <c r="H110" s="196" t="s">
        <v>88</v>
      </c>
      <c r="I110" s="185" t="s">
        <v>76</v>
      </c>
      <c r="J110" s="172">
        <f>IF(I110="Brother",$C$6*Table[[#This Row],[Seniority Dues]],IF(I110="EC",$C$7,IF(I110="Alumni",$C$8,IF(I110="Dropped",$C$11,IF(I110="President",$C$10,IF(I110="Inactive",$C$9,IF(Table[[#This Row],[Type]]="New Member",$C$13,0)))))))</f>
        <v>528</v>
      </c>
      <c r="K110" s="172"/>
      <c r="L110" s="175"/>
      <c r="M110" s="174">
        <v>528</v>
      </c>
      <c r="N110" s="87"/>
      <c r="O110" s="132">
        <f>Table[[#This Row],[Payment]]</f>
        <v>528</v>
      </c>
      <c r="P110" s="176">
        <f t="shared" si="3"/>
        <v>0</v>
      </c>
      <c r="Q110" s="186"/>
      <c r="R110" s="187"/>
      <c r="S110" s="173"/>
      <c r="T110" s="134">
        <v>2</v>
      </c>
      <c r="U110" s="135"/>
      <c r="V110" s="173">
        <f>IF(Table[[#This Row],[Year]]=1, 1.2, IF(Table[[#This Row],[Year]]=2, 1.1, IF(Table[[#This Row],[Year]]=3, 1, IF(Table[[#This Row],[Year]]=4, 0.8, IF(Table[[#This Row],[Year]]=5, 0.7, 0)))))</f>
        <v>1.1000000000000001</v>
      </c>
    </row>
    <row r="111" spans="2:22" ht="21" x14ac:dyDescent="0.3">
      <c r="B111" s="107"/>
      <c r="C111" s="107"/>
      <c r="D111" s="107"/>
      <c r="F111" s="73" t="s">
        <v>380</v>
      </c>
      <c r="G111" s="191" t="s">
        <v>381</v>
      </c>
      <c r="H111" s="215" t="s">
        <v>243</v>
      </c>
      <c r="I111" s="185" t="s">
        <v>76</v>
      </c>
      <c r="J111" s="172">
        <f>IF(I111="Brother",$C$6*Table[[#This Row],[Seniority Dues]],IF(I111="EC",$C$7,IF(I111="Alumni",$C$8,IF(I111="Dropped",$C$11,IF(I111="President",$C$10,IF(I111="Inactive",$C$9,IF(Table[[#This Row],[Type]]="New Member",$C$13,0)))))))</f>
        <v>480</v>
      </c>
      <c r="K111" s="172"/>
      <c r="L111" s="175"/>
      <c r="M111" s="174">
        <v>480</v>
      </c>
      <c r="N111" s="87"/>
      <c r="O111" s="132">
        <f>Table[[#This Row],[Payment]]</f>
        <v>480</v>
      </c>
      <c r="P111" s="176">
        <f t="shared" si="3"/>
        <v>0</v>
      </c>
      <c r="Q111" s="186"/>
      <c r="R111" s="187"/>
      <c r="S111" s="173"/>
      <c r="T111" s="219">
        <v>3</v>
      </c>
      <c r="U111" s="135"/>
      <c r="V111" s="173">
        <f>IF(Table[[#This Row],[Year]]=1, 1.2, IF(Table[[#This Row],[Year]]=2, 1.1, IF(Table[[#This Row],[Year]]=3, 1, IF(Table[[#This Row],[Year]]=4, 0.8, IF(Table[[#This Row],[Year]]=5, 0.7, 0)))))</f>
        <v>1</v>
      </c>
    </row>
    <row r="112" spans="2:22" ht="21" x14ac:dyDescent="0.3">
      <c r="B112" s="107"/>
      <c r="C112" s="107"/>
      <c r="D112" s="107"/>
      <c r="F112" s="73" t="s">
        <v>382</v>
      </c>
      <c r="G112" s="192" t="s">
        <v>383</v>
      </c>
      <c r="H112" s="197" t="s">
        <v>384</v>
      </c>
      <c r="I112" s="185" t="s">
        <v>76</v>
      </c>
      <c r="J112" s="172">
        <f>IF(I112="Brother",$C$6*Table[[#This Row],[Seniority Dues]],IF(I112="EC",$C$7,IF(I112="Alumni",$C$8,IF(I112="Dropped",$C$11,IF(I112="President",$C$10,IF(I112="Inactive",$C$9,IF(Table[[#This Row],[Type]]="New Member",$C$13,0)))))))</f>
        <v>528</v>
      </c>
      <c r="K112" s="172"/>
      <c r="L112" s="175"/>
      <c r="M112" s="174">
        <v>528</v>
      </c>
      <c r="N112" s="87"/>
      <c r="O112" s="132">
        <f>Table[[#This Row],[Payment]]</f>
        <v>528</v>
      </c>
      <c r="P112" s="176">
        <f t="shared" si="3"/>
        <v>0</v>
      </c>
      <c r="Q112" s="186"/>
      <c r="R112" s="187"/>
      <c r="S112" s="173"/>
      <c r="T112" s="134">
        <v>2</v>
      </c>
      <c r="U112" s="135"/>
      <c r="V112" s="173">
        <f>IF(Table[[#This Row],[Year]]=1, 1.2, IF(Table[[#This Row],[Year]]=2, 1.1, IF(Table[[#This Row],[Year]]=3, 1, IF(Table[[#This Row],[Year]]=4, 0.8, IF(Table[[#This Row],[Year]]=5, 0.7, 0)))))</f>
        <v>1.1000000000000001</v>
      </c>
    </row>
    <row r="113" spans="2:22" ht="21" x14ac:dyDescent="0.3">
      <c r="B113" s="107"/>
      <c r="C113" s="107"/>
      <c r="D113" s="107"/>
      <c r="F113" s="73" t="s">
        <v>385</v>
      </c>
      <c r="G113" s="191" t="s">
        <v>386</v>
      </c>
      <c r="H113" s="215" t="s">
        <v>387</v>
      </c>
      <c r="I113" s="185" t="s">
        <v>72</v>
      </c>
      <c r="J113" s="172">
        <f>IF(I113="Brother",$C$6*Table[[#This Row],[Seniority Dues]],IF(I113="EC",$C$7,IF(I113="Alumni",$C$8,IF(I113="Dropped",$C$11,IF(I113="President",$C$10,IF(I113="Inactive",$C$9,IF(Table[[#This Row],[Type]]="New Member",$C$13,0)))))))</f>
        <v>200</v>
      </c>
      <c r="K113" s="172"/>
      <c r="L113" s="175">
        <v>600</v>
      </c>
      <c r="M113" s="174"/>
      <c r="N113" s="87"/>
      <c r="O113" s="132">
        <f>Table[[#This Row],[Payment]]</f>
        <v>0</v>
      </c>
      <c r="P113" s="176">
        <f t="shared" si="3"/>
        <v>800</v>
      </c>
      <c r="Q113" s="186"/>
      <c r="R113" s="187"/>
      <c r="S113" s="173"/>
      <c r="T113" s="219">
        <v>4</v>
      </c>
      <c r="U113" s="135"/>
      <c r="V113" s="173">
        <f>IF(Table[[#This Row],[Year]]=1, 1.2, IF(Table[[#This Row],[Year]]=2, 1.1, IF(Table[[#This Row],[Year]]=3, 1, IF(Table[[#This Row],[Year]]=4, 0.8, IF(Table[[#This Row],[Year]]=5, 0.7, 0)))))</f>
        <v>0.8</v>
      </c>
    </row>
    <row r="114" spans="2:22" ht="21" x14ac:dyDescent="0.3">
      <c r="B114" s="107"/>
      <c r="C114" s="107"/>
      <c r="D114" s="107"/>
      <c r="F114" s="73" t="s">
        <v>388</v>
      </c>
      <c r="G114" s="216" t="s">
        <v>389</v>
      </c>
      <c r="H114" s="217" t="s">
        <v>390</v>
      </c>
      <c r="I114" s="185" t="s">
        <v>76</v>
      </c>
      <c r="J114" s="172">
        <f>IF(I114="Brother",$C$6*Table[[#This Row],[Seniority Dues]],IF(I114="EC",$C$7,IF(I114="Alumni",$C$8,IF(I114="Dropped",$C$11,IF(I114="President",$C$10,IF(I114="Inactive",$C$9,IF(Table[[#This Row],[Type]]="New Member",$C$13,0)))))))</f>
        <v>384</v>
      </c>
      <c r="K114" s="172"/>
      <c r="L114" s="175"/>
      <c r="M114" s="174">
        <v>100</v>
      </c>
      <c r="N114" s="87"/>
      <c r="O114" s="132">
        <f>Table[[#This Row],[Payment]]</f>
        <v>100</v>
      </c>
      <c r="P114" s="176">
        <f t="shared" si="3"/>
        <v>284</v>
      </c>
      <c r="Q114" s="186"/>
      <c r="R114" s="187"/>
      <c r="S114" s="173"/>
      <c r="T114" s="134">
        <v>4</v>
      </c>
      <c r="U114" s="135"/>
      <c r="V114" s="173">
        <f>IF(Table[[#This Row],[Year]]=1, 1.2, IF(Table[[#This Row],[Year]]=2, 1.1, IF(Table[[#This Row],[Year]]=3, 1, IF(Table[[#This Row],[Year]]=4, 0.8, IF(Table[[#This Row],[Year]]=5, 0.7, 0)))))</f>
        <v>0.8</v>
      </c>
    </row>
    <row r="115" spans="2:22" ht="21" x14ac:dyDescent="0.3">
      <c r="B115" s="107"/>
      <c r="C115" s="107"/>
      <c r="D115" s="107"/>
      <c r="F115" s="73" t="s">
        <v>391</v>
      </c>
      <c r="G115" s="192" t="s">
        <v>392</v>
      </c>
      <c r="H115" s="196" t="s">
        <v>393</v>
      </c>
      <c r="I115" s="185" t="s">
        <v>76</v>
      </c>
      <c r="J115" s="172">
        <f>IF(I115="Brother",$C$6*Table[[#This Row],[Seniority Dues]],IF(I115="EC",$C$7,IF(I115="Alumni",$C$8,IF(I115="Dropped",$C$11,IF(I115="President",$C$10,IF(I115="Inactive",$C$9,IF(Table[[#This Row],[Type]]="New Member",$C$13,0)))))))</f>
        <v>384</v>
      </c>
      <c r="K115" s="172"/>
      <c r="L115" s="175"/>
      <c r="M115" s="174">
        <v>100</v>
      </c>
      <c r="N115" s="87"/>
      <c r="O115" s="132">
        <f>Table[[#This Row],[Payment]]</f>
        <v>100</v>
      </c>
      <c r="P115" s="176">
        <f t="shared" si="3"/>
        <v>284</v>
      </c>
      <c r="Q115" s="186"/>
      <c r="R115" s="187"/>
      <c r="S115" s="173"/>
      <c r="T115" s="134">
        <v>4</v>
      </c>
      <c r="U115" s="135"/>
      <c r="V115" s="173">
        <f>IF(Table[[#This Row],[Year]]=1, 1.2, IF(Table[[#This Row],[Year]]=2, 1.1, IF(Table[[#This Row],[Year]]=3, 1, IF(Table[[#This Row],[Year]]=4, 0.8, IF(Table[[#This Row],[Year]]=5, 0.7, 0)))))</f>
        <v>0.8</v>
      </c>
    </row>
    <row r="116" spans="2:22" ht="21" x14ac:dyDescent="0.3">
      <c r="B116" s="107"/>
      <c r="C116" s="107"/>
      <c r="D116" s="107"/>
      <c r="F116" s="73" t="s">
        <v>394</v>
      </c>
      <c r="G116" s="190" t="s">
        <v>395</v>
      </c>
      <c r="H116" s="190" t="s">
        <v>396</v>
      </c>
      <c r="I116" s="185" t="s">
        <v>108</v>
      </c>
      <c r="J116" s="172">
        <f>IF(I116="Brother",$C$6*Table[[#This Row],[Seniority Dues]],IF(I116="EC",$C$7,IF(I116="Alumni",$C$8,IF(I116="Dropped",$C$11,IF(I116="President",$C$10,IF(I116="Inactive",$C$9,IF(Table[[#This Row],[Type]]="New Member",$C$13,0)))))))</f>
        <v>500</v>
      </c>
      <c r="K116" s="172"/>
      <c r="L116" s="175"/>
      <c r="M116" s="174">
        <v>500</v>
      </c>
      <c r="N116" s="87"/>
      <c r="O116" s="132">
        <f>Table[[#This Row],[Payment]]</f>
        <v>500</v>
      </c>
      <c r="P116" s="176">
        <f t="shared" si="3"/>
        <v>0</v>
      </c>
      <c r="Q116" s="186"/>
      <c r="R116" s="187"/>
      <c r="S116" s="173"/>
      <c r="T116" s="134">
        <v>1</v>
      </c>
      <c r="U116" s="135"/>
      <c r="V116" s="173">
        <f>IF(Table[[#This Row],[Year]]=1, 1.2, IF(Table[[#This Row],[Year]]=2, 1.1, IF(Table[[#This Row],[Year]]=3, 1, IF(Table[[#This Row],[Year]]=4, 0.8, IF(Table[[#This Row],[Year]]=5, 0.7, 0)))))</f>
        <v>1.2</v>
      </c>
    </row>
    <row r="117" spans="2:22" ht="21" x14ac:dyDescent="0.3">
      <c r="B117" s="107"/>
      <c r="C117" s="107"/>
      <c r="D117" s="107"/>
      <c r="F117" s="73" t="s">
        <v>397</v>
      </c>
      <c r="G117" s="190" t="s">
        <v>398</v>
      </c>
      <c r="H117" s="190" t="s">
        <v>261</v>
      </c>
      <c r="I117" s="185" t="s">
        <v>108</v>
      </c>
      <c r="J117" s="172">
        <f>IF(I117="Brother",$C$6*Table[[#This Row],[Seniority Dues]],IF(I117="EC",$C$7,IF(I117="Alumni",$C$8,IF(I117="Dropped",$C$11,IF(I117="President",$C$10,IF(I117="Inactive",$C$9,IF(Table[[#This Row],[Type]]="New Member",$C$13,0)))))))</f>
        <v>500</v>
      </c>
      <c r="K117" s="172"/>
      <c r="L117" s="175"/>
      <c r="M117" s="174">
        <v>500</v>
      </c>
      <c r="N117" s="87"/>
      <c r="O117" s="132">
        <f>Table[[#This Row],[Payment]]</f>
        <v>500</v>
      </c>
      <c r="P117" s="176">
        <f t="shared" si="3"/>
        <v>0</v>
      </c>
      <c r="Q117" s="186"/>
      <c r="R117" s="187"/>
      <c r="S117" s="173"/>
      <c r="T117" s="134">
        <v>1</v>
      </c>
      <c r="U117" s="135"/>
      <c r="V117" s="173">
        <f>IF(Table[[#This Row],[Year]]=1, 1.2, IF(Table[[#This Row],[Year]]=2, 1.1, IF(Table[[#This Row],[Year]]=3, 1, IF(Table[[#This Row],[Year]]=4, 0.8, IF(Table[[#This Row],[Year]]=5, 0.7, 0)))))</f>
        <v>1.2</v>
      </c>
    </row>
    <row r="118" spans="2:22" ht="21" x14ac:dyDescent="0.3">
      <c r="B118" s="107"/>
      <c r="C118" s="107"/>
      <c r="D118" s="107"/>
      <c r="F118" s="73" t="s">
        <v>399</v>
      </c>
      <c r="G118" s="190" t="s">
        <v>113</v>
      </c>
      <c r="H118" s="190" t="s">
        <v>400</v>
      </c>
      <c r="I118" s="185" t="s">
        <v>108</v>
      </c>
      <c r="J118" s="172">
        <f>IF(I118="Brother",$C$6*Table[[#This Row],[Seniority Dues]],IF(I118="EC",$C$7,IF(I118="Alumni",$C$8,IF(I118="Dropped",$C$11,IF(I118="President",$C$10,IF(I118="Inactive",$C$9,IF(Table[[#This Row],[Type]]="New Member",$C$13,0)))))))</f>
        <v>500</v>
      </c>
      <c r="K118" s="172"/>
      <c r="L118" s="175"/>
      <c r="M118" s="174">
        <v>500</v>
      </c>
      <c r="N118" s="87"/>
      <c r="O118" s="132">
        <f>Table[[#This Row],[Payment]]</f>
        <v>500</v>
      </c>
      <c r="P118" s="176">
        <f t="shared" si="3"/>
        <v>0</v>
      </c>
      <c r="Q118" s="186"/>
      <c r="R118" s="187"/>
      <c r="S118" s="173"/>
      <c r="T118" s="134">
        <v>1</v>
      </c>
      <c r="U118" s="135"/>
      <c r="V118" s="173">
        <f>IF(Table[[#This Row],[Year]]=1, 1.2, IF(Table[[#This Row],[Year]]=2, 1.1, IF(Table[[#This Row],[Year]]=3, 1, IF(Table[[#This Row],[Year]]=4, 0.8, IF(Table[[#This Row],[Year]]=5, 0.7, 0)))))</f>
        <v>1.2</v>
      </c>
    </row>
    <row r="119" spans="2:22" ht="21" x14ac:dyDescent="0.3">
      <c r="B119" s="107"/>
      <c r="C119" s="107"/>
      <c r="D119" s="107"/>
      <c r="F119" s="73" t="s">
        <v>401</v>
      </c>
      <c r="G119" s="190" t="s">
        <v>402</v>
      </c>
      <c r="H119" s="190" t="s">
        <v>99</v>
      </c>
      <c r="I119" s="185" t="s">
        <v>108</v>
      </c>
      <c r="J119" s="172">
        <f>IF(I119="Brother",$C$6*Table[[#This Row],[Seniority Dues]],IF(I119="EC",$C$7,IF(I119="Alumni",$C$8,IF(I119="Dropped",$C$11,IF(I119="President",$C$10,IF(I119="Inactive",$C$9,IF(Table[[#This Row],[Type]]="New Member",$C$13,0)))))))</f>
        <v>500</v>
      </c>
      <c r="K119" s="172"/>
      <c r="L119" s="175"/>
      <c r="M119" s="174">
        <v>500</v>
      </c>
      <c r="N119" s="87"/>
      <c r="O119" s="132">
        <f>Table[[#This Row],[Payment]]</f>
        <v>500</v>
      </c>
      <c r="P119" s="176">
        <f t="shared" si="3"/>
        <v>0</v>
      </c>
      <c r="Q119" s="186"/>
      <c r="R119" s="187"/>
      <c r="S119" s="173"/>
      <c r="T119" s="134">
        <v>1</v>
      </c>
      <c r="U119" s="135"/>
      <c r="V119" s="173">
        <f>IF(Table[[#This Row],[Year]]=1, 1.2, IF(Table[[#This Row],[Year]]=2, 1.1, IF(Table[[#This Row],[Year]]=3, 1, IF(Table[[#This Row],[Year]]=4, 0.8, IF(Table[[#This Row],[Year]]=5, 0.7, 0)))))</f>
        <v>1.2</v>
      </c>
    </row>
    <row r="120" spans="2:22" ht="21" x14ac:dyDescent="0.3">
      <c r="B120" s="107"/>
      <c r="C120" s="107"/>
      <c r="D120" s="107"/>
      <c r="F120" s="73" t="s">
        <v>403</v>
      </c>
      <c r="G120" s="190" t="s">
        <v>404</v>
      </c>
      <c r="H120" s="190" t="s">
        <v>405</v>
      </c>
      <c r="I120" s="185" t="s">
        <v>108</v>
      </c>
      <c r="J120" s="172">
        <f>IF(I120="Brother",$C$6*Table[[#This Row],[Seniority Dues]],IF(I120="EC",$C$7,IF(I120="Alumni",$C$8,IF(I120="Dropped",$C$11,IF(I120="President",$C$10,IF(I120="Inactive",$C$9,IF(Table[[#This Row],[Type]]="New Member",$C$13,0)))))))</f>
        <v>500</v>
      </c>
      <c r="K120" s="172"/>
      <c r="L120" s="175"/>
      <c r="M120" s="174">
        <v>500</v>
      </c>
      <c r="N120" s="87"/>
      <c r="O120" s="132">
        <f>Table[[#This Row],[Payment]]</f>
        <v>500</v>
      </c>
      <c r="P120" s="176">
        <f t="shared" si="3"/>
        <v>0</v>
      </c>
      <c r="Q120" s="186"/>
      <c r="R120" s="187"/>
      <c r="S120" s="173"/>
      <c r="T120" s="134">
        <v>1</v>
      </c>
      <c r="U120" s="135"/>
      <c r="V120" s="173">
        <f>IF(Table[[#This Row],[Year]]=1, 1.2, IF(Table[[#This Row],[Year]]=2, 1.1, IF(Table[[#This Row],[Year]]=3, 1, IF(Table[[#This Row],[Year]]=4, 0.8, IF(Table[[#This Row],[Year]]=5, 0.7, 0)))))</f>
        <v>1.2</v>
      </c>
    </row>
    <row r="121" spans="2:22" ht="21" x14ac:dyDescent="0.3">
      <c r="B121" s="107"/>
      <c r="C121" s="107"/>
      <c r="D121" s="107"/>
      <c r="F121" s="73" t="s">
        <v>406</v>
      </c>
      <c r="G121" s="190" t="s">
        <v>407</v>
      </c>
      <c r="H121" s="190" t="s">
        <v>408</v>
      </c>
      <c r="I121" s="185" t="s">
        <v>108</v>
      </c>
      <c r="J121" s="172">
        <f>IF(I121="Brother",$C$6*Table[[#This Row],[Seniority Dues]],IF(I121="EC",$C$7,IF(I121="Alumni",$C$8,IF(I121="Dropped",$C$11,IF(I121="President",$C$10,IF(I121="Inactive",$C$9,IF(Table[[#This Row],[Type]]="New Member",$C$13,0)))))))</f>
        <v>500</v>
      </c>
      <c r="K121" s="172"/>
      <c r="L121" s="175"/>
      <c r="M121" s="174">
        <v>500</v>
      </c>
      <c r="N121" s="87"/>
      <c r="O121" s="132">
        <f>Table[[#This Row],[Payment]]</f>
        <v>500</v>
      </c>
      <c r="P121" s="176">
        <f t="shared" si="3"/>
        <v>0</v>
      </c>
      <c r="Q121" s="186"/>
      <c r="R121" s="187"/>
      <c r="S121" s="173"/>
      <c r="T121" s="134">
        <v>1</v>
      </c>
      <c r="U121" s="135"/>
      <c r="V121" s="173">
        <f>IF(Table[[#This Row],[Year]]=1, 1.2, IF(Table[[#This Row],[Year]]=2, 1.1, IF(Table[[#This Row],[Year]]=3, 1, IF(Table[[#This Row],[Year]]=4, 0.8, IF(Table[[#This Row],[Year]]=5, 0.7, 0)))))</f>
        <v>1.2</v>
      </c>
    </row>
    <row r="122" spans="2:22" ht="21" x14ac:dyDescent="0.3">
      <c r="B122" s="107"/>
      <c r="C122" s="107"/>
      <c r="D122" s="107"/>
      <c r="F122" s="73" t="s">
        <v>409</v>
      </c>
      <c r="G122" s="190" t="s">
        <v>181</v>
      </c>
      <c r="H122" s="190" t="s">
        <v>317</v>
      </c>
      <c r="I122" s="185" t="s">
        <v>108</v>
      </c>
      <c r="J122" s="172">
        <f>IF(I122="Brother",$C$6*Table[[#This Row],[Seniority Dues]],IF(I122="EC",$C$7,IF(I122="Alumni",$C$8,IF(I122="Dropped",$C$11,IF(I122="President",$C$10,IF(I122="Inactive",$C$9,IF(Table[[#This Row],[Type]]="New Member",$C$13,0)))))))</f>
        <v>500</v>
      </c>
      <c r="K122" s="172"/>
      <c r="L122" s="175"/>
      <c r="M122" s="174">
        <v>500</v>
      </c>
      <c r="N122" s="87"/>
      <c r="O122" s="132">
        <f>Table[[#This Row],[Payment]]</f>
        <v>500</v>
      </c>
      <c r="P122" s="176">
        <f t="shared" si="3"/>
        <v>0</v>
      </c>
      <c r="Q122" s="186"/>
      <c r="R122" s="187"/>
      <c r="S122" s="173"/>
      <c r="T122" s="134">
        <v>1</v>
      </c>
      <c r="U122" s="135"/>
      <c r="V122" s="173">
        <f>IF(Table[[#This Row],[Year]]=1, 1.2, IF(Table[[#This Row],[Year]]=2, 1.1, IF(Table[[#This Row],[Year]]=3, 1, IF(Table[[#This Row],[Year]]=4, 0.8, IF(Table[[#This Row],[Year]]=5, 0.7, 0)))))</f>
        <v>1.2</v>
      </c>
    </row>
    <row r="123" spans="2:22" ht="21" x14ac:dyDescent="0.3">
      <c r="B123" s="107"/>
      <c r="C123" s="107"/>
      <c r="D123" s="107"/>
      <c r="F123" s="73" t="s">
        <v>410</v>
      </c>
      <c r="G123" s="190" t="s">
        <v>411</v>
      </c>
      <c r="H123" s="190" t="s">
        <v>390</v>
      </c>
      <c r="I123" s="185" t="s">
        <v>104</v>
      </c>
      <c r="J123" s="172">
        <f>IF(I123="Brother",$C$6*Table[[#This Row],[Seniority Dues]],IF(I123="EC",$C$7,IF(I123="Alumni",$C$8,IF(I123="Dropped",$C$11,IF(I123="President",$C$10,IF(I123="Inactive",$C$9,IF(Table[[#This Row],[Type]]="New Member",$C$13,0)))))))</f>
        <v>0</v>
      </c>
      <c r="K123" s="172"/>
      <c r="L123" s="175"/>
      <c r="M123" s="174"/>
      <c r="N123" s="87"/>
      <c r="O123" s="132">
        <f>Table[[#This Row],[Payment]]</f>
        <v>0</v>
      </c>
      <c r="P123" s="176">
        <f t="shared" si="3"/>
        <v>0</v>
      </c>
      <c r="Q123" s="186"/>
      <c r="R123" s="187"/>
      <c r="S123" s="173"/>
      <c r="T123" s="134">
        <v>1</v>
      </c>
      <c r="U123" s="135"/>
      <c r="V123" s="173">
        <f>IF(Table[[#This Row],[Year]]=1, 1.2, IF(Table[[#This Row],[Year]]=2, 1.1, IF(Table[[#This Row],[Year]]=3, 1, IF(Table[[#This Row],[Year]]=4, 0.8, IF(Table[[#This Row],[Year]]=5, 0.7, 0)))))</f>
        <v>1.2</v>
      </c>
    </row>
    <row r="124" spans="2:22" ht="21" x14ac:dyDescent="0.3">
      <c r="B124" s="107"/>
      <c r="C124" s="107"/>
      <c r="D124" s="107"/>
      <c r="F124" s="73" t="s">
        <v>412</v>
      </c>
      <c r="G124" s="190" t="s">
        <v>413</v>
      </c>
      <c r="H124" s="190" t="s">
        <v>301</v>
      </c>
      <c r="I124" s="185" t="s">
        <v>108</v>
      </c>
      <c r="J124" s="172">
        <f>IF(I124="Brother",$C$6*Table[[#This Row],[Seniority Dues]],IF(I124="EC",$C$7,IF(I124="Alumni",$C$8,IF(I124="Dropped",$C$11,IF(I124="President",$C$10,IF(I124="Inactive",$C$9,IF(Table[[#This Row],[Type]]="New Member",$C$13,0)))))))</f>
        <v>500</v>
      </c>
      <c r="K124" s="172"/>
      <c r="L124" s="175"/>
      <c r="M124" s="174">
        <v>500</v>
      </c>
      <c r="N124" s="87"/>
      <c r="O124" s="132">
        <f>Table[[#This Row],[Payment]]</f>
        <v>500</v>
      </c>
      <c r="P124" s="176">
        <f t="shared" si="3"/>
        <v>0</v>
      </c>
      <c r="Q124" s="186"/>
      <c r="R124" s="187"/>
      <c r="S124" s="173"/>
      <c r="T124" s="134">
        <v>1</v>
      </c>
      <c r="U124" s="135"/>
      <c r="V124" s="173">
        <f>IF(Table[[#This Row],[Year]]=1, 1.2, IF(Table[[#This Row],[Year]]=2, 1.1, IF(Table[[#This Row],[Year]]=3, 1, IF(Table[[#This Row],[Year]]=4, 0.8, IF(Table[[#This Row],[Year]]=5, 0.7, 0)))))</f>
        <v>1.2</v>
      </c>
    </row>
    <row r="125" spans="2:22" ht="21" x14ac:dyDescent="0.3">
      <c r="B125" s="107"/>
      <c r="C125" s="107"/>
      <c r="D125" s="107"/>
      <c r="F125" s="73" t="s">
        <v>414</v>
      </c>
      <c r="G125" s="190" t="s">
        <v>204</v>
      </c>
      <c r="H125" s="190" t="s">
        <v>272</v>
      </c>
      <c r="I125" s="185" t="s">
        <v>108</v>
      </c>
      <c r="J125" s="172">
        <f>IF(I125="Brother",$C$6*Table[[#This Row],[Seniority Dues]],IF(I125="EC",$C$7,IF(I125="Alumni",$C$8,IF(I125="Dropped",$C$11,IF(I125="President",$C$10,IF(I125="Inactive",$C$9,IF(Table[[#This Row],[Type]]="New Member",$C$13,0)))))))</f>
        <v>500</v>
      </c>
      <c r="K125" s="172"/>
      <c r="L125" s="175"/>
      <c r="M125" s="174">
        <v>500</v>
      </c>
      <c r="N125" s="87"/>
      <c r="O125" s="132">
        <f>Table[[#This Row],[Payment]]</f>
        <v>500</v>
      </c>
      <c r="P125" s="176">
        <f t="shared" si="3"/>
        <v>0</v>
      </c>
      <c r="Q125" s="186"/>
      <c r="R125" s="187"/>
      <c r="S125" s="173"/>
      <c r="T125" s="134">
        <v>1</v>
      </c>
      <c r="U125" s="135"/>
      <c r="V125" s="173">
        <f>IF(Table[[#This Row],[Year]]=1, 1.2, IF(Table[[#This Row],[Year]]=2, 1.1, IF(Table[[#This Row],[Year]]=3, 1, IF(Table[[#This Row],[Year]]=4, 0.8, IF(Table[[#This Row],[Year]]=5, 0.7, 0)))))</f>
        <v>1.2</v>
      </c>
    </row>
    <row r="126" spans="2:22" ht="21" x14ac:dyDescent="0.3">
      <c r="B126" s="107"/>
      <c r="C126" s="107"/>
      <c r="D126" s="107"/>
      <c r="F126" s="73" t="s">
        <v>415</v>
      </c>
      <c r="G126" s="190" t="s">
        <v>416</v>
      </c>
      <c r="H126" s="190" t="s">
        <v>417</v>
      </c>
      <c r="I126" s="185" t="s">
        <v>108</v>
      </c>
      <c r="J126" s="172">
        <f>IF(I126="Brother",$C$6*Table[[#This Row],[Seniority Dues]],IF(I126="EC",$C$7,IF(I126="Alumni",$C$8,IF(I126="Dropped",$C$11,IF(I126="President",$C$10,IF(I126="Inactive",$C$9,IF(Table[[#This Row],[Type]]="New Member",$C$13,0)))))))</f>
        <v>500</v>
      </c>
      <c r="K126" s="172"/>
      <c r="L126" s="175"/>
      <c r="M126" s="174">
        <v>500</v>
      </c>
      <c r="N126" s="87"/>
      <c r="O126" s="132">
        <f>Table[[#This Row],[Payment]]</f>
        <v>500</v>
      </c>
      <c r="P126" s="176">
        <f t="shared" si="3"/>
        <v>0</v>
      </c>
      <c r="Q126" s="186"/>
      <c r="R126" s="187"/>
      <c r="S126" s="173"/>
      <c r="T126" s="134">
        <v>1</v>
      </c>
      <c r="U126" s="135"/>
      <c r="V126" s="173">
        <f>IF(Table[[#This Row],[Year]]=1, 1.2, IF(Table[[#This Row],[Year]]=2, 1.1, IF(Table[[#This Row],[Year]]=3, 1, IF(Table[[#This Row],[Year]]=4, 0.8, IF(Table[[#This Row],[Year]]=5, 0.7, 0)))))</f>
        <v>1.2</v>
      </c>
    </row>
    <row r="127" spans="2:22" ht="21" x14ac:dyDescent="0.3">
      <c r="B127" s="107"/>
      <c r="C127" s="107"/>
      <c r="D127" s="107"/>
      <c r="F127" s="73" t="s">
        <v>418</v>
      </c>
      <c r="G127" s="190" t="s">
        <v>148</v>
      </c>
      <c r="H127" s="190" t="s">
        <v>419</v>
      </c>
      <c r="I127" s="185" t="s">
        <v>108</v>
      </c>
      <c r="J127" s="172">
        <f>IF(I127="Brother",$C$6*Table[[#This Row],[Seniority Dues]],IF(I127="EC",$C$7,IF(I127="Alumni",$C$8,IF(I127="Dropped",$C$11,IF(I127="President",$C$10,IF(I127="Inactive",$C$9,IF(Table[[#This Row],[Type]]="New Member",$C$13,0)))))))</f>
        <v>500</v>
      </c>
      <c r="K127" s="172"/>
      <c r="L127" s="175"/>
      <c r="M127" s="174">
        <v>500</v>
      </c>
      <c r="N127" s="87"/>
      <c r="O127" s="132">
        <f>Table[[#This Row],[Payment]]</f>
        <v>500</v>
      </c>
      <c r="P127" s="176">
        <f t="shared" si="3"/>
        <v>0</v>
      </c>
      <c r="Q127" s="186"/>
      <c r="R127" s="187"/>
      <c r="S127" s="173"/>
      <c r="T127" s="134">
        <v>1</v>
      </c>
      <c r="U127" s="135"/>
      <c r="V127" s="173">
        <f>IF(Table[[#This Row],[Year]]=1, 1.2, IF(Table[[#This Row],[Year]]=2, 1.1, IF(Table[[#This Row],[Year]]=3, 1, IF(Table[[#This Row],[Year]]=4, 0.8, IF(Table[[#This Row],[Year]]=5, 0.7, 0)))))</f>
        <v>1.2</v>
      </c>
    </row>
    <row r="128" spans="2:22" ht="21" x14ac:dyDescent="0.3">
      <c r="B128" s="107"/>
      <c r="C128" s="107"/>
      <c r="D128" s="107"/>
      <c r="F128" s="73" t="s">
        <v>420</v>
      </c>
      <c r="G128" s="190" t="s">
        <v>421</v>
      </c>
      <c r="H128" s="190" t="s">
        <v>422</v>
      </c>
      <c r="I128" s="185" t="s">
        <v>108</v>
      </c>
      <c r="J128" s="172">
        <f>IF(I128="Brother",$C$6*Table[[#This Row],[Seniority Dues]],IF(I128="EC",$C$7,IF(I128="Alumni",$C$8,IF(I128="Dropped",$C$11,IF(I128="President",$C$10,IF(I128="Inactive",$C$9,IF(Table[[#This Row],[Type]]="New Member",$C$13,0)))))))</f>
        <v>500</v>
      </c>
      <c r="K128" s="172"/>
      <c r="L128" s="175"/>
      <c r="M128" s="174">
        <v>500</v>
      </c>
      <c r="N128" s="87"/>
      <c r="O128" s="132">
        <f>Table[[#This Row],[Payment]]</f>
        <v>500</v>
      </c>
      <c r="P128" s="176">
        <f t="shared" si="3"/>
        <v>0</v>
      </c>
      <c r="Q128" s="186"/>
      <c r="R128" s="187"/>
      <c r="S128" s="173"/>
      <c r="T128" s="134"/>
      <c r="U128" s="135"/>
      <c r="V128" s="173">
        <f>IF(Table[[#This Row],[Year]]=1, 1.2, IF(Table[[#This Row],[Year]]=2, 1.1, IF(Table[[#This Row],[Year]]=3, 1, IF(Table[[#This Row],[Year]]=4, 0.8, IF(Table[[#This Row],[Year]]=5, 0.7, 0)))))</f>
        <v>0</v>
      </c>
    </row>
    <row r="129" spans="2:22" ht="21" x14ac:dyDescent="0.3">
      <c r="B129" s="107"/>
      <c r="C129" s="107"/>
      <c r="D129" s="107"/>
      <c r="F129" s="73" t="s">
        <v>423</v>
      </c>
      <c r="G129" s="190" t="s">
        <v>390</v>
      </c>
      <c r="H129" s="190" t="s">
        <v>148</v>
      </c>
      <c r="I129" s="185" t="s">
        <v>108</v>
      </c>
      <c r="J129" s="172">
        <f>IF(I129="Brother",$C$6*Table[[#This Row],[Seniority Dues]],IF(I129="EC",$C$7,IF(I129="Alumni",$C$8,IF(I129="Dropped",$C$11,IF(I129="President",$C$10,IF(I129="Inactive",$C$9,IF(Table[[#This Row],[Type]]="New Member",$C$13,0)))))))</f>
        <v>500</v>
      </c>
      <c r="K129" s="172"/>
      <c r="L129" s="175"/>
      <c r="M129" s="174">
        <v>500</v>
      </c>
      <c r="N129" s="87"/>
      <c r="O129" s="132">
        <f>Table[[#This Row],[Payment]]</f>
        <v>500</v>
      </c>
      <c r="P129" s="176">
        <f t="shared" si="3"/>
        <v>0</v>
      </c>
      <c r="Q129" s="186"/>
      <c r="R129" s="187"/>
      <c r="S129" s="173"/>
      <c r="T129" s="134">
        <v>1</v>
      </c>
      <c r="U129" s="135"/>
      <c r="V129" s="173">
        <f>IF(Table[[#This Row],[Year]]=1, 1.2, IF(Table[[#This Row],[Year]]=2, 1.1, IF(Table[[#This Row],[Year]]=3, 1, IF(Table[[#This Row],[Year]]=4, 0.8, IF(Table[[#This Row],[Year]]=5, 0.7, 0)))))</f>
        <v>1.2</v>
      </c>
    </row>
    <row r="130" spans="2:22" ht="21" x14ac:dyDescent="0.3">
      <c r="B130" s="107"/>
      <c r="C130" s="107"/>
      <c r="D130" s="107"/>
      <c r="F130" s="73" t="s">
        <v>424</v>
      </c>
      <c r="G130" s="190" t="s">
        <v>425</v>
      </c>
      <c r="H130" s="190" t="s">
        <v>426</v>
      </c>
      <c r="I130" s="185" t="s">
        <v>108</v>
      </c>
      <c r="J130" s="172">
        <f>IF(I130="Brother",$C$6*Table[[#This Row],[Seniority Dues]],IF(I130="EC",$C$7,IF(I130="Alumni",$C$8,IF(I130="Dropped",$C$11,IF(I130="President",$C$10,IF(I130="Inactive",$C$9,IF(Table[[#This Row],[Type]]="New Member",$C$13,0)))))))</f>
        <v>500</v>
      </c>
      <c r="K130" s="172"/>
      <c r="L130" s="175"/>
      <c r="M130" s="174">
        <v>500</v>
      </c>
      <c r="N130" s="87"/>
      <c r="O130" s="132">
        <f>Table[[#This Row],[Payment]]</f>
        <v>500</v>
      </c>
      <c r="P130" s="176">
        <f t="shared" si="3"/>
        <v>0</v>
      </c>
      <c r="Q130" s="186"/>
      <c r="R130" s="187"/>
      <c r="S130" s="173"/>
      <c r="T130" s="134">
        <v>1</v>
      </c>
      <c r="U130" s="135"/>
      <c r="V130" s="173">
        <f>IF(Table[[#This Row],[Year]]=1, 1.2, IF(Table[[#This Row],[Year]]=2, 1.1, IF(Table[[#This Row],[Year]]=3, 1, IF(Table[[#This Row],[Year]]=4, 0.8, IF(Table[[#This Row],[Year]]=5, 0.7, 0)))))</f>
        <v>1.2</v>
      </c>
    </row>
    <row r="131" spans="2:22" ht="21" x14ac:dyDescent="0.3">
      <c r="B131" s="107"/>
      <c r="C131" s="107"/>
      <c r="D131" s="107"/>
      <c r="F131" s="73" t="s">
        <v>427</v>
      </c>
      <c r="G131" s="190" t="s">
        <v>428</v>
      </c>
      <c r="H131" s="190" t="s">
        <v>218</v>
      </c>
      <c r="I131" s="185" t="s">
        <v>108</v>
      </c>
      <c r="J131" s="172">
        <f>IF(I131="Brother",$C$6*Table[[#This Row],[Seniority Dues]],IF(I131="EC",$C$7,IF(I131="Alumni",$C$8,IF(I131="Dropped",$C$11,IF(I131="President",$C$10,IF(I131="Inactive",$C$9,IF(Table[[#This Row],[Type]]="New Member",$C$13,0)))))))</f>
        <v>500</v>
      </c>
      <c r="K131" s="172"/>
      <c r="L131" s="175"/>
      <c r="M131" s="174">
        <v>500</v>
      </c>
      <c r="N131" s="87"/>
      <c r="O131" s="132">
        <f>Table[[#This Row],[Payment]]</f>
        <v>500</v>
      </c>
      <c r="P131" s="176">
        <f t="shared" ref="P131:P138" si="4">J131+L131-M131+K131</f>
        <v>0</v>
      </c>
      <c r="Q131" s="186"/>
      <c r="R131" s="187"/>
      <c r="S131" s="173"/>
      <c r="T131" s="134">
        <v>1</v>
      </c>
      <c r="U131" s="135"/>
      <c r="V131" s="173">
        <f>IF(Table[[#This Row],[Year]]=1, 1.2, IF(Table[[#This Row],[Year]]=2, 1.1, IF(Table[[#This Row],[Year]]=3, 1, IF(Table[[#This Row],[Year]]=4, 0.8, IF(Table[[#This Row],[Year]]=5, 0.7, 0)))))</f>
        <v>1.2</v>
      </c>
    </row>
    <row r="132" spans="2:22" ht="21" x14ac:dyDescent="0.3">
      <c r="B132" s="107"/>
      <c r="C132" s="107"/>
      <c r="D132" s="107"/>
      <c r="F132" s="73" t="s">
        <v>429</v>
      </c>
      <c r="G132" s="190" t="s">
        <v>320</v>
      </c>
      <c r="H132" s="190" t="s">
        <v>430</v>
      </c>
      <c r="I132" s="185" t="s">
        <v>108</v>
      </c>
      <c r="J132" s="172">
        <f>IF(I132="Brother",$C$6*Table[[#This Row],[Seniority Dues]],IF(I132="EC",$C$7,IF(I132="Alumni",$C$8,IF(I132="Dropped",$C$11,IF(I132="President",$C$10,IF(I132="Inactive",$C$9,IF(Table[[#This Row],[Type]]="New Member",$C$13,0)))))))</f>
        <v>500</v>
      </c>
      <c r="K132" s="172"/>
      <c r="L132" s="175"/>
      <c r="M132" s="174">
        <v>500</v>
      </c>
      <c r="N132" s="87"/>
      <c r="O132" s="132">
        <f>Table[[#This Row],[Payment]]</f>
        <v>500</v>
      </c>
      <c r="P132" s="176">
        <f t="shared" si="4"/>
        <v>0</v>
      </c>
      <c r="Q132" s="186"/>
      <c r="R132" s="187"/>
      <c r="S132" s="173"/>
      <c r="T132" s="134">
        <v>1</v>
      </c>
      <c r="U132" s="135"/>
      <c r="V132" s="173">
        <f>IF(Table[[#This Row],[Year]]=1, 1.2, IF(Table[[#This Row],[Year]]=2, 1.1, IF(Table[[#This Row],[Year]]=3, 1, IF(Table[[#This Row],[Year]]=4, 0.8, IF(Table[[#This Row],[Year]]=5, 0.7, 0)))))</f>
        <v>1.2</v>
      </c>
    </row>
    <row r="133" spans="2:22" ht="21" x14ac:dyDescent="0.3">
      <c r="B133" s="107"/>
      <c r="C133" s="107"/>
      <c r="D133" s="107"/>
      <c r="F133" s="73" t="s">
        <v>431</v>
      </c>
      <c r="G133" s="190" t="s">
        <v>432</v>
      </c>
      <c r="H133" s="190" t="s">
        <v>433</v>
      </c>
      <c r="I133" s="185" t="s">
        <v>108</v>
      </c>
      <c r="J133" s="172">
        <f>IF(I133="Brother",$C$6*Table[[#This Row],[Seniority Dues]],IF(I133="EC",$C$7,IF(I133="Alumni",$C$8,IF(I133="Dropped",$C$11,IF(I133="President",$C$10,IF(I133="Inactive",$C$9,IF(Table[[#This Row],[Type]]="New Member",$C$13,0)))))))</f>
        <v>500</v>
      </c>
      <c r="K133" s="172"/>
      <c r="L133" s="175"/>
      <c r="M133" s="174">
        <v>500</v>
      </c>
      <c r="N133" s="87"/>
      <c r="O133" s="132">
        <f>Table[[#This Row],[Payment]]</f>
        <v>500</v>
      </c>
      <c r="P133" s="176">
        <f t="shared" si="4"/>
        <v>0</v>
      </c>
      <c r="Q133" s="186"/>
      <c r="R133" s="187"/>
      <c r="S133" s="173"/>
      <c r="T133" s="134">
        <v>1</v>
      </c>
      <c r="U133" s="135"/>
      <c r="V133" s="173">
        <f>IF(Table[[#This Row],[Year]]=1, 1.2, IF(Table[[#This Row],[Year]]=2, 1.1, IF(Table[[#This Row],[Year]]=3, 1, IF(Table[[#This Row],[Year]]=4, 0.8, IF(Table[[#This Row],[Year]]=5, 0.7, 0)))))</f>
        <v>1.2</v>
      </c>
    </row>
    <row r="134" spans="2:22" ht="21" x14ac:dyDescent="0.3">
      <c r="B134" s="107"/>
      <c r="C134" s="107"/>
      <c r="D134" s="107"/>
      <c r="F134" s="73" t="s">
        <v>434</v>
      </c>
      <c r="G134" s="190" t="s">
        <v>435</v>
      </c>
      <c r="H134" s="190" t="s">
        <v>387</v>
      </c>
      <c r="I134" s="185" t="s">
        <v>108</v>
      </c>
      <c r="J134" s="172">
        <f>IF(I134="Brother",$C$6*Table[[#This Row],[Seniority Dues]],IF(I134="EC",$C$7,IF(I134="Alumni",$C$8,IF(I134="Dropped",$C$11,IF(I134="President",$C$10,IF(I134="Inactive",$C$9,IF(Table[[#This Row],[Type]]="New Member",$C$13,0)))))))</f>
        <v>500</v>
      </c>
      <c r="K134" s="172"/>
      <c r="L134" s="175"/>
      <c r="M134" s="174">
        <v>500</v>
      </c>
      <c r="N134" s="87"/>
      <c r="O134" s="132">
        <f>Table[[#This Row],[Payment]]</f>
        <v>500</v>
      </c>
      <c r="P134" s="176">
        <f t="shared" si="4"/>
        <v>0</v>
      </c>
      <c r="Q134" s="186"/>
      <c r="R134" s="187"/>
      <c r="S134" s="173"/>
      <c r="T134" s="134">
        <v>1</v>
      </c>
      <c r="U134" s="135"/>
      <c r="V134" s="173">
        <f>IF(Table[[#This Row],[Year]]=1, 1.2, IF(Table[[#This Row],[Year]]=2, 1.1, IF(Table[[#This Row],[Year]]=3, 1, IF(Table[[#This Row],[Year]]=4, 0.8, IF(Table[[#This Row],[Year]]=5, 0.7, 0)))))</f>
        <v>1.2</v>
      </c>
    </row>
    <row r="135" spans="2:22" ht="21" x14ac:dyDescent="0.3">
      <c r="B135" s="107"/>
      <c r="C135" s="107"/>
      <c r="D135" s="107"/>
      <c r="F135" s="73" t="s">
        <v>436</v>
      </c>
      <c r="G135" s="190" t="s">
        <v>437</v>
      </c>
      <c r="H135" s="190" t="s">
        <v>438</v>
      </c>
      <c r="I135" s="185" t="s">
        <v>108</v>
      </c>
      <c r="J135" s="172">
        <f>IF(I135="Brother",$C$6*Table[[#This Row],[Seniority Dues]],IF(I135="EC",$C$7,IF(I135="Alumni",$C$8,IF(I135="Dropped",$C$11,IF(I135="President",$C$10,IF(I135="Inactive",$C$9,IF(Table[[#This Row],[Type]]="New Member",$C$13,0)))))))</f>
        <v>500</v>
      </c>
      <c r="K135" s="172"/>
      <c r="L135" s="175"/>
      <c r="M135" s="174">
        <v>500</v>
      </c>
      <c r="N135" s="87"/>
      <c r="O135" s="132">
        <f>Table[[#This Row],[Payment]]</f>
        <v>500</v>
      </c>
      <c r="P135" s="176">
        <f t="shared" si="4"/>
        <v>0</v>
      </c>
      <c r="Q135" s="186"/>
      <c r="R135" s="187"/>
      <c r="S135" s="173"/>
      <c r="T135" s="134">
        <v>1</v>
      </c>
      <c r="U135" s="135"/>
      <c r="V135" s="173">
        <f>IF(Table[[#This Row],[Year]]=1, 1.2, IF(Table[[#This Row],[Year]]=2, 1.1, IF(Table[[#This Row],[Year]]=3, 1, IF(Table[[#This Row],[Year]]=4, 0.8, IF(Table[[#This Row],[Year]]=5, 0.7, 0)))))</f>
        <v>1.2</v>
      </c>
    </row>
    <row r="136" spans="2:22" ht="21" x14ac:dyDescent="0.3">
      <c r="B136" s="107"/>
      <c r="C136" s="107"/>
      <c r="D136" s="107"/>
      <c r="F136" s="73" t="s">
        <v>439</v>
      </c>
      <c r="G136" s="190" t="s">
        <v>440</v>
      </c>
      <c r="H136" s="190" t="s">
        <v>441</v>
      </c>
      <c r="I136" s="185" t="s">
        <v>108</v>
      </c>
      <c r="J136" s="172">
        <f>IF(I136="Brother",$C$6*Table[[#This Row],[Seniority Dues]],IF(I136="EC",$C$7,IF(I136="Alumni",$C$8,IF(I136="Dropped",$C$11,IF(I136="President",$C$10,IF(I136="Inactive",$C$9,IF(Table[[#This Row],[Type]]="New Member",$C$13,0)))))))</f>
        <v>500</v>
      </c>
      <c r="K136" s="172"/>
      <c r="L136" s="175"/>
      <c r="M136" s="174">
        <v>500</v>
      </c>
      <c r="N136" s="87"/>
      <c r="O136" s="132">
        <f>Table[[#This Row],[Payment]]</f>
        <v>500</v>
      </c>
      <c r="P136" s="176">
        <f t="shared" si="4"/>
        <v>0</v>
      </c>
      <c r="Q136" s="186"/>
      <c r="R136" s="187"/>
      <c r="S136" s="173"/>
      <c r="T136" s="134">
        <v>1</v>
      </c>
      <c r="U136" s="135"/>
      <c r="V136" s="173">
        <f>IF(Table[[#This Row],[Year]]=1, 1.2, IF(Table[[#This Row],[Year]]=2, 1.1, IF(Table[[#This Row],[Year]]=3, 1, IF(Table[[#This Row],[Year]]=4, 0.8, IF(Table[[#This Row],[Year]]=5, 0.7, 0)))))</f>
        <v>1.2</v>
      </c>
    </row>
    <row r="137" spans="2:22" ht="21" x14ac:dyDescent="0.3">
      <c r="B137" s="107"/>
      <c r="C137" s="107"/>
      <c r="D137" s="107"/>
      <c r="F137" s="73" t="s">
        <v>442</v>
      </c>
      <c r="G137" s="190" t="s">
        <v>443</v>
      </c>
      <c r="H137" s="190" t="s">
        <v>444</v>
      </c>
      <c r="I137" s="185" t="s">
        <v>108</v>
      </c>
      <c r="J137" s="172">
        <f>IF(I137="Brother",$C$6*Table[[#This Row],[Seniority Dues]],IF(I137="EC",$C$7,IF(I137="Alumni",$C$8,IF(I137="Dropped",$C$11,IF(I137="President",$C$10,IF(I137="Inactive",$C$9,IF(Table[[#This Row],[Type]]="New Member",$C$13,0)))))))</f>
        <v>500</v>
      </c>
      <c r="K137" s="172"/>
      <c r="L137" s="175"/>
      <c r="M137" s="174">
        <v>500</v>
      </c>
      <c r="N137" s="87"/>
      <c r="O137" s="132">
        <f>Table[[#This Row],[Payment]]</f>
        <v>500</v>
      </c>
      <c r="P137" s="176">
        <f t="shared" si="4"/>
        <v>0</v>
      </c>
      <c r="Q137" s="186"/>
      <c r="R137" s="187"/>
      <c r="S137" s="173"/>
      <c r="T137" s="134">
        <v>1</v>
      </c>
      <c r="U137" s="135"/>
      <c r="V137" s="173">
        <f>IF(Table[[#This Row],[Year]]=1, 1.2, IF(Table[[#This Row],[Year]]=2, 1.1, IF(Table[[#This Row],[Year]]=3, 1, IF(Table[[#This Row],[Year]]=4, 0.8, IF(Table[[#This Row],[Year]]=5, 0.7, 0)))))</f>
        <v>1.2</v>
      </c>
    </row>
    <row r="138" spans="2:22" ht="22" thickBot="1" x14ac:dyDescent="0.35">
      <c r="B138" s="107"/>
      <c r="C138" s="107"/>
      <c r="D138" s="107"/>
      <c r="F138" s="73" t="s">
        <v>445</v>
      </c>
      <c r="G138" s="190" t="s">
        <v>446</v>
      </c>
      <c r="H138" s="190" t="s">
        <v>447</v>
      </c>
      <c r="I138" s="185" t="s">
        <v>108</v>
      </c>
      <c r="J138" s="172">
        <f>IF(I138="Brother",$C$6*Table[[#This Row],[Seniority Dues]],IF(I138="EC",$C$7,IF(I138="Alumni",$C$8,IF(I138="Dropped",$C$11,IF(I138="President",$C$10,IF(I138="Inactive",$C$9,IF(Table[[#This Row],[Type]]="New Member",$C$13,0)))))))</f>
        <v>500</v>
      </c>
      <c r="K138" s="172"/>
      <c r="L138" s="175"/>
      <c r="M138" s="174">
        <v>500</v>
      </c>
      <c r="N138" s="87"/>
      <c r="O138" s="132">
        <f>Table[[#This Row],[Payment]]</f>
        <v>500</v>
      </c>
      <c r="P138" s="176">
        <f t="shared" si="4"/>
        <v>0</v>
      </c>
      <c r="Q138" s="186"/>
      <c r="R138" s="187"/>
      <c r="S138" s="173"/>
      <c r="T138" s="134">
        <v>1</v>
      </c>
      <c r="U138" s="135"/>
      <c r="V138" s="173">
        <f>IF(Table[[#This Row],[Year]]=1, 1.2, IF(Table[[#This Row],[Year]]=2, 1.1, IF(Table[[#This Row],[Year]]=3, 1, IF(Table[[#This Row],[Year]]=4, 0.8, IF(Table[[#This Row],[Year]]=5, 0.7, 0)))))</f>
        <v>1.2</v>
      </c>
    </row>
    <row r="139" spans="2:22" ht="27" thickBot="1" x14ac:dyDescent="0.45">
      <c r="B139" s="123"/>
      <c r="C139" s="123"/>
      <c r="D139" s="123"/>
      <c r="G139" s="113" t="s">
        <v>448</v>
      </c>
      <c r="H139" s="114">
        <f>SUBTOTAL(103,Table[First Name])</f>
        <v>136</v>
      </c>
      <c r="I139" s="115"/>
      <c r="J139" s="116">
        <f>SUBTOTAL(109,Table[Amount Due])</f>
        <v>54503</v>
      </c>
      <c r="K139" s="116"/>
      <c r="L139" s="117"/>
      <c r="M139" s="118"/>
      <c r="N139" s="117"/>
      <c r="O139" s="119">
        <f>SUBTOTAL(109,Table[Total Paid])</f>
        <v>45915</v>
      </c>
      <c r="P139" s="120">
        <f>SUBTOTAL(109,Table[Remaining Balance])</f>
        <v>12327</v>
      </c>
      <c r="Q139" s="121"/>
      <c r="R139" s="121"/>
      <c r="S139" s="121"/>
      <c r="T139" s="121"/>
      <c r="U139" s="121"/>
      <c r="V139" s="144"/>
    </row>
    <row r="140" spans="2:22" x14ac:dyDescent="0.3">
      <c r="B140" s="123"/>
      <c r="C140" s="123"/>
      <c r="D140" s="123"/>
    </row>
    <row r="141" spans="2:22" x14ac:dyDescent="0.3">
      <c r="B141" s="123"/>
      <c r="C141" s="123"/>
      <c r="D141" s="123"/>
    </row>
    <row r="142" spans="2:22" x14ac:dyDescent="0.3">
      <c r="B142" s="123"/>
      <c r="C142" s="123"/>
      <c r="D142" s="123"/>
    </row>
    <row r="143" spans="2:22" x14ac:dyDescent="0.3">
      <c r="B143" s="123"/>
      <c r="C143" s="123"/>
      <c r="D143" s="123"/>
    </row>
    <row r="144" spans="2:22" x14ac:dyDescent="0.3">
      <c r="B144" s="123"/>
      <c r="C144" s="123"/>
      <c r="D144" s="123"/>
      <c r="P144" s="223"/>
    </row>
    <row r="145" spans="2:4" x14ac:dyDescent="0.3">
      <c r="B145" s="123"/>
      <c r="C145" s="123"/>
      <c r="D145" s="123"/>
    </row>
    <row r="146" spans="2:4" x14ac:dyDescent="0.3">
      <c r="B146" s="123"/>
      <c r="C146" s="123"/>
      <c r="D146" s="123"/>
    </row>
    <row r="147" spans="2:4" x14ac:dyDescent="0.3">
      <c r="B147" s="123"/>
      <c r="C147" s="123"/>
      <c r="D147" s="123"/>
    </row>
    <row r="148" spans="2:4" x14ac:dyDescent="0.3">
      <c r="B148" s="123"/>
      <c r="C148" s="123"/>
      <c r="D148" s="123"/>
    </row>
    <row r="149" spans="2:4" x14ac:dyDescent="0.3">
      <c r="B149" s="123"/>
      <c r="C149" s="123"/>
      <c r="D149" s="123"/>
    </row>
    <row r="150" spans="2:4" x14ac:dyDescent="0.3">
      <c r="B150" s="123"/>
      <c r="C150" s="123"/>
      <c r="D150" s="123"/>
    </row>
    <row r="151" spans="2:4" x14ac:dyDescent="0.3">
      <c r="B151" s="123"/>
      <c r="C151" s="123"/>
      <c r="D151" s="123"/>
    </row>
    <row r="160" spans="2:4" x14ac:dyDescent="0.3">
      <c r="B160" s="107"/>
      <c r="C160" s="107"/>
      <c r="D160" s="107"/>
    </row>
    <row r="201" spans="2:22" s="122" customFormat="1" ht="21" customHeight="1" x14ac:dyDescent="0.4">
      <c r="B201" s="73"/>
      <c r="C201" s="73"/>
      <c r="D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</row>
    <row r="202" spans="2:22" ht="21" customHeight="1" x14ac:dyDescent="0.4">
      <c r="B202" s="122"/>
      <c r="C202" s="122"/>
      <c r="D202" s="122"/>
    </row>
    <row r="218" ht="21" customHeight="1" x14ac:dyDescent="0.3"/>
  </sheetData>
  <sortState xmlns:xlrd2="http://schemas.microsoft.com/office/spreadsheetml/2017/richdata2" ref="AC116:AD137">
    <sortCondition ref="AC115:AC137"/>
  </sortState>
  <mergeCells count="2">
    <mergeCell ref="C2:D2"/>
    <mergeCell ref="B4:D4"/>
  </mergeCells>
  <phoneticPr fontId="10" type="noConversion"/>
  <conditionalFormatting sqref="G72:H72">
    <cfRule type="expression" dxfId="17" priority="2">
      <formula>IF(ISBLANK($C$2),0,ISNUMBER(SEARCH($C$2,$G72&amp;$H72&amp;$I72&amp;$J72)))</formula>
    </cfRule>
  </conditionalFormatting>
  <conditionalFormatting sqref="I3:S115 I116:V127 I129:V138 U3:V115 I128">
    <cfRule type="expression" dxfId="16" priority="12">
      <formula>IF(ISBLANK($C$2),0,ISNUMBER(SEARCH($C$2,$G3&amp;$H3&amp;$I3&amp;$J3)))</formula>
    </cfRule>
  </conditionalFormatting>
  <conditionalFormatting sqref="J128:V128">
    <cfRule type="expression" dxfId="15" priority="24">
      <formula>IF(ISBLANK($C$2),0,ISNUMBER(SEARCH($C$2,#REF!&amp;#REF!&amp;$I128&amp;$J128)))</formula>
    </cfRule>
  </conditionalFormatting>
  <conditionalFormatting sqref="P3:P138">
    <cfRule type="cellIs" dxfId="14" priority="11" operator="greaterThan">
      <formula>0</formula>
    </cfRule>
  </conditionalFormatting>
  <conditionalFormatting sqref="T72:T115">
    <cfRule type="expression" dxfId="13" priority="1">
      <formula>IF(ISBLANK($C$2),0,ISNUMBER(SEARCH($C$2,$G72&amp;$H72&amp;$I72&amp;$J72)))</formula>
    </cfRule>
  </conditionalFormatting>
  <dataValidations count="1">
    <dataValidation type="list" allowBlank="1" showInputMessage="1" showErrorMessage="1" sqref="I3:I138" xr:uid="{DF44A998-696C-654F-8F1C-6AD5A7F5144D}">
      <formula1>$B$6:$B$13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25B1A-3F06-4813-A4F1-5962570AA251}">
  <sheetPr codeName="Sheet5">
    <tabColor theme="4" tint="0.79998168889431442"/>
  </sheetPr>
  <dimension ref="B1:AA160"/>
  <sheetViews>
    <sheetView topLeftCell="A135" zoomScale="75" zoomScaleNormal="100" workbookViewId="0">
      <pane xSplit="7" topLeftCell="M1" activePane="topRight" state="frozen"/>
      <selection activeCell="A72" sqref="A72"/>
      <selection pane="topRight" activeCell="I138" sqref="I138"/>
    </sheetView>
  </sheetViews>
  <sheetFormatPr baseColWidth="10" defaultColWidth="10.6640625" defaultRowHeight="19" x14ac:dyDescent="0.3"/>
  <cols>
    <col min="1" max="1" width="3.1640625" style="73" customWidth="1"/>
    <col min="2" max="2" width="15.5" style="73" bestFit="1" customWidth="1"/>
    <col min="3" max="3" width="12.83203125" style="73" bestFit="1" customWidth="1"/>
    <col min="4" max="4" width="13.33203125" style="73" bestFit="1" customWidth="1"/>
    <col min="5" max="5" width="15" style="73" customWidth="1"/>
    <col min="6" max="6" width="18.1640625" style="73" customWidth="1"/>
    <col min="7" max="7" width="24.6640625" style="73" bestFit="1" customWidth="1"/>
    <col min="8" max="8" width="21.83203125" style="73" bestFit="1" customWidth="1"/>
    <col min="9" max="9" width="15.5" style="73" bestFit="1" customWidth="1"/>
    <col min="10" max="10" width="23.83203125" style="73" bestFit="1" customWidth="1"/>
    <col min="11" max="11" width="19.6640625" style="73" bestFit="1" customWidth="1"/>
    <col min="12" max="12" width="20.1640625" style="73" bestFit="1" customWidth="1"/>
    <col min="13" max="13" width="20" style="73" bestFit="1" customWidth="1"/>
    <col min="14" max="14" width="20" style="73" customWidth="1"/>
    <col min="15" max="15" width="22.83203125" style="73" bestFit="1" customWidth="1"/>
    <col min="16" max="16" width="22.83203125" style="73" customWidth="1"/>
    <col min="17" max="17" width="20.6640625" style="73" bestFit="1" customWidth="1"/>
    <col min="18" max="18" width="20.6640625" style="73" customWidth="1"/>
    <col min="19" max="19" width="28" style="73" bestFit="1" customWidth="1"/>
    <col min="20" max="20" width="34.6640625" style="73" bestFit="1" customWidth="1"/>
    <col min="21" max="21" width="32.1640625" style="73" customWidth="1"/>
    <col min="22" max="22" width="27.6640625" style="73" bestFit="1" customWidth="1"/>
    <col min="23" max="23" width="49.83203125" style="73" bestFit="1" customWidth="1"/>
    <col min="24" max="24" width="12.1640625" style="73" bestFit="1" customWidth="1"/>
    <col min="25" max="25" width="24.6640625" style="73" bestFit="1" customWidth="1"/>
    <col min="26" max="26" width="25.6640625" style="73" bestFit="1" customWidth="1"/>
    <col min="27" max="27" width="7.1640625" style="73" bestFit="1" customWidth="1"/>
    <col min="28" max="28" width="3.6640625" style="73" bestFit="1" customWidth="1"/>
    <col min="29" max="16384" width="10.6640625" style="73"/>
  </cols>
  <sheetData>
    <row r="1" spans="2:27" ht="20" thickBot="1" x14ac:dyDescent="0.35">
      <c r="M1" s="73" t="s">
        <v>449</v>
      </c>
    </row>
    <row r="2" spans="2:27" s="75" customFormat="1" ht="30" customHeight="1" thickBot="1" x14ac:dyDescent="0.35">
      <c r="B2" s="74" t="s">
        <v>51</v>
      </c>
      <c r="C2" s="365"/>
      <c r="D2" s="366"/>
      <c r="F2" s="233" t="s">
        <v>52</v>
      </c>
      <c r="G2" s="227" t="s">
        <v>53</v>
      </c>
      <c r="H2" s="228" t="s">
        <v>54</v>
      </c>
      <c r="I2" s="78" t="s">
        <v>55</v>
      </c>
      <c r="J2" s="79" t="s">
        <v>56</v>
      </c>
      <c r="K2" s="79" t="s">
        <v>57</v>
      </c>
      <c r="L2" s="80" t="s">
        <v>58</v>
      </c>
      <c r="M2" s="225" t="s">
        <v>450</v>
      </c>
      <c r="N2" s="228" t="s">
        <v>451</v>
      </c>
      <c r="O2" s="80" t="s">
        <v>60</v>
      </c>
      <c r="P2" s="77" t="s">
        <v>452</v>
      </c>
      <c r="Q2" s="81" t="s">
        <v>61</v>
      </c>
      <c r="R2" s="81" t="s">
        <v>453</v>
      </c>
      <c r="S2" s="81" t="s">
        <v>454</v>
      </c>
      <c r="T2" s="82" t="s">
        <v>62</v>
      </c>
      <c r="U2" s="82" t="s">
        <v>63</v>
      </c>
      <c r="V2" s="82" t="s">
        <v>64</v>
      </c>
      <c r="W2" s="82" t="s">
        <v>65</v>
      </c>
      <c r="X2" s="83" t="s">
        <v>66</v>
      </c>
      <c r="Y2" s="83" t="s">
        <v>67</v>
      </c>
      <c r="Z2" s="136" t="s">
        <v>68</v>
      </c>
      <c r="AA2" s="73"/>
    </row>
    <row r="3" spans="2:27" ht="22" thickBot="1" x14ac:dyDescent="0.35">
      <c r="F3" s="73" t="s">
        <v>69</v>
      </c>
      <c r="G3" s="229" t="s">
        <v>70</v>
      </c>
      <c r="H3" s="188" t="s">
        <v>71</v>
      </c>
      <c r="I3" s="84" t="s">
        <v>72</v>
      </c>
      <c r="J3" s="85">
        <f>IF(I3="Brother",$C$6*Table4[[#This Row],[Seniority Dues]],IF(I3="EC",$C$7,IF(I3="Alumni",$C$8,IF(I3="Dropped",$C$11,IF(I3="President",$C$10,IF(I3="Inactive",$C$9,IF(Table4[[#This Row],[Type]]="New Member",$C$13,0)))))))</f>
        <v>200</v>
      </c>
      <c r="K3" s="86"/>
      <c r="L3" s="87">
        <f>VLOOKUP(F3,Fall!F$3:P$138,11)</f>
        <v>0</v>
      </c>
      <c r="M3" s="226">
        <v>100</v>
      </c>
      <c r="N3" s="241">
        <f>100</f>
        <v>100</v>
      </c>
      <c r="O3" s="87" t="s">
        <v>455</v>
      </c>
      <c r="P3" s="132"/>
      <c r="Q3" s="132">
        <f>SUM(Table4[[#This Row],[Payment 1]:[Payment 2]])</f>
        <v>200</v>
      </c>
      <c r="R3" s="283">
        <f>J3+K3+L3-M3-N3</f>
        <v>0</v>
      </c>
      <c r="S3" s="176">
        <f>IF((J3+L3-M3+K3-N3)&lt;0,J3+L3-M3+K3-N3,0)</f>
        <v>0</v>
      </c>
      <c r="T3" s="176">
        <f>IF((J3+L3-M3+K3-N3)&gt;0, J3+L3-M3+K3-N3, 0)</f>
        <v>0</v>
      </c>
      <c r="U3" s="147"/>
      <c r="V3" s="168"/>
      <c r="W3" s="89"/>
      <c r="X3" s="188">
        <v>4</v>
      </c>
      <c r="Y3" s="135"/>
      <c r="Z3" s="134">
        <f>IF(Table4[[#This Row],[Year]]=1, 1.3, IF(Table4[[#This Row],[Year]]=2, 1.2, IF(Table4[[#This Row],[Year]]=3, 1, IF(Table4[[#This Row],[Year]]=4, 0.729166667, IF(Table4[[#This Row],[Year]]=5, 0.6, 0)))))</f>
        <v>0.72916666699999999</v>
      </c>
    </row>
    <row r="4" spans="2:27" ht="22" thickBot="1" x14ac:dyDescent="0.35">
      <c r="B4" s="367" t="s">
        <v>55</v>
      </c>
      <c r="C4" s="368"/>
      <c r="D4" s="369"/>
      <c r="F4" s="73" t="s">
        <v>73</v>
      </c>
      <c r="G4" s="229" t="s">
        <v>74</v>
      </c>
      <c r="H4" s="188" t="s">
        <v>75</v>
      </c>
      <c r="I4" s="84" t="s">
        <v>76</v>
      </c>
      <c r="J4" s="85">
        <f>IF(I4="Brother",$C$6*Table4[[#This Row],[Seniority Dues]],IF(I4="EC",$C$7,IF(I4="Alumni",$C$8,IF(I4="Dropped",$C$11,IF(I4="President",$C$10,IF(I4="Inactive",$C$9,IF(Table4[[#This Row],[Type]]="New Member",$C$13,0)))))))</f>
        <v>350.00000016000001</v>
      </c>
      <c r="K4" s="86"/>
      <c r="L4" s="87">
        <f>VLOOKUP(F4,Fall!F$3:P$138,11)</f>
        <v>0</v>
      </c>
      <c r="M4" s="226">
        <v>350</v>
      </c>
      <c r="N4" s="241"/>
      <c r="O4" s="87"/>
      <c r="P4" s="132"/>
      <c r="Q4" s="132">
        <f>SUM(Table4[[#This Row],[Payment 1]:[Payment 2]])</f>
        <v>350</v>
      </c>
      <c r="R4" s="283">
        <f t="shared" ref="R4:R67" si="0">J4+K4+L4-M4-N4</f>
        <v>1.6000001323845936E-7</v>
      </c>
      <c r="S4" s="283">
        <f t="shared" ref="S4:S34" si="1">IF((J4+L4-M4+K4-N4)&lt;0,J4+L4-M4+K4-N4,0)</f>
        <v>0</v>
      </c>
      <c r="T4" s="176">
        <f t="shared" ref="T4:T34" si="2">IF((J4+L4-M4+K4-N4)&gt;0, J4+L4-M4+K4-N4, 0)</f>
        <v>1.6000001323845936E-7</v>
      </c>
      <c r="U4" s="147"/>
      <c r="V4" s="168"/>
      <c r="W4" s="89"/>
      <c r="X4" s="188">
        <v>4</v>
      </c>
      <c r="Y4" s="135"/>
      <c r="Z4" s="134">
        <f>IF(Table4[[#This Row],[Year]]=1, 1.3, IF(Table4[[#This Row],[Year]]=2, 1.2, IF(Table4[[#This Row],[Year]]=3, 1, IF(Table4[[#This Row],[Year]]=4, 0.729166667, IF(Table4[[#This Row],[Year]]=5, 0.6, 0)))))</f>
        <v>0.72916666699999999</v>
      </c>
    </row>
    <row r="5" spans="2:27" ht="22" thickBot="1" x14ac:dyDescent="0.35">
      <c r="B5" s="91" t="s">
        <v>55</v>
      </c>
      <c r="C5" s="92" t="s">
        <v>77</v>
      </c>
      <c r="D5" s="93" t="s">
        <v>78</v>
      </c>
      <c r="F5" s="73" t="s">
        <v>79</v>
      </c>
      <c r="G5" s="229" t="s">
        <v>80</v>
      </c>
      <c r="H5" s="188" t="s">
        <v>81</v>
      </c>
      <c r="I5" s="84" t="s">
        <v>89</v>
      </c>
      <c r="J5" s="85">
        <f>IF(I5="Brother",$C$6*Table4[[#This Row],[Seniority Dues]],IF(I5="EC",$C$7,IF(I5="Alumni",$C$8,IF(I5="Dropped",$C$11,IF(I5="President",$C$10,IF(I5="Inactive",$C$9,IF(Table4[[#This Row],[Type]]="New Member",$C$13,0)))))))</f>
        <v>0</v>
      </c>
      <c r="K5" s="86"/>
      <c r="L5" s="87">
        <f>VLOOKUP(F5,Fall!F$3:P$138,11)</f>
        <v>390</v>
      </c>
      <c r="M5" s="226">
        <v>390</v>
      </c>
      <c r="N5" s="241"/>
      <c r="O5" s="87"/>
      <c r="P5" s="132" t="s">
        <v>456</v>
      </c>
      <c r="Q5" s="132">
        <f>SUM(Table4[[#This Row],[Payment 1]:[Payment 2]])</f>
        <v>390</v>
      </c>
      <c r="R5" s="283">
        <f t="shared" si="0"/>
        <v>0</v>
      </c>
      <c r="S5" s="283">
        <f t="shared" si="1"/>
        <v>0</v>
      </c>
      <c r="T5" s="176">
        <f t="shared" si="2"/>
        <v>0</v>
      </c>
      <c r="U5" s="147"/>
      <c r="V5" s="168"/>
      <c r="W5" s="89"/>
      <c r="X5" s="188">
        <v>4</v>
      </c>
      <c r="Y5" s="135"/>
      <c r="Z5" s="134">
        <f>IF(Table4[[#This Row],[Year]]=1, 1.3, IF(Table4[[#This Row],[Year]]=2, 1.2, IF(Table4[[#This Row],[Year]]=3, 1, IF(Table4[[#This Row],[Year]]=4, 0.729166667, IF(Table4[[#This Row],[Year]]=5, 0.6, 0)))))</f>
        <v>0.72916666699999999</v>
      </c>
    </row>
    <row r="6" spans="2:27" ht="21" x14ac:dyDescent="0.3">
      <c r="B6" s="94" t="s">
        <v>76</v>
      </c>
      <c r="C6" s="95">
        <v>480</v>
      </c>
      <c r="D6" s="96">
        <f>COUNTIF(Table4[Type],B6)</f>
        <v>95</v>
      </c>
      <c r="F6" s="239" t="s">
        <v>82</v>
      </c>
      <c r="G6" s="222" t="s">
        <v>83</v>
      </c>
      <c r="H6" s="190" t="s">
        <v>84</v>
      </c>
      <c r="I6" s="84" t="s">
        <v>76</v>
      </c>
      <c r="J6" s="85">
        <f>IF(I6="Brother",$C$6*Table4[[#This Row],[Seniority Dues]],IF(I6="EC",$C$7,IF(I6="Alumni",$C$8,IF(I6="Dropped",$C$11,IF(I6="President",$C$10,IF(I6="Inactive",$C$9,IF(Table4[[#This Row],[Type]]="New Member",$C$13,0)))))))</f>
        <v>576</v>
      </c>
      <c r="K6" s="86">
        <v>-25</v>
      </c>
      <c r="L6" s="87">
        <f>VLOOKUP(F6,Fall!F$3:P$138,11)</f>
        <v>0</v>
      </c>
      <c r="M6" s="226">
        <v>576</v>
      </c>
      <c r="N6" s="241"/>
      <c r="O6" s="87"/>
      <c r="P6" s="132" t="s">
        <v>457</v>
      </c>
      <c r="Q6" s="132">
        <f>SUM(Table4[[#This Row],[Payment 1]:[Payment 2]])</f>
        <v>576</v>
      </c>
      <c r="R6" s="283">
        <f t="shared" si="0"/>
        <v>-25</v>
      </c>
      <c r="S6" s="283">
        <f t="shared" si="1"/>
        <v>-25</v>
      </c>
      <c r="T6" s="176">
        <f t="shared" si="2"/>
        <v>0</v>
      </c>
      <c r="U6" s="147"/>
      <c r="V6" s="168"/>
      <c r="W6" s="89"/>
      <c r="X6" s="218">
        <v>2</v>
      </c>
      <c r="Y6" s="135"/>
      <c r="Z6" s="134">
        <f>IF(Table4[[#This Row],[Year]]=1, 1.3, IF(Table4[[#This Row],[Year]]=2, 1.2, IF(Table4[[#This Row],[Year]]=3, 1, IF(Table4[[#This Row],[Year]]=4, 0.729166667, IF(Table4[[#This Row],[Year]]=5, 0.6, 0)))))</f>
        <v>1.2</v>
      </c>
    </row>
    <row r="7" spans="2:27" ht="21" x14ac:dyDescent="0.3">
      <c r="B7" s="94" t="s">
        <v>85</v>
      </c>
      <c r="C7" s="95">
        <v>225</v>
      </c>
      <c r="D7" s="94">
        <f>COUNTIF(Table4[Type],B7)</f>
        <v>10</v>
      </c>
      <c r="F7" s="73" t="s">
        <v>86</v>
      </c>
      <c r="G7" s="235" t="s">
        <v>87</v>
      </c>
      <c r="H7" s="188" t="s">
        <v>88</v>
      </c>
      <c r="I7" s="84" t="s">
        <v>85</v>
      </c>
      <c r="J7" s="85">
        <f>IF(I7="Brother",$C$6*Table4[[#This Row],[Seniority Dues]],IF(I7="EC",$C$7,IF(I7="Alumni",$C$8,IF(I7="Dropped",$C$11,IF(I7="President",$C$10,IF(I7="Inactive",$C$9,IF(Table4[[#This Row],[Type]]="New Member",$C$13,0)))))))</f>
        <v>225</v>
      </c>
      <c r="K7" s="86"/>
      <c r="L7" s="87">
        <f>VLOOKUP(F7,Fall!F$3:P$138,11)</f>
        <v>450</v>
      </c>
      <c r="M7" s="226">
        <v>168.5</v>
      </c>
      <c r="N7" s="241">
        <v>168.75</v>
      </c>
      <c r="O7" s="87" t="s">
        <v>455</v>
      </c>
      <c r="P7" s="132"/>
      <c r="Q7" s="132">
        <f>SUM(Table4[[#This Row],[Payment 1]:[Payment 2]])</f>
        <v>337.25</v>
      </c>
      <c r="R7" s="283">
        <f t="shared" si="0"/>
        <v>337.75</v>
      </c>
      <c r="S7" s="283">
        <f t="shared" si="1"/>
        <v>0</v>
      </c>
      <c r="T7" s="176">
        <f t="shared" si="2"/>
        <v>337.75</v>
      </c>
      <c r="U7" s="147"/>
      <c r="V7" s="168"/>
      <c r="W7" s="89"/>
      <c r="X7" s="188">
        <v>4</v>
      </c>
      <c r="Y7" s="135"/>
      <c r="Z7" s="134">
        <f>IF(Table4[[#This Row],[Year]]=1, 1.3, IF(Table4[[#This Row],[Year]]=2, 1.2, IF(Table4[[#This Row],[Year]]=3, 1, IF(Table4[[#This Row],[Year]]=4, 0.729166667, IF(Table4[[#This Row],[Year]]=5, 0.6, 0)))))</f>
        <v>0.72916666699999999</v>
      </c>
    </row>
    <row r="8" spans="2:27" ht="21" x14ac:dyDescent="0.3">
      <c r="B8" s="94" t="s">
        <v>89</v>
      </c>
      <c r="C8" s="95">
        <v>0</v>
      </c>
      <c r="D8" s="94">
        <f>COUNTIF(Table4[Type],B8)</f>
        <v>6</v>
      </c>
      <c r="F8" s="73" t="s">
        <v>90</v>
      </c>
      <c r="G8" s="229" t="s">
        <v>91</v>
      </c>
      <c r="H8" s="188" t="s">
        <v>92</v>
      </c>
      <c r="I8" s="84" t="s">
        <v>76</v>
      </c>
      <c r="J8" s="85">
        <f>IF(I8="Brother",$C$6*Table4[[#This Row],[Seniority Dues]],IF(I8="EC",$C$7,IF(I8="Alumni",$C$8,IF(I8="Dropped",$C$11,IF(I8="President",$C$10,IF(I8="Inactive",$C$9,IF(Table4[[#This Row],[Type]]="New Member",$C$13,0)))))))</f>
        <v>350.00000016000001</v>
      </c>
      <c r="K8" s="86"/>
      <c r="L8" s="87">
        <f>VLOOKUP(F8,Fall!F$3:P$138,11)</f>
        <v>0</v>
      </c>
      <c r="M8" s="226">
        <v>350.01</v>
      </c>
      <c r="N8" s="241"/>
      <c r="O8" s="87"/>
      <c r="P8" s="132"/>
      <c r="Q8" s="132">
        <f>SUM(Table4[[#This Row],[Payment 1]:[Payment 2]])</f>
        <v>350.01</v>
      </c>
      <c r="R8" s="283">
        <f t="shared" si="0"/>
        <v>-9.9998399999776666E-3</v>
      </c>
      <c r="S8" s="283">
        <f t="shared" si="1"/>
        <v>-9.9998399999776666E-3</v>
      </c>
      <c r="T8" s="176">
        <f t="shared" si="2"/>
        <v>0</v>
      </c>
      <c r="U8" s="147"/>
      <c r="V8" s="168"/>
      <c r="W8" s="89"/>
      <c r="X8" s="189">
        <v>4</v>
      </c>
      <c r="Y8" s="135"/>
      <c r="Z8" s="134">
        <f>IF(Table4[[#This Row],[Year]]=1, 1.3, IF(Table4[[#This Row],[Year]]=2, 1.2, IF(Table4[[#This Row],[Year]]=3, 1, IF(Table4[[#This Row],[Year]]=4, 0.729166667, IF(Table4[[#This Row],[Year]]=5, 0.6, 0)))))</f>
        <v>0.72916666699999999</v>
      </c>
    </row>
    <row r="9" spans="2:27" ht="21" x14ac:dyDescent="0.3">
      <c r="B9" s="94" t="s">
        <v>72</v>
      </c>
      <c r="C9" s="95">
        <v>200</v>
      </c>
      <c r="D9" s="94">
        <f>COUNTIF(Table4[Type],B9)</f>
        <v>19</v>
      </c>
      <c r="F9" s="73" t="s">
        <v>93</v>
      </c>
      <c r="G9" s="222" t="s">
        <v>94</v>
      </c>
      <c r="H9" s="190" t="s">
        <v>95</v>
      </c>
      <c r="I9" s="84" t="s">
        <v>76</v>
      </c>
      <c r="J9" s="85">
        <f>IF(I9="Brother",$C$6*Table4[[#This Row],[Seniority Dues]],IF(I9="EC",$C$7,IF(I9="Alumni",$C$8,IF(I9="Dropped",$C$11,IF(I9="President",$C$10,IF(I9="Inactive",$C$9,IF(Table4[[#This Row],[Type]]="New Member",$C$13,0)))))))</f>
        <v>576</v>
      </c>
      <c r="K9" s="86"/>
      <c r="L9" s="87">
        <f>VLOOKUP(F9,Fall!F$3:P$138,11)</f>
        <v>0</v>
      </c>
      <c r="M9" s="226">
        <v>576</v>
      </c>
      <c r="N9" s="241"/>
      <c r="O9" s="87"/>
      <c r="P9" s="132"/>
      <c r="Q9" s="132">
        <f>SUM(Table4[[#This Row],[Payment 1]:[Payment 2]])</f>
        <v>576</v>
      </c>
      <c r="R9" s="283">
        <f t="shared" si="0"/>
        <v>0</v>
      </c>
      <c r="S9" s="283">
        <f t="shared" si="1"/>
        <v>0</v>
      </c>
      <c r="T9" s="176">
        <f t="shared" si="2"/>
        <v>0</v>
      </c>
      <c r="U9" s="147"/>
      <c r="V9" s="168"/>
      <c r="W9" s="89"/>
      <c r="X9" s="218">
        <v>2</v>
      </c>
      <c r="Y9" s="135"/>
      <c r="Z9" s="134">
        <f>IF(Table4[[#This Row],[Year]]=1, 1.3, IF(Table4[[#This Row],[Year]]=2, 1.2, IF(Table4[[#This Row],[Year]]=3, 1, IF(Table4[[#This Row],[Year]]=4, 0.729166667, IF(Table4[[#This Row],[Year]]=5, 0.6, 0)))))</f>
        <v>1.2</v>
      </c>
    </row>
    <row r="10" spans="2:27" ht="21" x14ac:dyDescent="0.3">
      <c r="B10" s="94" t="s">
        <v>96</v>
      </c>
      <c r="C10" s="95">
        <v>0</v>
      </c>
      <c r="D10" s="94">
        <f>COUNTIF(Table4[Type],B10)</f>
        <v>1</v>
      </c>
      <c r="F10" s="73" t="s">
        <v>97</v>
      </c>
      <c r="G10" s="222" t="s">
        <v>98</v>
      </c>
      <c r="H10" s="190" t="s">
        <v>99</v>
      </c>
      <c r="I10" s="84" t="s">
        <v>76</v>
      </c>
      <c r="J10" s="85">
        <f>IF(I10="Brother",$C$6*Table4[[#This Row],[Seniority Dues]],IF(I10="EC",$C$7,IF(I10="Alumni",$C$8,IF(I10="Dropped",$C$11,IF(I10="President",$C$10,IF(I10="Inactive",$C$9,IF(Table4[[#This Row],[Type]]="New Member",$C$13,0)))))))</f>
        <v>576</v>
      </c>
      <c r="K10" s="86"/>
      <c r="L10" s="87">
        <f>VLOOKUP(F10,Fall!F$3:P$138,11)</f>
        <v>0</v>
      </c>
      <c r="M10" s="226">
        <v>576</v>
      </c>
      <c r="N10" s="241"/>
      <c r="O10" s="87"/>
      <c r="P10" s="132"/>
      <c r="Q10" s="132">
        <f>SUM(Table4[[#This Row],[Payment 1]:[Payment 2]])</f>
        <v>576</v>
      </c>
      <c r="R10" s="283">
        <f t="shared" si="0"/>
        <v>0</v>
      </c>
      <c r="S10" s="283">
        <f t="shared" si="1"/>
        <v>0</v>
      </c>
      <c r="T10" s="176">
        <f t="shared" si="2"/>
        <v>0</v>
      </c>
      <c r="U10" s="147"/>
      <c r="V10" s="168"/>
      <c r="W10" s="89"/>
      <c r="X10" s="218">
        <v>2</v>
      </c>
      <c r="Y10" s="135"/>
      <c r="Z10" s="134">
        <f>IF(Table4[[#This Row],[Year]]=1, 1.3, IF(Table4[[#This Row],[Year]]=2, 1.2, IF(Table4[[#This Row],[Year]]=3, 1, IF(Table4[[#This Row],[Year]]=4, 0.729166667, IF(Table4[[#This Row],[Year]]=5, 0.6, 0)))))</f>
        <v>1.2</v>
      </c>
    </row>
    <row r="11" spans="2:27" ht="21" x14ac:dyDescent="0.3">
      <c r="B11" s="94" t="s">
        <v>100</v>
      </c>
      <c r="C11" s="95">
        <v>0</v>
      </c>
      <c r="D11" s="94">
        <f>COUNTIF(Table4[Type],B11)</f>
        <v>5</v>
      </c>
      <c r="F11" s="73" t="s">
        <v>394</v>
      </c>
      <c r="G11" s="222" t="s">
        <v>395</v>
      </c>
      <c r="H11" s="190" t="s">
        <v>396</v>
      </c>
      <c r="I11" s="84" t="s">
        <v>76</v>
      </c>
      <c r="J11" s="85">
        <f>IF(I11="Brother",$C$6*Table4[[#This Row],[Seniority Dues]],IF(I11="EC",$C$7,IF(I11="Alumni",$C$8,IF(I11="Dropped",$C$11,IF(I11="President",$C$10,IF(I11="Inactive",$C$9,IF(Table4[[#This Row],[Type]]="New Member",$C$13,0)))))))</f>
        <v>624</v>
      </c>
      <c r="K11" s="86"/>
      <c r="L11" s="87">
        <f>VLOOKUP(F11,Fall!F$3:P$138,11)</f>
        <v>0</v>
      </c>
      <c r="M11" s="226">
        <v>624</v>
      </c>
      <c r="N11" s="241"/>
      <c r="O11" s="87"/>
      <c r="P11" s="132"/>
      <c r="Q11" s="132">
        <f>SUM(Table4[[#This Row],[Payment 1]:[Payment 2]])</f>
        <v>624</v>
      </c>
      <c r="R11" s="283">
        <f t="shared" si="0"/>
        <v>0</v>
      </c>
      <c r="S11" s="283">
        <f t="shared" si="1"/>
        <v>0</v>
      </c>
      <c r="T11" s="176">
        <f t="shared" si="2"/>
        <v>0</v>
      </c>
      <c r="U11" s="147"/>
      <c r="V11" s="168"/>
      <c r="W11" s="89"/>
      <c r="X11" s="218">
        <v>1</v>
      </c>
      <c r="Y11" s="135"/>
      <c r="Z11" s="134">
        <f>IF(Table4[[#This Row],[Year]]=1, 1.3, IF(Table4[[#This Row],[Year]]=2, 1.2, IF(Table4[[#This Row],[Year]]=3, 1, IF(Table4[[#This Row],[Year]]=4, 0.729166667, IF(Table4[[#This Row],[Year]]=5, 0.6, 0)))))</f>
        <v>1.3</v>
      </c>
    </row>
    <row r="12" spans="2:27" ht="21" x14ac:dyDescent="0.3">
      <c r="B12" s="94" t="s">
        <v>104</v>
      </c>
      <c r="C12" s="95">
        <v>0</v>
      </c>
      <c r="D12" s="94">
        <f>COUNTIF(Table4[Type],B12)</f>
        <v>6</v>
      </c>
      <c r="F12" s="244" t="s">
        <v>101</v>
      </c>
      <c r="G12" s="229" t="s">
        <v>102</v>
      </c>
      <c r="H12" s="188" t="s">
        <v>103</v>
      </c>
      <c r="I12" s="84" t="s">
        <v>76</v>
      </c>
      <c r="J12" s="85">
        <f>IF(I12="Brother",$C$6*Table4[[#This Row],[Seniority Dues]],IF(I12="EC",$C$7,IF(I12="Alumni",$C$8,IF(I12="Dropped",$C$11,IF(I12="President",$C$10,IF(I12="Inactive",$C$9,IF(Table4[[#This Row],[Type]]="New Member",$C$13,0)))))))</f>
        <v>350.00000016000001</v>
      </c>
      <c r="K12" s="86">
        <v>150</v>
      </c>
      <c r="L12" s="87">
        <f>VLOOKUP(F12,Fall!F$3:P$138,11)</f>
        <v>184</v>
      </c>
      <c r="M12" s="226">
        <v>184</v>
      </c>
      <c r="N12" s="241">
        <v>100</v>
      </c>
      <c r="O12" s="87" t="s">
        <v>455</v>
      </c>
      <c r="P12" s="132" t="s">
        <v>458</v>
      </c>
      <c r="Q12" s="132">
        <f>SUM(Table4[[#This Row],[Payment 1]:[Payment 2]])</f>
        <v>284</v>
      </c>
      <c r="R12" s="283">
        <f t="shared" si="0"/>
        <v>400.00000016000001</v>
      </c>
      <c r="S12" s="283">
        <f t="shared" si="1"/>
        <v>0</v>
      </c>
      <c r="T12" s="176">
        <f t="shared" si="2"/>
        <v>400.00000016000001</v>
      </c>
      <c r="U12" s="147"/>
      <c r="V12" s="168"/>
      <c r="W12" s="89"/>
      <c r="X12" s="188">
        <v>4</v>
      </c>
      <c r="Y12" s="135"/>
      <c r="Z12" s="134">
        <f>IF(Table4[[#This Row],[Year]]=1, 1.3, IF(Table4[[#This Row],[Year]]=2, 1.2, IF(Table4[[#This Row],[Year]]=3, 1, IF(Table4[[#This Row],[Year]]=4, 0.729166667, IF(Table4[[#This Row],[Year]]=5, 0.6, 0)))))</f>
        <v>0.72916666699999999</v>
      </c>
    </row>
    <row r="13" spans="2:27" ht="22" thickBot="1" x14ac:dyDescent="0.35">
      <c r="B13" s="97" t="s">
        <v>108</v>
      </c>
      <c r="C13" s="98">
        <v>600</v>
      </c>
      <c r="D13" s="99">
        <f>COUNTIF(Table4[Type],B13)</f>
        <v>15</v>
      </c>
      <c r="F13" s="239" t="s">
        <v>105</v>
      </c>
      <c r="G13" s="229" t="s">
        <v>106</v>
      </c>
      <c r="H13" s="188" t="s">
        <v>107</v>
      </c>
      <c r="I13" s="84" t="s">
        <v>76</v>
      </c>
      <c r="J13" s="85">
        <f>IF(I13="Brother",$C$6*Table4[[#This Row],[Seniority Dues]],IF(I13="EC",$C$7,IF(I13="Alumni",$C$8,IF(I13="Dropped",$C$11,IF(I13="President",$C$10,IF(I13="Inactive",$C$9,IF(Table4[[#This Row],[Type]]="New Member",$C$13,0)))))))</f>
        <v>480</v>
      </c>
      <c r="K13" s="86">
        <v>-25</v>
      </c>
      <c r="L13" s="87"/>
      <c r="M13" s="226">
        <v>480</v>
      </c>
      <c r="N13" s="241"/>
      <c r="O13" s="87"/>
      <c r="P13" s="132" t="s">
        <v>457</v>
      </c>
      <c r="Q13" s="132">
        <f>SUM(Table4[[#This Row],[Payment 1]:[Payment 2]])</f>
        <v>480</v>
      </c>
      <c r="R13" s="283">
        <f t="shared" si="0"/>
        <v>-25</v>
      </c>
      <c r="S13" s="283">
        <f t="shared" si="1"/>
        <v>-25</v>
      </c>
      <c r="T13" s="176">
        <f t="shared" si="2"/>
        <v>0</v>
      </c>
      <c r="U13" s="147"/>
      <c r="V13" s="168"/>
      <c r="W13" s="89"/>
      <c r="X13" s="189">
        <v>3</v>
      </c>
      <c r="Y13" s="135"/>
      <c r="Z13" s="134">
        <f>IF(Table4[[#This Row],[Year]]=1, 1.3, IF(Table4[[#This Row],[Year]]=2, 1.2, IF(Table4[[#This Row],[Year]]=3, 1, IF(Table4[[#This Row],[Year]]=4, 0.729166667, IF(Table4[[#This Row],[Year]]=5, 0.6, 0)))))</f>
        <v>1</v>
      </c>
    </row>
    <row r="14" spans="2:27" ht="21" x14ac:dyDescent="0.3">
      <c r="F14" s="73" t="s">
        <v>109</v>
      </c>
      <c r="G14" s="229" t="s">
        <v>110</v>
      </c>
      <c r="H14" s="188" t="s">
        <v>111</v>
      </c>
      <c r="I14" s="84" t="s">
        <v>72</v>
      </c>
      <c r="J14" s="85">
        <f>IF(I14="Brother",$C$6*Table4[[#This Row],[Seniority Dues]],IF(I14="EC",$C$7,IF(I14="Alumni",$C$8,IF(I14="Dropped",$C$11,IF(I14="President",$C$10,IF(I14="Inactive",$C$9,IF(Table4[[#This Row],[Type]]="New Member",$C$13,0)))))))</f>
        <v>200</v>
      </c>
      <c r="K14" s="86"/>
      <c r="L14" s="87">
        <f>VLOOKUP(F14,Fall!F$3:P$138,11)</f>
        <v>0</v>
      </c>
      <c r="M14" s="226">
        <v>200</v>
      </c>
      <c r="N14" s="241"/>
      <c r="O14" s="87"/>
      <c r="P14" s="132"/>
      <c r="Q14" s="132">
        <f>SUM(Table4[[#This Row],[Payment 1]:[Payment 2]])</f>
        <v>200</v>
      </c>
      <c r="R14" s="283">
        <f t="shared" si="0"/>
        <v>0</v>
      </c>
      <c r="S14" s="283">
        <f t="shared" si="1"/>
        <v>0</v>
      </c>
      <c r="T14" s="176">
        <f t="shared" si="2"/>
        <v>0</v>
      </c>
      <c r="U14" s="147"/>
      <c r="V14" s="168"/>
      <c r="W14" s="89"/>
      <c r="X14" s="188">
        <v>4</v>
      </c>
      <c r="Y14" s="135"/>
      <c r="Z14" s="134">
        <f>IF(Table4[[#This Row],[Year]]=1, 1.3, IF(Table4[[#This Row],[Year]]=2, 1.2, IF(Table4[[#This Row],[Year]]=3, 1, IF(Table4[[#This Row],[Year]]=4, 0.729166667, IF(Table4[[#This Row],[Year]]=5, 0.6, 0)))))</f>
        <v>0.72916666699999999</v>
      </c>
    </row>
    <row r="15" spans="2:27" ht="21" customHeight="1" thickBot="1" x14ac:dyDescent="0.35">
      <c r="F15" s="73" t="s">
        <v>397</v>
      </c>
      <c r="G15" s="222" t="s">
        <v>398</v>
      </c>
      <c r="H15" s="190" t="s">
        <v>261</v>
      </c>
      <c r="I15" s="84" t="s">
        <v>76</v>
      </c>
      <c r="J15" s="85">
        <f>IF(I15="Brother",$C$6*Table4[[#This Row],[Seniority Dues]],IF(I15="EC",$C$7,IF(I15="Alumni",$C$8,IF(I15="Dropped",$C$11,IF(I15="President",$C$10,IF(I15="Inactive",$C$9,IF(Table4[[#This Row],[Type]]="New Member",$C$13,0)))))))</f>
        <v>624</v>
      </c>
      <c r="K15" s="86"/>
      <c r="L15" s="87">
        <f>VLOOKUP(F15,Fall!F$3:P$138,11)</f>
        <v>0</v>
      </c>
      <c r="M15" s="226">
        <v>624</v>
      </c>
      <c r="N15" s="241"/>
      <c r="O15" s="87"/>
      <c r="P15" s="132"/>
      <c r="Q15" s="132">
        <f>SUM(Table4[[#This Row],[Payment 1]:[Payment 2]])</f>
        <v>624</v>
      </c>
      <c r="R15" s="283">
        <f t="shared" si="0"/>
        <v>0</v>
      </c>
      <c r="S15" s="283">
        <f t="shared" si="1"/>
        <v>0</v>
      </c>
      <c r="T15" s="176">
        <f t="shared" si="2"/>
        <v>0</v>
      </c>
      <c r="U15" s="147"/>
      <c r="V15" s="168"/>
      <c r="W15" s="89"/>
      <c r="X15" s="218">
        <v>1</v>
      </c>
      <c r="Y15" s="135"/>
      <c r="Z15" s="134">
        <f>IF(Table4[[#This Row],[Year]]=1, 1.3, IF(Table4[[#This Row],[Year]]=2, 1.2, IF(Table4[[#This Row],[Year]]=3, 1, IF(Table4[[#This Row],[Year]]=4, 0.729166667, IF(Table4[[#This Row],[Year]]=5, 0.6, 0)))))</f>
        <v>1.3</v>
      </c>
    </row>
    <row r="16" spans="2:27" ht="21" customHeight="1" thickBot="1" x14ac:dyDescent="0.35">
      <c r="B16" s="100" t="s">
        <v>66</v>
      </c>
      <c r="C16" s="101" t="s">
        <v>78</v>
      </c>
      <c r="D16" s="102" t="s">
        <v>118</v>
      </c>
      <c r="F16" s="73" t="s">
        <v>112</v>
      </c>
      <c r="G16" s="222" t="s">
        <v>113</v>
      </c>
      <c r="H16" s="190" t="s">
        <v>114</v>
      </c>
      <c r="I16" s="84" t="s">
        <v>76</v>
      </c>
      <c r="J16" s="85">
        <f>IF(I16="Brother",$C$6*Table4[[#This Row],[Seniority Dues]],IF(I16="EC",$C$7,IF(I16="Alumni",$C$8,IF(I16="Dropped",$C$11,IF(I16="President",$C$10,IF(I16="Inactive",$C$9,IF(Table4[[#This Row],[Type]]="New Member",$C$13,0)))))))</f>
        <v>576</v>
      </c>
      <c r="K16" s="86"/>
      <c r="L16" s="87">
        <f>VLOOKUP(F16,Fall!F$3:P$138,11)</f>
        <v>0</v>
      </c>
      <c r="M16" s="226">
        <v>576</v>
      </c>
      <c r="N16" s="241"/>
      <c r="O16" s="87"/>
      <c r="P16" s="132"/>
      <c r="Q16" s="132">
        <f>SUM(Table4[[#This Row],[Payment 1]:[Payment 2]])</f>
        <v>576</v>
      </c>
      <c r="R16" s="283">
        <f t="shared" si="0"/>
        <v>0</v>
      </c>
      <c r="S16" s="283">
        <f t="shared" si="1"/>
        <v>0</v>
      </c>
      <c r="T16" s="176">
        <f t="shared" si="2"/>
        <v>0</v>
      </c>
      <c r="U16" s="147"/>
      <c r="V16" s="168"/>
      <c r="W16" s="89"/>
      <c r="X16" s="218">
        <v>2</v>
      </c>
      <c r="Y16" s="135"/>
      <c r="Z16" s="134">
        <f>IF(Table4[[#This Row],[Year]]=1, 1.3, IF(Table4[[#This Row],[Year]]=2, 1.2, IF(Table4[[#This Row],[Year]]=3, 1, IF(Table4[[#This Row],[Year]]=4, 0.729166667, IF(Table4[[#This Row],[Year]]=5, 0.6, 0)))))</f>
        <v>1.2</v>
      </c>
    </row>
    <row r="17" spans="2:26" ht="21" x14ac:dyDescent="0.3">
      <c r="B17" s="103">
        <v>1</v>
      </c>
      <c r="C17" s="104">
        <f>COUNTIFS(X:X,B17,I:I,"&lt;&gt;Dropped")</f>
        <v>41</v>
      </c>
      <c r="D17" s="105">
        <f>C17/$C$22</f>
        <v>0.26973684210526316</v>
      </c>
      <c r="F17" s="73" t="s">
        <v>399</v>
      </c>
      <c r="G17" s="222" t="s">
        <v>113</v>
      </c>
      <c r="H17" s="190" t="s">
        <v>400</v>
      </c>
      <c r="I17" s="84" t="s">
        <v>76</v>
      </c>
      <c r="J17" s="85">
        <f>IF(I17="Brother",$C$6*Table4[[#This Row],[Seniority Dues]],IF(I17="EC",$C$7,IF(I17="Alumni",$C$8,IF(I17="Dropped",$C$11,IF(I17="President",$C$10,IF(I17="Inactive",$C$9,IF(Table4[[#This Row],[Type]]="New Member",$C$13,0)))))))</f>
        <v>624</v>
      </c>
      <c r="K17" s="86"/>
      <c r="L17" s="87">
        <v>0</v>
      </c>
      <c r="M17" s="226">
        <f>2*157.5</f>
        <v>315</v>
      </c>
      <c r="N17" s="241">
        <f>157.5+175.5</f>
        <v>333</v>
      </c>
      <c r="O17" s="87" t="s">
        <v>455</v>
      </c>
      <c r="P17" s="132"/>
      <c r="Q17" s="132">
        <f>SUM(Table4[[#This Row],[Payment 1]:[Payment 2]])</f>
        <v>648</v>
      </c>
      <c r="R17" s="283">
        <f t="shared" si="0"/>
        <v>-24</v>
      </c>
      <c r="S17" s="283">
        <f t="shared" si="1"/>
        <v>-24</v>
      </c>
      <c r="T17" s="176">
        <f t="shared" si="2"/>
        <v>0</v>
      </c>
      <c r="U17" s="147"/>
      <c r="V17" s="168"/>
      <c r="W17" s="89"/>
      <c r="X17" s="218">
        <v>1</v>
      </c>
      <c r="Y17" s="135"/>
      <c r="Z17" s="134">
        <f>IF(Table4[[#This Row],[Year]]=1, 1.3, IF(Table4[[#This Row],[Year]]=2, 1.2, IF(Table4[[#This Row],[Year]]=3, 1, IF(Table4[[#This Row],[Year]]=4, 0.729166667, IF(Table4[[#This Row],[Year]]=5, 0.6, 0)))))</f>
        <v>1.3</v>
      </c>
    </row>
    <row r="18" spans="2:26" ht="21" x14ac:dyDescent="0.3">
      <c r="B18" s="106">
        <v>2</v>
      </c>
      <c r="C18" s="107">
        <f>COUNTIFS(X:X,B18,I:I,"&lt;&gt;Dropped")</f>
        <v>40</v>
      </c>
      <c r="D18" s="108">
        <f>C18/$C$22</f>
        <v>0.26315789473684209</v>
      </c>
      <c r="F18" s="218" t="s">
        <v>401</v>
      </c>
      <c r="G18" s="222" t="s">
        <v>402</v>
      </c>
      <c r="H18" s="190" t="s">
        <v>99</v>
      </c>
      <c r="I18" s="84" t="s">
        <v>76</v>
      </c>
      <c r="J18" s="85">
        <f>IF(I18="Brother",$C$6*Table4[[#This Row],[Seniority Dues]],IF(I18="EC",$C$7,IF(I18="Alumni",$C$8,IF(I18="Dropped",$C$11,IF(I18="President",$C$10,IF(I18="Inactive",$C$9,IF(Table4[[#This Row],[Type]]="New Member",$C$13,0)))))))</f>
        <v>576</v>
      </c>
      <c r="K18" s="86"/>
      <c r="L18" s="87">
        <f>VLOOKUP(F18,Fall!F$3:P$138,11)</f>
        <v>0</v>
      </c>
      <c r="M18" s="226">
        <v>576</v>
      </c>
      <c r="N18" s="241"/>
      <c r="O18" s="87"/>
      <c r="P18" s="132"/>
      <c r="Q18" s="132">
        <f>SUM(Table4[[#This Row],[Payment 1]:[Payment 2]])</f>
        <v>576</v>
      </c>
      <c r="R18" s="283">
        <f t="shared" si="0"/>
        <v>0</v>
      </c>
      <c r="S18" s="283">
        <f t="shared" si="1"/>
        <v>0</v>
      </c>
      <c r="T18" s="176">
        <f t="shared" si="2"/>
        <v>0</v>
      </c>
      <c r="U18" s="147"/>
      <c r="V18" s="168"/>
      <c r="W18" s="89"/>
      <c r="X18" s="218">
        <v>2</v>
      </c>
      <c r="Y18" s="135"/>
      <c r="Z18" s="134">
        <f>IF(Table4[[#This Row],[Year]]=1, 1.3, IF(Table4[[#This Row],[Year]]=2, 1.2, IF(Table4[[#This Row],[Year]]=3, 1, IF(Table4[[#This Row],[Year]]=4, 0.729166667, IF(Table4[[#This Row],[Year]]=5, 0.6, 0)))))</f>
        <v>1.2</v>
      </c>
    </row>
    <row r="19" spans="2:26" ht="21" x14ac:dyDescent="0.3">
      <c r="B19" s="106">
        <v>3</v>
      </c>
      <c r="C19" s="107">
        <f>COUNTIFS(X:X,B19,I:I,"&lt;&gt;Dropped")</f>
        <v>29</v>
      </c>
      <c r="D19" s="108">
        <f>C19/$C$22</f>
        <v>0.19078947368421054</v>
      </c>
      <c r="F19" s="73" t="s">
        <v>115</v>
      </c>
      <c r="G19" s="235" t="s">
        <v>116</v>
      </c>
      <c r="H19" s="188" t="s">
        <v>117</v>
      </c>
      <c r="I19" s="84" t="s">
        <v>85</v>
      </c>
      <c r="J19" s="85">
        <f>IF(I19="Brother",$C$6*Table4[[#This Row],[Seniority Dues]],IF(I19="EC",$C$7,IF(I19="Alumni",$C$8,IF(I19="Dropped",$C$11,IF(I19="President",$C$10,IF(I19="Inactive",$C$9,IF(Table4[[#This Row],[Type]]="New Member",$C$13,0)))))))</f>
        <v>225</v>
      </c>
      <c r="K19" s="86"/>
      <c r="L19" s="87">
        <f>VLOOKUP(F19,Fall!F$3:P$138,11)</f>
        <v>225</v>
      </c>
      <c r="M19" s="226">
        <f>2*112.5</f>
        <v>225</v>
      </c>
      <c r="N19" s="241">
        <v>112.5</v>
      </c>
      <c r="O19" s="87" t="s">
        <v>455</v>
      </c>
      <c r="P19" s="132"/>
      <c r="Q19" s="132">
        <f>SUM(Table4[[#This Row],[Payment 1]:[Payment 2]])</f>
        <v>337.5</v>
      </c>
      <c r="R19" s="283">
        <f t="shared" si="0"/>
        <v>112.5</v>
      </c>
      <c r="S19" s="283">
        <f t="shared" si="1"/>
        <v>0</v>
      </c>
      <c r="T19" s="176">
        <f t="shared" si="2"/>
        <v>112.5</v>
      </c>
      <c r="U19" s="147"/>
      <c r="V19" s="168"/>
      <c r="W19" s="89"/>
      <c r="X19" s="188">
        <v>4</v>
      </c>
      <c r="Y19" s="135"/>
      <c r="Z19" s="134">
        <f>IF(Table4[[#This Row],[Year]]=1, 1.3, IF(Table4[[#This Row],[Year]]=2, 1.2, IF(Table4[[#This Row],[Year]]=3, 1, IF(Table4[[#This Row],[Year]]=4, 0.729166667, IF(Table4[[#This Row],[Year]]=5, 0.6, 0)))))</f>
        <v>0.72916666699999999</v>
      </c>
    </row>
    <row r="20" spans="2:26" ht="21" x14ac:dyDescent="0.3">
      <c r="B20" s="106">
        <v>4</v>
      </c>
      <c r="C20" s="107">
        <f>COUNTIFS(X:X,B20,I:I,"&lt;&gt;Dropped")</f>
        <v>38</v>
      </c>
      <c r="D20" s="108">
        <f>C20/$C$22</f>
        <v>0.25</v>
      </c>
      <c r="F20" s="73" t="s">
        <v>119</v>
      </c>
      <c r="G20" s="229" t="s">
        <v>120</v>
      </c>
      <c r="H20" s="188" t="s">
        <v>121</v>
      </c>
      <c r="I20" s="84" t="s">
        <v>72</v>
      </c>
      <c r="J20" s="85">
        <f>IF(I20="Brother",$C$6*Table4[[#This Row],[Seniority Dues]],IF(I20="EC",$C$7,IF(I20="Alumni",$C$8,IF(I20="Dropped",$C$11,IF(I20="President",$C$10,IF(I20="Inactive",$C$9,IF(Table4[[#This Row],[Type]]="New Member",$C$13,0)))))))</f>
        <v>200</v>
      </c>
      <c r="K20" s="86"/>
      <c r="L20" s="87">
        <f>VLOOKUP(F20,Fall!F$3:P$138,11)</f>
        <v>0</v>
      </c>
      <c r="M20" s="226">
        <v>200</v>
      </c>
      <c r="N20" s="241"/>
      <c r="O20" s="87"/>
      <c r="P20" s="132"/>
      <c r="Q20" s="132">
        <f>SUM(Table4[[#This Row],[Payment 1]:[Payment 2]])</f>
        <v>200</v>
      </c>
      <c r="R20" s="283">
        <f t="shared" si="0"/>
        <v>0</v>
      </c>
      <c r="S20" s="283">
        <f t="shared" si="1"/>
        <v>0</v>
      </c>
      <c r="T20" s="176">
        <f t="shared" si="2"/>
        <v>0</v>
      </c>
      <c r="U20" s="147"/>
      <c r="V20" s="168"/>
      <c r="W20" s="89"/>
      <c r="X20" s="188">
        <v>4</v>
      </c>
      <c r="Y20" s="135"/>
      <c r="Z20" s="134">
        <f>IF(Table4[[#This Row],[Year]]=1, 1.3, IF(Table4[[#This Row],[Year]]=2, 1.2, IF(Table4[[#This Row],[Year]]=3, 1, IF(Table4[[#This Row],[Year]]=4, 0.729166667, IF(Table4[[#This Row],[Year]]=5, 0.6, 0)))))</f>
        <v>0.72916666699999999</v>
      </c>
    </row>
    <row r="21" spans="2:26" ht="22" thickBot="1" x14ac:dyDescent="0.35">
      <c r="B21" s="109">
        <v>5</v>
      </c>
      <c r="C21" s="110">
        <f>COUNTIFS(X:X,B21,I:I,"&lt;&gt;Dropped")</f>
        <v>4</v>
      </c>
      <c r="D21" s="111">
        <f>C21/$C$22</f>
        <v>2.6315789473684209E-2</v>
      </c>
      <c r="F21" s="73" t="s">
        <v>122</v>
      </c>
      <c r="G21" s="229" t="s">
        <v>123</v>
      </c>
      <c r="H21" s="188" t="s">
        <v>88</v>
      </c>
      <c r="I21" s="84" t="s">
        <v>72</v>
      </c>
      <c r="J21" s="85">
        <f>IF(I21="Brother",$C$6*Table4[[#This Row],[Seniority Dues]],IF(I21="EC",$C$7,IF(I21="Alumni",$C$8,IF(I21="Dropped",$C$11,IF(I21="President",$C$10,IF(I21="Inactive",$C$9,IF(Table4[[#This Row],[Type]]="New Member",$C$13,0)))))))</f>
        <v>200</v>
      </c>
      <c r="K21" s="86"/>
      <c r="L21" s="87">
        <f>VLOOKUP(F21,Fall!F$3:P$138,11)</f>
        <v>200</v>
      </c>
      <c r="M21" s="226">
        <v>400</v>
      </c>
      <c r="N21" s="241"/>
      <c r="O21" s="87"/>
      <c r="P21" s="132"/>
      <c r="Q21" s="132">
        <f>SUM(Table4[[#This Row],[Payment 1]:[Payment 2]])</f>
        <v>400</v>
      </c>
      <c r="R21" s="283">
        <f t="shared" si="0"/>
        <v>0</v>
      </c>
      <c r="S21" s="283">
        <f t="shared" si="1"/>
        <v>0</v>
      </c>
      <c r="T21" s="176">
        <f t="shared" si="2"/>
        <v>0</v>
      </c>
      <c r="U21" s="147"/>
      <c r="V21" s="168"/>
      <c r="W21" s="89"/>
      <c r="X21" s="188">
        <v>4</v>
      </c>
      <c r="Y21" s="135"/>
      <c r="Z21" s="134">
        <f>IF(Table4[[#This Row],[Year]]=1, 1.3, IF(Table4[[#This Row],[Year]]=2, 1.2, IF(Table4[[#This Row],[Year]]=3, 1, IF(Table4[[#This Row],[Year]]=4, 0.729166667, IF(Table4[[#This Row],[Year]]=5, 0.6, 0)))))</f>
        <v>0.72916666699999999</v>
      </c>
    </row>
    <row r="22" spans="2:26" ht="22" thickBot="1" x14ac:dyDescent="0.35">
      <c r="B22" s="109" t="s">
        <v>25</v>
      </c>
      <c r="C22" s="110">
        <f>SUM(C17:C21)</f>
        <v>152</v>
      </c>
      <c r="D22" s="112"/>
      <c r="F22" s="239" t="s">
        <v>124</v>
      </c>
      <c r="G22" s="229" t="s">
        <v>125</v>
      </c>
      <c r="H22" s="188" t="s">
        <v>95</v>
      </c>
      <c r="I22" s="84" t="s">
        <v>76</v>
      </c>
      <c r="J22" s="85">
        <f>IF(I22="Brother",$C$6*Table4[[#This Row],[Seniority Dues]],IF(I22="EC",$C$7,IF(I22="Alumni",$C$8,IF(I22="Dropped",$C$11,IF(I22="President",$C$10,IF(I22="Inactive",$C$9,IF(Table4[[#This Row],[Type]]="New Member",$C$13,0)))))))</f>
        <v>480</v>
      </c>
      <c r="K22" s="86">
        <v>-25</v>
      </c>
      <c r="L22" s="87">
        <f>VLOOKUP(F22,Fall!F$3:P$138,11)</f>
        <v>0</v>
      </c>
      <c r="M22" s="226">
        <v>480</v>
      </c>
      <c r="N22" s="241"/>
      <c r="O22" s="87"/>
      <c r="P22" s="132" t="s">
        <v>457</v>
      </c>
      <c r="Q22" s="132">
        <f>SUM(Table4[[#This Row],[Payment 1]:[Payment 2]])</f>
        <v>480</v>
      </c>
      <c r="R22" s="283">
        <f t="shared" si="0"/>
        <v>-25</v>
      </c>
      <c r="S22" s="283">
        <f t="shared" si="1"/>
        <v>-25</v>
      </c>
      <c r="T22" s="176">
        <f t="shared" si="2"/>
        <v>0</v>
      </c>
      <c r="U22" s="147"/>
      <c r="V22" s="168"/>
      <c r="W22" s="89"/>
      <c r="X22" s="189">
        <v>3</v>
      </c>
      <c r="Y22" s="135"/>
      <c r="Z22" s="134">
        <f>IF(Table4[[#This Row],[Year]]=1, 1.3, IF(Table4[[#This Row],[Year]]=2, 1.2, IF(Table4[[#This Row],[Year]]=3, 1, IF(Table4[[#This Row],[Year]]=4, 0.729166667, IF(Table4[[#This Row],[Year]]=5, 0.6, 0)))))</f>
        <v>1</v>
      </c>
    </row>
    <row r="23" spans="2:26" ht="21" x14ac:dyDescent="0.3">
      <c r="B23" s="123"/>
      <c r="C23" s="123"/>
      <c r="D23" s="123"/>
      <c r="F23" s="218" t="s">
        <v>126</v>
      </c>
      <c r="G23" s="235" t="s">
        <v>127</v>
      </c>
      <c r="H23" s="188" t="s">
        <v>128</v>
      </c>
      <c r="I23" s="84" t="s">
        <v>85</v>
      </c>
      <c r="J23" s="85">
        <f>IF(I23="Brother",$C$6*Table4[[#This Row],[Seniority Dues]],IF(I23="EC",$C$7,IF(I23="Alumni",$C$8,IF(I23="Dropped",$C$11,IF(I23="President",$C$10,IF(I23="Inactive",$C$9,IF(Table4[[#This Row],[Type]]="New Member",$C$13,0)))))))</f>
        <v>225</v>
      </c>
      <c r="K23" s="85"/>
      <c r="L23" s="148">
        <f>VLOOKUP(F23,Fall!F$3:P$138,11)</f>
        <v>0</v>
      </c>
      <c r="M23" s="149">
        <v>225</v>
      </c>
      <c r="N23" s="241"/>
      <c r="O23" s="87"/>
      <c r="P23" s="132"/>
      <c r="Q23" s="132">
        <f>SUM(Table4[[#This Row],[Payment 1]:[Payment 2]])</f>
        <v>225</v>
      </c>
      <c r="R23" s="283">
        <f t="shared" si="0"/>
        <v>0</v>
      </c>
      <c r="S23" s="283">
        <f t="shared" si="1"/>
        <v>0</v>
      </c>
      <c r="T23" s="176">
        <f t="shared" si="2"/>
        <v>0</v>
      </c>
      <c r="U23" s="186"/>
      <c r="V23" s="187"/>
      <c r="W23" s="173"/>
      <c r="X23" s="189">
        <v>3</v>
      </c>
      <c r="Y23" s="135"/>
      <c r="Z23" s="134">
        <f>IF(Table4[[#This Row],[Year]]=1, 1.3, IF(Table4[[#This Row],[Year]]=2, 1.2, IF(Table4[[#This Row],[Year]]=3, 1, IF(Table4[[#This Row],[Year]]=4, 0.729166667, IF(Table4[[#This Row],[Year]]=5, 0.6, 0)))))</f>
        <v>1</v>
      </c>
    </row>
    <row r="24" spans="2:26" ht="21" x14ac:dyDescent="0.3">
      <c r="B24" s="123"/>
      <c r="C24" s="123"/>
      <c r="D24" s="123"/>
      <c r="F24" s="218" t="s">
        <v>129</v>
      </c>
      <c r="G24" s="229" t="s">
        <v>130</v>
      </c>
      <c r="H24" s="188" t="s">
        <v>131</v>
      </c>
      <c r="I24" s="185" t="s">
        <v>76</v>
      </c>
      <c r="J24" s="85">
        <f>IF(I24="Brother",$C$6*Table4[[#This Row],[Seniority Dues]],IF(I24="EC",$C$7,IF(I24="Alumni",$C$8,IF(I24="Dropped",$C$11,IF(I24="President",$C$10,IF(I24="Inactive",$C$9,IF(Table4[[#This Row],[Type]]="New Member",$C$13,0)))))))</f>
        <v>350.00000016000001</v>
      </c>
      <c r="K24" s="85"/>
      <c r="L24" s="148">
        <f>VLOOKUP(F24,Fall!F$3:P$138,11)</f>
        <v>384</v>
      </c>
      <c r="M24" s="149">
        <v>734</v>
      </c>
      <c r="N24" s="241"/>
      <c r="O24" s="87"/>
      <c r="P24" s="132"/>
      <c r="Q24" s="132">
        <f>SUM(Table4[[#This Row],[Payment 1]:[Payment 2]])</f>
        <v>734</v>
      </c>
      <c r="R24" s="283">
        <f t="shared" si="0"/>
        <v>1.6000001323845936E-7</v>
      </c>
      <c r="S24" s="283">
        <f t="shared" si="1"/>
        <v>0</v>
      </c>
      <c r="T24" s="176">
        <f t="shared" si="2"/>
        <v>1.6000001323845936E-7</v>
      </c>
      <c r="U24" s="186"/>
      <c r="V24" s="187"/>
      <c r="W24" s="173"/>
      <c r="X24" s="188">
        <v>4</v>
      </c>
      <c r="Y24" s="135"/>
      <c r="Z24" s="134">
        <f>IF(Table4[[#This Row],[Year]]=1, 1.3, IF(Table4[[#This Row],[Year]]=2, 1.2, IF(Table4[[#This Row],[Year]]=3, 1, IF(Table4[[#This Row],[Year]]=4, 0.729166667, IF(Table4[[#This Row],[Year]]=5, 0.6, 0)))))</f>
        <v>0.72916666699999999</v>
      </c>
    </row>
    <row r="25" spans="2:26" ht="21" x14ac:dyDescent="0.3">
      <c r="B25" s="123"/>
      <c r="C25" s="123"/>
      <c r="D25" s="123"/>
      <c r="F25" s="218" t="s">
        <v>132</v>
      </c>
      <c r="G25" s="222" t="s">
        <v>133</v>
      </c>
      <c r="H25" s="190" t="s">
        <v>134</v>
      </c>
      <c r="I25" s="185" t="s">
        <v>76</v>
      </c>
      <c r="J25" s="85">
        <f>IF(I25="Brother",$C$6*Table4[[#This Row],[Seniority Dues]],IF(I25="EC",$C$7,IF(I25="Alumni",$C$8,IF(I25="Dropped",$C$11,IF(I25="President",$C$10,IF(I25="Inactive",$C$9,IF(Table4[[#This Row],[Type]]="New Member",$C$13,0)))))))</f>
        <v>576</v>
      </c>
      <c r="K25" s="85"/>
      <c r="L25" s="148">
        <f>VLOOKUP(F25,Fall!F$3:P$138,11)</f>
        <v>0</v>
      </c>
      <c r="M25" s="149">
        <v>576</v>
      </c>
      <c r="N25" s="241"/>
      <c r="O25" s="87"/>
      <c r="P25" s="132"/>
      <c r="Q25" s="132">
        <f>SUM(Table4[[#This Row],[Payment 1]:[Payment 2]])</f>
        <v>576</v>
      </c>
      <c r="R25" s="283">
        <f t="shared" si="0"/>
        <v>0</v>
      </c>
      <c r="S25" s="283">
        <f t="shared" si="1"/>
        <v>0</v>
      </c>
      <c r="T25" s="176">
        <f t="shared" si="2"/>
        <v>0</v>
      </c>
      <c r="U25" s="186"/>
      <c r="V25" s="187"/>
      <c r="W25" s="173"/>
      <c r="X25" s="218">
        <v>2</v>
      </c>
      <c r="Y25" s="135"/>
      <c r="Z25" s="134">
        <f>IF(Table4[[#This Row],[Year]]=1, 1.3, IF(Table4[[#This Row],[Year]]=2, 1.2, IF(Table4[[#This Row],[Year]]=3, 1, IF(Table4[[#This Row],[Year]]=4, 0.729166667, IF(Table4[[#This Row],[Year]]=5, 0.6, 0)))))</f>
        <v>1.2</v>
      </c>
    </row>
    <row r="26" spans="2:26" ht="21" x14ac:dyDescent="0.3">
      <c r="B26" s="123"/>
      <c r="C26" s="123"/>
      <c r="D26" s="123"/>
      <c r="F26" s="244" t="s">
        <v>135</v>
      </c>
      <c r="G26" s="229" t="s">
        <v>136</v>
      </c>
      <c r="H26" s="188" t="s">
        <v>137</v>
      </c>
      <c r="I26" s="185" t="s">
        <v>72</v>
      </c>
      <c r="J26" s="85">
        <f>IF(I26="Brother",$C$6*Table4[[#This Row],[Seniority Dues]],IF(I26="EC",$C$7,IF(I26="Alumni",$C$8,IF(I26="Dropped",$C$11,IF(I26="President",$C$10,IF(I26="Inactive",$C$9,IF(Table4[[#This Row],[Type]]="New Member",$C$13,0)))))))</f>
        <v>200</v>
      </c>
      <c r="K26" s="85"/>
      <c r="L26" s="148">
        <f>VLOOKUP(F26,Fall!F$3:P$138,11)</f>
        <v>440</v>
      </c>
      <c r="M26" s="149">
        <v>600</v>
      </c>
      <c r="N26" s="241"/>
      <c r="O26" s="87"/>
      <c r="P26" s="132"/>
      <c r="Q26" s="132">
        <f>SUM(Table4[[#This Row],[Payment 1]:[Payment 2]])</f>
        <v>600</v>
      </c>
      <c r="R26" s="283">
        <f t="shared" si="0"/>
        <v>40</v>
      </c>
      <c r="S26" s="283">
        <f t="shared" si="1"/>
        <v>0</v>
      </c>
      <c r="T26" s="176">
        <f t="shared" si="2"/>
        <v>40</v>
      </c>
      <c r="U26" s="186"/>
      <c r="V26" s="187"/>
      <c r="W26" s="173"/>
      <c r="X26" s="188">
        <v>4</v>
      </c>
      <c r="Y26" s="135"/>
      <c r="Z26" s="134">
        <f>IF(Table4[[#This Row],[Year]]=1, 1.3, IF(Table4[[#This Row],[Year]]=2, 1.2, IF(Table4[[#This Row],[Year]]=3, 1, IF(Table4[[#This Row],[Year]]=4, 0.729166667, IF(Table4[[#This Row],[Year]]=5, 0.6, 0)))))</f>
        <v>0.72916666699999999</v>
      </c>
    </row>
    <row r="27" spans="2:26" ht="21" x14ac:dyDescent="0.3">
      <c r="B27" s="123" t="s">
        <v>459</v>
      </c>
      <c r="C27" s="123"/>
      <c r="D27" s="234"/>
      <c r="F27" s="218" t="s">
        <v>403</v>
      </c>
      <c r="G27" s="222" t="s">
        <v>404</v>
      </c>
      <c r="H27" s="190" t="s">
        <v>405</v>
      </c>
      <c r="I27" s="185" t="s">
        <v>76</v>
      </c>
      <c r="J27" s="85">
        <f>IF(I27="Brother",$C$6*Table4[[#This Row],[Seniority Dues]],IF(I27="EC",$C$7,IF(I27="Alumni",$C$8,IF(I27="Dropped",$C$11,IF(I27="President",$C$10,IF(I27="Inactive",$C$9,IF(Table4[[#This Row],[Type]]="New Member",$C$13,0)))))))</f>
        <v>624</v>
      </c>
      <c r="K27" s="85"/>
      <c r="L27" s="148">
        <v>0</v>
      </c>
      <c r="M27" s="149">
        <v>624</v>
      </c>
      <c r="N27" s="241"/>
      <c r="O27" s="87"/>
      <c r="P27" s="132"/>
      <c r="Q27" s="132">
        <f>SUM(Table4[[#This Row],[Payment 1]:[Payment 2]])</f>
        <v>624</v>
      </c>
      <c r="R27" s="283">
        <f t="shared" si="0"/>
        <v>0</v>
      </c>
      <c r="S27" s="283">
        <f t="shared" si="1"/>
        <v>0</v>
      </c>
      <c r="T27" s="176">
        <f t="shared" si="2"/>
        <v>0</v>
      </c>
      <c r="U27" s="186"/>
      <c r="V27" s="187"/>
      <c r="W27" s="173"/>
      <c r="X27" s="218">
        <v>1</v>
      </c>
      <c r="Y27" s="135"/>
      <c r="Z27" s="134">
        <f>IF(Table4[[#This Row],[Year]]=1, 1.3, IF(Table4[[#This Row],[Year]]=2, 1.2, IF(Table4[[#This Row],[Year]]=3, 1, IF(Table4[[#This Row],[Year]]=4, 0.729166667, IF(Table4[[#This Row],[Year]]=5, 0.6, 0)))))</f>
        <v>1.3</v>
      </c>
    </row>
    <row r="28" spans="2:26" ht="21" x14ac:dyDescent="0.3">
      <c r="B28" s="370" t="s">
        <v>460</v>
      </c>
      <c r="C28" s="370"/>
      <c r="D28" s="123"/>
      <c r="F28" s="218" t="s">
        <v>406</v>
      </c>
      <c r="G28" s="222" t="s">
        <v>407</v>
      </c>
      <c r="H28" s="190" t="s">
        <v>408</v>
      </c>
      <c r="I28" s="185" t="s">
        <v>76</v>
      </c>
      <c r="J28" s="85">
        <f>IF(I28="Brother",$C$6*Table4[[#This Row],[Seniority Dues]],IF(I28="EC",$C$7,IF(I28="Alumni",$C$8,IF(I28="Dropped",$C$11,IF(I28="President",$C$10,IF(I28="Inactive",$C$9,IF(Table4[[#This Row],[Type]]="New Member",$C$13,0)))))))</f>
        <v>624</v>
      </c>
      <c r="K28" s="85"/>
      <c r="L28" s="148">
        <v>0</v>
      </c>
      <c r="M28" s="149">
        <v>624</v>
      </c>
      <c r="N28" s="241"/>
      <c r="O28" s="87"/>
      <c r="P28" s="132"/>
      <c r="Q28" s="132">
        <f>SUM(Table4[[#This Row],[Payment 1]:[Payment 2]])</f>
        <v>624</v>
      </c>
      <c r="R28" s="283">
        <f t="shared" si="0"/>
        <v>0</v>
      </c>
      <c r="S28" s="283">
        <f t="shared" si="1"/>
        <v>0</v>
      </c>
      <c r="T28" s="176">
        <f t="shared" si="2"/>
        <v>0</v>
      </c>
      <c r="U28" s="186"/>
      <c r="V28" s="187"/>
      <c r="W28" s="173"/>
      <c r="X28" s="218">
        <v>1</v>
      </c>
      <c r="Y28" s="135"/>
      <c r="Z28" s="134">
        <f>IF(Table4[[#This Row],[Year]]=1, 1.3, IF(Table4[[#This Row],[Year]]=2, 1.2, IF(Table4[[#This Row],[Year]]=3, 1, IF(Table4[[#This Row],[Year]]=4, 0.729166667, IF(Table4[[#This Row],[Year]]=5, 0.6, 0)))))</f>
        <v>1.3</v>
      </c>
    </row>
    <row r="29" spans="2:26" ht="21" x14ac:dyDescent="0.3">
      <c r="B29" s="123"/>
      <c r="C29" s="123"/>
      <c r="D29" s="123"/>
      <c r="F29" s="218" t="s">
        <v>138</v>
      </c>
      <c r="G29" s="235" t="s">
        <v>139</v>
      </c>
      <c r="H29" s="188" t="s">
        <v>140</v>
      </c>
      <c r="I29" s="185" t="s">
        <v>85</v>
      </c>
      <c r="J29" s="85">
        <f>IF(I29="Brother",$C$6*Table4[[#This Row],[Seniority Dues]],IF(I29="EC",$C$7,IF(I29="Alumni",$C$8,IF(I29="Dropped",$C$11,IF(I29="President",$C$10,IF(I29="Inactive",$C$9,IF(Table4[[#This Row],[Type]]="New Member",$C$13,0)))))))</f>
        <v>225</v>
      </c>
      <c r="K29" s="85"/>
      <c r="L29" s="148">
        <f>VLOOKUP(F29,Fall!F$3:P$138,11)</f>
        <v>225</v>
      </c>
      <c r="M29" s="149">
        <v>450</v>
      </c>
      <c r="N29" s="241"/>
      <c r="O29" s="87"/>
      <c r="P29" s="132"/>
      <c r="Q29" s="132">
        <f>SUM(Table4[[#This Row],[Payment 1]:[Payment 2]])</f>
        <v>450</v>
      </c>
      <c r="R29" s="283">
        <f t="shared" si="0"/>
        <v>0</v>
      </c>
      <c r="S29" s="283">
        <f t="shared" si="1"/>
        <v>0</v>
      </c>
      <c r="T29" s="176">
        <f t="shared" si="2"/>
        <v>0</v>
      </c>
      <c r="U29" s="186"/>
      <c r="V29" s="187"/>
      <c r="W29" s="173"/>
      <c r="X29" s="188">
        <v>4</v>
      </c>
      <c r="Y29" s="135"/>
      <c r="Z29" s="134">
        <f>IF(Table4[[#This Row],[Year]]=1, 1.3, IF(Table4[[#This Row],[Year]]=2, 1.2, IF(Table4[[#This Row],[Year]]=3, 1, IF(Table4[[#This Row],[Year]]=4, 0.729166667, IF(Table4[[#This Row],[Year]]=5, 0.6, 0)))))</f>
        <v>0.72916666699999999</v>
      </c>
    </row>
    <row r="30" spans="2:26" ht="21" x14ac:dyDescent="0.3">
      <c r="B30" s="123"/>
      <c r="C30" s="123"/>
      <c r="D30" s="123"/>
      <c r="F30" s="239" t="s">
        <v>141</v>
      </c>
      <c r="G30" s="222" t="s">
        <v>142</v>
      </c>
      <c r="H30" s="213" t="s">
        <v>143</v>
      </c>
      <c r="I30" s="185" t="s">
        <v>76</v>
      </c>
      <c r="J30" s="85">
        <f>IF(I30="Brother",$C$6*Table4[[#This Row],[Seniority Dues]],IF(I30="EC",$C$7,IF(I30="Alumni",$C$8,IF(I30="Dropped",$C$11,IF(I30="President",$C$10,IF(I30="Inactive",$C$9,IF(Table4[[#This Row],[Type]]="New Member",$C$13,0)))))))</f>
        <v>576</v>
      </c>
      <c r="K30" s="85">
        <v>-25</v>
      </c>
      <c r="L30" s="148">
        <f>VLOOKUP(F30,Fall!F$3:P$138,11)</f>
        <v>0</v>
      </c>
      <c r="M30" s="149">
        <v>576</v>
      </c>
      <c r="N30" s="241"/>
      <c r="O30" s="87"/>
      <c r="P30" s="132" t="s">
        <v>457</v>
      </c>
      <c r="Q30" s="132">
        <f>SUM(Table4[[#This Row],[Payment 1]:[Payment 2]])</f>
        <v>576</v>
      </c>
      <c r="R30" s="283">
        <f t="shared" si="0"/>
        <v>-25</v>
      </c>
      <c r="S30" s="283">
        <f t="shared" si="1"/>
        <v>-25</v>
      </c>
      <c r="T30" s="176">
        <f t="shared" si="2"/>
        <v>0</v>
      </c>
      <c r="U30" s="186"/>
      <c r="V30" s="187"/>
      <c r="W30" s="173"/>
      <c r="X30" s="218">
        <v>2</v>
      </c>
      <c r="Y30" s="135"/>
      <c r="Z30" s="134">
        <f>IF(Table4[[#This Row],[Year]]=1, 1.3, IF(Table4[[#This Row],[Year]]=2, 1.2, IF(Table4[[#This Row],[Year]]=3, 1, IF(Table4[[#This Row],[Year]]=4, 0.729166667, IF(Table4[[#This Row],[Year]]=5, 0.6, 0)))))</f>
        <v>1.2</v>
      </c>
    </row>
    <row r="31" spans="2:26" ht="21" x14ac:dyDescent="0.3">
      <c r="B31" s="123"/>
      <c r="C31" s="123"/>
      <c r="D31" s="123"/>
      <c r="F31" s="218" t="s">
        <v>144</v>
      </c>
      <c r="G31" s="229" t="s">
        <v>145</v>
      </c>
      <c r="H31" s="188" t="s">
        <v>92</v>
      </c>
      <c r="I31" s="185" t="s">
        <v>72</v>
      </c>
      <c r="J31" s="85">
        <f>IF(I31="Brother",$C$6*Table4[[#This Row],[Seniority Dues]],IF(I31="EC",$C$7,IF(I31="Alumni",$C$8,IF(I31="Dropped",$C$11,IF(I31="President",$C$10,IF(I31="Inactive",$C$9,IF(Table4[[#This Row],[Type]]="New Member",$C$13,0)))))))</f>
        <v>200</v>
      </c>
      <c r="K31" s="85"/>
      <c r="L31" s="148">
        <f>VLOOKUP(F31,Fall!F$3:P$138,11)</f>
        <v>0</v>
      </c>
      <c r="M31" s="149">
        <v>350</v>
      </c>
      <c r="N31" s="241"/>
      <c r="O31" s="87"/>
      <c r="P31" s="132"/>
      <c r="Q31" s="132">
        <f>SUM(Table4[[#This Row],[Payment 1]:[Payment 2]])</f>
        <v>350</v>
      </c>
      <c r="R31" s="283">
        <f t="shared" si="0"/>
        <v>-150</v>
      </c>
      <c r="S31" s="283">
        <f t="shared" si="1"/>
        <v>-150</v>
      </c>
      <c r="T31" s="176">
        <f t="shared" si="2"/>
        <v>0</v>
      </c>
      <c r="U31" s="186"/>
      <c r="V31" s="187"/>
      <c r="W31" s="173"/>
      <c r="X31" s="188">
        <v>4</v>
      </c>
      <c r="Y31" s="135"/>
      <c r="Z31" s="134">
        <f>IF(Table4[[#This Row],[Year]]=1, 1.3, IF(Table4[[#This Row],[Year]]=2, 1.2, IF(Table4[[#This Row],[Year]]=3, 1, IF(Table4[[#This Row],[Year]]=4, 0.729166667, IF(Table4[[#This Row],[Year]]=5, 0.6, 0)))))</f>
        <v>0.72916666699999999</v>
      </c>
    </row>
    <row r="32" spans="2:26" ht="21" x14ac:dyDescent="0.3">
      <c r="B32" s="123"/>
      <c r="C32" s="123"/>
      <c r="D32" s="123"/>
      <c r="F32" s="245" t="s">
        <v>146</v>
      </c>
      <c r="G32" s="222" t="s">
        <v>147</v>
      </c>
      <c r="H32" s="190" t="s">
        <v>148</v>
      </c>
      <c r="I32" s="185" t="s">
        <v>100</v>
      </c>
      <c r="J32" s="85">
        <f>IF(I32="Brother",$C$6*Table4[[#This Row],[Seniority Dues]],IF(I32="EC",$C$7,IF(I32="Alumni",$C$8,IF(I32="Dropped",$C$11,IF(I32="President",$C$10,IF(I32="Inactive",$C$9,IF(Table4[[#This Row],[Type]]="New Member",$C$13,0)))))))</f>
        <v>0</v>
      </c>
      <c r="K32" s="86"/>
      <c r="L32" s="148">
        <f>VLOOKUP(F32,Fall!F$3:P$138,11)</f>
        <v>0</v>
      </c>
      <c r="M32" s="149"/>
      <c r="N32" s="241"/>
      <c r="O32" s="87"/>
      <c r="P32" s="132"/>
      <c r="Q32" s="132">
        <f>SUM(Table4[[#This Row],[Payment 1]:[Payment 2]])</f>
        <v>0</v>
      </c>
      <c r="R32" s="283">
        <f t="shared" si="0"/>
        <v>0</v>
      </c>
      <c r="S32" s="283">
        <f t="shared" si="1"/>
        <v>0</v>
      </c>
      <c r="T32" s="176">
        <f t="shared" si="2"/>
        <v>0</v>
      </c>
      <c r="U32" s="186"/>
      <c r="V32" s="187"/>
      <c r="W32" s="173"/>
      <c r="X32" s="218">
        <v>4</v>
      </c>
      <c r="Y32" s="135"/>
      <c r="Z32" s="134">
        <f>IF(Table4[[#This Row],[Year]]=1, 1.3, IF(Table4[[#This Row],[Year]]=2, 1.2, IF(Table4[[#This Row],[Year]]=3, 1, IF(Table4[[#This Row],[Year]]=4, 0.729166667, IF(Table4[[#This Row],[Year]]=5, 0.6, 0)))))</f>
        <v>0.72916666699999999</v>
      </c>
    </row>
    <row r="33" spans="2:26" ht="21" x14ac:dyDescent="0.3">
      <c r="B33" s="123"/>
      <c r="C33" s="123"/>
      <c r="D33" s="123"/>
      <c r="F33" s="218" t="s">
        <v>149</v>
      </c>
      <c r="G33" s="229" t="s">
        <v>150</v>
      </c>
      <c r="H33" s="188" t="s">
        <v>151</v>
      </c>
      <c r="I33" s="185" t="s">
        <v>76</v>
      </c>
      <c r="J33" s="85">
        <f>IF(I33="Brother",$C$6*Table4[[#This Row],[Seniority Dues]],IF(I33="EC",$C$7,IF(I33="Alumni",$C$8,IF(I33="Dropped",$C$11,IF(I33="President",$C$10,IF(I33="Inactive",$C$9,IF(Table4[[#This Row],[Type]]="New Member",$C$13,0)))))))</f>
        <v>480</v>
      </c>
      <c r="K33" s="85"/>
      <c r="L33" s="148">
        <f>VLOOKUP(F33,Fall!F$3:P$138,11)</f>
        <v>240</v>
      </c>
      <c r="M33" s="149">
        <f>240+80</f>
        <v>320</v>
      </c>
      <c r="N33" s="241"/>
      <c r="O33" s="87" t="s">
        <v>455</v>
      </c>
      <c r="P33" s="132"/>
      <c r="Q33" s="132">
        <f>SUM(Table4[[#This Row],[Payment 1]:[Payment 2]])</f>
        <v>320</v>
      </c>
      <c r="R33" s="283">
        <f t="shared" si="0"/>
        <v>400</v>
      </c>
      <c r="S33" s="283">
        <f t="shared" si="1"/>
        <v>0</v>
      </c>
      <c r="T33" s="176">
        <f t="shared" si="2"/>
        <v>400</v>
      </c>
      <c r="U33" s="186"/>
      <c r="V33" s="187"/>
      <c r="W33" s="173"/>
      <c r="X33" s="188">
        <v>3</v>
      </c>
      <c r="Y33" s="135"/>
      <c r="Z33" s="134">
        <f>IF(Table4[[#This Row],[Year]]=1, 1.3, IF(Table4[[#This Row],[Year]]=2, 1.2, IF(Table4[[#This Row],[Year]]=3, 1, IF(Table4[[#This Row],[Year]]=4, 0.729166667, IF(Table4[[#This Row],[Year]]=5, 0.6, 0)))))</f>
        <v>1</v>
      </c>
    </row>
    <row r="34" spans="2:26" ht="21" x14ac:dyDescent="0.3">
      <c r="B34" s="123"/>
      <c r="C34" s="123"/>
      <c r="D34" s="123"/>
      <c r="F34" s="239" t="s">
        <v>152</v>
      </c>
      <c r="G34" s="229" t="s">
        <v>153</v>
      </c>
      <c r="H34" s="188" t="s">
        <v>88</v>
      </c>
      <c r="I34" s="185" t="s">
        <v>76</v>
      </c>
      <c r="J34" s="85">
        <f>IF(I34="Brother",$C$6*Table4[[#This Row],[Seniority Dues]],IF(I34="EC",$C$7,IF(I34="Alumni",$C$8,IF(I34="Dropped",$C$11,IF(I34="President",$C$10,IF(I34="Inactive",$C$9,IF(Table4[[#This Row],[Type]]="New Member",$C$13,0)))))))</f>
        <v>350.00000016000001</v>
      </c>
      <c r="K34" s="85">
        <v>-25</v>
      </c>
      <c r="L34" s="148">
        <f>VLOOKUP(F34,Fall!F$3:P$138,11)</f>
        <v>0</v>
      </c>
      <c r="M34" s="149">
        <v>350</v>
      </c>
      <c r="N34" s="241"/>
      <c r="O34" s="87"/>
      <c r="P34" s="132" t="s">
        <v>457</v>
      </c>
      <c r="Q34" s="132">
        <f>SUM(Table4[[#This Row],[Payment 1]:[Payment 2]])</f>
        <v>350</v>
      </c>
      <c r="R34" s="283">
        <f t="shared" si="0"/>
        <v>-24.999999839999987</v>
      </c>
      <c r="S34" s="283">
        <f t="shared" si="1"/>
        <v>-24.999999839999987</v>
      </c>
      <c r="T34" s="176">
        <f t="shared" si="2"/>
        <v>0</v>
      </c>
      <c r="U34" s="186"/>
      <c r="V34" s="187"/>
      <c r="W34" s="173"/>
      <c r="X34" s="188">
        <v>4</v>
      </c>
      <c r="Y34" s="135"/>
      <c r="Z34" s="134">
        <f>IF(Table4[[#This Row],[Year]]=1, 1.3, IF(Table4[[#This Row],[Year]]=2, 1.2, IF(Table4[[#This Row],[Year]]=3, 1, IF(Table4[[#This Row],[Year]]=4, 0.729166667, IF(Table4[[#This Row],[Year]]=5, 0.6, 0)))))</f>
        <v>0.72916666699999999</v>
      </c>
    </row>
    <row r="35" spans="2:26" ht="21" x14ac:dyDescent="0.3">
      <c r="B35" s="123"/>
      <c r="C35" s="123"/>
      <c r="D35" s="123"/>
      <c r="F35" s="277" t="s">
        <v>154</v>
      </c>
      <c r="G35" s="229" t="s">
        <v>155</v>
      </c>
      <c r="H35" s="188" t="s">
        <v>111</v>
      </c>
      <c r="I35" s="185" t="s">
        <v>100</v>
      </c>
      <c r="J35" s="85">
        <f>IF(I35="Brother",$C$6*Table4[[#This Row],[Seniority Dues]],IF(I35="EC",$C$7,IF(I35="Alumni",$C$8,IF(I35="Dropped",$C$11,IF(I35="President",$C$10,IF(I35="Inactive",$C$9,IF(Table4[[#This Row],[Type]]="New Member",$C$13,0)))))))</f>
        <v>0</v>
      </c>
      <c r="K35" s="85"/>
      <c r="L35" s="148">
        <f>VLOOKUP(F35,Fall!F$3:P$138,11)</f>
        <v>0</v>
      </c>
      <c r="M35" s="149">
        <v>480</v>
      </c>
      <c r="N35" s="241"/>
      <c r="O35" s="87"/>
      <c r="P35" s="132" t="s">
        <v>457</v>
      </c>
      <c r="Q35" s="132">
        <f>SUM(Table4[[#This Row],[Payment 1]:[Payment 2]])</f>
        <v>480</v>
      </c>
      <c r="R35" s="283">
        <f t="shared" si="0"/>
        <v>-480</v>
      </c>
      <c r="S35" s="283">
        <f t="shared" ref="S35:S66" si="3">IF((J35+L35-M35+K35-N35)&lt;0,J35+L35-M35+K35-N35,0)</f>
        <v>-480</v>
      </c>
      <c r="T35" s="176">
        <f t="shared" ref="T35:T66" si="4">IF((J35+L35-M35+K35-N35)&gt;0, J35+L35-M35+K35-N35, 0)</f>
        <v>0</v>
      </c>
      <c r="U35" s="186"/>
      <c r="V35" s="187"/>
      <c r="W35" s="173"/>
      <c r="X35" s="189">
        <v>3</v>
      </c>
      <c r="Y35" s="135"/>
      <c r="Z35" s="134">
        <f>IF(Table4[[#This Row],[Year]]=1, 1.3, IF(Table4[[#This Row],[Year]]=2, 1.2, IF(Table4[[#This Row],[Year]]=3, 1, IF(Table4[[#This Row],[Year]]=4, 0.729166667, IF(Table4[[#This Row],[Year]]=5, 0.6, 0)))))</f>
        <v>1</v>
      </c>
    </row>
    <row r="36" spans="2:26" ht="21" x14ac:dyDescent="0.3">
      <c r="B36" s="123"/>
      <c r="C36" s="123"/>
      <c r="D36" s="123"/>
      <c r="F36" s="218" t="s">
        <v>156</v>
      </c>
      <c r="G36" s="237" t="s">
        <v>157</v>
      </c>
      <c r="H36" s="188" t="s">
        <v>158</v>
      </c>
      <c r="I36" s="185" t="s">
        <v>85</v>
      </c>
      <c r="J36" s="85">
        <f>IF(I36="Brother",$C$6*Table4[[#This Row],[Seniority Dues]],IF(I36="EC",$C$7,IF(I36="Alumni",$C$8,IF(I36="Dropped",$C$11,IF(I36="President",$C$10,IF(I36="Inactive",$C$9,IF(Table4[[#This Row],[Type]]="New Member",$C$13,0)))))))</f>
        <v>225</v>
      </c>
      <c r="K36" s="86">
        <v>25</v>
      </c>
      <c r="L36" s="148">
        <f>VLOOKUP(F36,Fall!F$3:P$138,11)</f>
        <v>0</v>
      </c>
      <c r="M36" s="149">
        <v>250</v>
      </c>
      <c r="N36" s="241"/>
      <c r="O36" s="87"/>
      <c r="P36" s="132"/>
      <c r="Q36" s="132">
        <f>SUM(Table4[[#This Row],[Payment 1]:[Payment 2]])</f>
        <v>250</v>
      </c>
      <c r="R36" s="283">
        <f t="shared" si="0"/>
        <v>0</v>
      </c>
      <c r="S36" s="283">
        <f t="shared" si="3"/>
        <v>0</v>
      </c>
      <c r="T36" s="176">
        <f t="shared" si="4"/>
        <v>0</v>
      </c>
      <c r="U36" s="186"/>
      <c r="V36" s="187"/>
      <c r="W36" s="173"/>
      <c r="X36" s="189">
        <v>3</v>
      </c>
      <c r="Y36" s="135"/>
      <c r="Z36" s="134">
        <f>IF(Table4[[#This Row],[Year]]=1, 1.3, IF(Table4[[#This Row],[Year]]=2, 1.2, IF(Table4[[#This Row],[Year]]=3, 1, IF(Table4[[#This Row],[Year]]=4, 0.729166667, IF(Table4[[#This Row],[Year]]=5, 0.6, 0)))))</f>
        <v>1</v>
      </c>
    </row>
    <row r="37" spans="2:26" ht="21" x14ac:dyDescent="0.3">
      <c r="B37" s="123"/>
      <c r="C37" s="123"/>
      <c r="D37" s="123"/>
      <c r="F37" s="218" t="s">
        <v>159</v>
      </c>
      <c r="G37" s="229" t="s">
        <v>160</v>
      </c>
      <c r="H37" s="188" t="s">
        <v>161</v>
      </c>
      <c r="I37" s="185" t="s">
        <v>76</v>
      </c>
      <c r="J37" s="85">
        <f>IF(I37="Brother",$C$6*Table4[[#This Row],[Seniority Dues]],IF(I37="EC",$C$7,IF(I37="Alumni",$C$8,IF(I37="Dropped",$C$11,IF(I37="President",$C$10,IF(I37="Inactive",$C$9,IF(Table4[[#This Row],[Type]]="New Member",$C$13,0)))))))</f>
        <v>350.00000016000001</v>
      </c>
      <c r="K37" s="85"/>
      <c r="L37" s="148">
        <f>VLOOKUP(F37,Fall!F$3:P$138,11)</f>
        <v>0</v>
      </c>
      <c r="M37" s="149">
        <v>350</v>
      </c>
      <c r="N37" s="241"/>
      <c r="O37" s="87"/>
      <c r="P37" s="132"/>
      <c r="Q37" s="132">
        <f>SUM(Table4[[#This Row],[Payment 1]:[Payment 2]])</f>
        <v>350</v>
      </c>
      <c r="R37" s="283">
        <f t="shared" si="0"/>
        <v>1.6000001323845936E-7</v>
      </c>
      <c r="S37" s="283">
        <f t="shared" si="3"/>
        <v>0</v>
      </c>
      <c r="T37" s="176">
        <f t="shared" si="4"/>
        <v>1.6000001323845936E-7</v>
      </c>
      <c r="U37" s="186"/>
      <c r="V37" s="187"/>
      <c r="W37" s="173"/>
      <c r="X37" s="188">
        <v>4</v>
      </c>
      <c r="Y37" s="135"/>
      <c r="Z37" s="134">
        <f>IF(Table4[[#This Row],[Year]]=1, 1.3, IF(Table4[[#This Row],[Year]]=2, 1.2, IF(Table4[[#This Row],[Year]]=3, 1, IF(Table4[[#This Row],[Year]]=4, 0.729166667, IF(Table4[[#This Row],[Year]]=5, 0.6, 0)))))</f>
        <v>0.72916666699999999</v>
      </c>
    </row>
    <row r="38" spans="2:26" ht="21" x14ac:dyDescent="0.3">
      <c r="B38" s="123"/>
      <c r="C38" s="123"/>
      <c r="D38" s="123"/>
      <c r="F38" s="218" t="s">
        <v>162</v>
      </c>
      <c r="G38" s="222" t="s">
        <v>163</v>
      </c>
      <c r="H38" s="190" t="s">
        <v>164</v>
      </c>
      <c r="I38" s="185" t="s">
        <v>76</v>
      </c>
      <c r="J38" s="85">
        <f>IF(I38="Brother",$C$6*Table4[[#This Row],[Seniority Dues]],IF(I38="EC",$C$7,IF(I38="Alumni",$C$8,IF(I38="Dropped",$C$11,IF(I38="President",$C$10,IF(I38="Inactive",$C$9,IF(Table4[[#This Row],[Type]]="New Member",$C$13,0)))))))</f>
        <v>576</v>
      </c>
      <c r="K38" s="85"/>
      <c r="L38" s="148">
        <f>VLOOKUP(F38,Fall!F$3:P$138,11)</f>
        <v>0</v>
      </c>
      <c r="M38" s="149">
        <v>576</v>
      </c>
      <c r="N38" s="241"/>
      <c r="O38" s="87"/>
      <c r="P38" s="132"/>
      <c r="Q38" s="132">
        <f>SUM(Table4[[#This Row],[Payment 1]:[Payment 2]])</f>
        <v>576</v>
      </c>
      <c r="R38" s="283">
        <f t="shared" si="0"/>
        <v>0</v>
      </c>
      <c r="S38" s="283">
        <f t="shared" si="3"/>
        <v>0</v>
      </c>
      <c r="T38" s="176">
        <f t="shared" si="4"/>
        <v>0</v>
      </c>
      <c r="U38" s="186"/>
      <c r="V38" s="187"/>
      <c r="W38" s="173"/>
      <c r="X38" s="218">
        <v>2</v>
      </c>
      <c r="Y38" s="135"/>
      <c r="Z38" s="134">
        <f>IF(Table4[[#This Row],[Year]]=1, 1.3, IF(Table4[[#This Row],[Year]]=2, 1.2, IF(Table4[[#This Row],[Year]]=3, 1, IF(Table4[[#This Row],[Year]]=4, 0.729166667, IF(Table4[[#This Row],[Year]]=5, 0.6, 0)))))</f>
        <v>1.2</v>
      </c>
    </row>
    <row r="39" spans="2:26" ht="21" x14ac:dyDescent="0.3">
      <c r="B39" s="123"/>
      <c r="C39" s="123"/>
      <c r="D39" s="123"/>
      <c r="F39" s="218" t="s">
        <v>165</v>
      </c>
      <c r="G39" s="222" t="s">
        <v>166</v>
      </c>
      <c r="H39" s="190" t="s">
        <v>167</v>
      </c>
      <c r="I39" s="185" t="s">
        <v>76</v>
      </c>
      <c r="J39" s="85">
        <f>IF(I39="Brother",$C$6*Table4[[#This Row],[Seniority Dues]],IF(I39="EC",$C$7,IF(I39="Alumni",$C$8,IF(I39="Dropped",$C$11,IF(I39="President",$C$10,IF(I39="Inactive",$C$9,IF(Table4[[#This Row],[Type]]="New Member",$C$13,0)))))))</f>
        <v>576</v>
      </c>
      <c r="K39" s="85">
        <v>25</v>
      </c>
      <c r="L39" s="148">
        <f>VLOOKUP(F39,Fall!F$3:P$138,11)</f>
        <v>0</v>
      </c>
      <c r="M39" s="149">
        <v>576</v>
      </c>
      <c r="N39" s="241"/>
      <c r="O39" s="87"/>
      <c r="P39" s="132"/>
      <c r="Q39" s="132">
        <f>SUM(Table4[[#This Row],[Payment 1]:[Payment 2]])</f>
        <v>576</v>
      </c>
      <c r="R39" s="283">
        <f t="shared" si="0"/>
        <v>25</v>
      </c>
      <c r="S39" s="283">
        <f t="shared" si="3"/>
        <v>0</v>
      </c>
      <c r="T39" s="176">
        <f t="shared" si="4"/>
        <v>25</v>
      </c>
      <c r="U39" s="186"/>
      <c r="V39" s="187"/>
      <c r="W39" s="173"/>
      <c r="X39" s="218">
        <v>2</v>
      </c>
      <c r="Y39" s="135"/>
      <c r="Z39" s="134">
        <f>IF(Table4[[#This Row],[Year]]=1, 1.3, IF(Table4[[#This Row],[Year]]=2, 1.2, IF(Table4[[#This Row],[Year]]=3, 1, IF(Table4[[#This Row],[Year]]=4, 0.729166667, IF(Table4[[#This Row],[Year]]=5, 0.6, 0)))))</f>
        <v>1.2</v>
      </c>
    </row>
    <row r="40" spans="2:26" ht="21" x14ac:dyDescent="0.3">
      <c r="B40" s="123"/>
      <c r="C40" s="123"/>
      <c r="D40" s="123"/>
      <c r="F40" s="218" t="s">
        <v>168</v>
      </c>
      <c r="G40" s="229" t="s">
        <v>169</v>
      </c>
      <c r="H40" s="188" t="s">
        <v>170</v>
      </c>
      <c r="I40" s="185" t="s">
        <v>76</v>
      </c>
      <c r="J40" s="85">
        <f>IF(I40="Brother",$C$6*Table4[[#This Row],[Seniority Dues]],IF(I40="EC",$C$7,IF(I40="Alumni",$C$8,IF(I40="Dropped",$C$11,IF(I40="President",$C$10,IF(I40="Inactive",$C$9,IF(Table4[[#This Row],[Type]]="New Member",$C$13,0)))))))</f>
        <v>350.00000016000001</v>
      </c>
      <c r="K40" s="85"/>
      <c r="L40" s="148">
        <f>VLOOKUP(F40,Fall!F$3:P$138,11)</f>
        <v>0</v>
      </c>
      <c r="M40" s="149">
        <v>350</v>
      </c>
      <c r="N40" s="241"/>
      <c r="O40" s="87"/>
      <c r="P40" s="132"/>
      <c r="Q40" s="132">
        <f>SUM(Table4[[#This Row],[Payment 1]:[Payment 2]])</f>
        <v>350</v>
      </c>
      <c r="R40" s="283">
        <f t="shared" si="0"/>
        <v>1.6000001323845936E-7</v>
      </c>
      <c r="S40" s="283">
        <f t="shared" si="3"/>
        <v>0</v>
      </c>
      <c r="T40" s="176">
        <f t="shared" si="4"/>
        <v>1.6000001323845936E-7</v>
      </c>
      <c r="U40" s="186"/>
      <c r="V40" s="187"/>
      <c r="W40" s="173"/>
      <c r="X40" s="188">
        <v>4</v>
      </c>
      <c r="Y40" s="135"/>
      <c r="Z40" s="134">
        <f>IF(Table4[[#This Row],[Year]]=1, 1.3, IF(Table4[[#This Row],[Year]]=2, 1.2, IF(Table4[[#This Row],[Year]]=3, 1, IF(Table4[[#This Row],[Year]]=4, 0.729166667, IF(Table4[[#This Row],[Year]]=5, 0.6, 0)))))</f>
        <v>0.72916666699999999</v>
      </c>
    </row>
    <row r="41" spans="2:26" ht="21" x14ac:dyDescent="0.3">
      <c r="B41" s="123"/>
      <c r="C41" s="123"/>
      <c r="D41" s="123"/>
      <c r="F41" s="218" t="s">
        <v>171</v>
      </c>
      <c r="G41" s="222" t="s">
        <v>172</v>
      </c>
      <c r="H41" s="190" t="s">
        <v>173</v>
      </c>
      <c r="I41" s="185" t="s">
        <v>76</v>
      </c>
      <c r="J41" s="85">
        <f>IF(I41="Brother",$C$6*Table4[[#This Row],[Seniority Dues]],IF(I41="EC",$C$7,IF(I41="Alumni",$C$8,IF(I41="Dropped",$C$11,IF(I41="President",$C$10,IF(I41="Inactive",$C$9,IF(Table4[[#This Row],[Type]]="New Member",$C$13,0)))))))</f>
        <v>576</v>
      </c>
      <c r="K41" s="85">
        <v>25</v>
      </c>
      <c r="L41" s="148">
        <f>VLOOKUP(F41,Fall!F$3:P$138,11)</f>
        <v>0</v>
      </c>
      <c r="M41" s="149">
        <v>576</v>
      </c>
      <c r="N41" s="241"/>
      <c r="O41" s="87"/>
      <c r="P41" s="132"/>
      <c r="Q41" s="132">
        <f>SUM(Table4[[#This Row],[Payment 1]:[Payment 2]])</f>
        <v>576</v>
      </c>
      <c r="R41" s="283">
        <f t="shared" si="0"/>
        <v>25</v>
      </c>
      <c r="S41" s="283">
        <f t="shared" si="3"/>
        <v>0</v>
      </c>
      <c r="T41" s="176">
        <f t="shared" si="4"/>
        <v>25</v>
      </c>
      <c r="U41" s="186"/>
      <c r="V41" s="187"/>
      <c r="W41" s="173"/>
      <c r="X41" s="218">
        <v>2</v>
      </c>
      <c r="Y41" s="135"/>
      <c r="Z41" s="134">
        <f>IF(Table4[[#This Row],[Year]]=1, 1.3, IF(Table4[[#This Row],[Year]]=2, 1.2, IF(Table4[[#This Row],[Year]]=3, 1, IF(Table4[[#This Row],[Year]]=4, 0.729166667, IF(Table4[[#This Row],[Year]]=5, 0.6, 0)))))</f>
        <v>1.2</v>
      </c>
    </row>
    <row r="42" spans="2:26" ht="21" x14ac:dyDescent="0.3">
      <c r="B42" s="123"/>
      <c r="C42" s="123"/>
      <c r="D42" s="123"/>
      <c r="F42" s="239" t="s">
        <v>174</v>
      </c>
      <c r="G42" s="229" t="s">
        <v>175</v>
      </c>
      <c r="H42" s="188" t="s">
        <v>176</v>
      </c>
      <c r="I42" s="185" t="s">
        <v>76</v>
      </c>
      <c r="J42" s="85">
        <f>IF(I42="Brother",$C$6*Table4[[#This Row],[Seniority Dues]],IF(I42="EC",$C$7,IF(I42="Alumni",$C$8,IF(I42="Dropped",$C$11,IF(I42="President",$C$10,IF(I42="Inactive",$C$9,IF(Table4[[#This Row],[Type]]="New Member",$C$13,0)))))))</f>
        <v>350.00000016000001</v>
      </c>
      <c r="K42" s="85">
        <v>-25</v>
      </c>
      <c r="L42" s="148">
        <f>VLOOKUP(F42,Fall!F$3:P$138,11)</f>
        <v>0</v>
      </c>
      <c r="M42" s="149">
        <v>350</v>
      </c>
      <c r="N42" s="241"/>
      <c r="O42" s="87"/>
      <c r="P42" s="132" t="s">
        <v>457</v>
      </c>
      <c r="Q42" s="132">
        <f>SUM(Table4[[#This Row],[Payment 1]:[Payment 2]])</f>
        <v>350</v>
      </c>
      <c r="R42" s="283">
        <f t="shared" si="0"/>
        <v>-24.999999839999987</v>
      </c>
      <c r="S42" s="283">
        <f t="shared" si="3"/>
        <v>-24.999999839999987</v>
      </c>
      <c r="T42" s="176">
        <f t="shared" si="4"/>
        <v>0</v>
      </c>
      <c r="U42" s="186"/>
      <c r="V42" s="187"/>
      <c r="W42" s="173"/>
      <c r="X42" s="189">
        <v>4</v>
      </c>
      <c r="Y42" s="135"/>
      <c r="Z42" s="134">
        <f>IF(Table4[[#This Row],[Year]]=1, 1.3, IF(Table4[[#This Row],[Year]]=2, 1.2, IF(Table4[[#This Row],[Year]]=3, 1, IF(Table4[[#This Row],[Year]]=4, 0.729166667, IF(Table4[[#This Row],[Year]]=5, 0.6, 0)))))</f>
        <v>0.72916666699999999</v>
      </c>
    </row>
    <row r="43" spans="2:26" ht="21" x14ac:dyDescent="0.3">
      <c r="B43" s="123"/>
      <c r="C43" s="123"/>
      <c r="D43" s="123"/>
      <c r="F43" s="239" t="s">
        <v>177</v>
      </c>
      <c r="G43" s="229" t="s">
        <v>178</v>
      </c>
      <c r="H43" s="188" t="s">
        <v>179</v>
      </c>
      <c r="I43" s="185" t="s">
        <v>76</v>
      </c>
      <c r="J43" s="85">
        <f>IF(I43="Brother",$C$6*Table4[[#This Row],[Seniority Dues]],IF(I43="EC",$C$7,IF(I43="Alumni",$C$8,IF(I43="Dropped",$C$11,IF(I43="President",$C$10,IF(I43="Inactive",$C$9,IF(Table4[[#This Row],[Type]]="New Member",$C$13,0)))))))</f>
        <v>480</v>
      </c>
      <c r="K43" s="85">
        <v>-25</v>
      </c>
      <c r="L43" s="148">
        <f>VLOOKUP(F43,Fall!F$3:P$138,11)</f>
        <v>0</v>
      </c>
      <c r="M43" s="149">
        <v>480</v>
      </c>
      <c r="N43" s="241"/>
      <c r="O43" s="87"/>
      <c r="P43" s="132" t="s">
        <v>457</v>
      </c>
      <c r="Q43" s="132">
        <f>SUM(Table4[[#This Row],[Payment 1]:[Payment 2]])</f>
        <v>480</v>
      </c>
      <c r="R43" s="283">
        <f t="shared" si="0"/>
        <v>-25</v>
      </c>
      <c r="S43" s="283">
        <f t="shared" si="3"/>
        <v>-25</v>
      </c>
      <c r="T43" s="176">
        <f t="shared" si="4"/>
        <v>0</v>
      </c>
      <c r="U43" s="186"/>
      <c r="V43" s="187"/>
      <c r="W43" s="173"/>
      <c r="X43" s="188">
        <v>3</v>
      </c>
      <c r="Y43" s="135"/>
      <c r="Z43" s="134">
        <f>IF(Table4[[#This Row],[Year]]=1, 1.3, IF(Table4[[#This Row],[Year]]=2, 1.2, IF(Table4[[#This Row],[Year]]=3, 1, IF(Table4[[#This Row],[Year]]=4, 0.729166667, IF(Table4[[#This Row],[Year]]=5, 0.6, 0)))))</f>
        <v>1</v>
      </c>
    </row>
    <row r="44" spans="2:26" ht="21" x14ac:dyDescent="0.3">
      <c r="B44" s="123"/>
      <c r="C44" s="123"/>
      <c r="D44" s="123"/>
      <c r="F44" s="218" t="s">
        <v>180</v>
      </c>
      <c r="G44" s="222" t="s">
        <v>181</v>
      </c>
      <c r="H44" s="190" t="s">
        <v>151</v>
      </c>
      <c r="I44" s="185" t="s">
        <v>76</v>
      </c>
      <c r="J44" s="85">
        <f>IF(I44="Brother",$C$6*Table4[[#This Row],[Seniority Dues]],IF(I44="EC",$C$7,IF(I44="Alumni",$C$8,IF(I44="Dropped",$C$11,IF(I44="President",$C$10,IF(I44="Inactive",$C$9,IF(Table4[[#This Row],[Type]]="New Member",$C$13,0)))))))</f>
        <v>480</v>
      </c>
      <c r="K44" s="85"/>
      <c r="L44" s="148">
        <f>VLOOKUP(F44,Fall!F$3:P$138,11)</f>
        <v>-200</v>
      </c>
      <c r="M44" s="149">
        <v>280</v>
      </c>
      <c r="N44" s="241"/>
      <c r="O44" s="87"/>
      <c r="P44" s="132"/>
      <c r="Q44" s="132">
        <f>SUM(Table4[[#This Row],[Payment 1]:[Payment 2]])</f>
        <v>280</v>
      </c>
      <c r="R44" s="283">
        <f t="shared" si="0"/>
        <v>0</v>
      </c>
      <c r="S44" s="283">
        <f t="shared" si="3"/>
        <v>0</v>
      </c>
      <c r="T44" s="176">
        <f t="shared" si="4"/>
        <v>0</v>
      </c>
      <c r="U44" s="186"/>
      <c r="V44" s="187"/>
      <c r="W44" s="173"/>
      <c r="X44" s="218">
        <v>3</v>
      </c>
      <c r="Y44" s="135"/>
      <c r="Z44" s="134">
        <f>IF(Table4[[#This Row],[Year]]=1, 1.3, IF(Table4[[#This Row],[Year]]=2, 1.2, IF(Table4[[#This Row],[Year]]=3, 1, IF(Table4[[#This Row],[Year]]=4, 0.729166667, IF(Table4[[#This Row],[Year]]=5, 0.6, 0)))))</f>
        <v>1</v>
      </c>
    </row>
    <row r="45" spans="2:26" ht="21" x14ac:dyDescent="0.3">
      <c r="B45" s="123"/>
      <c r="C45" s="123"/>
      <c r="D45" s="123"/>
      <c r="F45" s="218" t="s">
        <v>409</v>
      </c>
      <c r="G45" s="222" t="s">
        <v>181</v>
      </c>
      <c r="H45" s="190" t="s">
        <v>317</v>
      </c>
      <c r="I45" s="185" t="s">
        <v>76</v>
      </c>
      <c r="J45" s="85">
        <f>IF(I45="Brother",$C$6*Table4[[#This Row],[Seniority Dues]],IF(I45="EC",$C$7,IF(I45="Alumni",$C$8,IF(I45="Dropped",$C$11,IF(I45="President",$C$10,IF(I45="Inactive",$C$9,IF(Table4[[#This Row],[Type]]="New Member",$C$13,0)))))))</f>
        <v>624</v>
      </c>
      <c r="K45" s="85">
        <v>25</v>
      </c>
      <c r="L45" s="148">
        <f>VLOOKUP(F45,Fall!F$3:P$138,11)</f>
        <v>0</v>
      </c>
      <c r="M45" s="149">
        <v>624</v>
      </c>
      <c r="N45" s="241"/>
      <c r="O45" s="87"/>
      <c r="P45" s="132"/>
      <c r="Q45" s="132">
        <f>SUM(Table4[[#This Row],[Payment 1]:[Payment 2]])</f>
        <v>624</v>
      </c>
      <c r="R45" s="283">
        <f t="shared" si="0"/>
        <v>25</v>
      </c>
      <c r="S45" s="283">
        <f t="shared" si="3"/>
        <v>0</v>
      </c>
      <c r="T45" s="176">
        <f t="shared" si="4"/>
        <v>25</v>
      </c>
      <c r="U45" s="186"/>
      <c r="V45" s="187"/>
      <c r="W45" s="173"/>
      <c r="X45" s="218">
        <v>1</v>
      </c>
      <c r="Y45" s="135"/>
      <c r="Z45" s="134">
        <f>IF(Table4[[#This Row],[Year]]=1, 1.3, IF(Table4[[#This Row],[Year]]=2, 1.2, IF(Table4[[#This Row],[Year]]=3, 1, IF(Table4[[#This Row],[Year]]=4, 0.729166667, IF(Table4[[#This Row],[Year]]=5, 0.6, 0)))))</f>
        <v>1.3</v>
      </c>
    </row>
    <row r="46" spans="2:26" ht="21" x14ac:dyDescent="0.3">
      <c r="B46" s="123"/>
      <c r="C46" s="123"/>
      <c r="D46" s="123"/>
      <c r="F46" s="218" t="s">
        <v>182</v>
      </c>
      <c r="G46" s="222" t="s">
        <v>183</v>
      </c>
      <c r="H46" s="190" t="s">
        <v>184</v>
      </c>
      <c r="I46" s="185" t="s">
        <v>76</v>
      </c>
      <c r="J46" s="85">
        <f>IF(I46="Brother",$C$6*Table4[[#This Row],[Seniority Dues]],IF(I46="EC",$C$7,IF(I46="Alumni",$C$8,IF(I46="Dropped",$C$11,IF(I46="President",$C$10,IF(I46="Inactive",$C$9,IF(Table4[[#This Row],[Type]]="New Member",$C$13,0)))))))</f>
        <v>576</v>
      </c>
      <c r="K46" s="86"/>
      <c r="L46" s="148">
        <f>VLOOKUP(F46,Fall!F$3:P$138,11)</f>
        <v>0</v>
      </c>
      <c r="M46" s="149">
        <v>626</v>
      </c>
      <c r="N46" s="241"/>
      <c r="O46" s="87"/>
      <c r="P46" s="132"/>
      <c r="Q46" s="132">
        <f>SUM(Table4[[#This Row],[Payment 1]:[Payment 2]])</f>
        <v>626</v>
      </c>
      <c r="R46" s="283">
        <f t="shared" si="0"/>
        <v>-50</v>
      </c>
      <c r="S46" s="283">
        <f t="shared" si="3"/>
        <v>-50</v>
      </c>
      <c r="T46" s="176">
        <f t="shared" si="4"/>
        <v>0</v>
      </c>
      <c r="U46" s="186"/>
      <c r="V46" s="187"/>
      <c r="W46" s="173"/>
      <c r="X46" s="218">
        <v>2</v>
      </c>
      <c r="Y46" s="135"/>
      <c r="Z46" s="134">
        <f>IF(Table4[[#This Row],[Year]]=1, 1.3, IF(Table4[[#This Row],[Year]]=2, 1.2, IF(Table4[[#This Row],[Year]]=3, 1, IF(Table4[[#This Row],[Year]]=4, 0.729166667, IF(Table4[[#This Row],[Year]]=5, 0.6, 0)))))</f>
        <v>1.2</v>
      </c>
    </row>
    <row r="47" spans="2:26" ht="21" x14ac:dyDescent="0.3">
      <c r="B47" s="123"/>
      <c r="C47" s="123"/>
      <c r="D47" s="123"/>
      <c r="F47" s="73" t="s">
        <v>185</v>
      </c>
      <c r="G47" s="222" t="s">
        <v>186</v>
      </c>
      <c r="H47" s="190" t="s">
        <v>187</v>
      </c>
      <c r="I47" s="185" t="s">
        <v>76</v>
      </c>
      <c r="J47" s="85">
        <f>IF(I47="Brother",$C$6*Table4[[#This Row],[Seniority Dues]],IF(I47="EC",$C$7,IF(I47="Alumni",$C$8,IF(I47="Dropped",$C$11,IF(I47="President",$C$10,IF(I47="Inactive",$C$9,IF(Table4[[#This Row],[Type]]="New Member",$C$13,0)))))))</f>
        <v>576</v>
      </c>
      <c r="K47" s="86"/>
      <c r="L47" s="148">
        <f>VLOOKUP(F47,Fall!F$3:P$138,11)</f>
        <v>0</v>
      </c>
      <c r="M47" s="149">
        <v>376</v>
      </c>
      <c r="N47" s="241">
        <v>200</v>
      </c>
      <c r="O47" s="87"/>
      <c r="P47" s="132"/>
      <c r="Q47" s="132">
        <f>SUM(Table4[[#This Row],[Payment 1]:[Payment 2]])</f>
        <v>576</v>
      </c>
      <c r="R47" s="283">
        <f t="shared" si="0"/>
        <v>0</v>
      </c>
      <c r="S47" s="283">
        <f t="shared" si="3"/>
        <v>0</v>
      </c>
      <c r="T47" s="176">
        <f t="shared" si="4"/>
        <v>0</v>
      </c>
      <c r="U47" s="186"/>
      <c r="V47" s="187"/>
      <c r="W47" s="173"/>
      <c r="X47" s="218">
        <v>2</v>
      </c>
      <c r="Y47" s="135"/>
      <c r="Z47" s="134">
        <f>IF(Table4[[#This Row],[Year]]=1, 1.3, IF(Table4[[#This Row],[Year]]=2, 1.2, IF(Table4[[#This Row],[Year]]=3, 1, IF(Table4[[#This Row],[Year]]=4, 0.729166667, IF(Table4[[#This Row],[Year]]=5, 0.6, 0)))))</f>
        <v>1.2</v>
      </c>
    </row>
    <row r="48" spans="2:26" ht="21" x14ac:dyDescent="0.3">
      <c r="B48" s="123"/>
      <c r="C48" s="123"/>
      <c r="D48" s="123"/>
      <c r="F48" s="218" t="s">
        <v>188</v>
      </c>
      <c r="G48" s="235" t="s">
        <v>189</v>
      </c>
      <c r="H48" s="188" t="s">
        <v>190</v>
      </c>
      <c r="I48" s="185" t="s">
        <v>96</v>
      </c>
      <c r="J48" s="85">
        <f>IF(I48="Brother",$C$6*Table4[[#This Row],[Seniority Dues]],IF(I48="EC",$C$7,IF(I48="Alumni",$C$8,IF(I48="Dropped",$C$11,IF(I48="President",$C$10,IF(I48="Inactive",$C$9,IF(Table4[[#This Row],[Type]]="New Member",$C$13,0)))))))</f>
        <v>0</v>
      </c>
      <c r="K48" s="85"/>
      <c r="L48" s="148">
        <f>VLOOKUP(F48,Fall!F$3:P$138,11)</f>
        <v>0</v>
      </c>
      <c r="M48" s="149"/>
      <c r="N48" s="241"/>
      <c r="O48" s="87"/>
      <c r="P48" s="132"/>
      <c r="Q48" s="132">
        <f>SUM(Table4[[#This Row],[Payment 1]:[Payment 2]])</f>
        <v>0</v>
      </c>
      <c r="R48" s="283">
        <f t="shared" si="0"/>
        <v>0</v>
      </c>
      <c r="S48" s="283">
        <f t="shared" si="3"/>
        <v>0</v>
      </c>
      <c r="T48" s="176">
        <f t="shared" si="4"/>
        <v>0</v>
      </c>
      <c r="U48" s="186"/>
      <c r="V48" s="187"/>
      <c r="W48" s="173"/>
      <c r="X48" s="188">
        <v>3</v>
      </c>
      <c r="Y48" s="135"/>
      <c r="Z48" s="134">
        <f>IF(Table4[[#This Row],[Year]]=1, 1.3, IF(Table4[[#This Row],[Year]]=2, 1.2, IF(Table4[[#This Row],[Year]]=3, 1, IF(Table4[[#This Row],[Year]]=4, 0.729166667, IF(Table4[[#This Row],[Year]]=5, 0.6, 0)))))</f>
        <v>1</v>
      </c>
    </row>
    <row r="49" spans="2:26" ht="21" x14ac:dyDescent="0.3">
      <c r="B49" s="123"/>
      <c r="C49" s="123"/>
      <c r="D49" s="123"/>
      <c r="F49" s="218" t="s">
        <v>412</v>
      </c>
      <c r="G49" s="222" t="s">
        <v>413</v>
      </c>
      <c r="H49" s="190" t="s">
        <v>301</v>
      </c>
      <c r="I49" s="185" t="s">
        <v>76</v>
      </c>
      <c r="J49" s="85">
        <f>IF(I49="Brother",$C$6*Table4[[#This Row],[Seniority Dues]],IF(I49="EC",$C$7,IF(I49="Alumni",$C$8,IF(I49="Dropped",$C$11,IF(I49="President",$C$10,IF(I49="Inactive",$C$9,IF(Table4[[#This Row],[Type]]="New Member",$C$13,0)))))))</f>
        <v>624</v>
      </c>
      <c r="K49" s="85"/>
      <c r="L49" s="148">
        <f>VLOOKUP(F49,Fall!F$3:P$138,11)</f>
        <v>0</v>
      </c>
      <c r="M49" s="149">
        <v>624</v>
      </c>
      <c r="N49" s="241">
        <v>600</v>
      </c>
      <c r="O49" s="87"/>
      <c r="P49" s="132"/>
      <c r="Q49" s="132">
        <f>SUM(Table4[[#This Row],[Payment 1]:[Payment 2]])</f>
        <v>1224</v>
      </c>
      <c r="R49" s="283">
        <f t="shared" si="0"/>
        <v>-600</v>
      </c>
      <c r="S49" s="283">
        <f t="shared" si="3"/>
        <v>-600</v>
      </c>
      <c r="T49" s="176">
        <f t="shared" si="4"/>
        <v>0</v>
      </c>
      <c r="U49" s="186"/>
      <c r="V49" s="187"/>
      <c r="W49" s="173"/>
      <c r="X49" s="218">
        <v>1</v>
      </c>
      <c r="Y49" s="135"/>
      <c r="Z49" s="134">
        <f>IF(Table4[[#This Row],[Year]]=1, 1.3, IF(Table4[[#This Row],[Year]]=2, 1.2, IF(Table4[[#This Row],[Year]]=3, 1, IF(Table4[[#This Row],[Year]]=4, 0.729166667, IF(Table4[[#This Row],[Year]]=5, 0.6, 0)))))</f>
        <v>1.3</v>
      </c>
    </row>
    <row r="50" spans="2:26" ht="21" x14ac:dyDescent="0.3">
      <c r="B50" s="123"/>
      <c r="C50" s="123"/>
      <c r="D50" s="123"/>
      <c r="F50" s="218" t="s">
        <v>191</v>
      </c>
      <c r="G50" s="222" t="s">
        <v>192</v>
      </c>
      <c r="H50" s="190" t="s">
        <v>193</v>
      </c>
      <c r="I50" s="185" t="s">
        <v>76</v>
      </c>
      <c r="J50" s="85">
        <f>IF(I50="Brother",$C$6*Table4[[#This Row],[Seniority Dues]],IF(I50="EC",$C$7,IF(I50="Alumni",$C$8,IF(I50="Dropped",$C$11,IF(I50="President",$C$10,IF(I50="Inactive",$C$9,IF(Table4[[#This Row],[Type]]="New Member",$C$13,0)))))))</f>
        <v>576</v>
      </c>
      <c r="K50" s="85">
        <v>25</v>
      </c>
      <c r="L50" s="148">
        <f>VLOOKUP(F50,Fall!F$3:P$138,11)</f>
        <v>0</v>
      </c>
      <c r="M50" s="149">
        <v>576</v>
      </c>
      <c r="N50" s="241"/>
      <c r="O50" s="87"/>
      <c r="P50" s="132"/>
      <c r="Q50" s="132">
        <f>SUM(Table4[[#This Row],[Payment 1]:[Payment 2]])</f>
        <v>576</v>
      </c>
      <c r="R50" s="283">
        <f t="shared" si="0"/>
        <v>25</v>
      </c>
      <c r="S50" s="283">
        <f t="shared" si="3"/>
        <v>0</v>
      </c>
      <c r="T50" s="176">
        <f t="shared" si="4"/>
        <v>25</v>
      </c>
      <c r="U50" s="186"/>
      <c r="V50" s="187"/>
      <c r="W50" s="173"/>
      <c r="X50" s="218">
        <v>2</v>
      </c>
      <c r="Y50" s="135"/>
      <c r="Z50" s="134">
        <f>IF(Table4[[#This Row],[Year]]=1, 1.3, IF(Table4[[#This Row],[Year]]=2, 1.2, IF(Table4[[#This Row],[Year]]=3, 1, IF(Table4[[#This Row],[Year]]=4, 0.729166667, IF(Table4[[#This Row],[Year]]=5, 0.6, 0)))))</f>
        <v>1.2</v>
      </c>
    </row>
    <row r="51" spans="2:26" ht="21" x14ac:dyDescent="0.3">
      <c r="B51" s="123"/>
      <c r="C51" s="123"/>
      <c r="D51" s="123"/>
      <c r="F51" s="218" t="s">
        <v>194</v>
      </c>
      <c r="G51" s="229" t="s">
        <v>195</v>
      </c>
      <c r="H51" s="188" t="s">
        <v>196</v>
      </c>
      <c r="I51" s="185" t="s">
        <v>76</v>
      </c>
      <c r="J51" s="85">
        <f>IF(I51="Brother",$C$6*Table4[[#This Row],[Seniority Dues]],IF(I51="EC",$C$7,IF(I51="Alumni",$C$8,IF(I51="Dropped",$C$11,IF(I51="President",$C$10,IF(I51="Inactive",$C$9,IF(Table4[[#This Row],[Type]]="New Member",$C$13,0)))))))</f>
        <v>480</v>
      </c>
      <c r="K51" s="86"/>
      <c r="L51" s="148">
        <f>VLOOKUP(F51,Fall!F$3:P$138,11)</f>
        <v>200</v>
      </c>
      <c r="M51" s="149">
        <v>200</v>
      </c>
      <c r="N51" s="241">
        <v>480</v>
      </c>
      <c r="O51" s="87"/>
      <c r="P51" s="132"/>
      <c r="Q51" s="132">
        <f>SUM(Table4[[#This Row],[Payment 1]:[Payment 2]])</f>
        <v>680</v>
      </c>
      <c r="R51" s="283">
        <f t="shared" si="0"/>
        <v>0</v>
      </c>
      <c r="S51" s="283">
        <f t="shared" si="3"/>
        <v>0</v>
      </c>
      <c r="T51" s="176">
        <f t="shared" si="4"/>
        <v>0</v>
      </c>
      <c r="U51" s="186"/>
      <c r="V51" s="187"/>
      <c r="W51" s="173"/>
      <c r="X51" s="188">
        <v>3</v>
      </c>
      <c r="Y51" s="135"/>
      <c r="Z51" s="134">
        <f>IF(Table4[[#This Row],[Year]]=1, 1.3, IF(Table4[[#This Row],[Year]]=2, 1.2, IF(Table4[[#This Row],[Year]]=3, 1, IF(Table4[[#This Row],[Year]]=4, 0.729166667, IF(Table4[[#This Row],[Year]]=5, 0.6, 0)))))</f>
        <v>1</v>
      </c>
    </row>
    <row r="52" spans="2:26" ht="21" x14ac:dyDescent="0.3">
      <c r="B52" s="123"/>
      <c r="C52" s="123"/>
      <c r="D52" s="123"/>
      <c r="F52" s="218" t="s">
        <v>197</v>
      </c>
      <c r="G52" s="229" t="s">
        <v>198</v>
      </c>
      <c r="H52" s="188" t="s">
        <v>199</v>
      </c>
      <c r="I52" s="185" t="s">
        <v>89</v>
      </c>
      <c r="J52" s="85">
        <f>IF(I52="Brother",$C$6*Table4[[#This Row],[Seniority Dues]],IF(I52="EC",$C$7,IF(I52="Alumni",$C$8,IF(I52="Dropped",$C$11,IF(I52="President",$C$10,IF(I52="Inactive",$C$9,IF(Table4[[#This Row],[Type]]="New Member",$C$13,0)))))))</f>
        <v>0</v>
      </c>
      <c r="K52" s="86"/>
      <c r="L52" s="148"/>
      <c r="M52" s="149"/>
      <c r="N52" s="241"/>
      <c r="O52" s="87"/>
      <c r="P52" s="132"/>
      <c r="Q52" s="132">
        <f>SUM(Table4[[#This Row],[Payment 1]:[Payment 2]])</f>
        <v>0</v>
      </c>
      <c r="R52" s="283">
        <f t="shared" si="0"/>
        <v>0</v>
      </c>
      <c r="S52" s="283">
        <f t="shared" si="3"/>
        <v>0</v>
      </c>
      <c r="T52" s="176">
        <f t="shared" si="4"/>
        <v>0</v>
      </c>
      <c r="U52" s="186"/>
      <c r="V52" s="187"/>
      <c r="W52" s="173"/>
      <c r="X52" s="188">
        <v>5</v>
      </c>
      <c r="Y52" s="135"/>
      <c r="Z52" s="134">
        <f>IF(Table4[[#This Row],[Year]]=1, 1.3, IF(Table4[[#This Row],[Year]]=2, 1.2, IF(Table4[[#This Row],[Year]]=3, 1, IF(Table4[[#This Row],[Year]]=4, 0.729166667, IF(Table4[[#This Row],[Year]]=5, 0.6, 0)))))</f>
        <v>0.6</v>
      </c>
    </row>
    <row r="53" spans="2:26" ht="21" x14ac:dyDescent="0.3">
      <c r="B53" s="123"/>
      <c r="C53" s="123"/>
      <c r="D53" s="123"/>
      <c r="F53" s="239" t="s">
        <v>200</v>
      </c>
      <c r="G53" s="229" t="s">
        <v>201</v>
      </c>
      <c r="H53" s="188" t="s">
        <v>202</v>
      </c>
      <c r="I53" s="185" t="s">
        <v>76</v>
      </c>
      <c r="J53" s="85">
        <f>IF(I53="Brother",$C$6*Table4[[#This Row],[Seniority Dues]],IF(I53="EC",$C$7,IF(I53="Alumni",$C$8,IF(I53="Dropped",$C$11,IF(I53="President",$C$10,IF(I53="Inactive",$C$9,IF(Table4[[#This Row],[Type]]="New Member",$C$13,0)))))))</f>
        <v>350.00000016000001</v>
      </c>
      <c r="K53" s="85">
        <v>-25</v>
      </c>
      <c r="L53" s="148">
        <f>VLOOKUP(F53,Fall!F$3:P$138,11)</f>
        <v>0</v>
      </c>
      <c r="M53" s="149">
        <v>350</v>
      </c>
      <c r="N53" s="241"/>
      <c r="O53" s="87"/>
      <c r="P53" s="132" t="s">
        <v>457</v>
      </c>
      <c r="Q53" s="132">
        <f>SUM(Table4[[#This Row],[Payment 1]:[Payment 2]])</f>
        <v>350</v>
      </c>
      <c r="R53" s="283">
        <f t="shared" si="0"/>
        <v>-24.999999839999987</v>
      </c>
      <c r="S53" s="283">
        <f t="shared" si="3"/>
        <v>-24.999999839999987</v>
      </c>
      <c r="T53" s="176">
        <f t="shared" si="4"/>
        <v>0</v>
      </c>
      <c r="U53" s="186"/>
      <c r="V53" s="187"/>
      <c r="W53" s="173"/>
      <c r="X53" s="188">
        <v>4</v>
      </c>
      <c r="Y53" s="135"/>
      <c r="Z53" s="134">
        <f>IF(Table4[[#This Row],[Year]]=1, 1.3, IF(Table4[[#This Row],[Year]]=2, 1.2, IF(Table4[[#This Row],[Year]]=3, 1, IF(Table4[[#This Row],[Year]]=4, 0.729166667, IF(Table4[[#This Row],[Year]]=5, 0.6, 0)))))</f>
        <v>0.72916666699999999</v>
      </c>
    </row>
    <row r="54" spans="2:26" ht="21" x14ac:dyDescent="0.3">
      <c r="B54" s="123"/>
      <c r="C54" s="123"/>
      <c r="D54" s="123"/>
      <c r="F54" s="218" t="s">
        <v>203</v>
      </c>
      <c r="G54" s="229" t="s">
        <v>204</v>
      </c>
      <c r="H54" s="188" t="s">
        <v>205</v>
      </c>
      <c r="I54" s="185" t="s">
        <v>76</v>
      </c>
      <c r="J54" s="85">
        <f>IF(I54="Brother",$C$6*Table4[[#This Row],[Seniority Dues]],IF(I54="EC",$C$7,IF(I54="Alumni",$C$8,IF(I54="Dropped",$C$11,IF(I54="President",$C$10,IF(I54="Inactive",$C$9,IF(Table4[[#This Row],[Type]]="New Member",$C$13,0)))))))</f>
        <v>480</v>
      </c>
      <c r="K54" s="86"/>
      <c r="L54" s="148">
        <f>VLOOKUP(F54,Fall!F$3:P$138,11)</f>
        <v>200</v>
      </c>
      <c r="M54" s="149">
        <v>200</v>
      </c>
      <c r="N54" s="241">
        <v>480</v>
      </c>
      <c r="O54" s="87"/>
      <c r="P54" s="132"/>
      <c r="Q54" s="132">
        <f>SUM(Table4[[#This Row],[Payment 1]:[Payment 2]])</f>
        <v>680</v>
      </c>
      <c r="R54" s="283">
        <f t="shared" si="0"/>
        <v>0</v>
      </c>
      <c r="S54" s="283">
        <f t="shared" si="3"/>
        <v>0</v>
      </c>
      <c r="T54" s="176">
        <f t="shared" si="4"/>
        <v>0</v>
      </c>
      <c r="U54" s="186"/>
      <c r="V54" s="187"/>
      <c r="W54" s="173"/>
      <c r="X54" s="188">
        <v>3</v>
      </c>
      <c r="Y54" s="135"/>
      <c r="Z54" s="134">
        <f>IF(Table4[[#This Row],[Year]]=1, 1.3, IF(Table4[[#This Row],[Year]]=2, 1.2, IF(Table4[[#This Row],[Year]]=3, 1, IF(Table4[[#This Row],[Year]]=4, 0.729166667, IF(Table4[[#This Row],[Year]]=5, 0.6, 0)))))</f>
        <v>1</v>
      </c>
    </row>
    <row r="55" spans="2:26" ht="21" x14ac:dyDescent="0.3">
      <c r="B55" s="123"/>
      <c r="C55" s="123"/>
      <c r="D55" s="123"/>
      <c r="F55" s="218" t="s">
        <v>414</v>
      </c>
      <c r="G55" s="222" t="s">
        <v>204</v>
      </c>
      <c r="H55" s="190" t="s">
        <v>272</v>
      </c>
      <c r="I55" s="185" t="s">
        <v>76</v>
      </c>
      <c r="J55" s="85">
        <f>IF(I55="Brother",$C$6*Table4[[#This Row],[Seniority Dues]],IF(I55="EC",$C$7,IF(I55="Alumni",$C$8,IF(I55="Dropped",$C$11,IF(I55="President",$C$10,IF(I55="Inactive",$C$9,IF(Table4[[#This Row],[Type]]="New Member",$C$13,0)))))))</f>
        <v>624</v>
      </c>
      <c r="K55" s="85">
        <v>25</v>
      </c>
      <c r="L55" s="148">
        <f>VLOOKUP(F55,Fall!F$3:P$138,11)</f>
        <v>0</v>
      </c>
      <c r="M55" s="149">
        <v>624</v>
      </c>
      <c r="N55" s="241"/>
      <c r="O55" s="87"/>
      <c r="P55" s="132"/>
      <c r="Q55" s="132">
        <f>SUM(Table4[[#This Row],[Payment 1]:[Payment 2]])</f>
        <v>624</v>
      </c>
      <c r="R55" s="283">
        <f t="shared" si="0"/>
        <v>25</v>
      </c>
      <c r="S55" s="283">
        <f t="shared" si="3"/>
        <v>0</v>
      </c>
      <c r="T55" s="176">
        <f t="shared" si="4"/>
        <v>25</v>
      </c>
      <c r="U55" s="186"/>
      <c r="V55" s="187"/>
      <c r="W55" s="173"/>
      <c r="X55" s="218">
        <v>1</v>
      </c>
      <c r="Y55" s="135"/>
      <c r="Z55" s="134">
        <f>IF(Table4[[#This Row],[Year]]=1, 1.3, IF(Table4[[#This Row],[Year]]=2, 1.2, IF(Table4[[#This Row],[Year]]=3, 1, IF(Table4[[#This Row],[Year]]=4, 0.729166667, IF(Table4[[#This Row],[Year]]=5, 0.6, 0)))))</f>
        <v>1.3</v>
      </c>
    </row>
    <row r="56" spans="2:26" ht="21" x14ac:dyDescent="0.3">
      <c r="B56" s="123"/>
      <c r="C56" s="123"/>
      <c r="D56" s="123"/>
      <c r="F56" s="218" t="s">
        <v>415</v>
      </c>
      <c r="G56" s="222" t="s">
        <v>416</v>
      </c>
      <c r="H56" s="190" t="s">
        <v>417</v>
      </c>
      <c r="I56" s="185" t="s">
        <v>76</v>
      </c>
      <c r="J56" s="85">
        <f>IF(I56="Brother",$C$6*Table4[[#This Row],[Seniority Dues]],IF(I56="EC",$C$7,IF(I56="Alumni",$C$8,IF(I56="Dropped",$C$11,IF(I56="President",$C$10,IF(I56="Inactive",$C$9,IF(Table4[[#This Row],[Type]]="New Member",$C$13,0)))))))</f>
        <v>624</v>
      </c>
      <c r="K56" s="85"/>
      <c r="L56" s="148">
        <v>0</v>
      </c>
      <c r="M56" s="149">
        <v>624</v>
      </c>
      <c r="N56" s="241"/>
      <c r="O56" s="87"/>
      <c r="P56" s="132"/>
      <c r="Q56" s="132">
        <f>SUM(Table4[[#This Row],[Payment 1]:[Payment 2]])</f>
        <v>624</v>
      </c>
      <c r="R56" s="283">
        <f t="shared" si="0"/>
        <v>0</v>
      </c>
      <c r="S56" s="283">
        <f t="shared" si="3"/>
        <v>0</v>
      </c>
      <c r="T56" s="176">
        <f t="shared" si="4"/>
        <v>0</v>
      </c>
      <c r="U56" s="186"/>
      <c r="V56" s="187"/>
      <c r="W56" s="173"/>
      <c r="X56" s="218">
        <v>1</v>
      </c>
      <c r="Y56" s="135"/>
      <c r="Z56" s="134">
        <f>IF(Table4[[#This Row],[Year]]=1, 1.3, IF(Table4[[#This Row],[Year]]=2, 1.2, IF(Table4[[#This Row],[Year]]=3, 1, IF(Table4[[#This Row],[Year]]=4, 0.729166667, IF(Table4[[#This Row],[Year]]=5, 0.6, 0)))))</f>
        <v>1.3</v>
      </c>
    </row>
    <row r="57" spans="2:26" ht="21" x14ac:dyDescent="0.3">
      <c r="B57" s="123"/>
      <c r="C57" s="123"/>
      <c r="D57" s="123"/>
      <c r="F57" s="218" t="s">
        <v>418</v>
      </c>
      <c r="G57" s="222" t="s">
        <v>148</v>
      </c>
      <c r="H57" s="190" t="s">
        <v>419</v>
      </c>
      <c r="I57" s="185" t="s">
        <v>76</v>
      </c>
      <c r="J57" s="85">
        <f>IF(I57="Brother",$C$6*Table4[[#This Row],[Seniority Dues]],IF(I57="EC",$C$7,IF(I57="Alumni",$C$8,IF(I57="Dropped",$C$11,IF(I57="President",$C$10,IF(I57="Inactive",$C$9,IF(Table4[[#This Row],[Type]]="New Member",$C$13,0)))))))</f>
        <v>624</v>
      </c>
      <c r="K57" s="85"/>
      <c r="L57" s="148">
        <v>0</v>
      </c>
      <c r="M57" s="149">
        <v>624</v>
      </c>
      <c r="N57" s="241"/>
      <c r="O57" s="87"/>
      <c r="P57" s="132"/>
      <c r="Q57" s="132">
        <f>SUM(Table4[[#This Row],[Payment 1]:[Payment 2]])</f>
        <v>624</v>
      </c>
      <c r="R57" s="283">
        <f t="shared" si="0"/>
        <v>0</v>
      </c>
      <c r="S57" s="283">
        <f t="shared" si="3"/>
        <v>0</v>
      </c>
      <c r="T57" s="176">
        <f t="shared" si="4"/>
        <v>0</v>
      </c>
      <c r="U57" s="186"/>
      <c r="V57" s="187"/>
      <c r="W57" s="173"/>
      <c r="X57" s="218">
        <v>1</v>
      </c>
      <c r="Y57" s="135"/>
      <c r="Z57" s="134">
        <f>IF(Table4[[#This Row],[Year]]=1, 1.3, IF(Table4[[#This Row],[Year]]=2, 1.2, IF(Table4[[#This Row],[Year]]=3, 1, IF(Table4[[#This Row],[Year]]=4, 0.729166667, IF(Table4[[#This Row],[Year]]=5, 0.6, 0)))))</f>
        <v>1.3</v>
      </c>
    </row>
    <row r="58" spans="2:26" ht="21" x14ac:dyDescent="0.3">
      <c r="B58" s="123"/>
      <c r="C58" s="123"/>
      <c r="D58" s="123"/>
      <c r="F58" s="73" t="s">
        <v>206</v>
      </c>
      <c r="G58" s="222" t="s">
        <v>207</v>
      </c>
      <c r="H58" s="190" t="s">
        <v>208</v>
      </c>
      <c r="I58" s="185" t="s">
        <v>76</v>
      </c>
      <c r="J58" s="85">
        <f>IF(I58="Brother",$C$6*Table4[[#This Row],[Seniority Dues]],IF(I58="EC",$C$7,IF(I58="Alumni",$C$8,IF(I58="Dropped",$C$11,IF(I58="President",$C$10,IF(I58="Inactive",$C$9,IF(Table4[[#This Row],[Type]]="New Member",$C$13,0)))))))</f>
        <v>576</v>
      </c>
      <c r="K58" s="85">
        <v>25</v>
      </c>
      <c r="L58" s="148">
        <f>VLOOKUP(F58,Fall!F$3:P$138,11)</f>
        <v>0</v>
      </c>
      <c r="M58" s="149">
        <v>50</v>
      </c>
      <c r="N58" s="241">
        <f>100+208.67+367.33</f>
        <v>676</v>
      </c>
      <c r="O58" s="87" t="s">
        <v>455</v>
      </c>
      <c r="P58" s="132"/>
      <c r="Q58" s="132">
        <f>SUM(Table4[[#This Row],[Payment 1]:[Payment 2]])</f>
        <v>726</v>
      </c>
      <c r="R58" s="283">
        <f t="shared" si="0"/>
        <v>-125</v>
      </c>
      <c r="S58" s="283">
        <f t="shared" si="3"/>
        <v>-125</v>
      </c>
      <c r="T58" s="176">
        <f t="shared" si="4"/>
        <v>0</v>
      </c>
      <c r="U58" s="186"/>
      <c r="V58" s="187"/>
      <c r="W58" s="173"/>
      <c r="X58" s="218">
        <v>2</v>
      </c>
      <c r="Y58" s="135"/>
      <c r="Z58" s="134">
        <f>IF(Table4[[#This Row],[Year]]=1, 1.3, IF(Table4[[#This Row],[Year]]=2, 1.2, IF(Table4[[#This Row],[Year]]=3, 1, IF(Table4[[#This Row],[Year]]=4, 0.729166667, IF(Table4[[#This Row],[Year]]=5, 0.6, 0)))))</f>
        <v>1.2</v>
      </c>
    </row>
    <row r="59" spans="2:26" ht="21" x14ac:dyDescent="0.3">
      <c r="B59" s="123"/>
      <c r="C59" s="123"/>
      <c r="D59" s="123"/>
      <c r="F59" s="218" t="s">
        <v>420</v>
      </c>
      <c r="G59" s="222" t="s">
        <v>421</v>
      </c>
      <c r="H59" s="190" t="s">
        <v>422</v>
      </c>
      <c r="I59" s="185" t="s">
        <v>76</v>
      </c>
      <c r="J59" s="85">
        <f>IF(I59="Brother",$C$6*Table4[[#This Row],[Seniority Dues]],IF(I59="EC",$C$7,IF(I59="Alumni",$C$8,IF(I59="Dropped",$C$11,IF(I59="President",$C$10,IF(I59="Inactive",$C$9,IF(Table4[[#This Row],[Type]]="New Member",$C$13,0)))))))</f>
        <v>624</v>
      </c>
      <c r="K59" s="85">
        <v>25</v>
      </c>
      <c r="L59" s="148">
        <f>VLOOKUP(F59,Fall!F$3:P$138,11)</f>
        <v>0</v>
      </c>
      <c r="M59" s="149">
        <v>624</v>
      </c>
      <c r="N59" s="241"/>
      <c r="O59" s="87"/>
      <c r="P59" s="132"/>
      <c r="Q59" s="132">
        <f>SUM(Table4[[#This Row],[Payment 1]:[Payment 2]])</f>
        <v>624</v>
      </c>
      <c r="R59" s="283">
        <f t="shared" si="0"/>
        <v>25</v>
      </c>
      <c r="S59" s="283">
        <f t="shared" si="3"/>
        <v>0</v>
      </c>
      <c r="T59" s="176">
        <f t="shared" si="4"/>
        <v>25</v>
      </c>
      <c r="U59" s="186"/>
      <c r="V59" s="187"/>
      <c r="W59" s="173"/>
      <c r="X59" s="218">
        <v>1</v>
      </c>
      <c r="Y59" s="135"/>
      <c r="Z59" s="134">
        <f>IF(Table4[[#This Row],[Year]]=1, 1.3, IF(Table4[[#This Row],[Year]]=2, 1.2, IF(Table4[[#This Row],[Year]]=3, 1, IF(Table4[[#This Row],[Year]]=4, 0.729166667, IF(Table4[[#This Row],[Year]]=5, 0.6, 0)))))</f>
        <v>1.3</v>
      </c>
    </row>
    <row r="60" spans="2:26" ht="21" x14ac:dyDescent="0.3">
      <c r="B60" s="123"/>
      <c r="C60" s="123"/>
      <c r="D60" s="123"/>
      <c r="F60" s="239" t="s">
        <v>209</v>
      </c>
      <c r="G60" s="222" t="s">
        <v>210</v>
      </c>
      <c r="H60" s="190" t="s">
        <v>211</v>
      </c>
      <c r="I60" s="185" t="s">
        <v>76</v>
      </c>
      <c r="J60" s="85">
        <f>IF(I60="Brother",$C$6*Table4[[#This Row],[Seniority Dues]],IF(I60="EC",$C$7,IF(I60="Alumni",$C$8,IF(I60="Dropped",$C$11,IF(I60="President",$C$10,IF(I60="Inactive",$C$9,IF(Table4[[#This Row],[Type]]="New Member",$C$13,0)))))))</f>
        <v>576</v>
      </c>
      <c r="K60" s="85">
        <f>25-25</f>
        <v>0</v>
      </c>
      <c r="L60" s="148">
        <f>VLOOKUP(F60,Fall!F$3:P$138,11)</f>
        <v>0</v>
      </c>
      <c r="M60" s="149">
        <v>576</v>
      </c>
      <c r="N60" s="241"/>
      <c r="O60" s="87"/>
      <c r="P60" s="132" t="s">
        <v>457</v>
      </c>
      <c r="Q60" s="132">
        <f>SUM(Table4[[#This Row],[Payment 1]:[Payment 2]])</f>
        <v>576</v>
      </c>
      <c r="R60" s="283">
        <f t="shared" si="0"/>
        <v>0</v>
      </c>
      <c r="S60" s="283">
        <f t="shared" si="3"/>
        <v>0</v>
      </c>
      <c r="T60" s="176">
        <f t="shared" si="4"/>
        <v>0</v>
      </c>
      <c r="U60" s="186"/>
      <c r="V60" s="187"/>
      <c r="W60" s="173"/>
      <c r="X60" s="218">
        <v>2</v>
      </c>
      <c r="Y60" s="135"/>
      <c r="Z60" s="134">
        <f>IF(Table4[[#This Row],[Year]]=1, 1.3, IF(Table4[[#This Row],[Year]]=2, 1.2, IF(Table4[[#This Row],[Year]]=3, 1, IF(Table4[[#This Row],[Year]]=4, 0.729166667, IF(Table4[[#This Row],[Year]]=5, 0.6, 0)))))</f>
        <v>1.2</v>
      </c>
    </row>
    <row r="61" spans="2:26" ht="21" x14ac:dyDescent="0.3">
      <c r="B61" s="123"/>
      <c r="C61" s="123"/>
      <c r="D61" s="123"/>
      <c r="F61" s="218" t="s">
        <v>212</v>
      </c>
      <c r="G61" s="236" t="s">
        <v>213</v>
      </c>
      <c r="H61" s="190" t="s">
        <v>214</v>
      </c>
      <c r="I61" s="185" t="s">
        <v>85</v>
      </c>
      <c r="J61" s="85">
        <f>IF(I61="Brother",$C$6*Table4[[#This Row],[Seniority Dues]],IF(I61="EC",$C$7,IF(I61="Alumni",$C$8,IF(I61="Dropped",$C$11,IF(I61="President",$C$10,IF(I61="Inactive",$C$9,IF(Table4[[#This Row],[Type]]="New Member",$C$13,0)))))))</f>
        <v>225</v>
      </c>
      <c r="K61" s="85"/>
      <c r="L61" s="148">
        <f>VLOOKUP(F61,Fall!F$3:P$138,11)</f>
        <v>0</v>
      </c>
      <c r="M61" s="149">
        <v>225</v>
      </c>
      <c r="N61" s="241"/>
      <c r="O61" s="87"/>
      <c r="P61" s="132"/>
      <c r="Q61" s="132">
        <f>SUM(Table4[[#This Row],[Payment 1]:[Payment 2]])</f>
        <v>225</v>
      </c>
      <c r="R61" s="283">
        <f t="shared" si="0"/>
        <v>0</v>
      </c>
      <c r="S61" s="283">
        <f t="shared" si="3"/>
        <v>0</v>
      </c>
      <c r="T61" s="176">
        <f t="shared" si="4"/>
        <v>0</v>
      </c>
      <c r="U61" s="186"/>
      <c r="V61" s="187"/>
      <c r="W61" s="173"/>
      <c r="X61" s="218">
        <v>2</v>
      </c>
      <c r="Y61" s="135"/>
      <c r="Z61" s="134">
        <f>IF(Table4[[#This Row],[Year]]=1, 1.3, IF(Table4[[#This Row],[Year]]=2, 1.2, IF(Table4[[#This Row],[Year]]=3, 1, IF(Table4[[#This Row],[Year]]=4, 0.729166667, IF(Table4[[#This Row],[Year]]=5, 0.6, 0)))))</f>
        <v>1.2</v>
      </c>
    </row>
    <row r="62" spans="2:26" ht="21" x14ac:dyDescent="0.3">
      <c r="B62" s="123"/>
      <c r="C62" s="123"/>
      <c r="D62" s="123"/>
      <c r="F62" s="218" t="s">
        <v>216</v>
      </c>
      <c r="G62" s="222" t="s">
        <v>217</v>
      </c>
      <c r="H62" s="190" t="s">
        <v>218</v>
      </c>
      <c r="I62" s="185" t="s">
        <v>76</v>
      </c>
      <c r="J62" s="85">
        <f>IF(I62="Brother",$C$6*Table4[[#This Row],[Seniority Dues]],IF(I62="EC",$C$7,IF(I62="Alumni",$C$8,IF(I62="Dropped",$C$11,IF(I62="President",$C$10,IF(I62="Inactive",$C$9,IF(Table4[[#This Row],[Type]]="New Member",$C$13,0)))))))</f>
        <v>576</v>
      </c>
      <c r="K62" s="86"/>
      <c r="L62" s="148">
        <f>VLOOKUP(F62,Fall!F$3:P$138,11)</f>
        <v>0</v>
      </c>
      <c r="M62" s="149">
        <v>626</v>
      </c>
      <c r="N62" s="241"/>
      <c r="O62" s="87"/>
      <c r="P62" s="132"/>
      <c r="Q62" s="132">
        <f>SUM(Table4[[#This Row],[Payment 1]:[Payment 2]])</f>
        <v>626</v>
      </c>
      <c r="R62" s="283">
        <f t="shared" si="0"/>
        <v>-50</v>
      </c>
      <c r="S62" s="283">
        <f t="shared" si="3"/>
        <v>-50</v>
      </c>
      <c r="T62" s="176">
        <f t="shared" si="4"/>
        <v>0</v>
      </c>
      <c r="U62" s="186"/>
      <c r="V62" s="187"/>
      <c r="W62" s="173"/>
      <c r="X62" s="218">
        <v>2</v>
      </c>
      <c r="Y62" s="135"/>
      <c r="Z62" s="134">
        <f>IF(Table4[[#This Row],[Year]]=1, 1.3, IF(Table4[[#This Row],[Year]]=2, 1.2, IF(Table4[[#This Row],[Year]]=3, 1, IF(Table4[[#This Row],[Year]]=4, 0.729166667, IF(Table4[[#This Row],[Year]]=5, 0.6, 0)))))</f>
        <v>1.2</v>
      </c>
    </row>
    <row r="63" spans="2:26" ht="21" x14ac:dyDescent="0.3">
      <c r="B63" s="123"/>
      <c r="C63" s="123"/>
      <c r="D63" s="123"/>
      <c r="F63" s="218" t="s">
        <v>219</v>
      </c>
      <c r="G63" s="229" t="s">
        <v>220</v>
      </c>
      <c r="H63" s="188" t="s">
        <v>202</v>
      </c>
      <c r="I63" s="185" t="s">
        <v>76</v>
      </c>
      <c r="J63" s="85">
        <f>IF(I63="Brother",$C$6*Table4[[#This Row],[Seniority Dues]],IF(I63="EC",$C$7,IF(I63="Alumni",$C$8,IF(I63="Dropped",$C$11,IF(I63="President",$C$10,IF(I63="Inactive",$C$9,IF(Table4[[#This Row],[Type]]="New Member",$C$13,0)))))))</f>
        <v>480</v>
      </c>
      <c r="K63" s="85"/>
      <c r="L63" s="148">
        <v>728</v>
      </c>
      <c r="M63" s="149">
        <v>250</v>
      </c>
      <c r="N63" s="241">
        <v>250</v>
      </c>
      <c r="O63" s="87" t="s">
        <v>455</v>
      </c>
      <c r="P63" s="132"/>
      <c r="Q63" s="132">
        <f>SUM(Table4[[#This Row],[Payment 1]:[Payment 2]])</f>
        <v>500</v>
      </c>
      <c r="R63" s="283">
        <f t="shared" si="0"/>
        <v>708</v>
      </c>
      <c r="S63" s="283">
        <f t="shared" si="3"/>
        <v>0</v>
      </c>
      <c r="T63" s="176">
        <f t="shared" si="4"/>
        <v>708</v>
      </c>
      <c r="U63" s="186"/>
      <c r="V63" s="187"/>
      <c r="W63" s="173"/>
      <c r="X63" s="188">
        <v>3</v>
      </c>
      <c r="Y63" s="135"/>
      <c r="Z63" s="134">
        <f>IF(Table4[[#This Row],[Year]]=1, 1.3, IF(Table4[[#This Row],[Year]]=2, 1.2, IF(Table4[[#This Row],[Year]]=3, 1, IF(Table4[[#This Row],[Year]]=4, 0.729166667, IF(Table4[[#This Row],[Year]]=5, 0.6, 0)))))</f>
        <v>1</v>
      </c>
    </row>
    <row r="64" spans="2:26" ht="21" x14ac:dyDescent="0.3">
      <c r="B64" s="123"/>
      <c r="C64" s="123"/>
      <c r="D64" s="123"/>
      <c r="F64" s="239" t="s">
        <v>221</v>
      </c>
      <c r="G64" s="229" t="s">
        <v>220</v>
      </c>
      <c r="H64" s="188" t="s">
        <v>222</v>
      </c>
      <c r="I64" s="185" t="s">
        <v>76</v>
      </c>
      <c r="J64" s="85">
        <f>IF(I64="Brother",$C$6*Table4[[#This Row],[Seniority Dues]],IF(I64="EC",$C$7,IF(I64="Alumni",$C$8,IF(I64="Dropped",$C$11,IF(I64="President",$C$10,IF(I64="Inactive",$C$9,IF(Table4[[#This Row],[Type]]="New Member",$C$13,0)))))))</f>
        <v>480</v>
      </c>
      <c r="K64" s="85">
        <v>-25</v>
      </c>
      <c r="L64" s="148">
        <f>VLOOKUP(F64,Fall!F$3:P$138,11)</f>
        <v>0</v>
      </c>
      <c r="M64" s="149">
        <v>480</v>
      </c>
      <c r="N64" s="241"/>
      <c r="O64" s="87"/>
      <c r="P64" s="132" t="s">
        <v>457</v>
      </c>
      <c r="Q64" s="132">
        <f>SUM(Table4[[#This Row],[Payment 1]:[Payment 2]])</f>
        <v>480</v>
      </c>
      <c r="R64" s="283">
        <f t="shared" si="0"/>
        <v>-25</v>
      </c>
      <c r="S64" s="283">
        <f t="shared" si="3"/>
        <v>-25</v>
      </c>
      <c r="T64" s="176">
        <f t="shared" si="4"/>
        <v>0</v>
      </c>
      <c r="U64" s="186"/>
      <c r="V64" s="187"/>
      <c r="W64" s="173"/>
      <c r="X64" s="188">
        <v>3</v>
      </c>
      <c r="Y64" s="135"/>
      <c r="Z64" s="134">
        <f>IF(Table4[[#This Row],[Year]]=1, 1.3, IF(Table4[[#This Row],[Year]]=2, 1.2, IF(Table4[[#This Row],[Year]]=3, 1, IF(Table4[[#This Row],[Year]]=4, 0.729166667, IF(Table4[[#This Row],[Year]]=5, 0.6, 0)))))</f>
        <v>1</v>
      </c>
    </row>
    <row r="65" spans="2:26" ht="21" x14ac:dyDescent="0.3">
      <c r="B65" s="123"/>
      <c r="C65" s="123"/>
      <c r="D65" s="123"/>
      <c r="F65" s="218" t="s">
        <v>223</v>
      </c>
      <c r="G65" s="229" t="s">
        <v>224</v>
      </c>
      <c r="H65" s="188" t="s">
        <v>202</v>
      </c>
      <c r="I65" s="185" t="s">
        <v>72</v>
      </c>
      <c r="J65" s="85">
        <f>IF(I65="Brother",$C$6*Table4[[#This Row],[Seniority Dues]],IF(I65="EC",$C$7,IF(I65="Alumni",$C$8,IF(I65="Dropped",$C$11,IF(I65="President",$C$10,IF(I65="Inactive",$C$9,IF(Table4[[#This Row],[Type]]="New Member",$C$13,0)))))))</f>
        <v>200</v>
      </c>
      <c r="K65" s="85"/>
      <c r="L65" s="148">
        <v>200</v>
      </c>
      <c r="M65" s="149">
        <f>2*133.33</f>
        <v>266.66000000000003</v>
      </c>
      <c r="N65" s="241">
        <v>133.34</v>
      </c>
      <c r="O65" s="87" t="s">
        <v>455</v>
      </c>
      <c r="P65" s="132"/>
      <c r="Q65" s="132">
        <f>SUM(Table4[[#This Row],[Payment 1]:[Payment 2]])</f>
        <v>400</v>
      </c>
      <c r="R65" s="283">
        <f t="shared" si="0"/>
        <v>0</v>
      </c>
      <c r="S65" s="283">
        <f t="shared" si="3"/>
        <v>-2.8421709430404007E-14</v>
      </c>
      <c r="T65" s="176">
        <f t="shared" si="4"/>
        <v>0</v>
      </c>
      <c r="U65" s="186"/>
      <c r="V65" s="187"/>
      <c r="W65" s="173"/>
      <c r="X65" s="188">
        <v>3</v>
      </c>
      <c r="Y65" s="135"/>
      <c r="Z65" s="134">
        <f>IF(Table4[[#This Row],[Year]]=1, 1.3, IF(Table4[[#This Row],[Year]]=2, 1.2, IF(Table4[[#This Row],[Year]]=3, 1, IF(Table4[[#This Row],[Year]]=4, 0.729166667, IF(Table4[[#This Row],[Year]]=5, 0.6, 0)))))</f>
        <v>1</v>
      </c>
    </row>
    <row r="66" spans="2:26" ht="21" x14ac:dyDescent="0.3">
      <c r="B66" s="123"/>
      <c r="C66" s="123"/>
      <c r="D66" s="123"/>
      <c r="F66" s="218" t="s">
        <v>225</v>
      </c>
      <c r="G66" s="229" t="s">
        <v>226</v>
      </c>
      <c r="H66" s="188" t="s">
        <v>227</v>
      </c>
      <c r="I66" s="185" t="s">
        <v>76</v>
      </c>
      <c r="J66" s="85">
        <f>IF(I66="Brother",$C$6*Table4[[#This Row],[Seniority Dues]],IF(I66="EC",$C$7,IF(I66="Alumni",$C$8,IF(I66="Dropped",$C$11,IF(I66="President",$C$10,IF(I66="Inactive",$C$9,IF(Table4[[#This Row],[Type]]="New Member",$C$13,0)))))))</f>
        <v>350.00000016000001</v>
      </c>
      <c r="K66" s="86">
        <v>50</v>
      </c>
      <c r="L66" s="148">
        <f>VLOOKUP(F66,Fall!F$3:P$138,11)</f>
        <v>0</v>
      </c>
      <c r="M66" s="149">
        <f>2*87.5</f>
        <v>175</v>
      </c>
      <c r="N66" s="241">
        <v>87.5</v>
      </c>
      <c r="O66" s="87" t="s">
        <v>455</v>
      </c>
      <c r="P66" s="132"/>
      <c r="Q66" s="132">
        <f>SUM(Table4[[#This Row],[Payment 1]:[Payment 2]])</f>
        <v>262.5</v>
      </c>
      <c r="R66" s="283">
        <f t="shared" si="0"/>
        <v>137.50000016000001</v>
      </c>
      <c r="S66" s="283">
        <f t="shared" si="3"/>
        <v>0</v>
      </c>
      <c r="T66" s="176">
        <f t="shared" si="4"/>
        <v>137.50000016000001</v>
      </c>
      <c r="U66" s="186"/>
      <c r="V66" s="187"/>
      <c r="W66" s="173"/>
      <c r="X66" s="188">
        <v>4</v>
      </c>
      <c r="Y66" s="135"/>
      <c r="Z66" s="134">
        <f>IF(Table4[[#This Row],[Year]]=1, 1.3, IF(Table4[[#This Row],[Year]]=2, 1.2, IF(Table4[[#This Row],[Year]]=3, 1, IF(Table4[[#This Row],[Year]]=4, 0.729166667, IF(Table4[[#This Row],[Year]]=5, 0.6, 0)))))</f>
        <v>0.72916666699999999</v>
      </c>
    </row>
    <row r="67" spans="2:26" ht="21" x14ac:dyDescent="0.3">
      <c r="B67" s="123"/>
      <c r="C67" s="123"/>
      <c r="D67" s="123"/>
      <c r="F67" s="218" t="s">
        <v>228</v>
      </c>
      <c r="G67" s="222" t="s">
        <v>229</v>
      </c>
      <c r="H67" s="190" t="s">
        <v>230</v>
      </c>
      <c r="I67" s="185" t="s">
        <v>76</v>
      </c>
      <c r="J67" s="85">
        <f>IF(I67="Brother",$C$6*Table4[[#This Row],[Seniority Dues]],IF(I67="EC",$C$7,IF(I67="Alumni",$C$8,IF(I67="Dropped",$C$11,IF(I67="President",$C$10,IF(I67="Inactive",$C$9,IF(Table4[[#This Row],[Type]]="New Member",$C$13,0)))))))</f>
        <v>576</v>
      </c>
      <c r="K67" s="85">
        <v>25</v>
      </c>
      <c r="L67" s="148">
        <f>VLOOKUP(F67,Fall!F$3:P$138,11)</f>
        <v>0</v>
      </c>
      <c r="M67" s="149">
        <v>576</v>
      </c>
      <c r="N67" s="241"/>
      <c r="O67" s="87"/>
      <c r="P67" s="132"/>
      <c r="Q67" s="132">
        <f>SUM(Table4[[#This Row],[Payment 1]:[Payment 2]])</f>
        <v>576</v>
      </c>
      <c r="R67" s="283">
        <f t="shared" si="0"/>
        <v>25</v>
      </c>
      <c r="S67" s="283">
        <f t="shared" ref="S67:S98" si="5">IF((J67+L67-M67+K67-N67)&lt;0,J67+L67-M67+K67-N67,0)</f>
        <v>0</v>
      </c>
      <c r="T67" s="176">
        <f t="shared" ref="T67:T98" si="6">IF((J67+L67-M67+K67-N67)&gt;0, J67+L67-M67+K67-N67, 0)</f>
        <v>25</v>
      </c>
      <c r="U67" s="186"/>
      <c r="V67" s="187"/>
      <c r="W67" s="173"/>
      <c r="X67" s="218">
        <v>2</v>
      </c>
      <c r="Y67" s="135"/>
      <c r="Z67" s="134">
        <f>IF(Table4[[#This Row],[Year]]=1, 1.3, IF(Table4[[#This Row],[Year]]=2, 1.2, IF(Table4[[#This Row],[Year]]=3, 1, IF(Table4[[#This Row],[Year]]=4, 0.729166667, IF(Table4[[#This Row],[Year]]=5, 0.6, 0)))))</f>
        <v>1.2</v>
      </c>
    </row>
    <row r="68" spans="2:26" ht="21" x14ac:dyDescent="0.3">
      <c r="B68" s="123"/>
      <c r="C68" s="123"/>
      <c r="D68" s="123"/>
      <c r="F68" s="239" t="s">
        <v>231</v>
      </c>
      <c r="G68" s="222" t="s">
        <v>232</v>
      </c>
      <c r="H68" s="190" t="s">
        <v>92</v>
      </c>
      <c r="I68" s="185" t="s">
        <v>76</v>
      </c>
      <c r="J68" s="85">
        <f>IF(I68="Brother",$C$6*Table4[[#This Row],[Seniority Dues]],IF(I68="EC",$C$7,IF(I68="Alumni",$C$8,IF(I68="Dropped",$C$11,IF(I68="President",$C$10,IF(I68="Inactive",$C$9,IF(Table4[[#This Row],[Type]]="New Member",$C$13,0)))))))</f>
        <v>576</v>
      </c>
      <c r="K68" s="85">
        <f>25-25</f>
        <v>0</v>
      </c>
      <c r="L68" s="148">
        <f>VLOOKUP(F68,Fall!F$3:P$138,11)</f>
        <v>0</v>
      </c>
      <c r="M68" s="149">
        <v>576</v>
      </c>
      <c r="N68" s="241"/>
      <c r="O68" s="87"/>
      <c r="P68" s="132" t="s">
        <v>457</v>
      </c>
      <c r="Q68" s="132">
        <f>SUM(Table4[[#This Row],[Payment 1]:[Payment 2]])</f>
        <v>576</v>
      </c>
      <c r="R68" s="283">
        <f t="shared" ref="R68:R131" si="7">J68+K68+L68-M68-N68</f>
        <v>0</v>
      </c>
      <c r="S68" s="283">
        <f t="shared" si="5"/>
        <v>0</v>
      </c>
      <c r="T68" s="176">
        <f t="shared" si="6"/>
        <v>0</v>
      </c>
      <c r="U68" s="186"/>
      <c r="V68" s="187"/>
      <c r="W68" s="173"/>
      <c r="X68" s="218">
        <v>2</v>
      </c>
      <c r="Y68" s="135"/>
      <c r="Z68" s="134">
        <f>IF(Table4[[#This Row],[Year]]=1, 1.3, IF(Table4[[#This Row],[Year]]=2, 1.2, IF(Table4[[#This Row],[Year]]=3, 1, IF(Table4[[#This Row],[Year]]=4, 0.729166667, IF(Table4[[#This Row],[Year]]=5, 0.6, 0)))))</f>
        <v>1.2</v>
      </c>
    </row>
    <row r="69" spans="2:26" ht="21" x14ac:dyDescent="0.3">
      <c r="B69" s="123"/>
      <c r="C69" s="123"/>
      <c r="D69" s="123"/>
      <c r="F69" s="218" t="s">
        <v>423</v>
      </c>
      <c r="G69" s="222" t="s">
        <v>390</v>
      </c>
      <c r="H69" s="190" t="s">
        <v>148</v>
      </c>
      <c r="I69" s="185" t="s">
        <v>76</v>
      </c>
      <c r="J69" s="85">
        <f>IF(I69="Brother",$C$6*Table4[[#This Row],[Seniority Dues]],IF(I69="EC",$C$7,IF(I69="Alumni",$C$8,IF(I69="Dropped",$C$11,IF(I69="President",$C$10,IF(I69="Inactive",$C$9,IF(Table4[[#This Row],[Type]]="New Member",$C$13,0)))))))</f>
        <v>624</v>
      </c>
      <c r="K69" s="85"/>
      <c r="L69" s="148">
        <f>VLOOKUP(F69,Fall!F$3:P$138,11)</f>
        <v>0</v>
      </c>
      <c r="M69" s="149">
        <v>624</v>
      </c>
      <c r="N69" s="241"/>
      <c r="O69" s="87"/>
      <c r="P69" s="132"/>
      <c r="Q69" s="132">
        <f>SUM(Table4[[#This Row],[Payment 1]:[Payment 2]])</f>
        <v>624</v>
      </c>
      <c r="R69" s="283">
        <f t="shared" si="7"/>
        <v>0</v>
      </c>
      <c r="S69" s="283">
        <f t="shared" si="5"/>
        <v>0</v>
      </c>
      <c r="T69" s="176">
        <f t="shared" si="6"/>
        <v>0</v>
      </c>
      <c r="U69" s="186"/>
      <c r="V69" s="187"/>
      <c r="W69" s="173"/>
      <c r="X69" s="218">
        <v>1</v>
      </c>
      <c r="Y69" s="135"/>
      <c r="Z69" s="134">
        <f>IF(Table4[[#This Row],[Year]]=1, 1.3, IF(Table4[[#This Row],[Year]]=2, 1.2, IF(Table4[[#This Row],[Year]]=3, 1, IF(Table4[[#This Row],[Year]]=4, 0.729166667, IF(Table4[[#This Row],[Year]]=5, 0.6, 0)))))</f>
        <v>1.3</v>
      </c>
    </row>
    <row r="70" spans="2:26" ht="21" x14ac:dyDescent="0.3">
      <c r="B70" s="123"/>
      <c r="C70" s="123"/>
      <c r="D70" s="123"/>
      <c r="F70" s="218" t="s">
        <v>233</v>
      </c>
      <c r="G70" s="235" t="s">
        <v>234</v>
      </c>
      <c r="H70" s="188" t="s">
        <v>235</v>
      </c>
      <c r="I70" s="185" t="s">
        <v>89</v>
      </c>
      <c r="J70" s="85">
        <f>IF(I70="Brother",$C$6*Table4[[#This Row],[Seniority Dues]],IF(I70="EC",$C$7,IF(I70="Alumni",$C$8,IF(I70="Dropped",$C$11,IF(I70="President",$C$10,IF(I70="Inactive",$C$9,IF(Table4[[#This Row],[Type]]="New Member",$C$13,0)))))))</f>
        <v>0</v>
      </c>
      <c r="K70" s="85"/>
      <c r="L70" s="148"/>
      <c r="M70" s="149"/>
      <c r="N70" s="241"/>
      <c r="O70" s="87"/>
      <c r="P70" s="132"/>
      <c r="Q70" s="132">
        <f>SUM(Table4[[#This Row],[Payment 1]:[Payment 2]])</f>
        <v>0</v>
      </c>
      <c r="R70" s="283">
        <f t="shared" si="7"/>
        <v>0</v>
      </c>
      <c r="S70" s="283">
        <f t="shared" si="5"/>
        <v>0</v>
      </c>
      <c r="T70" s="176">
        <f t="shared" si="6"/>
        <v>0</v>
      </c>
      <c r="U70" s="186"/>
      <c r="V70" s="187"/>
      <c r="W70" s="173"/>
      <c r="X70" s="188">
        <v>5</v>
      </c>
      <c r="Y70" s="135"/>
      <c r="Z70" s="134">
        <f>IF(Table4[[#This Row],[Year]]=1, 1.3, IF(Table4[[#This Row],[Year]]=2, 1.2, IF(Table4[[#This Row],[Year]]=3, 1, IF(Table4[[#This Row],[Year]]=4, 0.729166667, IF(Table4[[#This Row],[Year]]=5, 0.6, 0)))))</f>
        <v>0.6</v>
      </c>
    </row>
    <row r="71" spans="2:26" ht="21" x14ac:dyDescent="0.3">
      <c r="B71" s="123"/>
      <c r="C71" s="123"/>
      <c r="D71" s="123"/>
      <c r="F71" s="218" t="s">
        <v>236</v>
      </c>
      <c r="G71" s="238" t="s">
        <v>237</v>
      </c>
      <c r="H71" s="190" t="s">
        <v>238</v>
      </c>
      <c r="I71" s="185" t="s">
        <v>85</v>
      </c>
      <c r="J71" s="85">
        <f>IF(I71="Brother",$C$6*Table4[[#This Row],[Seniority Dues]],IF(I71="EC",$C$7,IF(I71="Alumni",$C$8,IF(I71="Dropped",$C$11,IF(I71="President",$C$10,IF(I71="Inactive",$C$9,IF(Table4[[#This Row],[Type]]="New Member",$C$13,0)))))))</f>
        <v>225</v>
      </c>
      <c r="K71" s="85"/>
      <c r="L71" s="148">
        <f>VLOOKUP(F71,Fall!F$3:P$138,11)</f>
        <v>0</v>
      </c>
      <c r="M71" s="149">
        <v>225</v>
      </c>
      <c r="N71" s="241"/>
      <c r="O71" s="87"/>
      <c r="P71" s="132"/>
      <c r="Q71" s="132">
        <f>SUM(Table4[[#This Row],[Payment 1]:[Payment 2]])</f>
        <v>225</v>
      </c>
      <c r="R71" s="283">
        <f t="shared" si="7"/>
        <v>0</v>
      </c>
      <c r="S71" s="283">
        <f t="shared" si="5"/>
        <v>0</v>
      </c>
      <c r="T71" s="176">
        <f t="shared" si="6"/>
        <v>0</v>
      </c>
      <c r="U71" s="186"/>
      <c r="V71" s="187"/>
      <c r="W71" s="173"/>
      <c r="X71" s="218">
        <v>2</v>
      </c>
      <c r="Y71" s="135"/>
      <c r="Z71" s="134">
        <f>IF(Table4[[#This Row],[Year]]=1, 1.3, IF(Table4[[#This Row],[Year]]=2, 1.2, IF(Table4[[#This Row],[Year]]=3, 1, IF(Table4[[#This Row],[Year]]=4, 0.729166667, IF(Table4[[#This Row],[Year]]=5, 0.6, 0)))))</f>
        <v>1.2</v>
      </c>
    </row>
    <row r="72" spans="2:26" ht="21" x14ac:dyDescent="0.3">
      <c r="B72" s="123"/>
      <c r="C72" s="123"/>
      <c r="D72" s="123"/>
      <c r="F72" s="239" t="s">
        <v>239</v>
      </c>
      <c r="G72" s="230" t="s">
        <v>240</v>
      </c>
      <c r="H72" s="214" t="s">
        <v>205</v>
      </c>
      <c r="I72" s="185" t="s">
        <v>76</v>
      </c>
      <c r="J72" s="85">
        <f>IF(I72="Brother",$C$6*Table4[[#This Row],[Seniority Dues]],IF(I72="EC",$C$7,IF(I72="Alumni",$C$8,IF(I72="Dropped",$C$11,IF(I72="President",$C$10,IF(I72="Inactive",$C$9,IF(Table4[[#This Row],[Type]]="New Member",$C$13,0)))))))</f>
        <v>576</v>
      </c>
      <c r="K72" s="85">
        <f>25-25</f>
        <v>0</v>
      </c>
      <c r="L72" s="148"/>
      <c r="M72" s="149">
        <v>576</v>
      </c>
      <c r="N72" s="241"/>
      <c r="O72" s="87"/>
      <c r="P72" s="132" t="s">
        <v>457</v>
      </c>
      <c r="Q72" s="132">
        <f>SUM(Table4[[#This Row],[Payment 1]:[Payment 2]])</f>
        <v>576</v>
      </c>
      <c r="R72" s="283">
        <f t="shared" si="7"/>
        <v>0</v>
      </c>
      <c r="S72" s="283">
        <f t="shared" si="5"/>
        <v>0</v>
      </c>
      <c r="T72" s="176">
        <f t="shared" si="6"/>
        <v>0</v>
      </c>
      <c r="U72" s="186"/>
      <c r="V72" s="187"/>
      <c r="W72" s="173"/>
      <c r="X72" s="134">
        <v>2</v>
      </c>
      <c r="Y72" s="135"/>
      <c r="Z72" s="134">
        <f>IF(Table4[[#This Row],[Year]]=1, 1.3, IF(Table4[[#This Row],[Year]]=2, 1.2, IF(Table4[[#This Row],[Year]]=3, 1, IF(Table4[[#This Row],[Year]]=4, 0.729166667, IF(Table4[[#This Row],[Year]]=5, 0.6, 0)))))</f>
        <v>1.2</v>
      </c>
    </row>
    <row r="73" spans="2:26" ht="21" x14ac:dyDescent="0.3">
      <c r="B73" s="123"/>
      <c r="C73" s="123"/>
      <c r="D73" s="123"/>
      <c r="F73" s="218" t="s">
        <v>424</v>
      </c>
      <c r="G73" s="222" t="s">
        <v>425</v>
      </c>
      <c r="H73" s="190" t="s">
        <v>426</v>
      </c>
      <c r="I73" s="185" t="s">
        <v>76</v>
      </c>
      <c r="J73" s="85">
        <f>IF(I73="Brother",$C$6*Table4[[#This Row],[Seniority Dues]],IF(I73="EC",$C$7,IF(I73="Alumni",$C$8,IF(I73="Dropped",$C$11,IF(I73="President",$C$10,IF(I73="Inactive",$C$9,IF(Table4[[#This Row],[Type]]="New Member",$C$13,0)))))))</f>
        <v>576</v>
      </c>
      <c r="K73" s="85">
        <v>25</v>
      </c>
      <c r="L73" s="148">
        <f>VLOOKUP(F73,Fall!F$3:P$138,11)</f>
        <v>0</v>
      </c>
      <c r="M73" s="149">
        <v>576</v>
      </c>
      <c r="N73" s="241"/>
      <c r="O73" s="87"/>
      <c r="P73" s="132"/>
      <c r="Q73" s="132">
        <f>SUM(Table4[[#This Row],[Payment 1]:[Payment 2]])</f>
        <v>576</v>
      </c>
      <c r="R73" s="283">
        <f t="shared" si="7"/>
        <v>25</v>
      </c>
      <c r="S73" s="283">
        <f t="shared" si="5"/>
        <v>0</v>
      </c>
      <c r="T73" s="176">
        <f t="shared" si="6"/>
        <v>25</v>
      </c>
      <c r="U73" s="186"/>
      <c r="V73" s="187"/>
      <c r="W73" s="173"/>
      <c r="X73" s="134">
        <v>2</v>
      </c>
      <c r="Y73" s="135"/>
      <c r="Z73" s="134">
        <f>IF(Table4[[#This Row],[Year]]=1, 1.3, IF(Table4[[#This Row],[Year]]=2, 1.2, IF(Table4[[#This Row],[Year]]=3, 1, IF(Table4[[#This Row],[Year]]=4, 0.729166667, IF(Table4[[#This Row],[Year]]=5, 0.6, 0)))))</f>
        <v>1.2</v>
      </c>
    </row>
    <row r="74" spans="2:26" ht="21" x14ac:dyDescent="0.3">
      <c r="B74" s="123"/>
      <c r="C74" s="123"/>
      <c r="D74" s="123"/>
      <c r="F74" s="218" t="s">
        <v>427</v>
      </c>
      <c r="G74" s="222" t="s">
        <v>428</v>
      </c>
      <c r="H74" s="190" t="s">
        <v>218</v>
      </c>
      <c r="I74" s="185" t="s">
        <v>76</v>
      </c>
      <c r="J74" s="85">
        <f>IF(I74="Brother",$C$6*Table4[[#This Row],[Seniority Dues]],IF(I74="EC",$C$7,IF(I74="Alumni",$C$8,IF(I74="Dropped",$C$11,IF(I74="President",$C$10,IF(I74="Inactive",$C$9,IF(Table4[[#This Row],[Type]]="New Member",$C$13,0)))))))</f>
        <v>480</v>
      </c>
      <c r="K74" s="85"/>
      <c r="L74" s="148">
        <f>VLOOKUP(F74,Fall!F$3:P$138,11)</f>
        <v>0</v>
      </c>
      <c r="M74" s="149">
        <v>480</v>
      </c>
      <c r="N74" s="241"/>
      <c r="O74" s="87"/>
      <c r="P74" s="132"/>
      <c r="Q74" s="132">
        <f>SUM(Table4[[#This Row],[Payment 1]:[Payment 2]])</f>
        <v>480</v>
      </c>
      <c r="R74" s="283">
        <f t="shared" si="7"/>
        <v>0</v>
      </c>
      <c r="S74" s="283">
        <f t="shared" si="5"/>
        <v>0</v>
      </c>
      <c r="T74" s="176">
        <f t="shared" si="6"/>
        <v>0</v>
      </c>
      <c r="U74" s="186"/>
      <c r="V74" s="187"/>
      <c r="W74" s="173"/>
      <c r="X74" s="134">
        <v>3</v>
      </c>
      <c r="Y74" s="135"/>
      <c r="Z74" s="134">
        <f>IF(Table4[[#This Row],[Year]]=1, 1.3, IF(Table4[[#This Row],[Year]]=2, 1.2, IF(Table4[[#This Row],[Year]]=3, 1, IF(Table4[[#This Row],[Year]]=4, 0.729166667, IF(Table4[[#This Row],[Year]]=5, 0.6, 0)))))</f>
        <v>1</v>
      </c>
    </row>
    <row r="75" spans="2:26" ht="21" x14ac:dyDescent="0.3">
      <c r="B75" s="123"/>
      <c r="C75" s="123"/>
      <c r="D75" s="123"/>
      <c r="F75" s="218" t="s">
        <v>241</v>
      </c>
      <c r="G75" s="222" t="s">
        <v>242</v>
      </c>
      <c r="H75" s="190" t="s">
        <v>243</v>
      </c>
      <c r="I75" s="185" t="s">
        <v>76</v>
      </c>
      <c r="J75" s="85">
        <f>IF(I75="Brother",$C$6*Table4[[#This Row],[Seniority Dues]],IF(I75="EC",$C$7,IF(I75="Alumni",$C$8,IF(I75="Dropped",$C$11,IF(I75="President",$C$10,IF(I75="Inactive",$C$9,IF(Table4[[#This Row],[Type]]="New Member",$C$13,0)))))))</f>
        <v>576</v>
      </c>
      <c r="K75" s="85">
        <v>25</v>
      </c>
      <c r="L75" s="148">
        <f>VLOOKUP(F75,Fall!F$3:P$138,11)</f>
        <v>0</v>
      </c>
      <c r="M75" s="149">
        <v>576</v>
      </c>
      <c r="N75" s="241"/>
      <c r="O75" s="87"/>
      <c r="P75" s="132"/>
      <c r="Q75" s="132">
        <f>SUM(Table4[[#This Row],[Payment 1]:[Payment 2]])</f>
        <v>576</v>
      </c>
      <c r="R75" s="283">
        <f t="shared" si="7"/>
        <v>25</v>
      </c>
      <c r="S75" s="283">
        <f t="shared" si="5"/>
        <v>0</v>
      </c>
      <c r="T75" s="176">
        <f t="shared" si="6"/>
        <v>25</v>
      </c>
      <c r="U75" s="186"/>
      <c r="V75" s="187"/>
      <c r="W75" s="173"/>
      <c r="X75" s="134">
        <v>2</v>
      </c>
      <c r="Y75" s="135"/>
      <c r="Z75" s="134">
        <f>IF(Table4[[#This Row],[Year]]=1, 1.3, IF(Table4[[#This Row],[Year]]=2, 1.2, IF(Table4[[#This Row],[Year]]=3, 1, IF(Table4[[#This Row],[Year]]=4, 0.729166667, IF(Table4[[#This Row],[Year]]=5, 0.6, 0)))))</f>
        <v>1.2</v>
      </c>
    </row>
    <row r="76" spans="2:26" ht="21" x14ac:dyDescent="0.3">
      <c r="B76" s="123"/>
      <c r="C76" s="123"/>
      <c r="D76" s="123"/>
      <c r="F76" s="218" t="s">
        <v>429</v>
      </c>
      <c r="G76" s="222" t="s">
        <v>320</v>
      </c>
      <c r="H76" s="190" t="s">
        <v>430</v>
      </c>
      <c r="I76" s="185" t="s">
        <v>76</v>
      </c>
      <c r="J76" s="85">
        <f>IF(I76="Brother",$C$6*Table4[[#This Row],[Seniority Dues]],IF(I76="EC",$C$7,IF(I76="Alumni",$C$8,IF(I76="Dropped",$C$11,IF(I76="President",$C$10,IF(I76="Inactive",$C$9,IF(Table4[[#This Row],[Type]]="New Member",$C$13,0)))))))</f>
        <v>624</v>
      </c>
      <c r="K76" s="85">
        <v>25</v>
      </c>
      <c r="L76" s="148">
        <f>VLOOKUP(F76,Fall!F$3:P$138,11)</f>
        <v>0</v>
      </c>
      <c r="M76" s="149">
        <v>624</v>
      </c>
      <c r="N76" s="241"/>
      <c r="O76" s="87"/>
      <c r="P76" s="132"/>
      <c r="Q76" s="132">
        <f>SUM(Table4[[#This Row],[Payment 1]:[Payment 2]])</f>
        <v>624</v>
      </c>
      <c r="R76" s="283">
        <f t="shared" si="7"/>
        <v>25</v>
      </c>
      <c r="S76" s="283">
        <f t="shared" si="5"/>
        <v>0</v>
      </c>
      <c r="T76" s="176">
        <f t="shared" si="6"/>
        <v>25</v>
      </c>
      <c r="U76" s="186"/>
      <c r="V76" s="187"/>
      <c r="W76" s="173"/>
      <c r="X76" s="134">
        <v>1</v>
      </c>
      <c r="Y76" s="135"/>
      <c r="Z76" s="134">
        <f>IF(Table4[[#This Row],[Year]]=1, 1.3, IF(Table4[[#This Row],[Year]]=2, 1.2, IF(Table4[[#This Row],[Year]]=3, 1, IF(Table4[[#This Row],[Year]]=4, 0.729166667, IF(Table4[[#This Row],[Year]]=5, 0.6, 0)))))</f>
        <v>1.3</v>
      </c>
    </row>
    <row r="77" spans="2:26" ht="21" x14ac:dyDescent="0.3">
      <c r="B77" s="123"/>
      <c r="C77" s="123"/>
      <c r="D77" s="123"/>
      <c r="F77" s="218" t="s">
        <v>244</v>
      </c>
      <c r="G77" s="229" t="s">
        <v>245</v>
      </c>
      <c r="H77" s="188" t="s">
        <v>246</v>
      </c>
      <c r="I77" s="185" t="s">
        <v>76</v>
      </c>
      <c r="J77" s="85">
        <f>IF(I77="Brother",$C$6*Table4[[#This Row],[Seniority Dues]],IF(I77="EC",$C$7,IF(I77="Alumni",$C$8,IF(I77="Dropped",$C$11,IF(I77="President",$C$10,IF(I77="Inactive",$C$9,IF(Table4[[#This Row],[Type]]="New Member",$C$13,0)))))))</f>
        <v>350.00000016000001</v>
      </c>
      <c r="K77" s="85"/>
      <c r="L77" s="148">
        <f>VLOOKUP(F77,Fall!F$3:P$138,11)</f>
        <v>0</v>
      </c>
      <c r="M77" s="149">
        <v>350</v>
      </c>
      <c r="N77" s="241"/>
      <c r="O77" s="87"/>
      <c r="P77" s="132"/>
      <c r="Q77" s="132">
        <f>SUM(Table4[[#This Row],[Payment 1]:[Payment 2]])</f>
        <v>350</v>
      </c>
      <c r="R77" s="283">
        <f t="shared" si="7"/>
        <v>1.6000001323845936E-7</v>
      </c>
      <c r="S77" s="283">
        <f t="shared" si="5"/>
        <v>0</v>
      </c>
      <c r="T77" s="176">
        <f t="shared" si="6"/>
        <v>1.6000001323845936E-7</v>
      </c>
      <c r="U77" s="186"/>
      <c r="V77" s="187"/>
      <c r="W77" s="173"/>
      <c r="X77" s="219">
        <v>4</v>
      </c>
      <c r="Y77" s="135"/>
      <c r="Z77" s="134">
        <f>IF(Table4[[#This Row],[Year]]=1, 1.3, IF(Table4[[#This Row],[Year]]=2, 1.2, IF(Table4[[#This Row],[Year]]=3, 1, IF(Table4[[#This Row],[Year]]=4, 0.729166667, IF(Table4[[#This Row],[Year]]=5, 0.6, 0)))))</f>
        <v>0.72916666699999999</v>
      </c>
    </row>
    <row r="78" spans="2:26" ht="21" x14ac:dyDescent="0.3">
      <c r="B78" s="123"/>
      <c r="C78" s="123"/>
      <c r="D78" s="123"/>
      <c r="F78" s="239" t="s">
        <v>247</v>
      </c>
      <c r="G78" s="237" t="s">
        <v>248</v>
      </c>
      <c r="H78" s="188" t="s">
        <v>249</v>
      </c>
      <c r="I78" s="185" t="s">
        <v>85</v>
      </c>
      <c r="J78" s="85">
        <f>IF(I78="Brother",$C$6*Table4[[#This Row],[Seniority Dues]],IF(I78="EC",$C$7,IF(I78="Alumni",$C$8,IF(I78="Dropped",$C$11,IF(I78="President",$C$10,IF(I78="Inactive",$C$9,IF(Table4[[#This Row],[Type]]="New Member",$C$13,0)))))))</f>
        <v>225</v>
      </c>
      <c r="K78" s="85">
        <v>-25</v>
      </c>
      <c r="L78" s="148">
        <f>VLOOKUP(F78,Fall!F$3:P$138,11)</f>
        <v>0</v>
      </c>
      <c r="M78" s="149">
        <v>225</v>
      </c>
      <c r="N78" s="241"/>
      <c r="O78" s="87"/>
      <c r="P78" s="132" t="s">
        <v>457</v>
      </c>
      <c r="Q78" s="132">
        <f>SUM(Table4[[#This Row],[Payment 1]:[Payment 2]])</f>
        <v>225</v>
      </c>
      <c r="R78" s="283">
        <f t="shared" si="7"/>
        <v>-25</v>
      </c>
      <c r="S78" s="283">
        <f t="shared" si="5"/>
        <v>-25</v>
      </c>
      <c r="T78" s="176">
        <f t="shared" si="6"/>
        <v>0</v>
      </c>
      <c r="U78" s="186"/>
      <c r="V78" s="187"/>
      <c r="W78" s="173"/>
      <c r="X78" s="219">
        <v>3</v>
      </c>
      <c r="Y78" s="135"/>
      <c r="Z78" s="134">
        <f>IF(Table4[[#This Row],[Year]]=1, 1.3, IF(Table4[[#This Row],[Year]]=2, 1.2, IF(Table4[[#This Row],[Year]]=3, 1, IF(Table4[[#This Row],[Year]]=4, 0.729166667, IF(Table4[[#This Row],[Year]]=5, 0.6, 0)))))</f>
        <v>1</v>
      </c>
    </row>
    <row r="79" spans="2:26" ht="21" x14ac:dyDescent="0.3">
      <c r="B79" s="123"/>
      <c r="C79" s="123"/>
      <c r="D79" s="123"/>
      <c r="F79" s="218" t="s">
        <v>250</v>
      </c>
      <c r="G79" s="229" t="s">
        <v>251</v>
      </c>
      <c r="H79" s="188" t="s">
        <v>184</v>
      </c>
      <c r="I79" s="185" t="s">
        <v>76</v>
      </c>
      <c r="J79" s="85">
        <f>IF(I79="Brother",$C$6*Table4[[#This Row],[Seniority Dues]],IF(I79="EC",$C$7,IF(I79="Alumni",$C$8,IF(I79="Dropped",$C$11,IF(I79="President",$C$10,IF(I79="Inactive",$C$9,IF(Table4[[#This Row],[Type]]="New Member",$C$13,0)))))))</f>
        <v>480</v>
      </c>
      <c r="K79" s="86"/>
      <c r="L79" s="148">
        <f>VLOOKUP(F79,Fall!F$3:P$138,11)</f>
        <v>0</v>
      </c>
      <c r="M79" s="149">
        <v>480</v>
      </c>
      <c r="N79" s="241"/>
      <c r="O79" s="87"/>
      <c r="P79" s="132"/>
      <c r="Q79" s="132">
        <f>SUM(Table4[[#This Row],[Payment 1]:[Payment 2]])</f>
        <v>480</v>
      </c>
      <c r="R79" s="283">
        <f t="shared" si="7"/>
        <v>0</v>
      </c>
      <c r="S79" s="283">
        <f t="shared" si="5"/>
        <v>0</v>
      </c>
      <c r="T79" s="176">
        <f t="shared" si="6"/>
        <v>0</v>
      </c>
      <c r="U79" s="186"/>
      <c r="V79" s="187"/>
      <c r="W79" s="173"/>
      <c r="X79" s="220">
        <v>3</v>
      </c>
      <c r="Y79" s="135"/>
      <c r="Z79" s="134">
        <f>IF(Table4[[#This Row],[Year]]=1, 1.3, IF(Table4[[#This Row],[Year]]=2, 1.2, IF(Table4[[#This Row],[Year]]=3, 1, IF(Table4[[#This Row],[Year]]=4, 0.729166667, IF(Table4[[#This Row],[Year]]=5, 0.6, 0)))))</f>
        <v>1</v>
      </c>
    </row>
    <row r="80" spans="2:26" ht="21" x14ac:dyDescent="0.3">
      <c r="B80" s="123"/>
      <c r="C80" s="123"/>
      <c r="D80" s="123"/>
      <c r="F80" s="73" t="s">
        <v>252</v>
      </c>
      <c r="G80" s="229" t="s">
        <v>253</v>
      </c>
      <c r="H80" s="188" t="s">
        <v>254</v>
      </c>
      <c r="I80" s="185" t="s">
        <v>72</v>
      </c>
      <c r="J80" s="85">
        <f>IF(I80="Brother",$C$6*Table4[[#This Row],[Seniority Dues]],IF(I80="EC",$C$7,IF(I80="Alumni",$C$8,IF(I80="Dropped",$C$11,IF(I80="President",$C$10,IF(I80="Inactive",$C$9,IF(Table4[[#This Row],[Type]]="New Member",$C$13,0)))))))</f>
        <v>200</v>
      </c>
      <c r="K80" s="86"/>
      <c r="L80" s="148">
        <f>VLOOKUP(F80,Fall!F$3:P$138,11)</f>
        <v>384</v>
      </c>
      <c r="M80" s="149">
        <v>384</v>
      </c>
      <c r="N80" s="241">
        <v>200</v>
      </c>
      <c r="O80" s="87"/>
      <c r="P80" s="132"/>
      <c r="Q80" s="132">
        <f>SUM(Table4[[#This Row],[Payment 1]:[Payment 2]])</f>
        <v>584</v>
      </c>
      <c r="R80" s="283">
        <f t="shared" si="7"/>
        <v>0</v>
      </c>
      <c r="S80" s="283">
        <f t="shared" si="5"/>
        <v>0</v>
      </c>
      <c r="T80" s="176">
        <f t="shared" si="6"/>
        <v>0</v>
      </c>
      <c r="U80" s="186"/>
      <c r="V80" s="187"/>
      <c r="W80" s="173"/>
      <c r="X80" s="219">
        <v>4</v>
      </c>
      <c r="Y80" s="135"/>
      <c r="Z80" s="134">
        <f>IF(Table4[[#This Row],[Year]]=1, 1.3, IF(Table4[[#This Row],[Year]]=2, 1.2, IF(Table4[[#This Row],[Year]]=3, 1, IF(Table4[[#This Row],[Year]]=4, 0.729166667, IF(Table4[[#This Row],[Year]]=5, 0.6, 0)))))</f>
        <v>0.72916666699999999</v>
      </c>
    </row>
    <row r="81" spans="2:26" ht="21" x14ac:dyDescent="0.3">
      <c r="B81" s="123"/>
      <c r="C81" s="123"/>
      <c r="D81" s="123"/>
      <c r="F81" s="218" t="s">
        <v>255</v>
      </c>
      <c r="G81" s="235" t="s">
        <v>253</v>
      </c>
      <c r="H81" s="188" t="s">
        <v>256</v>
      </c>
      <c r="I81" s="185" t="s">
        <v>85</v>
      </c>
      <c r="J81" s="85">
        <f>IF(I81="Brother",$C$6*Table4[[#This Row],[Seniority Dues]],IF(I81="EC",$C$7,IF(I81="Alumni",$C$8,IF(I81="Dropped",$C$11,IF(I81="President",$C$10,IF(I81="Inactive",$C$9,IF(Table4[[#This Row],[Type]]="New Member",$C$13,0)))))))</f>
        <v>225</v>
      </c>
      <c r="K81" s="85"/>
      <c r="L81" s="148">
        <f>VLOOKUP(F81,Fall!F$3:P$138,11)</f>
        <v>0</v>
      </c>
      <c r="M81" s="149">
        <v>225</v>
      </c>
      <c r="N81" s="241"/>
      <c r="O81" s="87"/>
      <c r="P81" s="132"/>
      <c r="Q81" s="132">
        <f>SUM(Table4[[#This Row],[Payment 1]:[Payment 2]])</f>
        <v>225</v>
      </c>
      <c r="R81" s="283">
        <f t="shared" si="7"/>
        <v>0</v>
      </c>
      <c r="S81" s="283">
        <f t="shared" si="5"/>
        <v>0</v>
      </c>
      <c r="T81" s="176">
        <f t="shared" si="6"/>
        <v>0</v>
      </c>
      <c r="U81" s="186"/>
      <c r="V81" s="187"/>
      <c r="W81" s="173"/>
      <c r="X81" s="219">
        <v>4</v>
      </c>
      <c r="Y81" s="135"/>
      <c r="Z81" s="134">
        <f>IF(Table4[[#This Row],[Year]]=1, 1.3, IF(Table4[[#This Row],[Year]]=2, 1.2, IF(Table4[[#This Row],[Year]]=3, 1, IF(Table4[[#This Row],[Year]]=4, 0.729166667, IF(Table4[[#This Row],[Year]]=5, 0.6, 0)))))</f>
        <v>0.72916666699999999</v>
      </c>
    </row>
    <row r="82" spans="2:26" ht="21" x14ac:dyDescent="0.3">
      <c r="B82" s="123"/>
      <c r="C82" s="123"/>
      <c r="D82" s="123"/>
      <c r="F82" s="218" t="s">
        <v>257</v>
      </c>
      <c r="G82" s="229" t="s">
        <v>258</v>
      </c>
      <c r="H82" s="188" t="s">
        <v>88</v>
      </c>
      <c r="I82" s="185" t="s">
        <v>89</v>
      </c>
      <c r="J82" s="85">
        <f>IF(I82="Brother",$C$6*Table4[[#This Row],[Seniority Dues]],IF(I82="EC",$C$7,IF(I82="Alumni",$C$8,IF(I82="Dropped",$C$11,IF(I82="President",$C$10,IF(I82="Inactive",$C$9,IF(Table4[[#This Row],[Type]]="New Member",$C$13,0)))))))</f>
        <v>0</v>
      </c>
      <c r="K82" s="85"/>
      <c r="L82" s="148">
        <v>0</v>
      </c>
      <c r="M82" s="149"/>
      <c r="N82" s="241"/>
      <c r="O82" s="87"/>
      <c r="P82" s="132"/>
      <c r="Q82" s="132">
        <f>SUM(Table4[[#This Row],[Payment 1]:[Payment 2]])</f>
        <v>0</v>
      </c>
      <c r="R82" s="283">
        <f t="shared" si="7"/>
        <v>0</v>
      </c>
      <c r="S82" s="283">
        <f t="shared" si="5"/>
        <v>0</v>
      </c>
      <c r="T82" s="176">
        <f t="shared" si="6"/>
        <v>0</v>
      </c>
      <c r="U82" s="186"/>
      <c r="V82" s="187"/>
      <c r="W82" s="173"/>
      <c r="X82" s="219">
        <v>5</v>
      </c>
      <c r="Y82" s="135"/>
      <c r="Z82" s="134">
        <f>IF(Table4[[#This Row],[Year]]=1, 1.3, IF(Table4[[#This Row],[Year]]=2, 1.2, IF(Table4[[#This Row],[Year]]=3, 1, IF(Table4[[#This Row],[Year]]=4, 0.729166667, IF(Table4[[#This Row],[Year]]=5, 0.6, 0)))))</f>
        <v>0.6</v>
      </c>
    </row>
    <row r="83" spans="2:26" ht="21" x14ac:dyDescent="0.3">
      <c r="B83" s="123"/>
      <c r="C83" s="123"/>
      <c r="D83" s="123"/>
      <c r="F83" s="239" t="s">
        <v>431</v>
      </c>
      <c r="G83" s="222" t="s">
        <v>432</v>
      </c>
      <c r="H83" s="190" t="s">
        <v>433</v>
      </c>
      <c r="I83" s="185" t="s">
        <v>76</v>
      </c>
      <c r="J83" s="85">
        <f>IF(I83="Brother",$C$6*Table4[[#This Row],[Seniority Dues]],IF(I83="EC",$C$7,IF(I83="Alumni",$C$8,IF(I83="Dropped",$C$11,IF(I83="President",$C$10,IF(I83="Inactive",$C$9,IF(Table4[[#This Row],[Type]]="New Member",$C$13,0)))))))</f>
        <v>624</v>
      </c>
      <c r="K83" s="85">
        <v>-312</v>
      </c>
      <c r="L83" s="148">
        <v>0</v>
      </c>
      <c r="M83" s="149">
        <v>312</v>
      </c>
      <c r="N83" s="241"/>
      <c r="O83" s="87"/>
      <c r="P83" s="132" t="s">
        <v>461</v>
      </c>
      <c r="Q83" s="132">
        <f>SUM(Table4[[#This Row],[Payment 1]:[Payment 2]])</f>
        <v>312</v>
      </c>
      <c r="R83" s="283">
        <f t="shared" si="7"/>
        <v>0</v>
      </c>
      <c r="S83" s="283">
        <f t="shared" si="5"/>
        <v>0</v>
      </c>
      <c r="T83" s="176">
        <f t="shared" si="6"/>
        <v>0</v>
      </c>
      <c r="U83" s="186"/>
      <c r="V83" s="187"/>
      <c r="W83" s="173"/>
      <c r="X83" s="134">
        <v>1</v>
      </c>
      <c r="Y83" s="135"/>
      <c r="Z83" s="134">
        <f>IF(Table4[[#This Row],[Year]]=1, 1.3, IF(Table4[[#This Row],[Year]]=2, 1.2, IF(Table4[[#This Row],[Year]]=3, 1, IF(Table4[[#This Row],[Year]]=4, 0.729166667, IF(Table4[[#This Row],[Year]]=5, 0.6, 0)))))</f>
        <v>1.3</v>
      </c>
    </row>
    <row r="84" spans="2:26" ht="21" x14ac:dyDescent="0.3">
      <c r="B84" s="123"/>
      <c r="C84" s="123"/>
      <c r="D84" s="123"/>
      <c r="F84" s="218" t="s">
        <v>259</v>
      </c>
      <c r="G84" s="229" t="s">
        <v>260</v>
      </c>
      <c r="H84" s="188" t="s">
        <v>261</v>
      </c>
      <c r="I84" s="185" t="s">
        <v>76</v>
      </c>
      <c r="J84" s="85">
        <f>IF(I84="Brother",$C$6*Table4[[#This Row],[Seniority Dues]],IF(I84="EC",$C$7,IF(I84="Alumni",$C$8,IF(I84="Dropped",$C$11,IF(I84="President",$C$10,IF(I84="Inactive",$C$9,IF(Table4[[#This Row],[Type]]="New Member",$C$13,0)))))))</f>
        <v>480</v>
      </c>
      <c r="K84" s="85"/>
      <c r="L84" s="148">
        <f>VLOOKUP(F84,Fall!F$3:P$138,11)</f>
        <v>0</v>
      </c>
      <c r="M84" s="149">
        <v>480</v>
      </c>
      <c r="N84" s="241"/>
      <c r="O84" s="87"/>
      <c r="P84" s="132"/>
      <c r="Q84" s="132">
        <f>SUM(Table4[[#This Row],[Payment 1]:[Payment 2]])</f>
        <v>480</v>
      </c>
      <c r="R84" s="283">
        <f t="shared" si="7"/>
        <v>0</v>
      </c>
      <c r="S84" s="283">
        <f t="shared" si="5"/>
        <v>0</v>
      </c>
      <c r="T84" s="176">
        <f t="shared" si="6"/>
        <v>0</v>
      </c>
      <c r="U84" s="186"/>
      <c r="V84" s="187"/>
      <c r="W84" s="173"/>
      <c r="X84" s="219">
        <v>3</v>
      </c>
      <c r="Y84" s="135"/>
      <c r="Z84" s="134">
        <f>IF(Table4[[#This Row],[Year]]=1, 1.3, IF(Table4[[#This Row],[Year]]=2, 1.2, IF(Table4[[#This Row],[Year]]=3, 1, IF(Table4[[#This Row],[Year]]=4, 0.729166667, IF(Table4[[#This Row],[Year]]=5, 0.6, 0)))))</f>
        <v>1</v>
      </c>
    </row>
    <row r="85" spans="2:26" ht="21" x14ac:dyDescent="0.3">
      <c r="B85" s="123"/>
      <c r="C85" s="123"/>
      <c r="D85" s="123"/>
      <c r="F85" s="239" t="s">
        <v>262</v>
      </c>
      <c r="G85" s="222" t="s">
        <v>263</v>
      </c>
      <c r="H85" s="190" t="s">
        <v>264</v>
      </c>
      <c r="I85" s="185" t="s">
        <v>76</v>
      </c>
      <c r="J85" s="85">
        <f>IF(I85="Brother",$C$6*Table4[[#This Row],[Seniority Dues]],IF(I85="EC",$C$7,IF(I85="Alumni",$C$8,IF(I85="Dropped",$C$11,IF(I85="President",$C$10,IF(I85="Inactive",$C$9,IF(Table4[[#This Row],[Type]]="New Member",$C$13,0)))))))</f>
        <v>576</v>
      </c>
      <c r="K85" s="85">
        <v>-25</v>
      </c>
      <c r="L85" s="148">
        <f>VLOOKUP(F85,Fall!F$3:P$138,11)</f>
        <v>0</v>
      </c>
      <c r="M85" s="149">
        <v>576</v>
      </c>
      <c r="N85" s="241"/>
      <c r="O85" s="87"/>
      <c r="P85" s="132" t="s">
        <v>457</v>
      </c>
      <c r="Q85" s="132">
        <f>SUM(Table4[[#This Row],[Payment 1]:[Payment 2]])</f>
        <v>576</v>
      </c>
      <c r="R85" s="283">
        <f t="shared" si="7"/>
        <v>-25</v>
      </c>
      <c r="S85" s="283">
        <f t="shared" si="5"/>
        <v>-25</v>
      </c>
      <c r="T85" s="176">
        <f t="shared" si="6"/>
        <v>0</v>
      </c>
      <c r="U85" s="186"/>
      <c r="V85" s="187"/>
      <c r="W85" s="173"/>
      <c r="X85" s="134">
        <v>2</v>
      </c>
      <c r="Y85" s="135"/>
      <c r="Z85" s="134">
        <f>IF(Table4[[#This Row],[Year]]=1, 1.3, IF(Table4[[#This Row],[Year]]=2, 1.2, IF(Table4[[#This Row],[Year]]=3, 1, IF(Table4[[#This Row],[Year]]=4, 0.729166667, IF(Table4[[#This Row],[Year]]=5, 0.6, 0)))))</f>
        <v>1.2</v>
      </c>
    </row>
    <row r="86" spans="2:26" ht="21" x14ac:dyDescent="0.3">
      <c r="B86" s="123"/>
      <c r="C86" s="123"/>
      <c r="D86" s="123"/>
      <c r="F86" s="239" t="s">
        <v>265</v>
      </c>
      <c r="G86" s="222" t="s">
        <v>266</v>
      </c>
      <c r="H86" s="190" t="s">
        <v>267</v>
      </c>
      <c r="I86" s="185" t="s">
        <v>76</v>
      </c>
      <c r="J86" s="85">
        <f>IF(I86="Brother",$C$6*Table4[[#This Row],[Seniority Dues]],IF(I86="EC",$C$7,IF(I86="Alumni",$C$8,IF(I86="Dropped",$C$11,IF(I86="President",$C$10,IF(I86="Inactive",$C$9,IF(Table4[[#This Row],[Type]]="New Member",$C$13,0)))))))</f>
        <v>480</v>
      </c>
      <c r="K86" s="85">
        <v>-25</v>
      </c>
      <c r="L86" s="148">
        <f>VLOOKUP(F86,Fall!F$3:P$138,11)</f>
        <v>0</v>
      </c>
      <c r="M86" s="149">
        <v>480</v>
      </c>
      <c r="N86" s="241"/>
      <c r="O86" s="87"/>
      <c r="P86" s="132" t="s">
        <v>457</v>
      </c>
      <c r="Q86" s="132">
        <f>SUM(Table4[[#This Row],[Payment 1]:[Payment 2]])</f>
        <v>480</v>
      </c>
      <c r="R86" s="283">
        <f t="shared" si="7"/>
        <v>-25</v>
      </c>
      <c r="S86" s="283">
        <f t="shared" si="5"/>
        <v>-25</v>
      </c>
      <c r="T86" s="176">
        <f t="shared" si="6"/>
        <v>0</v>
      </c>
      <c r="U86" s="186"/>
      <c r="V86" s="187"/>
      <c r="W86" s="173"/>
      <c r="X86" s="134">
        <v>3</v>
      </c>
      <c r="Y86" s="135"/>
      <c r="Z86" s="134">
        <f>IF(Table4[[#This Row],[Year]]=1, 1.3, IF(Table4[[#This Row],[Year]]=2, 1.2, IF(Table4[[#This Row],[Year]]=3, 1, IF(Table4[[#This Row],[Year]]=4, 0.729166667, IF(Table4[[#This Row],[Year]]=5, 0.6, 0)))))</f>
        <v>1</v>
      </c>
    </row>
    <row r="87" spans="2:26" ht="21" x14ac:dyDescent="0.3">
      <c r="B87" s="123"/>
      <c r="C87" s="123"/>
      <c r="D87" s="123"/>
      <c r="F87" s="239" t="s">
        <v>268</v>
      </c>
      <c r="G87" s="222" t="s">
        <v>269</v>
      </c>
      <c r="H87" s="213" t="s">
        <v>117</v>
      </c>
      <c r="I87" s="185" t="s">
        <v>76</v>
      </c>
      <c r="J87" s="85">
        <f>IF(I87="Brother",$C$6*Table4[[#This Row],[Seniority Dues]],IF(I87="EC",$C$7,IF(I87="Alumni",$C$8,IF(I87="Dropped",$C$11,IF(I87="President",$C$10,IF(I87="Inactive",$C$9,IF(Table4[[#This Row],[Type]]="New Member",$C$13,0)))))))</f>
        <v>576</v>
      </c>
      <c r="K87" s="85"/>
      <c r="L87" s="148">
        <f>VLOOKUP(F87,Fall!F$3:P$138,11)</f>
        <v>0</v>
      </c>
      <c r="M87" s="149">
        <v>576</v>
      </c>
      <c r="N87" s="241"/>
      <c r="O87" s="87"/>
      <c r="P87" s="132" t="s">
        <v>457</v>
      </c>
      <c r="Q87" s="132">
        <f>SUM(Table4[[#This Row],[Payment 1]:[Payment 2]])</f>
        <v>576</v>
      </c>
      <c r="R87" s="283">
        <f t="shared" si="7"/>
        <v>0</v>
      </c>
      <c r="S87" s="283">
        <f t="shared" si="5"/>
        <v>0</v>
      </c>
      <c r="T87" s="176">
        <f t="shared" si="6"/>
        <v>0</v>
      </c>
      <c r="U87" s="186"/>
      <c r="V87" s="187"/>
      <c r="W87" s="173"/>
      <c r="X87" s="134">
        <v>2</v>
      </c>
      <c r="Y87" s="135"/>
      <c r="Z87" s="134">
        <f>IF(Table4[[#This Row],[Year]]=1, 1.3, IF(Table4[[#This Row],[Year]]=2, 1.2, IF(Table4[[#This Row],[Year]]=3, 1, IF(Table4[[#This Row],[Year]]=4, 0.729166667, IF(Table4[[#This Row],[Year]]=5, 0.6, 0)))))</f>
        <v>1.2</v>
      </c>
    </row>
    <row r="88" spans="2:26" ht="21" x14ac:dyDescent="0.3">
      <c r="B88" s="123"/>
      <c r="C88" s="123"/>
      <c r="D88" s="123"/>
      <c r="F88" s="239" t="s">
        <v>270</v>
      </c>
      <c r="G88" s="222" t="s">
        <v>271</v>
      </c>
      <c r="H88" s="190" t="s">
        <v>272</v>
      </c>
      <c r="I88" s="185" t="s">
        <v>76</v>
      </c>
      <c r="J88" s="85">
        <f>IF(I88="Brother",$C$6*Table4[[#This Row],[Seniority Dues]],IF(I88="EC",$C$7,IF(I88="Alumni",$C$8,IF(I88="Dropped",$C$11,IF(I88="President",$C$10,IF(I88="Inactive",$C$9,IF(Table4[[#This Row],[Type]]="New Member",$C$13,0)))))))</f>
        <v>576</v>
      </c>
      <c r="K88" s="85">
        <f>25-25</f>
        <v>0</v>
      </c>
      <c r="L88" s="148">
        <f>VLOOKUP(F88,Fall!F$3:P$138,11)</f>
        <v>0</v>
      </c>
      <c r="M88" s="149">
        <v>576</v>
      </c>
      <c r="N88" s="241"/>
      <c r="O88" s="87"/>
      <c r="P88" s="132" t="s">
        <v>457</v>
      </c>
      <c r="Q88" s="132">
        <f>SUM(Table4[[#This Row],[Payment 1]:[Payment 2]])</f>
        <v>576</v>
      </c>
      <c r="R88" s="283">
        <f t="shared" si="7"/>
        <v>0</v>
      </c>
      <c r="S88" s="283">
        <f t="shared" si="5"/>
        <v>0</v>
      </c>
      <c r="T88" s="176">
        <f t="shared" si="6"/>
        <v>0</v>
      </c>
      <c r="U88" s="186"/>
      <c r="V88" s="187"/>
      <c r="W88" s="173"/>
      <c r="X88" s="134">
        <v>2</v>
      </c>
      <c r="Y88" s="135"/>
      <c r="Z88" s="134">
        <f>IF(Table4[[#This Row],[Year]]=1, 1.3, IF(Table4[[#This Row],[Year]]=2, 1.2, IF(Table4[[#This Row],[Year]]=3, 1, IF(Table4[[#This Row],[Year]]=4, 0.729166667, IF(Table4[[#This Row],[Year]]=5, 0.6, 0)))))</f>
        <v>1.2</v>
      </c>
    </row>
    <row r="89" spans="2:26" ht="21" x14ac:dyDescent="0.3">
      <c r="B89" s="123"/>
      <c r="C89" s="123"/>
      <c r="D89" s="123"/>
      <c r="F89" s="218" t="s">
        <v>434</v>
      </c>
      <c r="G89" s="222" t="s">
        <v>435</v>
      </c>
      <c r="H89" s="190" t="s">
        <v>387</v>
      </c>
      <c r="I89" s="185" t="s">
        <v>76</v>
      </c>
      <c r="J89" s="85">
        <f>IF(I89="Brother",$C$6*Table4[[#This Row],[Seniority Dues]],IF(I89="EC",$C$7,IF(I89="Alumni",$C$8,IF(I89="Dropped",$C$11,IF(I89="President",$C$10,IF(I89="Inactive",$C$9,IF(Table4[[#This Row],[Type]]="New Member",$C$13,0)))))))</f>
        <v>624</v>
      </c>
      <c r="K89" s="85"/>
      <c r="L89" s="148">
        <f>VLOOKUP(F89,Fall!F$3:P$138,11)</f>
        <v>0</v>
      </c>
      <c r="M89" s="149">
        <v>624</v>
      </c>
      <c r="N89" s="241"/>
      <c r="O89" s="87"/>
      <c r="P89" s="132"/>
      <c r="Q89" s="132">
        <f>SUM(Table4[[#This Row],[Payment 1]:[Payment 2]])</f>
        <v>624</v>
      </c>
      <c r="R89" s="283">
        <f t="shared" si="7"/>
        <v>0</v>
      </c>
      <c r="S89" s="283">
        <f t="shared" si="5"/>
        <v>0</v>
      </c>
      <c r="T89" s="176">
        <f t="shared" si="6"/>
        <v>0</v>
      </c>
      <c r="U89" s="186"/>
      <c r="V89" s="187"/>
      <c r="W89" s="173"/>
      <c r="X89" s="134">
        <v>1</v>
      </c>
      <c r="Y89" s="135"/>
      <c r="Z89" s="134">
        <f>IF(Table4[[#This Row],[Year]]=1, 1.3, IF(Table4[[#This Row],[Year]]=2, 1.2, IF(Table4[[#This Row],[Year]]=3, 1, IF(Table4[[#This Row],[Year]]=4, 0.729166667, IF(Table4[[#This Row],[Year]]=5, 0.6, 0)))))</f>
        <v>1.3</v>
      </c>
    </row>
    <row r="90" spans="2:26" ht="21" x14ac:dyDescent="0.3">
      <c r="B90" s="123"/>
      <c r="C90" s="123"/>
      <c r="D90" s="123"/>
      <c r="F90" s="218" t="s">
        <v>273</v>
      </c>
      <c r="G90" s="222" t="s">
        <v>274</v>
      </c>
      <c r="H90" s="190" t="s">
        <v>275</v>
      </c>
      <c r="I90" s="185" t="s">
        <v>76</v>
      </c>
      <c r="J90" s="85">
        <f>IF(I90="Brother",$C$6*Table4[[#This Row],[Seniority Dues]],IF(I90="EC",$C$7,IF(I90="Alumni",$C$8,IF(I90="Dropped",$C$11,IF(I90="President",$C$10,IF(I90="Inactive",$C$9,IF(Table4[[#This Row],[Type]]="New Member",$C$13,0)))))))</f>
        <v>576</v>
      </c>
      <c r="K90" s="85"/>
      <c r="L90" s="148">
        <f>VLOOKUP(F90,Fall!F$3:P$138,11)</f>
        <v>0</v>
      </c>
      <c r="M90" s="149">
        <v>576</v>
      </c>
      <c r="N90" s="241"/>
      <c r="O90" s="87"/>
      <c r="P90" s="132"/>
      <c r="Q90" s="132">
        <f>SUM(Table4[[#This Row],[Payment 1]:[Payment 2]])</f>
        <v>576</v>
      </c>
      <c r="R90" s="283">
        <f t="shared" si="7"/>
        <v>0</v>
      </c>
      <c r="S90" s="283">
        <f t="shared" si="5"/>
        <v>0</v>
      </c>
      <c r="T90" s="176">
        <f t="shared" si="6"/>
        <v>0</v>
      </c>
      <c r="U90" s="186"/>
      <c r="V90" s="187"/>
      <c r="W90" s="173"/>
      <c r="X90" s="134">
        <v>2</v>
      </c>
      <c r="Y90" s="135"/>
      <c r="Z90" s="134">
        <f>IF(Table4[[#This Row],[Year]]=1, 1.3, IF(Table4[[#This Row],[Year]]=2, 1.2, IF(Table4[[#This Row],[Year]]=3, 1, IF(Table4[[#This Row],[Year]]=4, 0.729166667, IF(Table4[[#This Row],[Year]]=5, 0.6, 0)))))</f>
        <v>1.2</v>
      </c>
    </row>
    <row r="91" spans="2:26" ht="21" x14ac:dyDescent="0.3">
      <c r="B91" s="123"/>
      <c r="C91" s="123"/>
      <c r="D91" s="123"/>
      <c r="F91" s="218" t="s">
        <v>276</v>
      </c>
      <c r="G91" s="229" t="s">
        <v>277</v>
      </c>
      <c r="H91" s="188" t="s">
        <v>278</v>
      </c>
      <c r="I91" s="185" t="s">
        <v>72</v>
      </c>
      <c r="J91" s="85">
        <f>IF(I91="Brother",$C$6*Table4[[#This Row],[Seniority Dues]],IF(I91="EC",$C$7,IF(I91="Alumni",$C$8,IF(I91="Dropped",$C$11,IF(I91="President",$C$10,IF(I91="Inactive",$C$9,IF(Table4[[#This Row],[Type]]="New Member",$C$13,0)))))))</f>
        <v>200</v>
      </c>
      <c r="K91" s="85"/>
      <c r="L91" s="148">
        <f>VLOOKUP(F91,Fall!F$3:P$138,11)</f>
        <v>580</v>
      </c>
      <c r="M91" s="149">
        <v>195</v>
      </c>
      <c r="N91" s="241">
        <f>195+195</f>
        <v>390</v>
      </c>
      <c r="O91" s="87" t="s">
        <v>455</v>
      </c>
      <c r="P91" s="132"/>
      <c r="Q91" s="132">
        <f>SUM(Table4[[#This Row],[Payment 1]:[Payment 2]])</f>
        <v>585</v>
      </c>
      <c r="R91" s="283">
        <f t="shared" si="7"/>
        <v>195</v>
      </c>
      <c r="S91" s="283">
        <f t="shared" si="5"/>
        <v>0</v>
      </c>
      <c r="T91" s="176">
        <f t="shared" si="6"/>
        <v>195</v>
      </c>
      <c r="U91" s="186"/>
      <c r="V91" s="187"/>
      <c r="W91" s="173"/>
      <c r="X91" s="219">
        <v>4</v>
      </c>
      <c r="Y91" s="135"/>
      <c r="Z91" s="134">
        <f>IF(Table4[[#This Row],[Year]]=1, 1.3, IF(Table4[[#This Row],[Year]]=2, 1.2, IF(Table4[[#This Row],[Year]]=3, 1, IF(Table4[[#This Row],[Year]]=4, 0.729166667, IF(Table4[[#This Row],[Year]]=5, 0.6, 0)))))</f>
        <v>0.72916666699999999</v>
      </c>
    </row>
    <row r="92" spans="2:26" ht="21" x14ac:dyDescent="0.3">
      <c r="B92" s="123"/>
      <c r="C92" s="123"/>
      <c r="D92" s="123"/>
      <c r="F92" s="239" t="s">
        <v>279</v>
      </c>
      <c r="G92" s="222" t="s">
        <v>280</v>
      </c>
      <c r="H92" s="190" t="s">
        <v>281</v>
      </c>
      <c r="I92" s="185" t="s">
        <v>76</v>
      </c>
      <c r="J92" s="85">
        <f>IF(I92="Brother",$C$6*Table4[[#This Row],[Seniority Dues]],IF(I92="EC",$C$7,IF(I92="Alumni",$C$8,IF(I92="Dropped",$C$11,IF(I92="President",$C$10,IF(I92="Inactive",$C$9,IF(Table4[[#This Row],[Type]]="New Member",$C$13,0)))))))</f>
        <v>576</v>
      </c>
      <c r="K92" s="85">
        <v>-25</v>
      </c>
      <c r="L92" s="148">
        <f>VLOOKUP(F92,Fall!F$3:P$138,11)</f>
        <v>0</v>
      </c>
      <c r="M92" s="149">
        <v>576</v>
      </c>
      <c r="N92" s="241"/>
      <c r="O92" s="87"/>
      <c r="P92" s="132" t="s">
        <v>457</v>
      </c>
      <c r="Q92" s="132">
        <f>SUM(Table4[[#This Row],[Payment 1]:[Payment 2]])</f>
        <v>576</v>
      </c>
      <c r="R92" s="283">
        <f t="shared" si="7"/>
        <v>-25</v>
      </c>
      <c r="S92" s="283">
        <f t="shared" si="5"/>
        <v>-25</v>
      </c>
      <c r="T92" s="176">
        <f t="shared" si="6"/>
        <v>0</v>
      </c>
      <c r="U92" s="186"/>
      <c r="V92" s="187"/>
      <c r="W92" s="173"/>
      <c r="X92" s="134">
        <v>2</v>
      </c>
      <c r="Y92" s="135"/>
      <c r="Z92" s="134">
        <f>IF(Table4[[#This Row],[Year]]=1, 1.3, IF(Table4[[#This Row],[Year]]=2, 1.2, IF(Table4[[#This Row],[Year]]=3, 1, IF(Table4[[#This Row],[Year]]=4, 0.729166667, IF(Table4[[#This Row],[Year]]=5, 0.6, 0)))))</f>
        <v>1.2</v>
      </c>
    </row>
    <row r="93" spans="2:26" ht="21" x14ac:dyDescent="0.3">
      <c r="B93" s="123"/>
      <c r="C93" s="123"/>
      <c r="D93" s="123"/>
      <c r="F93" s="244" t="s">
        <v>282</v>
      </c>
      <c r="G93" s="229" t="s">
        <v>283</v>
      </c>
      <c r="H93" s="188" t="s">
        <v>284</v>
      </c>
      <c r="I93" s="185" t="s">
        <v>76</v>
      </c>
      <c r="J93" s="85">
        <f>IF(I93="Brother",$C$6*Table4[[#This Row],[Seniority Dues]],IF(I93="EC",$C$7,IF(I93="Alumni",$C$8,IF(I93="Dropped",$C$11,IF(I93="President",$C$10,IF(I93="Inactive",$C$9,IF(Table4[[#This Row],[Type]]="New Member",$C$13,0)))))))</f>
        <v>350.00000016000001</v>
      </c>
      <c r="K93" s="86">
        <v>100</v>
      </c>
      <c r="L93" s="148">
        <f>VLOOKUP(F93,Fall!F$3:P$138,11)</f>
        <v>0</v>
      </c>
      <c r="M93" s="149">
        <v>150</v>
      </c>
      <c r="N93" s="241">
        <v>300</v>
      </c>
      <c r="O93" s="87"/>
      <c r="P93" s="132" t="s">
        <v>462</v>
      </c>
      <c r="Q93" s="132">
        <f>SUM(Table4[[#This Row],[Payment 1]:[Payment 2]])</f>
        <v>450</v>
      </c>
      <c r="R93" s="283">
        <f t="shared" si="7"/>
        <v>1.6000001323845936E-7</v>
      </c>
      <c r="S93" s="283">
        <f t="shared" si="5"/>
        <v>0</v>
      </c>
      <c r="T93" s="176">
        <f t="shared" si="6"/>
        <v>1.6000001323845936E-7</v>
      </c>
      <c r="U93" s="186"/>
      <c r="V93" s="187"/>
      <c r="W93" s="173"/>
      <c r="X93" s="219">
        <v>4</v>
      </c>
      <c r="Y93" s="135"/>
      <c r="Z93" s="134">
        <f>IF(Table4[[#This Row],[Year]]=1, 1.3, IF(Table4[[#This Row],[Year]]=2, 1.2, IF(Table4[[#This Row],[Year]]=3, 1, IF(Table4[[#This Row],[Year]]=4, 0.729166667, IF(Table4[[#This Row],[Year]]=5, 0.6, 0)))))</f>
        <v>0.72916666699999999</v>
      </c>
    </row>
    <row r="94" spans="2:26" ht="21" x14ac:dyDescent="0.3">
      <c r="F94" s="218" t="s">
        <v>285</v>
      </c>
      <c r="G94" s="229" t="s">
        <v>286</v>
      </c>
      <c r="H94" s="188" t="s">
        <v>287</v>
      </c>
      <c r="I94" s="185" t="s">
        <v>76</v>
      </c>
      <c r="J94" s="85">
        <f>IF(I94="Brother",$C$6*Table4[[#This Row],[Seniority Dues]],IF(I94="EC",$C$7,IF(I94="Alumni",$C$8,IF(I94="Dropped",$C$11,IF(I94="President",$C$10,IF(I94="Inactive",$C$9,IF(Table4[[#This Row],[Type]]="New Member",$C$13,0)))))))</f>
        <v>480</v>
      </c>
      <c r="K94" s="86"/>
      <c r="L94" s="148">
        <f>VLOOKUP(F94,Fall!F$3:P$138,11)</f>
        <v>0</v>
      </c>
      <c r="M94" s="149">
        <v>480</v>
      </c>
      <c r="N94" s="241"/>
      <c r="O94" s="87"/>
      <c r="P94" s="132"/>
      <c r="Q94" s="132">
        <f>SUM(Table4[[#This Row],[Payment 1]:[Payment 2]])</f>
        <v>480</v>
      </c>
      <c r="R94" s="283">
        <f t="shared" si="7"/>
        <v>0</v>
      </c>
      <c r="S94" s="283">
        <f t="shared" si="5"/>
        <v>0</v>
      </c>
      <c r="T94" s="176">
        <f t="shared" si="6"/>
        <v>0</v>
      </c>
      <c r="U94" s="186"/>
      <c r="V94" s="187"/>
      <c r="W94" s="173"/>
      <c r="X94" s="219">
        <v>3</v>
      </c>
      <c r="Y94" s="135"/>
      <c r="Z94" s="134">
        <f>IF(Table4[[#This Row],[Year]]=1, 1.3, IF(Table4[[#This Row],[Year]]=2, 1.2, IF(Table4[[#This Row],[Year]]=3, 1, IF(Table4[[#This Row],[Year]]=4, 0.729166667, IF(Table4[[#This Row],[Year]]=5, 0.6, 0)))))</f>
        <v>1</v>
      </c>
    </row>
    <row r="95" spans="2:26" ht="21" x14ac:dyDescent="0.3">
      <c r="F95" s="239" t="s">
        <v>288</v>
      </c>
      <c r="G95" s="222" t="s">
        <v>289</v>
      </c>
      <c r="H95" s="190" t="s">
        <v>290</v>
      </c>
      <c r="I95" s="185" t="s">
        <v>76</v>
      </c>
      <c r="J95" s="85">
        <f>IF(I95="Brother",$C$6*Table4[[#This Row],[Seniority Dues]],IF(I95="EC",$C$7,IF(I95="Alumni",$C$8,IF(I95="Dropped",$C$11,IF(I95="President",$C$10,IF(I95="Inactive",$C$9,IF(Table4[[#This Row],[Type]]="New Member",$C$13,0)))))))</f>
        <v>576</v>
      </c>
      <c r="K95" s="85"/>
      <c r="L95" s="148">
        <f>VLOOKUP(F95,Fall!F$3:P$138,11)</f>
        <v>0</v>
      </c>
      <c r="M95" s="149">
        <v>576</v>
      </c>
      <c r="N95" s="241"/>
      <c r="O95" s="87"/>
      <c r="P95" s="132" t="s">
        <v>457</v>
      </c>
      <c r="Q95" s="132">
        <f>SUM(Table4[[#This Row],[Payment 1]:[Payment 2]])</f>
        <v>576</v>
      </c>
      <c r="R95" s="283">
        <f t="shared" si="7"/>
        <v>0</v>
      </c>
      <c r="S95" s="283">
        <f t="shared" si="5"/>
        <v>0</v>
      </c>
      <c r="T95" s="176">
        <f t="shared" si="6"/>
        <v>0</v>
      </c>
      <c r="U95" s="186"/>
      <c r="V95" s="187"/>
      <c r="W95" s="173"/>
      <c r="X95" s="134">
        <v>2</v>
      </c>
      <c r="Y95" s="135"/>
      <c r="Z95" s="134">
        <f>IF(Table4[[#This Row],[Year]]=1, 1.3, IF(Table4[[#This Row],[Year]]=2, 1.2, IF(Table4[[#This Row],[Year]]=3, 1, IF(Table4[[#This Row],[Year]]=4, 0.729166667, IF(Table4[[#This Row],[Year]]=5, 0.6, 0)))))</f>
        <v>1.2</v>
      </c>
    </row>
    <row r="96" spans="2:26" ht="21" x14ac:dyDescent="0.3">
      <c r="F96" s="73" t="s">
        <v>291</v>
      </c>
      <c r="G96" s="222" t="s">
        <v>292</v>
      </c>
      <c r="H96" s="213" t="s">
        <v>293</v>
      </c>
      <c r="I96" s="185" t="s">
        <v>76</v>
      </c>
      <c r="J96" s="85">
        <f>IF(I96="Brother",$C$6*Table4[[#This Row],[Seniority Dues]],IF(I96="EC",$C$7,IF(I96="Alumni",$C$8,IF(I96="Dropped",$C$11,IF(I96="President",$C$10,IF(I96="Inactive",$C$9,IF(Table4[[#This Row],[Type]]="New Member",$C$13,0)))))))</f>
        <v>576</v>
      </c>
      <c r="K96" s="86">
        <f>25+50</f>
        <v>75</v>
      </c>
      <c r="L96" s="148">
        <f>VLOOKUP(F96,Fall!F$3:P$138,11)</f>
        <v>528</v>
      </c>
      <c r="M96" s="149">
        <v>529</v>
      </c>
      <c r="N96" s="241">
        <f>3*145.5</f>
        <v>436.5</v>
      </c>
      <c r="O96" s="87" t="s">
        <v>455</v>
      </c>
      <c r="P96" s="132"/>
      <c r="Q96" s="132">
        <f>SUM(Table4[[#This Row],[Payment 1]:[Payment 2]])</f>
        <v>965.5</v>
      </c>
      <c r="R96" s="283">
        <f t="shared" si="7"/>
        <v>213.5</v>
      </c>
      <c r="S96" s="283">
        <f t="shared" si="5"/>
        <v>0</v>
      </c>
      <c r="T96" s="176">
        <f t="shared" si="6"/>
        <v>213.5</v>
      </c>
      <c r="U96" s="186"/>
      <c r="V96" s="187"/>
      <c r="W96" s="173"/>
      <c r="X96" s="134">
        <v>2</v>
      </c>
      <c r="Y96" s="135"/>
      <c r="Z96" s="134">
        <f>IF(Table4[[#This Row],[Year]]=1, 1.3, IF(Table4[[#This Row],[Year]]=2, 1.2, IF(Table4[[#This Row],[Year]]=3, 1, IF(Table4[[#This Row],[Year]]=4, 0.729166667, IF(Table4[[#This Row],[Year]]=5, 0.6, 0)))))</f>
        <v>1.2</v>
      </c>
    </row>
    <row r="97" spans="6:26" ht="21" x14ac:dyDescent="0.3">
      <c r="F97" s="218" t="s">
        <v>294</v>
      </c>
      <c r="G97" s="222" t="s">
        <v>295</v>
      </c>
      <c r="H97" s="190" t="s">
        <v>296</v>
      </c>
      <c r="I97" s="185" t="s">
        <v>76</v>
      </c>
      <c r="J97" s="85">
        <f>IF(I97="Brother",$C$6*Table4[[#This Row],[Seniority Dues]],IF(I97="EC",$C$7,IF(I97="Alumni",$C$8,IF(I97="Dropped",$C$11,IF(I97="President",$C$10,IF(I97="Inactive",$C$9,IF(Table4[[#This Row],[Type]]="New Member",$C$13,0)))))))</f>
        <v>576</v>
      </c>
      <c r="K97" s="86">
        <v>25</v>
      </c>
      <c r="L97" s="148">
        <f>VLOOKUP(F97,Fall!F$3:P$138,11)</f>
        <v>0</v>
      </c>
      <c r="M97" s="149">
        <v>626</v>
      </c>
      <c r="N97" s="241"/>
      <c r="O97" s="87"/>
      <c r="P97" s="132"/>
      <c r="Q97" s="132">
        <f>SUM(Table4[[#This Row],[Payment 1]:[Payment 2]])</f>
        <v>626</v>
      </c>
      <c r="R97" s="283">
        <f t="shared" si="7"/>
        <v>-25</v>
      </c>
      <c r="S97" s="283">
        <f t="shared" si="5"/>
        <v>-25</v>
      </c>
      <c r="T97" s="176">
        <f t="shared" si="6"/>
        <v>0</v>
      </c>
      <c r="U97" s="186"/>
      <c r="V97" s="187"/>
      <c r="W97" s="173"/>
      <c r="X97" s="134">
        <v>2</v>
      </c>
      <c r="Y97" s="135"/>
      <c r="Z97" s="134">
        <f>IF(Table4[[#This Row],[Year]]=1, 1.3, IF(Table4[[#This Row],[Year]]=2, 1.2, IF(Table4[[#This Row],[Year]]=3, 1, IF(Table4[[#This Row],[Year]]=4, 0.729166667, IF(Table4[[#This Row],[Year]]=5, 0.6, 0)))))</f>
        <v>1.2</v>
      </c>
    </row>
    <row r="98" spans="6:26" ht="21" x14ac:dyDescent="0.3">
      <c r="F98" s="218" t="s">
        <v>297</v>
      </c>
      <c r="G98" s="229" t="s">
        <v>298</v>
      </c>
      <c r="H98" s="188" t="s">
        <v>179</v>
      </c>
      <c r="I98" s="185" t="s">
        <v>100</v>
      </c>
      <c r="J98" s="85">
        <f>IF(I98="Brother",$C$6*Table4[[#This Row],[Seniority Dues]],IF(I98="EC",$C$7,IF(I98="Alumni",$C$8,IF(I98="Dropped",$C$11,IF(I98="President",$C$10,IF(I98="Inactive",$C$9,IF(Table4[[#This Row],[Type]]="New Member",$C$13,0)))))))</f>
        <v>0</v>
      </c>
      <c r="K98" s="85"/>
      <c r="L98" s="148"/>
      <c r="M98" s="149"/>
      <c r="N98" s="241"/>
      <c r="O98" s="87"/>
      <c r="P98" s="132"/>
      <c r="Q98" s="132">
        <f>SUM(Table4[[#This Row],[Payment 1]:[Payment 2]])</f>
        <v>0</v>
      </c>
      <c r="R98" s="283">
        <f t="shared" si="7"/>
        <v>0</v>
      </c>
      <c r="S98" s="283">
        <f t="shared" si="5"/>
        <v>0</v>
      </c>
      <c r="T98" s="176">
        <f t="shared" si="6"/>
        <v>0</v>
      </c>
      <c r="U98" s="186"/>
      <c r="V98" s="187"/>
      <c r="W98" s="173"/>
      <c r="X98" s="220">
        <v>3</v>
      </c>
      <c r="Y98" s="135"/>
      <c r="Z98" s="134">
        <f>IF(Table4[[#This Row],[Year]]=1, 1.3, IF(Table4[[#This Row],[Year]]=2, 1.2, IF(Table4[[#This Row],[Year]]=3, 1, IF(Table4[[#This Row],[Year]]=4, 0.729166667, IF(Table4[[#This Row],[Year]]=5, 0.6, 0)))))</f>
        <v>1</v>
      </c>
    </row>
    <row r="99" spans="6:26" ht="21" x14ac:dyDescent="0.3">
      <c r="F99" s="73" t="s">
        <v>299</v>
      </c>
      <c r="G99" s="229" t="s">
        <v>300</v>
      </c>
      <c r="H99" s="188" t="s">
        <v>301</v>
      </c>
      <c r="I99" s="185" t="s">
        <v>72</v>
      </c>
      <c r="J99" s="85">
        <f>IF(I99="Brother",$C$6*Table4[[#This Row],[Seniority Dues]],IF(I99="EC",$C$7,IF(I99="Alumni",$C$8,IF(I99="Dropped",$C$11,IF(I99="President",$C$10,IF(I99="Inactive",$C$9,IF(Table4[[#This Row],[Type]]="New Member",$C$13,0)))))))</f>
        <v>200</v>
      </c>
      <c r="K99" s="86">
        <v>50</v>
      </c>
      <c r="L99" s="148">
        <f>VLOOKUP(F99,Fall!F$3:P$138,11)</f>
        <v>680</v>
      </c>
      <c r="M99" s="149">
        <v>680</v>
      </c>
      <c r="N99" s="241">
        <f>3*51.5</f>
        <v>154.5</v>
      </c>
      <c r="O99" s="87" t="s">
        <v>455</v>
      </c>
      <c r="P99" s="132"/>
      <c r="Q99" s="132">
        <f>SUM(Table4[[#This Row],[Payment 1]:[Payment 2]])</f>
        <v>834.5</v>
      </c>
      <c r="R99" s="283">
        <f t="shared" si="7"/>
        <v>95.5</v>
      </c>
      <c r="S99" s="283">
        <f t="shared" ref="S99:S130" si="8">IF((J99+L99-M99+K99-N99)&lt;0,J99+L99-M99+K99-N99,0)</f>
        <v>0</v>
      </c>
      <c r="T99" s="176">
        <f t="shared" ref="T99:T130" si="9">IF((J99+L99-M99+K99-N99)&gt;0, J99+L99-M99+K99-N99, 0)</f>
        <v>95.5</v>
      </c>
      <c r="U99" s="186"/>
      <c r="V99" s="187"/>
      <c r="W99" s="173"/>
      <c r="X99" s="219">
        <v>4</v>
      </c>
      <c r="Y99" s="135"/>
      <c r="Z99" s="134">
        <f>IF(Table4[[#This Row],[Year]]=1, 1.3, IF(Table4[[#This Row],[Year]]=2, 1.2, IF(Table4[[#This Row],[Year]]=3, 1, IF(Table4[[#This Row],[Year]]=4, 0.729166667, IF(Table4[[#This Row],[Year]]=5, 0.6, 0)))))</f>
        <v>0.72916666699999999</v>
      </c>
    </row>
    <row r="100" spans="6:26" ht="21" x14ac:dyDescent="0.3">
      <c r="F100" s="218" t="s">
        <v>302</v>
      </c>
      <c r="G100" s="229" t="s">
        <v>303</v>
      </c>
      <c r="H100" s="188" t="s">
        <v>205</v>
      </c>
      <c r="I100" s="185" t="s">
        <v>89</v>
      </c>
      <c r="J100" s="85">
        <f>IF(I100="Brother",$C$6*Table4[[#This Row],[Seniority Dues]],IF(I100="EC",$C$7,IF(I100="Alumni",$C$8,IF(I100="Dropped",$C$11,IF(I100="President",$C$10,IF(I100="Inactive",$C$9,IF(Table4[[#This Row],[Type]]="New Member",$C$13,0)))))))</f>
        <v>0</v>
      </c>
      <c r="K100" s="85"/>
      <c r="L100" s="148">
        <v>0</v>
      </c>
      <c r="M100" s="149"/>
      <c r="N100" s="241"/>
      <c r="O100" s="87"/>
      <c r="P100" s="132"/>
      <c r="Q100" s="132">
        <f>SUM(Table4[[#This Row],[Payment 1]:[Payment 2]])</f>
        <v>0</v>
      </c>
      <c r="R100" s="283">
        <f t="shared" si="7"/>
        <v>0</v>
      </c>
      <c r="S100" s="283">
        <f t="shared" si="8"/>
        <v>0</v>
      </c>
      <c r="T100" s="176">
        <f t="shared" si="9"/>
        <v>0</v>
      </c>
      <c r="U100" s="186"/>
      <c r="V100" s="187"/>
      <c r="W100" s="173"/>
      <c r="X100" s="219">
        <v>5</v>
      </c>
      <c r="Y100" s="135"/>
      <c r="Z100" s="134">
        <f>IF(Table4[[#This Row],[Year]]=1, 1.3, IF(Table4[[#This Row],[Year]]=2, 1.2, IF(Table4[[#This Row],[Year]]=3, 1, IF(Table4[[#This Row],[Year]]=4, 0.729166667, IF(Table4[[#This Row],[Year]]=5, 0.6, 0)))))</f>
        <v>0.6</v>
      </c>
    </row>
    <row r="101" spans="6:26" ht="21" x14ac:dyDescent="0.3">
      <c r="F101" s="239" t="s">
        <v>304</v>
      </c>
      <c r="G101" s="229" t="s">
        <v>305</v>
      </c>
      <c r="H101" s="188" t="s">
        <v>187</v>
      </c>
      <c r="I101" s="185" t="s">
        <v>76</v>
      </c>
      <c r="J101" s="85">
        <f>IF(I101="Brother",$C$6*Table4[[#This Row],[Seniority Dues]],IF(I101="EC",$C$7,IF(I101="Alumni",$C$8,IF(I101="Dropped",$C$11,IF(I101="President",$C$10,IF(I101="Inactive",$C$9,IF(Table4[[#This Row],[Type]]="New Member",$C$13,0)))))))</f>
        <v>480</v>
      </c>
      <c r="K101" s="85">
        <v>-25</v>
      </c>
      <c r="L101" s="148">
        <f>VLOOKUP(F101,Fall!F$3:P$138,11)</f>
        <v>0</v>
      </c>
      <c r="M101" s="149">
        <v>480</v>
      </c>
      <c r="N101" s="241"/>
      <c r="O101" s="87"/>
      <c r="P101" s="132" t="s">
        <v>457</v>
      </c>
      <c r="Q101" s="132">
        <f>SUM(Table4[[#This Row],[Payment 1]:[Payment 2]])</f>
        <v>480</v>
      </c>
      <c r="R101" s="283">
        <f t="shared" si="7"/>
        <v>-25</v>
      </c>
      <c r="S101" s="283">
        <f t="shared" si="8"/>
        <v>-25</v>
      </c>
      <c r="T101" s="176">
        <f t="shared" si="9"/>
        <v>0</v>
      </c>
      <c r="U101" s="186"/>
      <c r="V101" s="187"/>
      <c r="W101" s="173"/>
      <c r="X101" s="219">
        <v>3</v>
      </c>
      <c r="Y101" s="135"/>
      <c r="Z101" s="134">
        <f>IF(Table4[[#This Row],[Year]]=1, 1.3, IF(Table4[[#This Row],[Year]]=2, 1.2, IF(Table4[[#This Row],[Year]]=3, 1, IF(Table4[[#This Row],[Year]]=4, 0.729166667, IF(Table4[[#This Row],[Year]]=5, 0.6, 0)))))</f>
        <v>1</v>
      </c>
    </row>
    <row r="102" spans="6:26" ht="21" x14ac:dyDescent="0.3">
      <c r="F102" s="218" t="s">
        <v>306</v>
      </c>
      <c r="G102" s="229" t="s">
        <v>307</v>
      </c>
      <c r="H102" s="188" t="s">
        <v>308</v>
      </c>
      <c r="I102" s="185" t="s">
        <v>72</v>
      </c>
      <c r="J102" s="85">
        <f>IF(I102="Brother",$C$6*Table4[[#This Row],[Seniority Dues]],IF(I102="EC",$C$7,IF(I102="Alumni",$C$8,IF(I102="Dropped",$C$11,IF(I102="President",$C$10,IF(I102="Inactive",$C$9,IF(Table4[[#This Row],[Type]]="New Member",$C$13,0)))))))</f>
        <v>200</v>
      </c>
      <c r="K102" s="85"/>
      <c r="L102" s="148">
        <f>VLOOKUP(F102,Fall!F$3:P$138,11)</f>
        <v>200</v>
      </c>
      <c r="M102" s="149">
        <f>3*51.5</f>
        <v>154.5</v>
      </c>
      <c r="N102" s="241"/>
      <c r="O102" s="87" t="s">
        <v>455</v>
      </c>
      <c r="P102" s="132"/>
      <c r="Q102" s="132">
        <f>SUM(Table4[[#This Row],[Payment 1]:[Payment 2]])</f>
        <v>154.5</v>
      </c>
      <c r="R102" s="283">
        <f t="shared" si="7"/>
        <v>245.5</v>
      </c>
      <c r="S102" s="283">
        <f t="shared" si="8"/>
        <v>0</v>
      </c>
      <c r="T102" s="176">
        <f t="shared" si="9"/>
        <v>245.5</v>
      </c>
      <c r="U102" s="186"/>
      <c r="V102" s="187"/>
      <c r="W102" s="173"/>
      <c r="X102" s="219">
        <v>4</v>
      </c>
      <c r="Y102" s="135"/>
      <c r="Z102" s="134">
        <f>IF(Table4[[#This Row],[Year]]=1, 1.3, IF(Table4[[#This Row],[Year]]=2, 1.2, IF(Table4[[#This Row],[Year]]=3, 1, IF(Table4[[#This Row],[Year]]=4, 0.729166667, IF(Table4[[#This Row],[Year]]=5, 0.6, 0)))))</f>
        <v>0.72916666699999999</v>
      </c>
    </row>
    <row r="103" spans="6:26" ht="21" x14ac:dyDescent="0.3">
      <c r="F103" s="218" t="s">
        <v>309</v>
      </c>
      <c r="G103" s="229" t="s">
        <v>310</v>
      </c>
      <c r="H103" s="188" t="s">
        <v>308</v>
      </c>
      <c r="I103" s="185" t="s">
        <v>100</v>
      </c>
      <c r="J103" s="85">
        <f>IF(I103="Brother",$C$6*Table4[[#This Row],[Seniority Dues]],IF(I103="EC",$C$7,IF(I103="Alumni",$C$8,IF(I103="Dropped",$C$11,IF(I103="President",$C$10,IF(I103="Inactive",$C$9,IF(Table4[[#This Row],[Type]]="New Member",$C$13,0)))))))</f>
        <v>0</v>
      </c>
      <c r="K103" s="85"/>
      <c r="L103" s="148">
        <f>VLOOKUP(F103,Fall!F$3:P$138,11)</f>
        <v>0</v>
      </c>
      <c r="M103" s="149"/>
      <c r="N103" s="241"/>
      <c r="O103" s="87"/>
      <c r="P103" s="132"/>
      <c r="Q103" s="132">
        <f>SUM(Table4[[#This Row],[Payment 1]:[Payment 2]])</f>
        <v>0</v>
      </c>
      <c r="R103" s="283">
        <f t="shared" si="7"/>
        <v>0</v>
      </c>
      <c r="S103" s="283">
        <f t="shared" si="8"/>
        <v>0</v>
      </c>
      <c r="T103" s="176">
        <f t="shared" si="9"/>
        <v>0</v>
      </c>
      <c r="U103" s="186"/>
      <c r="V103" s="187"/>
      <c r="W103" s="173"/>
      <c r="X103" s="219">
        <v>4</v>
      </c>
      <c r="Y103" s="135"/>
      <c r="Z103" s="134">
        <f>IF(Table4[[#This Row],[Year]]=1, 1.3, IF(Table4[[#This Row],[Year]]=2, 1.2, IF(Table4[[#This Row],[Year]]=3, 1, IF(Table4[[#This Row],[Year]]=4, 0.729166667, IF(Table4[[#This Row],[Year]]=5, 0.6, 0)))))</f>
        <v>0.72916666699999999</v>
      </c>
    </row>
    <row r="104" spans="6:26" ht="21" x14ac:dyDescent="0.3">
      <c r="F104" s="218" t="s">
        <v>311</v>
      </c>
      <c r="G104" s="229" t="s">
        <v>312</v>
      </c>
      <c r="H104" s="188" t="s">
        <v>88</v>
      </c>
      <c r="I104" s="185" t="s">
        <v>72</v>
      </c>
      <c r="J104" s="85">
        <f>IF(I104="Brother",$C$6*Table4[[#This Row],[Seniority Dues]],IF(I104="EC",$C$7,IF(I104="Alumni",$C$8,IF(I104="Dropped",$C$11,IF(I104="President",$C$10,IF(I104="Inactive",$C$9,IF(Table4[[#This Row],[Type]]="New Member",$C$13,0)))))))</f>
        <v>200</v>
      </c>
      <c r="K104" s="85"/>
      <c r="L104" s="148">
        <f>VLOOKUP(F104,Fall!F$3:P$138,11)</f>
        <v>0</v>
      </c>
      <c r="M104" s="149">
        <v>200</v>
      </c>
      <c r="N104" s="241"/>
      <c r="O104" s="87"/>
      <c r="P104" s="132"/>
      <c r="Q104" s="132">
        <f>SUM(Table4[[#This Row],[Payment 1]:[Payment 2]])</f>
        <v>200</v>
      </c>
      <c r="R104" s="283">
        <f t="shared" si="7"/>
        <v>0</v>
      </c>
      <c r="S104" s="283">
        <f t="shared" si="8"/>
        <v>0</v>
      </c>
      <c r="T104" s="176">
        <f t="shared" si="9"/>
        <v>0</v>
      </c>
      <c r="U104" s="186"/>
      <c r="V104" s="187"/>
      <c r="W104" s="173"/>
      <c r="X104" s="219">
        <v>4</v>
      </c>
      <c r="Y104" s="135"/>
      <c r="Z104" s="134">
        <f>IF(Table4[[#This Row],[Year]]=1, 1.3, IF(Table4[[#This Row],[Year]]=2, 1.2, IF(Table4[[#This Row],[Year]]=3, 1, IF(Table4[[#This Row],[Year]]=4, 0.729166667, IF(Table4[[#This Row],[Year]]=5, 0.6, 0)))))</f>
        <v>0.72916666699999999</v>
      </c>
    </row>
    <row r="105" spans="6:26" ht="21" x14ac:dyDescent="0.3">
      <c r="F105" s="239" t="s">
        <v>313</v>
      </c>
      <c r="G105" s="231" t="s">
        <v>314</v>
      </c>
      <c r="H105" s="215" t="s">
        <v>220</v>
      </c>
      <c r="I105" s="185" t="s">
        <v>76</v>
      </c>
      <c r="J105" s="85">
        <f>IF(I105="Brother",$C$6*Table4[[#This Row],[Seniority Dues]],IF(I105="EC",$C$7,IF(I105="Alumni",$C$8,IF(I105="Dropped",$C$11,IF(I105="President",$C$10,IF(I105="Inactive",$C$9,IF(Table4[[#This Row],[Type]]="New Member",$C$13,0)))))))</f>
        <v>350.00000016000001</v>
      </c>
      <c r="K105" s="85">
        <v>-25</v>
      </c>
      <c r="L105" s="148">
        <f>VLOOKUP(F105,Fall!F$3:P$138,11)</f>
        <v>0</v>
      </c>
      <c r="M105" s="149">
        <v>350</v>
      </c>
      <c r="N105" s="241"/>
      <c r="O105" s="87"/>
      <c r="P105" s="132" t="s">
        <v>457</v>
      </c>
      <c r="Q105" s="132">
        <f>SUM(Table4[[#This Row],[Payment 1]:[Payment 2]])</f>
        <v>350</v>
      </c>
      <c r="R105" s="283">
        <f t="shared" si="7"/>
        <v>-24.999999839999987</v>
      </c>
      <c r="S105" s="283">
        <f t="shared" si="8"/>
        <v>-24.999999839999987</v>
      </c>
      <c r="T105" s="176">
        <f t="shared" si="9"/>
        <v>0</v>
      </c>
      <c r="U105" s="186"/>
      <c r="V105" s="187"/>
      <c r="W105" s="173"/>
      <c r="X105" s="219">
        <v>4</v>
      </c>
      <c r="Y105" s="135"/>
      <c r="Z105" s="134">
        <f>IF(Table4[[#This Row],[Year]]=1, 1.3, IF(Table4[[#This Row],[Year]]=2, 1.2, IF(Table4[[#This Row],[Year]]=3, 1, IF(Table4[[#This Row],[Year]]=4, 0.729166667, IF(Table4[[#This Row],[Year]]=5, 0.6, 0)))))</f>
        <v>0.72916666699999999</v>
      </c>
    </row>
    <row r="106" spans="6:26" ht="21" x14ac:dyDescent="0.3">
      <c r="F106" s="239" t="s">
        <v>315</v>
      </c>
      <c r="G106" s="232" t="s">
        <v>316</v>
      </c>
      <c r="H106" s="196" t="s">
        <v>317</v>
      </c>
      <c r="I106" s="185" t="s">
        <v>76</v>
      </c>
      <c r="J106" s="85">
        <f>IF(I106="Brother",$C$6*Table4[[#This Row],[Seniority Dues]],IF(I106="EC",$C$7,IF(I106="Alumni",$C$8,IF(I106="Dropped",$C$11,IF(I106="President",$C$10,IF(I106="Inactive",$C$9,IF(Table4[[#This Row],[Type]]="New Member",$C$13,0)))))))</f>
        <v>576</v>
      </c>
      <c r="K106" s="85">
        <v>-25</v>
      </c>
      <c r="L106" s="148">
        <f>VLOOKUP(F106,Fall!F$3:P$138,11)</f>
        <v>0</v>
      </c>
      <c r="M106" s="149">
        <v>576</v>
      </c>
      <c r="N106" s="241"/>
      <c r="O106" s="87"/>
      <c r="P106" s="132" t="s">
        <v>457</v>
      </c>
      <c r="Q106" s="132">
        <f>SUM(Table4[[#This Row],[Payment 1]:[Payment 2]])</f>
        <v>576</v>
      </c>
      <c r="R106" s="283">
        <f t="shared" si="7"/>
        <v>-25</v>
      </c>
      <c r="S106" s="283">
        <f t="shared" si="8"/>
        <v>-25</v>
      </c>
      <c r="T106" s="176">
        <f t="shared" si="9"/>
        <v>0</v>
      </c>
      <c r="U106" s="186"/>
      <c r="V106" s="187"/>
      <c r="W106" s="173"/>
      <c r="X106" s="134">
        <v>2</v>
      </c>
      <c r="Y106" s="135"/>
      <c r="Z106" s="134">
        <f>IF(Table4[[#This Row],[Year]]=1, 1.3, IF(Table4[[#This Row],[Year]]=2, 1.2, IF(Table4[[#This Row],[Year]]=3, 1, IF(Table4[[#This Row],[Year]]=4, 0.729166667, IF(Table4[[#This Row],[Year]]=5, 0.6, 0)))))</f>
        <v>1.2</v>
      </c>
    </row>
    <row r="107" spans="6:26" ht="21" x14ac:dyDescent="0.3">
      <c r="F107" s="73" t="s">
        <v>318</v>
      </c>
      <c r="G107" s="232" t="s">
        <v>319</v>
      </c>
      <c r="H107" s="196" t="s">
        <v>320</v>
      </c>
      <c r="I107" s="185" t="s">
        <v>76</v>
      </c>
      <c r="J107" s="85">
        <f>IF(I107="Brother",$C$6*Table4[[#This Row],[Seniority Dues]],IF(I107="EC",$C$7,IF(I107="Alumni",$C$8,IF(I107="Dropped",$C$11,IF(I107="President",$C$10,IF(I107="Inactive",$C$9,IF(Table4[[#This Row],[Type]]="New Member",$C$13,0)))))))</f>
        <v>576</v>
      </c>
      <c r="K107" s="86">
        <f>25+150</f>
        <v>175</v>
      </c>
      <c r="L107" s="148">
        <f>VLOOKUP(F107,Fall!F$3:P$138,11)</f>
        <v>0</v>
      </c>
      <c r="M107" s="149">
        <v>726</v>
      </c>
      <c r="N107" s="241"/>
      <c r="O107" s="87"/>
      <c r="P107" s="132"/>
      <c r="Q107" s="132">
        <f>SUM(Table4[[#This Row],[Payment 1]:[Payment 2]])</f>
        <v>726</v>
      </c>
      <c r="R107" s="283">
        <f t="shared" si="7"/>
        <v>25</v>
      </c>
      <c r="S107" s="283">
        <f t="shared" si="8"/>
        <v>0</v>
      </c>
      <c r="T107" s="176">
        <f t="shared" si="9"/>
        <v>25</v>
      </c>
      <c r="U107" s="186"/>
      <c r="V107" s="187"/>
      <c r="W107" s="173"/>
      <c r="X107" s="134">
        <v>2</v>
      </c>
      <c r="Y107" s="135"/>
      <c r="Z107" s="134">
        <f>IF(Table4[[#This Row],[Year]]=1, 1.3, IF(Table4[[#This Row],[Year]]=2, 1.2, IF(Table4[[#This Row],[Year]]=3, 1, IF(Table4[[#This Row],[Year]]=4, 0.729166667, IF(Table4[[#This Row],[Year]]=5, 0.6, 0)))))</f>
        <v>1.2</v>
      </c>
    </row>
    <row r="108" spans="6:26" ht="21" x14ac:dyDescent="0.3">
      <c r="F108" s="239" t="s">
        <v>321</v>
      </c>
      <c r="G108" s="231" t="s">
        <v>322</v>
      </c>
      <c r="H108" s="215" t="s">
        <v>323</v>
      </c>
      <c r="I108" s="185" t="s">
        <v>76</v>
      </c>
      <c r="J108" s="85">
        <f>IF(I108="Brother",$C$6*Table4[[#This Row],[Seniority Dues]],IF(I108="EC",$C$7,IF(I108="Alumni",$C$8,IF(I108="Dropped",$C$11,IF(I108="President",$C$10,IF(I108="Inactive",$C$9,IF(Table4[[#This Row],[Type]]="New Member",$C$13,0)))))))</f>
        <v>480</v>
      </c>
      <c r="K108" s="85">
        <v>-25</v>
      </c>
      <c r="L108" s="148">
        <f>VLOOKUP(F108,Fall!F$3:P$138,11)</f>
        <v>0</v>
      </c>
      <c r="M108" s="149">
        <v>480</v>
      </c>
      <c r="N108" s="241"/>
      <c r="O108" s="87"/>
      <c r="P108" s="132" t="s">
        <v>457</v>
      </c>
      <c r="Q108" s="132">
        <f>SUM(Table4[[#This Row],[Payment 1]:[Payment 2]])</f>
        <v>480</v>
      </c>
      <c r="R108" s="283">
        <f t="shared" si="7"/>
        <v>-25</v>
      </c>
      <c r="S108" s="283">
        <f t="shared" si="8"/>
        <v>-25</v>
      </c>
      <c r="T108" s="176">
        <f t="shared" si="9"/>
        <v>0</v>
      </c>
      <c r="U108" s="186"/>
      <c r="V108" s="187"/>
      <c r="W108" s="173"/>
      <c r="X108" s="219">
        <v>3</v>
      </c>
      <c r="Y108" s="135"/>
      <c r="Z108" s="134">
        <f>IF(Table4[[#This Row],[Year]]=1, 1.3, IF(Table4[[#This Row],[Year]]=2, 1.2, IF(Table4[[#This Row],[Year]]=3, 1, IF(Table4[[#This Row],[Year]]=4, 0.729166667, IF(Table4[[#This Row],[Year]]=5, 0.6, 0)))))</f>
        <v>1</v>
      </c>
    </row>
    <row r="109" spans="6:26" ht="21" x14ac:dyDescent="0.3">
      <c r="F109" s="218" t="s">
        <v>324</v>
      </c>
      <c r="G109" s="232" t="s">
        <v>325</v>
      </c>
      <c r="H109" s="197" t="s">
        <v>326</v>
      </c>
      <c r="I109" s="185" t="s">
        <v>76</v>
      </c>
      <c r="J109" s="85">
        <f>IF(I109="Brother",$C$6*Table4[[#This Row],[Seniority Dues]],IF(I109="EC",$C$7,IF(I109="Alumni",$C$8,IF(I109="Dropped",$C$11,IF(I109="President",$C$10,IF(I109="Inactive",$C$9,IF(Table4[[#This Row],[Type]]="New Member",$C$13,0)))))))</f>
        <v>480</v>
      </c>
      <c r="K109" s="85"/>
      <c r="L109" s="148">
        <f>VLOOKUP(F109,Fall!F$3:P$138,11)</f>
        <v>0</v>
      </c>
      <c r="M109" s="149">
        <v>480</v>
      </c>
      <c r="N109" s="241"/>
      <c r="O109" s="87"/>
      <c r="P109" s="132"/>
      <c r="Q109" s="132">
        <f>SUM(Table4[[#This Row],[Payment 1]:[Payment 2]])</f>
        <v>480</v>
      </c>
      <c r="R109" s="283">
        <f t="shared" si="7"/>
        <v>0</v>
      </c>
      <c r="S109" s="283">
        <f t="shared" si="8"/>
        <v>0</v>
      </c>
      <c r="T109" s="176">
        <f t="shared" si="9"/>
        <v>0</v>
      </c>
      <c r="U109" s="186"/>
      <c r="V109" s="187"/>
      <c r="W109" s="173"/>
      <c r="X109" s="134">
        <v>3</v>
      </c>
      <c r="Y109" s="135"/>
      <c r="Z109" s="134">
        <f>IF(Table4[[#This Row],[Year]]=1, 1.3, IF(Table4[[#This Row],[Year]]=2, 1.2, IF(Table4[[#This Row],[Year]]=3, 1, IF(Table4[[#This Row],[Year]]=4, 0.729166667, IF(Table4[[#This Row],[Year]]=5, 0.6, 0)))))</f>
        <v>1</v>
      </c>
    </row>
    <row r="110" spans="6:26" ht="21" x14ac:dyDescent="0.3">
      <c r="F110" s="218" t="s">
        <v>327</v>
      </c>
      <c r="G110" s="232" t="s">
        <v>328</v>
      </c>
      <c r="H110" s="196" t="s">
        <v>329</v>
      </c>
      <c r="I110" s="185" t="s">
        <v>76</v>
      </c>
      <c r="J110" s="85">
        <f>IF(I110="Brother",$C$6*Table4[[#This Row],[Seniority Dues]],IF(I110="EC",$C$7,IF(I110="Alumni",$C$8,IF(I110="Dropped",$C$11,IF(I110="President",$C$10,IF(I110="Inactive",$C$9,IF(Table4[[#This Row],[Type]]="New Member",$C$13,0)))))))</f>
        <v>576</v>
      </c>
      <c r="K110" s="85"/>
      <c r="L110" s="148">
        <f>VLOOKUP(F110,Fall!F$3:P$138,11)</f>
        <v>0</v>
      </c>
      <c r="M110" s="149">
        <v>576</v>
      </c>
      <c r="N110" s="241"/>
      <c r="O110" s="87"/>
      <c r="P110" s="132"/>
      <c r="Q110" s="132">
        <f>SUM(Table4[[#This Row],[Payment 1]:[Payment 2]])</f>
        <v>576</v>
      </c>
      <c r="R110" s="283">
        <f t="shared" si="7"/>
        <v>0</v>
      </c>
      <c r="S110" s="283">
        <f t="shared" si="8"/>
        <v>0</v>
      </c>
      <c r="T110" s="176">
        <f t="shared" si="9"/>
        <v>0</v>
      </c>
      <c r="U110" s="186"/>
      <c r="V110" s="187"/>
      <c r="W110" s="173"/>
      <c r="X110" s="134">
        <v>2</v>
      </c>
      <c r="Y110" s="135"/>
      <c r="Z110" s="134">
        <f>IF(Table4[[#This Row],[Year]]=1, 1.3, IF(Table4[[#This Row],[Year]]=2, 1.2, IF(Table4[[#This Row],[Year]]=3, 1, IF(Table4[[#This Row],[Year]]=4, 0.729166667, IF(Table4[[#This Row],[Year]]=5, 0.6, 0)))))</f>
        <v>1.2</v>
      </c>
    </row>
    <row r="111" spans="6:26" ht="21" x14ac:dyDescent="0.3">
      <c r="F111" s="218" t="s">
        <v>330</v>
      </c>
      <c r="G111" s="232" t="s">
        <v>331</v>
      </c>
      <c r="H111" s="196" t="s">
        <v>332</v>
      </c>
      <c r="I111" s="185" t="s">
        <v>76</v>
      </c>
      <c r="J111" s="85">
        <f>IF(I111="Brother",$C$6*Table4[[#This Row],[Seniority Dues]],IF(I111="EC",$C$7,IF(I111="Alumni",$C$8,IF(I111="Dropped",$C$11,IF(I111="President",$C$10,IF(I111="Inactive",$C$9,IF(Table4[[#This Row],[Type]]="New Member",$C$13,0)))))))</f>
        <v>576</v>
      </c>
      <c r="K111" s="85">
        <v>25</v>
      </c>
      <c r="L111" s="148">
        <f>VLOOKUP(F111,Fall!F$3:P$138,11)</f>
        <v>0</v>
      </c>
      <c r="M111" s="149">
        <v>576</v>
      </c>
      <c r="N111" s="241"/>
      <c r="O111" s="87"/>
      <c r="P111" s="132"/>
      <c r="Q111" s="132">
        <f>SUM(Table4[[#This Row],[Payment 1]:[Payment 2]])</f>
        <v>576</v>
      </c>
      <c r="R111" s="283">
        <f t="shared" si="7"/>
        <v>25</v>
      </c>
      <c r="S111" s="283">
        <f t="shared" si="8"/>
        <v>0</v>
      </c>
      <c r="T111" s="176">
        <f t="shared" si="9"/>
        <v>25</v>
      </c>
      <c r="U111" s="186"/>
      <c r="V111" s="187"/>
      <c r="W111" s="173"/>
      <c r="X111" s="134">
        <v>2</v>
      </c>
      <c r="Y111" s="135"/>
      <c r="Z111" s="134">
        <f>IF(Table4[[#This Row],[Year]]=1, 1.3, IF(Table4[[#This Row],[Year]]=2, 1.2, IF(Table4[[#This Row],[Year]]=3, 1, IF(Table4[[#This Row],[Year]]=4, 0.729166667, IF(Table4[[#This Row],[Year]]=5, 0.6, 0)))))</f>
        <v>1.2</v>
      </c>
    </row>
    <row r="112" spans="6:26" ht="21" x14ac:dyDescent="0.3">
      <c r="F112" s="218" t="s">
        <v>436</v>
      </c>
      <c r="G112" s="232" t="s">
        <v>437</v>
      </c>
      <c r="H112" s="196" t="s">
        <v>438</v>
      </c>
      <c r="I112" s="185" t="s">
        <v>76</v>
      </c>
      <c r="J112" s="85">
        <f>IF(I112="Brother",$C$6*Table4[[#This Row],[Seniority Dues]],IF(I112="EC",$C$7,IF(I112="Alumni",$C$8,IF(I112="Dropped",$C$11,IF(I112="President",$C$10,IF(I112="Inactive",$C$9,IF(Table4[[#This Row],[Type]]="New Member",$C$13,0)))))))</f>
        <v>624</v>
      </c>
      <c r="K112" s="85"/>
      <c r="L112" s="148">
        <f>VLOOKUP(F112,Fall!F$3:P$138,11)</f>
        <v>0</v>
      </c>
      <c r="M112" s="149">
        <v>624</v>
      </c>
      <c r="N112" s="241"/>
      <c r="O112" s="87"/>
      <c r="P112" s="132"/>
      <c r="Q112" s="132">
        <f>SUM(Table4[[#This Row],[Payment 1]:[Payment 2]])</f>
        <v>624</v>
      </c>
      <c r="R112" s="283">
        <f t="shared" si="7"/>
        <v>0</v>
      </c>
      <c r="S112" s="283">
        <f t="shared" si="8"/>
        <v>0</v>
      </c>
      <c r="T112" s="176">
        <f t="shared" si="9"/>
        <v>0</v>
      </c>
      <c r="U112" s="186"/>
      <c r="V112" s="187"/>
      <c r="W112" s="173"/>
      <c r="X112" s="134">
        <v>1</v>
      </c>
      <c r="Y112" s="135"/>
      <c r="Z112" s="134">
        <f>IF(Table4[[#This Row],[Year]]=1, 1.3, IF(Table4[[#This Row],[Year]]=2, 1.2, IF(Table4[[#This Row],[Year]]=3, 1, IF(Table4[[#This Row],[Year]]=4, 0.729166667, IF(Table4[[#This Row],[Year]]=5, 0.6, 0)))))</f>
        <v>1.3</v>
      </c>
    </row>
    <row r="113" spans="6:26" ht="21" x14ac:dyDescent="0.3">
      <c r="F113" s="218" t="s">
        <v>333</v>
      </c>
      <c r="G113" s="231" t="s">
        <v>334</v>
      </c>
      <c r="H113" s="215" t="s">
        <v>335</v>
      </c>
      <c r="I113" s="185" t="s">
        <v>72</v>
      </c>
      <c r="J113" s="85">
        <f>IF(I113="Brother",$C$6*Table4[[#This Row],[Seniority Dues]],IF(I113="EC",$C$7,IF(I113="Alumni",$C$8,IF(I113="Dropped",$C$11,IF(I113="President",$C$10,IF(I113="Inactive",$C$9,IF(Table4[[#This Row],[Type]]="New Member",$C$13,0)))))))</f>
        <v>200</v>
      </c>
      <c r="K113" s="86"/>
      <c r="L113" s="148">
        <f>VLOOKUP(F113,Fall!F$3:P$138,11)</f>
        <v>984</v>
      </c>
      <c r="M113" s="149">
        <v>984</v>
      </c>
      <c r="N113" s="241">
        <f>2*101.5</f>
        <v>203</v>
      </c>
      <c r="O113" s="87" t="s">
        <v>455</v>
      </c>
      <c r="P113" s="132"/>
      <c r="Q113" s="132">
        <f>SUM(Table4[[#This Row],[Payment 1]:[Payment 2]])</f>
        <v>1187</v>
      </c>
      <c r="R113" s="283">
        <f t="shared" si="7"/>
        <v>-3</v>
      </c>
      <c r="S113" s="283">
        <f t="shared" si="8"/>
        <v>-3</v>
      </c>
      <c r="T113" s="176">
        <f t="shared" si="9"/>
        <v>0</v>
      </c>
      <c r="U113" s="186"/>
      <c r="V113" s="187"/>
      <c r="W113" s="173"/>
      <c r="X113" s="219">
        <v>4</v>
      </c>
      <c r="Y113" s="135"/>
      <c r="Z113" s="134">
        <f>IF(Table4[[#This Row],[Year]]=1, 1.3, IF(Table4[[#This Row],[Year]]=2, 1.2, IF(Table4[[#This Row],[Year]]=3, 1, IF(Table4[[#This Row],[Year]]=4, 0.729166667, IF(Table4[[#This Row],[Year]]=5, 0.6, 0)))))</f>
        <v>0.72916666699999999</v>
      </c>
    </row>
    <row r="114" spans="6:26" ht="21" x14ac:dyDescent="0.3">
      <c r="F114" s="244" t="s">
        <v>463</v>
      </c>
      <c r="G114" s="243" t="s">
        <v>337</v>
      </c>
      <c r="H114" s="215" t="s">
        <v>464</v>
      </c>
      <c r="I114" s="185" t="s">
        <v>85</v>
      </c>
      <c r="J114" s="85">
        <f>IF(I114="Brother",$C$6*Table4[[#This Row],[Seniority Dues]],IF(I114="EC",$C$7,IF(I114="Alumni",$C$8,IF(I114="Dropped",$C$11,IF(I114="President",$C$10,IF(I114="Inactive",$C$9,IF(Table4[[#This Row],[Type]]="New Member",$C$13,0)))))))</f>
        <v>225</v>
      </c>
      <c r="K114" s="86"/>
      <c r="L114" s="148">
        <f>VLOOKUP(F114,Fall!F$3:P$138,11)</f>
        <v>0</v>
      </c>
      <c r="M114" s="149">
        <v>225</v>
      </c>
      <c r="N114" s="241"/>
      <c r="O114" s="87"/>
      <c r="P114" s="132"/>
      <c r="Q114" s="132">
        <f>SUM(Table4[[#This Row],[Payment 1]:[Payment 2]])</f>
        <v>225</v>
      </c>
      <c r="R114" s="283">
        <f t="shared" si="7"/>
        <v>0</v>
      </c>
      <c r="S114" s="283">
        <f t="shared" si="8"/>
        <v>0</v>
      </c>
      <c r="T114" s="176">
        <f t="shared" si="9"/>
        <v>0</v>
      </c>
      <c r="U114" s="186"/>
      <c r="V114" s="187"/>
      <c r="W114" s="173"/>
      <c r="X114" s="220">
        <v>3</v>
      </c>
      <c r="Y114" s="135"/>
      <c r="Z114" s="134">
        <f>IF(Table4[[#This Row],[Year]]=1, 1.3, IF(Table4[[#This Row],[Year]]=2, 1.2, IF(Table4[[#This Row],[Year]]=3, 1, IF(Table4[[#This Row],[Year]]=4, 0.729166667, IF(Table4[[#This Row],[Year]]=5, 0.6, 0)))))</f>
        <v>1</v>
      </c>
    </row>
    <row r="115" spans="6:26" ht="21" x14ac:dyDescent="0.3">
      <c r="F115" s="218" t="s">
        <v>339</v>
      </c>
      <c r="G115" s="231" t="s">
        <v>340</v>
      </c>
      <c r="H115" s="215" t="s">
        <v>341</v>
      </c>
      <c r="I115" s="185" t="s">
        <v>76</v>
      </c>
      <c r="J115" s="85">
        <f>IF(I115="Brother",$C$6*Table4[[#This Row],[Seniority Dues]],IF(I115="EC",$C$7,IF(I115="Alumni",$C$8,IF(I115="Dropped",$C$11,IF(I115="President",$C$10,IF(I115="Inactive",$C$9,IF(Table4[[#This Row],[Type]]="New Member",$C$13,0)))))))</f>
        <v>350.00000016000001</v>
      </c>
      <c r="K115" s="86"/>
      <c r="L115" s="148">
        <f>VLOOKUP(F115,Fall!F$3:P$138,11)</f>
        <v>864</v>
      </c>
      <c r="M115" s="149">
        <v>864</v>
      </c>
      <c r="N115" s="241">
        <v>350</v>
      </c>
      <c r="O115" s="87"/>
      <c r="P115" s="132"/>
      <c r="Q115" s="132">
        <f>SUM(Table4[[#This Row],[Payment 1]:[Payment 2]])</f>
        <v>1214</v>
      </c>
      <c r="R115" s="283">
        <f t="shared" si="7"/>
        <v>1.6000012692529708E-7</v>
      </c>
      <c r="S115" s="283">
        <f t="shared" si="8"/>
        <v>0</v>
      </c>
      <c r="T115" s="176">
        <f t="shared" si="9"/>
        <v>1.6000012692529708E-7</v>
      </c>
      <c r="U115" s="186"/>
      <c r="V115" s="187"/>
      <c r="W115" s="173"/>
      <c r="X115" s="219">
        <v>4</v>
      </c>
      <c r="Y115" s="135"/>
      <c r="Z115" s="134">
        <f>IF(Table4[[#This Row],[Year]]=1, 1.3, IF(Table4[[#This Row],[Year]]=2, 1.2, IF(Table4[[#This Row],[Year]]=3, 1, IF(Table4[[#This Row],[Year]]=4, 0.729166667, IF(Table4[[#This Row],[Year]]=5, 0.6, 0)))))</f>
        <v>0.72916666699999999</v>
      </c>
    </row>
    <row r="116" spans="6:26" ht="21" x14ac:dyDescent="0.3">
      <c r="F116" s="218" t="s">
        <v>342</v>
      </c>
      <c r="G116" s="222" t="s">
        <v>343</v>
      </c>
      <c r="H116" s="190" t="s">
        <v>344</v>
      </c>
      <c r="I116" s="185" t="s">
        <v>76</v>
      </c>
      <c r="J116" s="85">
        <f>IF(I116="Brother",$C$6*Table4[[#This Row],[Seniority Dues]],IF(I116="EC",$C$7,IF(I116="Alumni",$C$8,IF(I116="Dropped",$C$11,IF(I116="President",$C$10,IF(I116="Inactive",$C$9,IF(Table4[[#This Row],[Type]]="New Member",$C$13,0)))))))</f>
        <v>576</v>
      </c>
      <c r="K116" s="85">
        <v>25</v>
      </c>
      <c r="L116" s="148">
        <f>VLOOKUP(F116,Fall!F$3:P$138,11)</f>
        <v>0</v>
      </c>
      <c r="M116" s="149">
        <v>576</v>
      </c>
      <c r="N116" s="241"/>
      <c r="O116" s="87"/>
      <c r="P116" s="132"/>
      <c r="Q116" s="132">
        <f>SUM(Table4[[#This Row],[Payment 1]:[Payment 2]])</f>
        <v>576</v>
      </c>
      <c r="R116" s="283">
        <f t="shared" si="7"/>
        <v>25</v>
      </c>
      <c r="S116" s="283">
        <f t="shared" si="8"/>
        <v>0</v>
      </c>
      <c r="T116" s="176">
        <f t="shared" si="9"/>
        <v>25</v>
      </c>
      <c r="U116" s="186"/>
      <c r="V116" s="187"/>
      <c r="W116" s="173"/>
      <c r="X116" s="134">
        <v>2</v>
      </c>
      <c r="Y116" s="135"/>
      <c r="Z116" s="134">
        <f>IF(Table4[[#This Row],[Year]]=1, 1.3, IF(Table4[[#This Row],[Year]]=2, 1.2, IF(Table4[[#This Row],[Year]]=3, 1, IF(Table4[[#This Row],[Year]]=4, 0.729166667, IF(Table4[[#This Row],[Year]]=5, 0.6, 0)))))</f>
        <v>1.2</v>
      </c>
    </row>
    <row r="117" spans="6:26" ht="21" x14ac:dyDescent="0.3">
      <c r="F117" s="218" t="s">
        <v>345</v>
      </c>
      <c r="G117" s="229" t="s">
        <v>346</v>
      </c>
      <c r="H117" s="188" t="s">
        <v>347</v>
      </c>
      <c r="I117" s="185" t="s">
        <v>72</v>
      </c>
      <c r="J117" s="85">
        <f>IF(I117="Brother",$C$6*Table4[[#This Row],[Seniority Dues]],IF(I117="EC",$C$7,IF(I117="Alumni",$C$8,IF(I117="Dropped",$C$11,IF(I117="President",$C$10,IF(I117="Inactive",$C$9,IF(Table4[[#This Row],[Type]]="New Member",$C$13,0)))))))</f>
        <v>200</v>
      </c>
      <c r="K117" s="85"/>
      <c r="L117" s="148">
        <f>VLOOKUP(F117,Fall!F$3:P$138,11)</f>
        <v>400</v>
      </c>
      <c r="M117" s="149">
        <v>600</v>
      </c>
      <c r="N117" s="241"/>
      <c r="O117" s="87"/>
      <c r="P117" s="132"/>
      <c r="Q117" s="132">
        <f>SUM(Table4[[#This Row],[Payment 1]:[Payment 2]])</f>
        <v>600</v>
      </c>
      <c r="R117" s="283">
        <f t="shared" si="7"/>
        <v>0</v>
      </c>
      <c r="S117" s="283">
        <f t="shared" si="8"/>
        <v>0</v>
      </c>
      <c r="T117" s="176">
        <f t="shared" si="9"/>
        <v>0</v>
      </c>
      <c r="U117" s="186"/>
      <c r="V117" s="187"/>
      <c r="W117" s="173"/>
      <c r="X117" s="219">
        <v>4</v>
      </c>
      <c r="Y117" s="135"/>
      <c r="Z117" s="134">
        <f>IF(Table4[[#This Row],[Year]]=1, 1.3, IF(Table4[[#This Row],[Year]]=2, 1.2, IF(Table4[[#This Row],[Year]]=3, 1, IF(Table4[[#This Row],[Year]]=4, 0.729166667, IF(Table4[[#This Row],[Year]]=5, 0.6, 0)))))</f>
        <v>0.72916666699999999</v>
      </c>
    </row>
    <row r="118" spans="6:26" ht="21" x14ac:dyDescent="0.3">
      <c r="F118" s="218" t="s">
        <v>348</v>
      </c>
      <c r="G118" s="229" t="s">
        <v>349</v>
      </c>
      <c r="H118" s="188" t="s">
        <v>243</v>
      </c>
      <c r="I118" s="185" t="s">
        <v>76</v>
      </c>
      <c r="J118" s="85">
        <f>IF(I118="Brother",$C$6*Table4[[#This Row],[Seniority Dues]],IF(I118="EC",$C$7,IF(I118="Alumni",$C$8,IF(I118="Dropped",$C$11,IF(I118="President",$C$10,IF(I118="Inactive",$C$9,IF(Table4[[#This Row],[Type]]="New Member",$C$13,0)))))))</f>
        <v>480</v>
      </c>
      <c r="K118" s="85"/>
      <c r="L118" s="148">
        <f>VLOOKUP(F118,Fall!F$3:P$138,11)</f>
        <v>0</v>
      </c>
      <c r="M118" s="149">
        <v>480</v>
      </c>
      <c r="N118" s="241"/>
      <c r="O118" s="87"/>
      <c r="P118" s="132"/>
      <c r="Q118" s="132">
        <f>SUM(Table4[[#This Row],[Payment 1]:[Payment 2]])</f>
        <v>480</v>
      </c>
      <c r="R118" s="283">
        <f t="shared" si="7"/>
        <v>0</v>
      </c>
      <c r="S118" s="283">
        <f t="shared" si="8"/>
        <v>0</v>
      </c>
      <c r="T118" s="176">
        <f t="shared" si="9"/>
        <v>0</v>
      </c>
      <c r="U118" s="186"/>
      <c r="V118" s="187"/>
      <c r="W118" s="173"/>
      <c r="X118" s="220">
        <v>3</v>
      </c>
      <c r="Y118" s="135"/>
      <c r="Z118" s="134">
        <f>IF(Table4[[#This Row],[Year]]=1, 1.3, IF(Table4[[#This Row],[Year]]=2, 1.2, IF(Table4[[#This Row],[Year]]=3, 1, IF(Table4[[#This Row],[Year]]=4, 0.729166667, IF(Table4[[#This Row],[Year]]=5, 0.6, 0)))))</f>
        <v>1</v>
      </c>
    </row>
    <row r="119" spans="6:26" ht="21" x14ac:dyDescent="0.3">
      <c r="F119" s="218" t="s">
        <v>350</v>
      </c>
      <c r="G119" s="229" t="s">
        <v>351</v>
      </c>
      <c r="H119" s="188" t="s">
        <v>352</v>
      </c>
      <c r="I119" s="185" t="s">
        <v>72</v>
      </c>
      <c r="J119" s="85">
        <f>IF(I119="Brother",$C$6*Table4[[#This Row],[Seniority Dues]],IF(I119="EC",$C$7,IF(I119="Alumni",$C$8,IF(I119="Dropped",$C$11,IF(I119="President",$C$10,IF(I119="Inactive",$C$9,IF(Table4[[#This Row],[Type]]="New Member",$C$13,0)))))))</f>
        <v>200</v>
      </c>
      <c r="K119" s="85"/>
      <c r="L119" s="148">
        <f>VLOOKUP(F119,Fall!F$3:P$138,11)</f>
        <v>200</v>
      </c>
      <c r="M119" s="149">
        <v>200</v>
      </c>
      <c r="N119" s="241">
        <v>200</v>
      </c>
      <c r="O119" s="87"/>
      <c r="P119" s="132"/>
      <c r="Q119" s="132">
        <f>SUM(Table4[[#This Row],[Payment 1]:[Payment 2]])</f>
        <v>400</v>
      </c>
      <c r="R119" s="283">
        <f t="shared" si="7"/>
        <v>0</v>
      </c>
      <c r="S119" s="283">
        <f t="shared" si="8"/>
        <v>0</v>
      </c>
      <c r="T119" s="176">
        <f t="shared" si="9"/>
        <v>0</v>
      </c>
      <c r="U119" s="186"/>
      <c r="V119" s="187"/>
      <c r="W119" s="173"/>
      <c r="X119" s="219">
        <v>3</v>
      </c>
      <c r="Y119" s="135"/>
      <c r="Z119" s="134">
        <f>IF(Table4[[#This Row],[Year]]=1, 1.3, IF(Table4[[#This Row],[Year]]=2, 1.2, IF(Table4[[#This Row],[Year]]=3, 1, IF(Table4[[#This Row],[Year]]=4, 0.729166667, IF(Table4[[#This Row],[Year]]=5, 0.6, 0)))))</f>
        <v>1</v>
      </c>
    </row>
    <row r="120" spans="6:26" ht="21" x14ac:dyDescent="0.3">
      <c r="F120" s="239" t="s">
        <v>353</v>
      </c>
      <c r="G120" s="222" t="s">
        <v>354</v>
      </c>
      <c r="H120" s="190" t="s">
        <v>355</v>
      </c>
      <c r="I120" s="185" t="s">
        <v>76</v>
      </c>
      <c r="J120" s="85">
        <f>IF(I120="Brother",$C$6*Table4[[#This Row],[Seniority Dues]],IF(I120="EC",$C$7,IF(I120="Alumni",$C$8,IF(I120="Dropped",$C$11,IF(I120="President",$C$10,IF(I120="Inactive",$C$9,IF(Table4[[#This Row],[Type]]="New Member",$C$13,0)))))))</f>
        <v>576</v>
      </c>
      <c r="K120" s="85">
        <v>-25</v>
      </c>
      <c r="L120" s="148">
        <f>VLOOKUP(F120,Fall!F$3:P$138,11)</f>
        <v>0</v>
      </c>
      <c r="M120" s="149">
        <v>576</v>
      </c>
      <c r="N120" s="241"/>
      <c r="O120" s="87"/>
      <c r="P120" s="132" t="s">
        <v>457</v>
      </c>
      <c r="Q120" s="132">
        <f>SUM(Table4[[#This Row],[Payment 1]:[Payment 2]])</f>
        <v>576</v>
      </c>
      <c r="R120" s="283">
        <f t="shared" si="7"/>
        <v>-25</v>
      </c>
      <c r="S120" s="283">
        <f t="shared" si="8"/>
        <v>-25</v>
      </c>
      <c r="T120" s="176">
        <f t="shared" si="9"/>
        <v>0</v>
      </c>
      <c r="U120" s="186"/>
      <c r="V120" s="187"/>
      <c r="W120" s="173"/>
      <c r="X120" s="134">
        <v>2</v>
      </c>
      <c r="Y120" s="135"/>
      <c r="Z120" s="134">
        <f>IF(Table4[[#This Row],[Year]]=1, 1.3, IF(Table4[[#This Row],[Year]]=2, 1.2, IF(Table4[[#This Row],[Year]]=3, 1, IF(Table4[[#This Row],[Year]]=4, 0.729166667, IF(Table4[[#This Row],[Year]]=5, 0.6, 0)))))</f>
        <v>1.2</v>
      </c>
    </row>
    <row r="121" spans="6:26" ht="21" x14ac:dyDescent="0.3">
      <c r="F121" s="245" t="s">
        <v>356</v>
      </c>
      <c r="G121" s="229" t="s">
        <v>357</v>
      </c>
      <c r="H121" s="188" t="s">
        <v>358</v>
      </c>
      <c r="I121" s="185" t="s">
        <v>100</v>
      </c>
      <c r="J121" s="85">
        <f>IF(I121="Brother",$C$6*Table4[[#This Row],[Seniority Dues]],IF(I121="EC",$C$7,IF(I121="Alumni",$C$8,IF(I121="Dropped",$C$11,IF(I121="President",$C$10,IF(I121="Inactive",$C$9,IF(Table4[[#This Row],[Type]]="New Member",$C$13,0)))))))</f>
        <v>0</v>
      </c>
      <c r="K121" s="86"/>
      <c r="L121" s="148"/>
      <c r="M121" s="149"/>
      <c r="N121" s="241"/>
      <c r="O121" s="87"/>
      <c r="P121" s="132"/>
      <c r="Q121" s="132">
        <f>SUM(Table4[[#This Row],[Payment 1]:[Payment 2]])</f>
        <v>0</v>
      </c>
      <c r="R121" s="283">
        <f t="shared" si="7"/>
        <v>0</v>
      </c>
      <c r="S121" s="283">
        <f t="shared" si="8"/>
        <v>0</v>
      </c>
      <c r="T121" s="176">
        <f t="shared" si="9"/>
        <v>0</v>
      </c>
      <c r="U121" s="186"/>
      <c r="V121" s="187"/>
      <c r="W121" s="173"/>
      <c r="X121" s="219">
        <v>4</v>
      </c>
      <c r="Y121" s="135"/>
      <c r="Z121" s="134">
        <f>IF(Table4[[#This Row],[Year]]=1, 1.3, IF(Table4[[#This Row],[Year]]=2, 1.2, IF(Table4[[#This Row],[Year]]=3, 1, IF(Table4[[#This Row],[Year]]=4, 0.729166667, IF(Table4[[#This Row],[Year]]=5, 0.6, 0)))))</f>
        <v>0.72916666699999999</v>
      </c>
    </row>
    <row r="122" spans="6:26" ht="21" x14ac:dyDescent="0.3">
      <c r="F122" s="239" t="s">
        <v>359</v>
      </c>
      <c r="G122" s="229" t="s">
        <v>360</v>
      </c>
      <c r="H122" s="188" t="s">
        <v>190</v>
      </c>
      <c r="I122" s="185" t="s">
        <v>76</v>
      </c>
      <c r="J122" s="85">
        <f>IF(I122="Brother",$C$6*Table4[[#This Row],[Seniority Dues]],IF(I122="EC",$C$7,IF(I122="Alumni",$C$8,IF(I122="Dropped",$C$11,IF(I122="President",$C$10,IF(I122="Inactive",$C$9,IF(Table4[[#This Row],[Type]]="New Member",$C$13,0)))))))</f>
        <v>350.00000016000001</v>
      </c>
      <c r="K122" s="85">
        <v>-25</v>
      </c>
      <c r="L122" s="148">
        <f>VLOOKUP(F122,Fall!F$3:P$138,11)</f>
        <v>384</v>
      </c>
      <c r="M122" s="149">
        <v>325</v>
      </c>
      <c r="N122" s="241">
        <f>2*128+128</f>
        <v>384</v>
      </c>
      <c r="O122" s="87" t="s">
        <v>455</v>
      </c>
      <c r="P122" s="132"/>
      <c r="Q122" s="132">
        <f>SUM(Table4[[#This Row],[Payment 1]:[Payment 2]])</f>
        <v>709</v>
      </c>
      <c r="R122" s="283">
        <f t="shared" si="7"/>
        <v>1.6000001323845936E-7</v>
      </c>
      <c r="S122" s="283">
        <f t="shared" si="8"/>
        <v>0</v>
      </c>
      <c r="T122" s="176">
        <f t="shared" si="9"/>
        <v>1.6000001323845936E-7</v>
      </c>
      <c r="U122" s="186"/>
      <c r="V122" s="187"/>
      <c r="W122" s="173"/>
      <c r="X122" s="219">
        <v>4</v>
      </c>
      <c r="Y122" s="135"/>
      <c r="Z122" s="134">
        <f>IF(Table4[[#This Row],[Year]]=1, 1.3, IF(Table4[[#This Row],[Year]]=2, 1.2, IF(Table4[[#This Row],[Year]]=3, 1, IF(Table4[[#This Row],[Year]]=4, 0.729166667, IF(Table4[[#This Row],[Year]]=5, 0.6, 0)))))</f>
        <v>0.72916666699999999</v>
      </c>
    </row>
    <row r="123" spans="6:26" ht="21" x14ac:dyDescent="0.3">
      <c r="F123" s="218" t="s">
        <v>361</v>
      </c>
      <c r="G123" s="229" t="s">
        <v>362</v>
      </c>
      <c r="H123" s="188" t="s">
        <v>363</v>
      </c>
      <c r="I123" s="185" t="s">
        <v>76</v>
      </c>
      <c r="J123" s="85">
        <f>IF(I123="Brother",$C$6*Table4[[#This Row],[Seniority Dues]],IF(I123="EC",$C$7,IF(I123="Alumni",$C$8,IF(I123="Dropped",$C$11,IF(I123="President",$C$10,IF(I123="Inactive",$C$9,IF(Table4[[#This Row],[Type]]="New Member",$C$13,0)))))))</f>
        <v>350.00000016000001</v>
      </c>
      <c r="K123" s="86"/>
      <c r="L123" s="148">
        <f>VLOOKUP(F123,Fall!F$3:P$138,11)</f>
        <v>0</v>
      </c>
      <c r="M123" s="149">
        <v>350</v>
      </c>
      <c r="N123" s="241"/>
      <c r="O123" s="87"/>
      <c r="P123" s="132"/>
      <c r="Q123" s="132">
        <f>SUM(Table4[[#This Row],[Payment 1]:[Payment 2]])</f>
        <v>350</v>
      </c>
      <c r="R123" s="283">
        <f t="shared" si="7"/>
        <v>1.6000001323845936E-7</v>
      </c>
      <c r="S123" s="283">
        <f t="shared" si="8"/>
        <v>0</v>
      </c>
      <c r="T123" s="176">
        <f t="shared" si="9"/>
        <v>1.6000001323845936E-7</v>
      </c>
      <c r="U123" s="186"/>
      <c r="V123" s="187"/>
      <c r="W123" s="173"/>
      <c r="X123" s="220">
        <v>4</v>
      </c>
      <c r="Y123" s="135"/>
      <c r="Z123" s="134">
        <f>IF(Table4[[#This Row],[Year]]=1, 1.3, IF(Table4[[#This Row],[Year]]=2, 1.2, IF(Table4[[#This Row],[Year]]=3, 1, IF(Table4[[#This Row],[Year]]=4, 0.729166667, IF(Table4[[#This Row],[Year]]=5, 0.6, 0)))))</f>
        <v>0.72916666699999999</v>
      </c>
    </row>
    <row r="124" spans="6:26" ht="21" x14ac:dyDescent="0.3">
      <c r="F124" s="218" t="s">
        <v>364</v>
      </c>
      <c r="G124" s="229" t="s">
        <v>365</v>
      </c>
      <c r="H124" s="188" t="s">
        <v>366</v>
      </c>
      <c r="I124" s="185" t="s">
        <v>72</v>
      </c>
      <c r="J124" s="85">
        <f>IF(I124="Brother",$C$6*Table4[[#This Row],[Seniority Dues]],IF(I124="EC",$C$7,IF(I124="Alumni",$C$8,IF(I124="Dropped",$C$11,IF(I124="President",$C$10,IF(I124="Inactive",$C$9,IF(Table4[[#This Row],[Type]]="New Member",$C$13,0)))))))</f>
        <v>200</v>
      </c>
      <c r="K124" s="85"/>
      <c r="L124" s="148">
        <v>384</v>
      </c>
      <c r="M124" s="149">
        <v>584</v>
      </c>
      <c r="N124" s="241"/>
      <c r="O124" s="87"/>
      <c r="P124" s="132"/>
      <c r="Q124" s="132">
        <f>SUM(Table4[[#This Row],[Payment 1]:[Payment 2]])</f>
        <v>584</v>
      </c>
      <c r="R124" s="283">
        <f t="shared" si="7"/>
        <v>0</v>
      </c>
      <c r="S124" s="283">
        <f t="shared" si="8"/>
        <v>0</v>
      </c>
      <c r="T124" s="176">
        <f t="shared" si="9"/>
        <v>0</v>
      </c>
      <c r="U124" s="186"/>
      <c r="V124" s="187"/>
      <c r="W124" s="173"/>
      <c r="X124" s="219">
        <v>4</v>
      </c>
      <c r="Y124" s="135"/>
      <c r="Z124" s="134">
        <f>IF(Table4[[#This Row],[Year]]=1, 1.3, IF(Table4[[#This Row],[Year]]=2, 1.2, IF(Table4[[#This Row],[Year]]=3, 1, IF(Table4[[#This Row],[Year]]=4, 0.729166667, IF(Table4[[#This Row],[Year]]=5, 0.6, 0)))))</f>
        <v>0.72916666699999999</v>
      </c>
    </row>
    <row r="125" spans="6:26" ht="21" x14ac:dyDescent="0.3">
      <c r="F125" s="218" t="s">
        <v>367</v>
      </c>
      <c r="G125" s="229" t="s">
        <v>368</v>
      </c>
      <c r="H125" s="188" t="s">
        <v>369</v>
      </c>
      <c r="I125" s="185" t="s">
        <v>76</v>
      </c>
      <c r="J125" s="85">
        <f>IF(I125="Brother",$C$6*Table4[[#This Row],[Seniority Dues]],IF(I125="EC",$C$7,IF(I125="Alumni",$C$8,IF(I125="Dropped",$C$11,IF(I125="President",$C$10,IF(I125="Inactive",$C$9,IF(Table4[[#This Row],[Type]]="New Member",$C$13,0)))))))</f>
        <v>480</v>
      </c>
      <c r="K125" s="85"/>
      <c r="L125" s="148">
        <f>VLOOKUP(F125,Fall!F$3:P$138,11)</f>
        <v>0</v>
      </c>
      <c r="M125" s="149">
        <v>480</v>
      </c>
      <c r="N125" s="241"/>
      <c r="O125" s="87"/>
      <c r="P125" s="132"/>
      <c r="Q125" s="132">
        <f>SUM(Table4[[#This Row],[Payment 1]:[Payment 2]])</f>
        <v>480</v>
      </c>
      <c r="R125" s="283">
        <f t="shared" si="7"/>
        <v>0</v>
      </c>
      <c r="S125" s="283">
        <f t="shared" si="8"/>
        <v>0</v>
      </c>
      <c r="T125" s="176">
        <f t="shared" si="9"/>
        <v>0</v>
      </c>
      <c r="U125" s="186"/>
      <c r="V125" s="187"/>
      <c r="W125" s="173"/>
      <c r="X125" s="220">
        <v>3</v>
      </c>
      <c r="Y125" s="135"/>
      <c r="Z125" s="134">
        <f>IF(Table4[[#This Row],[Year]]=1, 1.3, IF(Table4[[#This Row],[Year]]=2, 1.2, IF(Table4[[#This Row],[Year]]=3, 1, IF(Table4[[#This Row],[Year]]=4, 0.729166667, IF(Table4[[#This Row],[Year]]=5, 0.6, 0)))))</f>
        <v>1</v>
      </c>
    </row>
    <row r="126" spans="6:26" ht="21" x14ac:dyDescent="0.3">
      <c r="F126" s="218" t="s">
        <v>439</v>
      </c>
      <c r="G126" s="222" t="s">
        <v>440</v>
      </c>
      <c r="H126" s="190" t="s">
        <v>441</v>
      </c>
      <c r="I126" s="185" t="s">
        <v>76</v>
      </c>
      <c r="J126" s="85">
        <f>IF(I126="Brother",$C$6*Table4[[#This Row],[Seniority Dues]],IF(I126="EC",$C$7,IF(I126="Alumni",$C$8,IF(I126="Dropped",$C$11,IF(I126="President",$C$10,IF(I126="Inactive",$C$9,IF(Table4[[#This Row],[Type]]="New Member",$C$13,0)))))))</f>
        <v>624</v>
      </c>
      <c r="K126" s="85"/>
      <c r="L126" s="148">
        <f>VLOOKUP(F126,Fall!F$3:P$138,11)</f>
        <v>0</v>
      </c>
      <c r="M126" s="149">
        <v>624</v>
      </c>
      <c r="N126" s="241"/>
      <c r="O126" s="87"/>
      <c r="P126" s="132"/>
      <c r="Q126" s="132">
        <f>SUM(Table4[[#This Row],[Payment 1]:[Payment 2]])</f>
        <v>624</v>
      </c>
      <c r="R126" s="283">
        <f t="shared" si="7"/>
        <v>0</v>
      </c>
      <c r="S126" s="283">
        <f t="shared" si="8"/>
        <v>0</v>
      </c>
      <c r="T126" s="176">
        <f t="shared" si="9"/>
        <v>0</v>
      </c>
      <c r="U126" s="186"/>
      <c r="V126" s="187"/>
      <c r="W126" s="173"/>
      <c r="X126" s="134">
        <v>1</v>
      </c>
      <c r="Y126" s="135"/>
      <c r="Z126" s="134">
        <f>IF(Table4[[#This Row],[Year]]=1, 1.3, IF(Table4[[#This Row],[Year]]=2, 1.2, IF(Table4[[#This Row],[Year]]=3, 1, IF(Table4[[#This Row],[Year]]=4, 0.729166667, IF(Table4[[#This Row],[Year]]=5, 0.6, 0)))))</f>
        <v>1.3</v>
      </c>
    </row>
    <row r="127" spans="6:26" ht="21" x14ac:dyDescent="0.3">
      <c r="F127" s="218" t="s">
        <v>370</v>
      </c>
      <c r="G127" s="229" t="s">
        <v>371</v>
      </c>
      <c r="H127" s="188" t="s">
        <v>372</v>
      </c>
      <c r="I127" s="185" t="s">
        <v>76</v>
      </c>
      <c r="J127" s="85">
        <f>IF(I127="Brother",$C$6*Table4[[#This Row],[Seniority Dues]],IF(I127="EC",$C$7,IF(I127="Alumni",$C$8,IF(I127="Dropped",$C$11,IF(I127="President",$C$10,IF(I127="Inactive",$C$9,IF(Table4[[#This Row],[Type]]="New Member",$C$13,0)))))))</f>
        <v>480</v>
      </c>
      <c r="K127" s="85"/>
      <c r="L127" s="148">
        <f>VLOOKUP(F127,Fall!F$3:P$138,11)</f>
        <v>0</v>
      </c>
      <c r="M127" s="149">
        <v>480</v>
      </c>
      <c r="N127" s="241"/>
      <c r="O127" s="87"/>
      <c r="P127" s="132"/>
      <c r="Q127" s="132">
        <f>SUM(Table4[[#This Row],[Payment 1]:[Payment 2]])</f>
        <v>480</v>
      </c>
      <c r="R127" s="283">
        <f t="shared" si="7"/>
        <v>0</v>
      </c>
      <c r="S127" s="283">
        <f t="shared" si="8"/>
        <v>0</v>
      </c>
      <c r="T127" s="176">
        <f t="shared" si="9"/>
        <v>0</v>
      </c>
      <c r="U127" s="186"/>
      <c r="V127" s="187"/>
      <c r="W127" s="173"/>
      <c r="X127" s="219">
        <v>3</v>
      </c>
      <c r="Y127" s="135"/>
      <c r="Z127" s="134">
        <f>IF(Table4[[#This Row],[Year]]=1, 1.3, IF(Table4[[#This Row],[Year]]=2, 1.2, IF(Table4[[#This Row],[Year]]=3, 1, IF(Table4[[#This Row],[Year]]=4, 0.729166667, IF(Table4[[#This Row],[Year]]=5, 0.6, 0)))))</f>
        <v>1</v>
      </c>
    </row>
    <row r="128" spans="6:26" ht="21" x14ac:dyDescent="0.3">
      <c r="F128" s="218" t="s">
        <v>373</v>
      </c>
      <c r="G128" s="222" t="s">
        <v>374</v>
      </c>
      <c r="H128" s="190" t="s">
        <v>375</v>
      </c>
      <c r="I128" s="185" t="s">
        <v>76</v>
      </c>
      <c r="J128" s="85">
        <f>IF(I128="Brother",$C$6*Table4[[#This Row],[Seniority Dues]],IF(I128="EC",$C$7,IF(I128="Alumni",$C$8,IF(I128="Dropped",$C$11,IF(I128="President",$C$10,IF(I128="Inactive",$C$9,IF(Table4[[#This Row],[Type]]="New Member",$C$13,0)))))))</f>
        <v>576</v>
      </c>
      <c r="K128" s="85"/>
      <c r="L128" s="148">
        <f>VLOOKUP(F128,Fall!F$3:P$138,11)</f>
        <v>0</v>
      </c>
      <c r="M128" s="149">
        <v>576</v>
      </c>
      <c r="N128" s="241"/>
      <c r="O128" s="87"/>
      <c r="P128" s="132"/>
      <c r="Q128" s="132">
        <f>SUM(Table4[[#This Row],[Payment 1]:[Payment 2]])</f>
        <v>576</v>
      </c>
      <c r="R128" s="283">
        <f t="shared" si="7"/>
        <v>0</v>
      </c>
      <c r="S128" s="283">
        <f t="shared" si="8"/>
        <v>0</v>
      </c>
      <c r="T128" s="176">
        <f t="shared" si="9"/>
        <v>0</v>
      </c>
      <c r="U128" s="186"/>
      <c r="V128" s="187"/>
      <c r="W128" s="173"/>
      <c r="X128" s="134">
        <v>2</v>
      </c>
      <c r="Y128" s="135"/>
      <c r="Z128" s="134">
        <f>IF(Table4[[#This Row],[Year]]=1, 1.3, IF(Table4[[#This Row],[Year]]=2, 1.2, IF(Table4[[#This Row],[Year]]=3, 1, IF(Table4[[#This Row],[Year]]=4, 0.729166667, IF(Table4[[#This Row],[Year]]=5, 0.6, 0)))))</f>
        <v>1.2</v>
      </c>
    </row>
    <row r="129" spans="6:26" ht="21" x14ac:dyDescent="0.3">
      <c r="F129" s="218" t="s">
        <v>442</v>
      </c>
      <c r="G129" s="222" t="s">
        <v>443</v>
      </c>
      <c r="H129" s="190" t="s">
        <v>444</v>
      </c>
      <c r="I129" s="185" t="s">
        <v>76</v>
      </c>
      <c r="J129" s="85">
        <f>IF(I129="Brother",$C$6*Table4[[#This Row],[Seniority Dues]],IF(I129="EC",$C$7,IF(I129="Alumni",$C$8,IF(I129="Dropped",$C$11,IF(I129="President",$C$10,IF(I129="Inactive",$C$9,IF(Table4[[#This Row],[Type]]="New Member",$C$13,0)))))))</f>
        <v>624</v>
      </c>
      <c r="K129" s="85"/>
      <c r="L129" s="148">
        <f>VLOOKUP(F129,Fall!F$3:P$138,11)</f>
        <v>0</v>
      </c>
      <c r="M129" s="149">
        <v>624</v>
      </c>
      <c r="N129" s="241"/>
      <c r="O129" s="87"/>
      <c r="P129" s="132"/>
      <c r="Q129" s="132">
        <f>SUM(Table4[[#This Row],[Payment 1]:[Payment 2]])</f>
        <v>624</v>
      </c>
      <c r="R129" s="283">
        <f t="shared" si="7"/>
        <v>0</v>
      </c>
      <c r="S129" s="283">
        <f t="shared" si="8"/>
        <v>0</v>
      </c>
      <c r="T129" s="176">
        <f t="shared" si="9"/>
        <v>0</v>
      </c>
      <c r="U129" s="186"/>
      <c r="V129" s="187"/>
      <c r="W129" s="173"/>
      <c r="X129" s="134">
        <v>1</v>
      </c>
      <c r="Y129" s="135"/>
      <c r="Z129" s="134">
        <f>IF(Table4[[#This Row],[Year]]=1, 1.3, IF(Table4[[#This Row],[Year]]=2, 1.2, IF(Table4[[#This Row],[Year]]=3, 1, IF(Table4[[#This Row],[Year]]=4, 0.729166667, IF(Table4[[#This Row],[Year]]=5, 0.6, 0)))))</f>
        <v>1.3</v>
      </c>
    </row>
    <row r="130" spans="6:26" ht="21" x14ac:dyDescent="0.3">
      <c r="F130" s="244" t="s">
        <v>376</v>
      </c>
      <c r="G130" s="229" t="s">
        <v>377</v>
      </c>
      <c r="H130" s="188" t="s">
        <v>151</v>
      </c>
      <c r="I130" s="185" t="s">
        <v>72</v>
      </c>
      <c r="J130" s="85">
        <f>IF(I130="Brother",$C$6*Table4[[#This Row],[Seniority Dues]],IF(I130="EC",$C$7,IF(I130="Alumni",$C$8,IF(I130="Dropped",$C$11,IF(I130="President",$C$10,IF(I130="Inactive",$C$9,IF(Table4[[#This Row],[Type]]="New Member",$C$13,0)))))))</f>
        <v>200</v>
      </c>
      <c r="K130" s="85"/>
      <c r="L130" s="148">
        <v>480</v>
      </c>
      <c r="M130" s="149">
        <v>480</v>
      </c>
      <c r="N130" s="241"/>
      <c r="O130" s="87" t="s">
        <v>465</v>
      </c>
      <c r="P130" s="132"/>
      <c r="Q130" s="132">
        <f>SUM(Table4[[#This Row],[Payment 1]:[Payment 2]])</f>
        <v>480</v>
      </c>
      <c r="R130" s="283">
        <f t="shared" si="7"/>
        <v>200</v>
      </c>
      <c r="S130" s="283">
        <f t="shared" si="8"/>
        <v>0</v>
      </c>
      <c r="T130" s="176">
        <f t="shared" si="9"/>
        <v>200</v>
      </c>
      <c r="U130" s="186"/>
      <c r="V130" s="187"/>
      <c r="W130" s="173"/>
      <c r="X130" s="220">
        <v>3</v>
      </c>
      <c r="Y130" s="135"/>
      <c r="Z130" s="134">
        <f>IF(Table4[[#This Row],[Year]]=1, 1.3, IF(Table4[[#This Row],[Year]]=2, 1.2, IF(Table4[[#This Row],[Year]]=3, 1, IF(Table4[[#This Row],[Year]]=4, 0.729166667, IF(Table4[[#This Row],[Year]]=5, 0.6, 0)))))</f>
        <v>1</v>
      </c>
    </row>
    <row r="131" spans="6:26" ht="21" x14ac:dyDescent="0.3">
      <c r="F131" s="239" t="s">
        <v>378</v>
      </c>
      <c r="G131" s="222" t="s">
        <v>379</v>
      </c>
      <c r="H131" s="190" t="s">
        <v>88</v>
      </c>
      <c r="I131" s="185" t="s">
        <v>76</v>
      </c>
      <c r="J131" s="85">
        <f>IF(I131="Brother",$C$6*Table4[[#This Row],[Seniority Dues]],IF(I131="EC",$C$7,IF(I131="Alumni",$C$8,IF(I131="Dropped",$C$11,IF(I131="President",$C$10,IF(I131="Inactive",$C$9,IF(Table4[[#This Row],[Type]]="New Member",$C$13,0)))))))</f>
        <v>576</v>
      </c>
      <c r="K131" s="85">
        <f>25-25</f>
        <v>0</v>
      </c>
      <c r="L131" s="148">
        <f>VLOOKUP(F131,Fall!F$3:P$138,11)</f>
        <v>0</v>
      </c>
      <c r="M131" s="149">
        <v>576</v>
      </c>
      <c r="N131" s="241"/>
      <c r="O131" s="87"/>
      <c r="P131" s="132" t="s">
        <v>457</v>
      </c>
      <c r="Q131" s="132">
        <f>SUM(Table4[[#This Row],[Payment 1]:[Payment 2]])</f>
        <v>576</v>
      </c>
      <c r="R131" s="283">
        <f t="shared" si="7"/>
        <v>0</v>
      </c>
      <c r="S131" s="283">
        <f t="shared" ref="S131:S159" si="10">IF((J131+L131-M131+K131-N131)&lt;0,J131+L131-M131+K131-N131,0)</f>
        <v>0</v>
      </c>
      <c r="T131" s="176">
        <f t="shared" ref="T131:T159" si="11">IF((J131+L131-M131+K131-N131)&gt;0, J131+L131-M131+K131-N131, 0)</f>
        <v>0</v>
      </c>
      <c r="U131" s="186"/>
      <c r="V131" s="187"/>
      <c r="W131" s="173"/>
      <c r="X131" s="134">
        <v>2</v>
      </c>
      <c r="Y131" s="135"/>
      <c r="Z131" s="134">
        <f>IF(Table4[[#This Row],[Year]]=1, 1.3, IF(Table4[[#This Row],[Year]]=2, 1.2, IF(Table4[[#This Row],[Year]]=3, 1, IF(Table4[[#This Row],[Year]]=4, 0.729166667, IF(Table4[[#This Row],[Year]]=5, 0.6, 0)))))</f>
        <v>1.2</v>
      </c>
    </row>
    <row r="132" spans="6:26" ht="21" x14ac:dyDescent="0.3">
      <c r="F132" s="218" t="s">
        <v>380</v>
      </c>
      <c r="G132" s="229" t="s">
        <v>381</v>
      </c>
      <c r="H132" s="188" t="s">
        <v>243</v>
      </c>
      <c r="I132" s="185" t="s">
        <v>76</v>
      </c>
      <c r="J132" s="85">
        <f>IF(I132="Brother",$C$6*Table4[[#This Row],[Seniority Dues]],IF(I132="EC",$C$7,IF(I132="Alumni",$C$8,IF(I132="Dropped",$C$11,IF(I132="President",$C$10,IF(I132="Inactive",$C$9,IF(Table4[[#This Row],[Type]]="New Member",$C$13,0)))))))</f>
        <v>480</v>
      </c>
      <c r="K132" s="85"/>
      <c r="L132" s="148">
        <f>VLOOKUP(F132,Fall!F$3:P$138,11)</f>
        <v>0</v>
      </c>
      <c r="M132" s="149">
        <v>480</v>
      </c>
      <c r="N132" s="241"/>
      <c r="O132" s="87"/>
      <c r="P132" s="132"/>
      <c r="Q132" s="132">
        <f>SUM(Table4[[#This Row],[Payment 1]:[Payment 2]])</f>
        <v>480</v>
      </c>
      <c r="R132" s="283">
        <f t="shared" ref="R132:R159" si="12">J132+K132+L132-M132-N132</f>
        <v>0</v>
      </c>
      <c r="S132" s="283">
        <f t="shared" si="10"/>
        <v>0</v>
      </c>
      <c r="T132" s="176">
        <f t="shared" si="11"/>
        <v>0</v>
      </c>
      <c r="U132" s="186"/>
      <c r="V132" s="187"/>
      <c r="W132" s="173"/>
      <c r="X132" s="219">
        <v>3</v>
      </c>
      <c r="Y132" s="135"/>
      <c r="Z132" s="134">
        <f>IF(Table4[[#This Row],[Year]]=1, 1.3, IF(Table4[[#This Row],[Year]]=2, 1.2, IF(Table4[[#This Row],[Year]]=3, 1, IF(Table4[[#This Row],[Year]]=4, 0.729166667, IF(Table4[[#This Row],[Year]]=5, 0.6, 0)))))</f>
        <v>1</v>
      </c>
    </row>
    <row r="133" spans="6:26" ht="21" x14ac:dyDescent="0.3">
      <c r="F133" s="218" t="s">
        <v>445</v>
      </c>
      <c r="G133" s="222" t="s">
        <v>446</v>
      </c>
      <c r="H133" s="190" t="s">
        <v>447</v>
      </c>
      <c r="I133" s="185" t="s">
        <v>76</v>
      </c>
      <c r="J133" s="85">
        <f>IF(I133="Brother",$C$6*Table4[[#This Row],[Seniority Dues]],IF(I133="EC",$C$7,IF(I133="Alumni",$C$8,IF(I133="Dropped",$C$11,IF(I133="President",$C$10,IF(I133="Inactive",$C$9,IF(Table4[[#This Row],[Type]]="New Member",$C$13,0)))))))</f>
        <v>624</v>
      </c>
      <c r="K133" s="86"/>
      <c r="L133" s="148">
        <f>VLOOKUP(F133,Fall!F$3:P$138,11)</f>
        <v>0</v>
      </c>
      <c r="M133" s="149">
        <v>624</v>
      </c>
      <c r="N133" s="241"/>
      <c r="O133" s="87"/>
      <c r="P133" s="132"/>
      <c r="Q133" s="132">
        <f>SUM(Table4[[#This Row],[Payment 1]:[Payment 2]])</f>
        <v>624</v>
      </c>
      <c r="R133" s="283">
        <f t="shared" si="12"/>
        <v>0</v>
      </c>
      <c r="S133" s="283">
        <f t="shared" si="10"/>
        <v>0</v>
      </c>
      <c r="T133" s="176">
        <f t="shared" si="11"/>
        <v>0</v>
      </c>
      <c r="U133" s="186"/>
      <c r="V133" s="187"/>
      <c r="W133" s="173"/>
      <c r="X133" s="134">
        <v>1</v>
      </c>
      <c r="Y133" s="135"/>
      <c r="Z133" s="134">
        <f>IF(Table4[[#This Row],[Year]]=1, 1.3, IF(Table4[[#This Row],[Year]]=2, 1.2, IF(Table4[[#This Row],[Year]]=3, 1, IF(Table4[[#This Row],[Year]]=4, 0.729166667, IF(Table4[[#This Row],[Year]]=5, 0.6, 0)))))</f>
        <v>1.3</v>
      </c>
    </row>
    <row r="134" spans="6:26" ht="21" x14ac:dyDescent="0.3">
      <c r="F134" s="239" t="s">
        <v>382</v>
      </c>
      <c r="G134" s="222" t="s">
        <v>383</v>
      </c>
      <c r="H134" s="224" t="s">
        <v>384</v>
      </c>
      <c r="I134" s="185" t="s">
        <v>76</v>
      </c>
      <c r="J134" s="85">
        <f>IF(I134="Brother",$C$6*Table4[[#This Row],[Seniority Dues]],IF(I134="EC",$C$7,IF(I134="Alumni",$C$8,IF(I134="Dropped",$C$11,IF(I134="President",$C$10,IF(I134="Inactive",$C$9,IF(Table4[[#This Row],[Type]]="New Member",$C$13,0)))))))</f>
        <v>576</v>
      </c>
      <c r="K134" s="85">
        <f>25-25</f>
        <v>0</v>
      </c>
      <c r="L134" s="148">
        <f>VLOOKUP(F134,Fall!F$3:P$138,11)</f>
        <v>0</v>
      </c>
      <c r="M134" s="149">
        <v>576</v>
      </c>
      <c r="N134" s="241"/>
      <c r="O134" s="87"/>
      <c r="P134" s="132" t="s">
        <v>457</v>
      </c>
      <c r="Q134" s="132">
        <f>SUM(Table4[[#This Row],[Payment 1]:[Payment 2]])</f>
        <v>576</v>
      </c>
      <c r="R134" s="283">
        <f t="shared" si="12"/>
        <v>0</v>
      </c>
      <c r="S134" s="283">
        <f t="shared" si="10"/>
        <v>0</v>
      </c>
      <c r="T134" s="176">
        <f t="shared" si="11"/>
        <v>0</v>
      </c>
      <c r="U134" s="186"/>
      <c r="V134" s="187"/>
      <c r="W134" s="173"/>
      <c r="X134" s="134">
        <v>2</v>
      </c>
      <c r="Y134" s="135"/>
      <c r="Z134" s="134">
        <f>IF(Table4[[#This Row],[Year]]=1, 1.3, IF(Table4[[#This Row],[Year]]=2, 1.2, IF(Table4[[#This Row],[Year]]=3, 1, IF(Table4[[#This Row],[Year]]=4, 0.729166667, IF(Table4[[#This Row],[Year]]=5, 0.6, 0)))))</f>
        <v>1.2</v>
      </c>
    </row>
    <row r="135" spans="6:26" ht="21" x14ac:dyDescent="0.3">
      <c r="F135" s="218" t="s">
        <v>385</v>
      </c>
      <c r="G135" s="229" t="s">
        <v>386</v>
      </c>
      <c r="H135" s="188" t="s">
        <v>387</v>
      </c>
      <c r="I135" s="185" t="s">
        <v>89</v>
      </c>
      <c r="J135" s="85">
        <f>IF(I135="Brother",$C$6*Table4[[#This Row],[Seniority Dues]],IF(I135="EC",$C$7,IF(I135="Alumni",$C$8,IF(I135="Dropped",$C$11,IF(I135="President",$C$10,IF(I135="Inactive",$C$9,IF(Table4[[#This Row],[Type]]="New Member",$C$13,0)))))))</f>
        <v>0</v>
      </c>
      <c r="K135" s="85"/>
      <c r="L135" s="148">
        <v>800</v>
      </c>
      <c r="M135" s="149">
        <v>800</v>
      </c>
      <c r="N135" s="241"/>
      <c r="O135" s="87"/>
      <c r="P135" s="132"/>
      <c r="Q135" s="132">
        <f>SUM(Table4[[#This Row],[Payment 1]:[Payment 2]])</f>
        <v>800</v>
      </c>
      <c r="R135" s="283">
        <f t="shared" si="12"/>
        <v>0</v>
      </c>
      <c r="S135" s="283">
        <f t="shared" si="10"/>
        <v>0</v>
      </c>
      <c r="T135" s="176">
        <f t="shared" si="11"/>
        <v>0</v>
      </c>
      <c r="U135" s="186"/>
      <c r="V135" s="187"/>
      <c r="W135" s="173"/>
      <c r="X135" s="219">
        <v>4</v>
      </c>
      <c r="Y135" s="135"/>
      <c r="Z135" s="134">
        <f>IF(Table4[[#This Row],[Year]]=1, 1.3, IF(Table4[[#This Row],[Year]]=2, 1.2, IF(Table4[[#This Row],[Year]]=3, 1, IF(Table4[[#This Row],[Year]]=4, 0.729166667, IF(Table4[[#This Row],[Year]]=5, 0.6, 0)))))</f>
        <v>0.72916666699999999</v>
      </c>
    </row>
    <row r="136" spans="6:26" ht="21" x14ac:dyDescent="0.3">
      <c r="F136" s="244" t="s">
        <v>388</v>
      </c>
      <c r="G136" s="242" t="s">
        <v>389</v>
      </c>
      <c r="H136" s="218" t="s">
        <v>390</v>
      </c>
      <c r="I136" s="185" t="s">
        <v>72</v>
      </c>
      <c r="J136" s="85">
        <f>IF(I136="Brother",$C$6*Table4[[#This Row],[Seniority Dues]],IF(I136="EC",$C$7,IF(I136="Alumni",$C$8,IF(I136="Dropped",$C$11,IF(I136="President",$C$10,IF(I136="Inactive",$C$9,IF(Table4[[#This Row],[Type]]="New Member",$C$13,0)))))))</f>
        <v>200</v>
      </c>
      <c r="K136" s="85"/>
      <c r="L136" s="148">
        <v>284</v>
      </c>
      <c r="M136" s="149">
        <f>2*100</f>
        <v>200</v>
      </c>
      <c r="N136" s="241"/>
      <c r="O136" s="132" t="s">
        <v>466</v>
      </c>
      <c r="P136" s="132"/>
      <c r="Q136" s="132">
        <f>SUM(Table4[[#This Row],[Payment 1]:[Payment 2]])</f>
        <v>200</v>
      </c>
      <c r="R136" s="283">
        <f t="shared" si="12"/>
        <v>284</v>
      </c>
      <c r="S136" s="283">
        <f t="shared" si="10"/>
        <v>0</v>
      </c>
      <c r="T136" s="176">
        <f t="shared" si="11"/>
        <v>284</v>
      </c>
      <c r="U136" s="186"/>
      <c r="V136" s="187"/>
      <c r="W136" s="173"/>
      <c r="X136" s="134">
        <v>4</v>
      </c>
      <c r="Y136" s="135"/>
      <c r="Z136" s="134">
        <f>IF(Table4[[#This Row],[Year]]=1, 1.3, IF(Table4[[#This Row],[Year]]=2, 1.2, IF(Table4[[#This Row],[Year]]=3, 1, IF(Table4[[#This Row],[Year]]=4, 0.729166667, IF(Table4[[#This Row],[Year]]=5, 0.6, 0)))))</f>
        <v>0.72916666699999999</v>
      </c>
    </row>
    <row r="137" spans="6:26" ht="21" x14ac:dyDescent="0.3">
      <c r="F137" s="218" t="s">
        <v>391</v>
      </c>
      <c r="G137" s="222" t="s">
        <v>392</v>
      </c>
      <c r="H137" s="190" t="s">
        <v>393</v>
      </c>
      <c r="I137" s="185" t="s">
        <v>72</v>
      </c>
      <c r="J137" s="85">
        <f>IF(I137="Brother",$C$6*Table4[[#This Row],[Seniority Dues]],IF(I137="EC",$C$7,IF(I137="Alumni",$C$8,IF(I137="Dropped",$C$11,IF(I137="President",$C$10,IF(I137="Inactive",$C$9,IF(Table4[[#This Row],[Type]]="New Member",$C$13,0)))))))</f>
        <v>200</v>
      </c>
      <c r="K137" s="85"/>
      <c r="L137" s="148">
        <v>284</v>
      </c>
      <c r="M137" s="149">
        <v>150</v>
      </c>
      <c r="N137" s="241"/>
      <c r="O137" s="87" t="s">
        <v>455</v>
      </c>
      <c r="P137" s="132"/>
      <c r="Q137" s="132">
        <f>SUM(Table4[[#This Row],[Payment 1]:[Payment 2]])</f>
        <v>150</v>
      </c>
      <c r="R137" s="283">
        <f t="shared" si="12"/>
        <v>334</v>
      </c>
      <c r="S137" s="283">
        <f t="shared" si="10"/>
        <v>0</v>
      </c>
      <c r="T137" s="176">
        <f t="shared" si="11"/>
        <v>334</v>
      </c>
      <c r="U137" s="186"/>
      <c r="V137" s="187"/>
      <c r="W137" s="173"/>
      <c r="X137" s="134">
        <v>4</v>
      </c>
      <c r="Y137" s="135"/>
      <c r="Z137" s="134">
        <f>IF(Table4[[#This Row],[Year]]=1, 1.3, IF(Table4[[#This Row],[Year]]=2, 1.2, IF(Table4[[#This Row],[Year]]=3, 1, IF(Table4[[#This Row],[Year]]=4, 0.729166667, IF(Table4[[#This Row],[Year]]=5, 0.6, 0)))))</f>
        <v>0.72916666699999999</v>
      </c>
    </row>
    <row r="138" spans="6:26" ht="21" x14ac:dyDescent="0.3">
      <c r="F138" s="73" t="s">
        <v>467</v>
      </c>
      <c r="G138" s="264" t="s">
        <v>468</v>
      </c>
      <c r="H138" s="190" t="s">
        <v>469</v>
      </c>
      <c r="I138" s="185" t="s">
        <v>104</v>
      </c>
      <c r="J138" s="172">
        <f>IF(I138="Brother",$C$6*Table4[[#This Row],[Seniority Dues]],IF(I138="EC",$C$7,IF(I138="Alumni",$C$8,IF(I138="Dropped",$C$11,IF(I138="President",$C$10,IF(I138="Inactive",$C$9,IF(Table4[[#This Row],[Type]]="New Member",$C$13,0)))))))</f>
        <v>0</v>
      </c>
      <c r="K138" s="172"/>
      <c r="L138" s="175"/>
      <c r="M138" s="174"/>
      <c r="N138" s="241"/>
      <c r="O138" s="87"/>
      <c r="P138" s="132"/>
      <c r="Q138" s="132">
        <f>SUM(Table4[[#This Row],[Payment 1]:[Payment 2]])</f>
        <v>0</v>
      </c>
      <c r="R138" s="283">
        <f t="shared" si="12"/>
        <v>0</v>
      </c>
      <c r="S138" s="283">
        <f t="shared" si="10"/>
        <v>0</v>
      </c>
      <c r="T138" s="176">
        <f t="shared" si="11"/>
        <v>0</v>
      </c>
      <c r="U138" s="186"/>
      <c r="V138" s="187"/>
      <c r="W138" s="173"/>
      <c r="X138" s="134">
        <v>1</v>
      </c>
      <c r="Y138" s="135"/>
      <c r="Z138" s="173">
        <f>IF(Table4[[#This Row],[Year]]=1, 1.3, IF(Table4[[#This Row],[Year]]=2, 1.2, IF(Table4[[#This Row],[Year]]=3, 1, IF(Table4[[#This Row],[Year]]=4, 0.729166667, IF(Table4[[#This Row],[Year]]=5, 0.6, 0)))))</f>
        <v>1.3</v>
      </c>
    </row>
    <row r="139" spans="6:26" ht="21" x14ac:dyDescent="0.3">
      <c r="F139" s="73" t="s">
        <v>470</v>
      </c>
      <c r="G139" s="264" t="s">
        <v>471</v>
      </c>
      <c r="H139" s="264" t="s">
        <v>256</v>
      </c>
      <c r="I139" s="185" t="s">
        <v>108</v>
      </c>
      <c r="J139" s="172">
        <f>IF(I139="Brother",$C$6*Table4[[#This Row],[Seniority Dues]],IF(I139="EC",$C$7,IF(I139="Alumni",$C$8,IF(I139="Dropped",$C$11,IF(I139="President",$C$10,IF(I139="Inactive",$C$9,IF(Table4[[#This Row],[Type]]="New Member",$C$13,0)))))))</f>
        <v>600</v>
      </c>
      <c r="K139" s="85"/>
      <c r="L139" s="85"/>
      <c r="M139" s="282">
        <v>200</v>
      </c>
      <c r="N139" s="241">
        <f>200+200</f>
        <v>400</v>
      </c>
      <c r="O139" s="87"/>
      <c r="P139" s="132"/>
      <c r="Q139" s="132">
        <f>SUM(Table4[[#This Row],[Payment 1]:[Payment 2]])</f>
        <v>600</v>
      </c>
      <c r="R139" s="283">
        <f t="shared" si="12"/>
        <v>0</v>
      </c>
      <c r="S139" s="283">
        <f t="shared" si="10"/>
        <v>0</v>
      </c>
      <c r="T139" s="176">
        <f t="shared" si="11"/>
        <v>0</v>
      </c>
      <c r="U139" s="186"/>
      <c r="V139" s="187"/>
      <c r="W139" s="173"/>
      <c r="X139" s="134">
        <v>1</v>
      </c>
      <c r="Y139" s="135"/>
      <c r="Z139" s="173">
        <f>IF(Table4[[#This Row],[Year]]=1, 1.3, IF(Table4[[#This Row],[Year]]=2, 1.2, IF(Table4[[#This Row],[Year]]=3, 1, IF(Table4[[#This Row],[Year]]=4, 0.729166667, IF(Table4[[#This Row],[Year]]=5, 0.6, 0)))))</f>
        <v>1.3</v>
      </c>
    </row>
    <row r="140" spans="6:26" ht="21" x14ac:dyDescent="0.3">
      <c r="F140" s="73" t="s">
        <v>472</v>
      </c>
      <c r="G140" s="265" t="s">
        <v>473</v>
      </c>
      <c r="H140" s="265" t="s">
        <v>474</v>
      </c>
      <c r="I140" s="185" t="s">
        <v>108</v>
      </c>
      <c r="J140" s="172">
        <f>IF(I140="Brother",$C$6*Table4[[#This Row],[Seniority Dues]],IF(I140="EC",$C$7,IF(I140="Alumni",$C$8,IF(I140="Dropped",$C$11,IF(I140="President",$C$10,IF(I140="Inactive",$C$9,IF(Table4[[#This Row],[Type]]="New Member",$C$13,0)))))))</f>
        <v>600</v>
      </c>
      <c r="K140" s="85"/>
      <c r="L140" s="85"/>
      <c r="M140" s="282">
        <v>100</v>
      </c>
      <c r="N140" s="241">
        <f>100+200</f>
        <v>300</v>
      </c>
      <c r="O140" s="87" t="s">
        <v>455</v>
      </c>
      <c r="P140" s="132"/>
      <c r="Q140" s="132">
        <f>SUM(Table4[[#This Row],[Payment 1]:[Payment 2]])</f>
        <v>400</v>
      </c>
      <c r="R140" s="283">
        <f t="shared" si="12"/>
        <v>200</v>
      </c>
      <c r="S140" s="283">
        <f t="shared" si="10"/>
        <v>0</v>
      </c>
      <c r="T140" s="176">
        <f t="shared" si="11"/>
        <v>200</v>
      </c>
      <c r="U140" s="186"/>
      <c r="V140" s="187"/>
      <c r="W140" s="173"/>
      <c r="X140" s="134">
        <v>1</v>
      </c>
      <c r="Y140" s="135"/>
      <c r="Z140" s="173">
        <f>IF(Table4[[#This Row],[Year]]=1, 1.3, IF(Table4[[#This Row],[Year]]=2, 1.2, IF(Table4[[#This Row],[Year]]=3, 1, IF(Table4[[#This Row],[Year]]=4, 0.729166667, IF(Table4[[#This Row],[Year]]=5, 0.6, 0)))))</f>
        <v>1.3</v>
      </c>
    </row>
    <row r="141" spans="6:26" ht="21" x14ac:dyDescent="0.3">
      <c r="F141" s="73" t="s">
        <v>475</v>
      </c>
      <c r="G141" s="278" t="s">
        <v>476</v>
      </c>
      <c r="H141" s="278" t="s">
        <v>88</v>
      </c>
      <c r="I141" s="185" t="s">
        <v>108</v>
      </c>
      <c r="J141" s="172">
        <f>IF(I141="Brother",$C$6*Table4[[#This Row],[Seniority Dues]],IF(I141="EC",$C$7,IF(I141="Alumni",$C$8,IF(I141="Dropped",$C$11,IF(I141="President",$C$10,IF(I141="Inactive",$C$9,IF(Table4[[#This Row],[Type]]="New Member",$C$13,0)))))))</f>
        <v>600</v>
      </c>
      <c r="K141" s="85"/>
      <c r="L141" s="85"/>
      <c r="M141" s="282">
        <v>200</v>
      </c>
      <c r="N141" s="241">
        <v>400</v>
      </c>
      <c r="O141" s="87"/>
      <c r="P141" s="132"/>
      <c r="Q141" s="132">
        <f>SUM(Table4[[#This Row],[Payment 1]:[Payment 2]])</f>
        <v>600</v>
      </c>
      <c r="R141" s="283">
        <f t="shared" si="12"/>
        <v>0</v>
      </c>
      <c r="S141" s="283">
        <f t="shared" si="10"/>
        <v>0</v>
      </c>
      <c r="T141" s="176">
        <f t="shared" si="11"/>
        <v>0</v>
      </c>
      <c r="U141" s="186"/>
      <c r="V141" s="187"/>
      <c r="W141" s="173"/>
      <c r="X141" s="134">
        <v>1</v>
      </c>
      <c r="Y141" s="135"/>
      <c r="Z141" s="173">
        <f>IF(Table4[[#This Row],[Year]]=1, 1.3, IF(Table4[[#This Row],[Year]]=2, 1.2, IF(Table4[[#This Row],[Year]]=3, 1, IF(Table4[[#This Row],[Year]]=4, 0.729166667, IF(Table4[[#This Row],[Year]]=5, 0.6, 0)))))</f>
        <v>1.3</v>
      </c>
    </row>
    <row r="142" spans="6:26" ht="21" x14ac:dyDescent="0.3">
      <c r="F142" s="73" t="s">
        <v>477</v>
      </c>
      <c r="G142" s="265" t="s">
        <v>478</v>
      </c>
      <c r="H142" s="265" t="s">
        <v>479</v>
      </c>
      <c r="I142" s="185" t="s">
        <v>104</v>
      </c>
      <c r="J142" s="172">
        <f>IF(I142="Brother",$C$6*Table4[[#This Row],[Seniority Dues]],IF(I142="EC",$C$7,IF(I142="Alumni",$C$8,IF(I142="Dropped",$C$11,IF(I142="President",$C$10,IF(I142="Inactive",$C$9,IF(Table4[[#This Row],[Type]]="New Member",$C$13,0)))))))</f>
        <v>0</v>
      </c>
      <c r="K142" s="172"/>
      <c r="L142" s="175"/>
      <c r="M142" s="174"/>
      <c r="N142" s="241"/>
      <c r="O142" s="87"/>
      <c r="P142" s="132"/>
      <c r="Q142" s="132">
        <f>SUM(Table4[[#This Row],[Payment 1]:[Payment 2]])</f>
        <v>0</v>
      </c>
      <c r="R142" s="283">
        <f t="shared" si="12"/>
        <v>0</v>
      </c>
      <c r="S142" s="283">
        <f t="shared" si="10"/>
        <v>0</v>
      </c>
      <c r="T142" s="176">
        <f t="shared" si="11"/>
        <v>0</v>
      </c>
      <c r="U142" s="186"/>
      <c r="V142" s="187"/>
      <c r="W142" s="173"/>
      <c r="X142" s="134">
        <v>1</v>
      </c>
      <c r="Y142" s="135"/>
      <c r="Z142" s="173">
        <f>IF(Table4[[#This Row],[Year]]=1, 1.3, IF(Table4[[#This Row],[Year]]=2, 1.2, IF(Table4[[#This Row],[Year]]=3, 1, IF(Table4[[#This Row],[Year]]=4, 0.729166667, IF(Table4[[#This Row],[Year]]=5, 0.6, 0)))))</f>
        <v>1.3</v>
      </c>
    </row>
    <row r="143" spans="6:26" ht="21" x14ac:dyDescent="0.3">
      <c r="F143" s="73" t="s">
        <v>410</v>
      </c>
      <c r="G143" s="278" t="s">
        <v>411</v>
      </c>
      <c r="H143" s="278" t="s">
        <v>390</v>
      </c>
      <c r="I143" s="185" t="s">
        <v>76</v>
      </c>
      <c r="J143" s="172">
        <f>IF(I143="Brother",$C$6*Table4[[#This Row],[Seniority Dues]],IF(I143="EC",$C$7,IF(I143="Alumni",$C$8,IF(I143="Dropped",$C$11,IF(I143="President",$C$10,IF(I143="Inactive",$C$9,IF(Table4[[#This Row],[Type]]="New Member",$C$13,0)))))))</f>
        <v>624</v>
      </c>
      <c r="K143" s="85"/>
      <c r="L143" s="85"/>
      <c r="M143" s="282">
        <v>624</v>
      </c>
      <c r="N143" s="241"/>
      <c r="O143" s="87"/>
      <c r="P143" s="132"/>
      <c r="Q143" s="132">
        <f>SUM(Table4[[#This Row],[Payment 1]:[Payment 2]])</f>
        <v>624</v>
      </c>
      <c r="R143" s="283">
        <f t="shared" si="12"/>
        <v>0</v>
      </c>
      <c r="S143" s="283">
        <f t="shared" si="10"/>
        <v>0</v>
      </c>
      <c r="T143" s="176">
        <f t="shared" si="11"/>
        <v>0</v>
      </c>
      <c r="U143" s="186"/>
      <c r="V143" s="187"/>
      <c r="W143" s="173"/>
      <c r="X143" s="134">
        <v>1</v>
      </c>
      <c r="Y143" s="135"/>
      <c r="Z143" s="173">
        <f>IF(Table4[[#This Row],[Year]]=1, 1.3, IF(Table4[[#This Row],[Year]]=2, 1.2, IF(Table4[[#This Row],[Year]]=3, 1, IF(Table4[[#This Row],[Year]]=4, 0.729166667, IF(Table4[[#This Row],[Year]]=5, 0.6, 0)))))</f>
        <v>1.3</v>
      </c>
    </row>
    <row r="144" spans="6:26" ht="21" x14ac:dyDescent="0.3">
      <c r="F144" s="73" t="s">
        <v>480</v>
      </c>
      <c r="G144" s="222" t="s">
        <v>481</v>
      </c>
      <c r="H144" s="214" t="s">
        <v>482</v>
      </c>
      <c r="I144" s="185" t="s">
        <v>108</v>
      </c>
      <c r="J144" s="172">
        <f>IF(I144="Brother",$C$6*Table4[[#This Row],[Seniority Dues]],IF(I144="EC",$C$7,IF(I144="Alumni",$C$8,IF(I144="Dropped",$C$11,IF(I144="President",$C$10,IF(I144="Inactive",$C$9,IF(Table4[[#This Row],[Type]]="New Member",$C$13,0)))))))</f>
        <v>600</v>
      </c>
      <c r="K144" s="85"/>
      <c r="L144" s="85"/>
      <c r="M144" s="282">
        <v>300</v>
      </c>
      <c r="N144" s="241"/>
      <c r="O144" s="87"/>
      <c r="P144" s="132"/>
      <c r="Q144" s="132">
        <f>SUM(Table4[[#This Row],[Payment 1]:[Payment 2]])</f>
        <v>300</v>
      </c>
      <c r="R144" s="283">
        <f t="shared" si="12"/>
        <v>300</v>
      </c>
      <c r="S144" s="283">
        <f t="shared" si="10"/>
        <v>0</v>
      </c>
      <c r="T144" s="176">
        <f t="shared" si="11"/>
        <v>300</v>
      </c>
      <c r="U144" s="186"/>
      <c r="V144" s="187"/>
      <c r="W144" s="173"/>
      <c r="X144" s="134">
        <v>1</v>
      </c>
      <c r="Y144" s="135"/>
      <c r="Z144" s="173">
        <f>IF(Table4[[#This Row],[Year]]=1, 1.3, IF(Table4[[#This Row],[Year]]=2, 1.2, IF(Table4[[#This Row],[Year]]=3, 1, IF(Table4[[#This Row],[Year]]=4, 0.729166667, IF(Table4[[#This Row],[Year]]=5, 0.6, 0)))))</f>
        <v>1.3</v>
      </c>
    </row>
    <row r="145" spans="2:26" ht="21" x14ac:dyDescent="0.3">
      <c r="F145" s="73" t="s">
        <v>483</v>
      </c>
      <c r="G145" s="222" t="s">
        <v>484</v>
      </c>
      <c r="H145" s="214" t="s">
        <v>107</v>
      </c>
      <c r="I145" s="185" t="s">
        <v>108</v>
      </c>
      <c r="J145" s="172">
        <f>IF(I145="Brother",$C$6*Table4[[#This Row],[Seniority Dues]],IF(I145="EC",$C$7,IF(I145="Alumni",$C$8,IF(I145="Dropped",$C$11,IF(I145="President",$C$10,IF(I145="Inactive",$C$9,IF(Table4[[#This Row],[Type]]="New Member",$C$13,0)))))))</f>
        <v>600</v>
      </c>
      <c r="K145" s="85"/>
      <c r="L145" s="85"/>
      <c r="M145" s="282"/>
      <c r="N145" s="241"/>
      <c r="O145" s="87"/>
      <c r="P145" s="132"/>
      <c r="Q145" s="132">
        <f>SUM(Table4[[#This Row],[Payment 1]:[Payment 2]])</f>
        <v>0</v>
      </c>
      <c r="R145" s="283">
        <f t="shared" si="12"/>
        <v>600</v>
      </c>
      <c r="S145" s="283">
        <f t="shared" si="10"/>
        <v>0</v>
      </c>
      <c r="T145" s="176">
        <f t="shared" si="11"/>
        <v>600</v>
      </c>
      <c r="U145" s="186"/>
      <c r="V145" s="187"/>
      <c r="W145" s="173"/>
      <c r="X145" s="134">
        <v>1</v>
      </c>
      <c r="Y145" s="135"/>
      <c r="Z145" s="173">
        <f>IF(Table4[[#This Row],[Year]]=1, 1.3, IF(Table4[[#This Row],[Year]]=2, 1.2, IF(Table4[[#This Row],[Year]]=3, 1, IF(Table4[[#This Row],[Year]]=4, 0.729166667, IF(Table4[[#This Row],[Year]]=5, 0.6, 0)))))</f>
        <v>1.3</v>
      </c>
    </row>
    <row r="146" spans="2:26" ht="21" x14ac:dyDescent="0.3">
      <c r="F146" s="73" t="s">
        <v>485</v>
      </c>
      <c r="G146" s="222" t="s">
        <v>210</v>
      </c>
      <c r="H146" s="214" t="s">
        <v>486</v>
      </c>
      <c r="I146" s="185" t="s">
        <v>108</v>
      </c>
      <c r="J146" s="172">
        <f>IF(I146="Brother",$C$6*Table4[[#This Row],[Seniority Dues]],IF(I146="EC",$C$7,IF(I146="Alumni",$C$8,IF(I146="Dropped",$C$11,IF(I146="President",$C$10,IF(I146="Inactive",$C$9,IF(Table4[[#This Row],[Type]]="New Member",$C$13,0)))))))</f>
        <v>600</v>
      </c>
      <c r="K146" s="85"/>
      <c r="L146" s="85"/>
      <c r="M146" s="282">
        <v>200</v>
      </c>
      <c r="N146" s="241">
        <v>200</v>
      </c>
      <c r="O146" s="87"/>
      <c r="P146" s="132"/>
      <c r="Q146" s="132">
        <f>SUM(Table4[[#This Row],[Payment 1]:[Payment 2]])</f>
        <v>400</v>
      </c>
      <c r="R146" s="283">
        <f t="shared" si="12"/>
        <v>200</v>
      </c>
      <c r="S146" s="283">
        <f t="shared" si="10"/>
        <v>0</v>
      </c>
      <c r="T146" s="176">
        <f t="shared" si="11"/>
        <v>200</v>
      </c>
      <c r="U146" s="186"/>
      <c r="V146" s="187"/>
      <c r="W146" s="173"/>
      <c r="X146" s="134">
        <v>1</v>
      </c>
      <c r="Y146" s="135"/>
      <c r="Z146" s="173">
        <f>IF(Table4[[#This Row],[Year]]=1, 1.3, IF(Table4[[#This Row],[Year]]=2, 1.2, IF(Table4[[#This Row],[Year]]=3, 1, IF(Table4[[#This Row],[Year]]=4, 0.729166667, IF(Table4[[#This Row],[Year]]=5, 0.6, 0)))))</f>
        <v>1.3</v>
      </c>
    </row>
    <row r="147" spans="2:26" ht="21" x14ac:dyDescent="0.3">
      <c r="F147" s="73" t="s">
        <v>487</v>
      </c>
      <c r="G147" s="222" t="s">
        <v>488</v>
      </c>
      <c r="H147" s="214" t="s">
        <v>489</v>
      </c>
      <c r="I147" s="185" t="s">
        <v>104</v>
      </c>
      <c r="J147" s="172">
        <f>IF(I147="Brother",$C$6*Table4[[#This Row],[Seniority Dues]],IF(I147="EC",$C$7,IF(I147="Alumni",$C$8,IF(I147="Dropped",$C$11,IF(I147="President",$C$10,IF(I147="Inactive",$C$9,IF(Table4[[#This Row],[Type]]="New Member",$C$13,0)))))))</f>
        <v>0</v>
      </c>
      <c r="K147" s="85"/>
      <c r="L147" s="85"/>
      <c r="M147" s="282"/>
      <c r="N147" s="241"/>
      <c r="O147" s="87"/>
      <c r="P147" s="132"/>
      <c r="Q147" s="132">
        <f>SUM(Table4[[#This Row],[Payment 1]:[Payment 2]])</f>
        <v>0</v>
      </c>
      <c r="R147" s="283">
        <f t="shared" si="12"/>
        <v>0</v>
      </c>
      <c r="S147" s="283">
        <f t="shared" si="10"/>
        <v>0</v>
      </c>
      <c r="T147" s="176">
        <f t="shared" si="11"/>
        <v>0</v>
      </c>
      <c r="U147" s="186"/>
      <c r="V147" s="187"/>
      <c r="W147" s="173"/>
      <c r="X147" s="134">
        <v>1</v>
      </c>
      <c r="Y147" s="135"/>
      <c r="Z147" s="173">
        <f>IF(Table4[[#This Row],[Year]]=1, 1.3, IF(Table4[[#This Row],[Year]]=2, 1.2, IF(Table4[[#This Row],[Year]]=3, 1, IF(Table4[[#This Row],[Year]]=4, 0.729166667, IF(Table4[[#This Row],[Year]]=5, 0.6, 0)))))</f>
        <v>1.3</v>
      </c>
    </row>
    <row r="148" spans="2:26" ht="21" x14ac:dyDescent="0.3">
      <c r="F148" s="73" t="s">
        <v>490</v>
      </c>
      <c r="G148" s="222" t="s">
        <v>491</v>
      </c>
      <c r="H148" s="214" t="s">
        <v>352</v>
      </c>
      <c r="I148" s="185" t="s">
        <v>108</v>
      </c>
      <c r="J148" s="172">
        <f>IF(I148="Brother",$C$6*Table4[[#This Row],[Seniority Dues]],IF(I148="EC",$C$7,IF(I148="Alumni",$C$8,IF(I148="Dropped",$C$11,IF(I148="President",$C$10,IF(I148="Inactive",$C$9,IF(Table4[[#This Row],[Type]]="New Member",$C$13,0)))))))</f>
        <v>600</v>
      </c>
      <c r="K148" s="85"/>
      <c r="L148" s="85"/>
      <c r="M148" s="282">
        <v>200</v>
      </c>
      <c r="N148" s="241">
        <f>200+200</f>
        <v>400</v>
      </c>
      <c r="O148" s="87"/>
      <c r="P148" s="132"/>
      <c r="Q148" s="132">
        <f>SUM(Table4[[#This Row],[Payment 1]:[Payment 2]])</f>
        <v>600</v>
      </c>
      <c r="R148" s="283">
        <f t="shared" si="12"/>
        <v>0</v>
      </c>
      <c r="S148" s="283">
        <f t="shared" si="10"/>
        <v>0</v>
      </c>
      <c r="T148" s="176">
        <f t="shared" si="11"/>
        <v>0</v>
      </c>
      <c r="U148" s="186"/>
      <c r="V148" s="187"/>
      <c r="W148" s="173"/>
      <c r="X148" s="134">
        <v>1</v>
      </c>
      <c r="Y148" s="135"/>
      <c r="Z148" s="173">
        <f>IF(Table4[[#This Row],[Year]]=1, 1.3, IF(Table4[[#This Row],[Year]]=2, 1.2, IF(Table4[[#This Row],[Year]]=3, 1, IF(Table4[[#This Row],[Year]]=4, 0.729166667, IF(Table4[[#This Row],[Year]]=5, 0.6, 0)))))</f>
        <v>1.3</v>
      </c>
    </row>
    <row r="149" spans="2:26" ht="21" x14ac:dyDescent="0.3">
      <c r="F149" s="73" t="s">
        <v>492</v>
      </c>
      <c r="G149" s="222" t="s">
        <v>493</v>
      </c>
      <c r="H149" s="214" t="s">
        <v>494</v>
      </c>
      <c r="I149" s="185" t="s">
        <v>108</v>
      </c>
      <c r="J149" s="172">
        <f>IF(I149="Brother",$C$6*Table4[[#This Row],[Seniority Dues]],IF(I149="EC",$C$7,IF(I149="Alumni",$C$8,IF(I149="Dropped",$C$11,IF(I149="President",$C$10,IF(I149="Inactive",$C$9,IF(Table4[[#This Row],[Type]]="New Member",$C$13,0)))))))</f>
        <v>600</v>
      </c>
      <c r="K149" s="85"/>
      <c r="L149" s="85"/>
      <c r="M149" s="282">
        <v>200</v>
      </c>
      <c r="N149" s="241">
        <f>200+200</f>
        <v>400</v>
      </c>
      <c r="O149" s="87"/>
      <c r="P149" s="132"/>
      <c r="Q149" s="132">
        <f>SUM(Table4[[#This Row],[Payment 1]:[Payment 2]])</f>
        <v>600</v>
      </c>
      <c r="R149" s="283">
        <f t="shared" si="12"/>
        <v>0</v>
      </c>
      <c r="S149" s="283">
        <f t="shared" si="10"/>
        <v>0</v>
      </c>
      <c r="T149" s="176">
        <f t="shared" si="11"/>
        <v>0</v>
      </c>
      <c r="U149" s="186"/>
      <c r="V149" s="187"/>
      <c r="W149" s="173"/>
      <c r="X149" s="134">
        <v>1</v>
      </c>
      <c r="Y149" s="135"/>
      <c r="Z149" s="173">
        <f>IF(Table4[[#This Row],[Year]]=1, 1.3, IF(Table4[[#This Row],[Year]]=2, 1.2, IF(Table4[[#This Row],[Year]]=3, 1, IF(Table4[[#This Row],[Year]]=4, 0.729166667, IF(Table4[[#This Row],[Year]]=5, 0.6, 0)))))</f>
        <v>1.3</v>
      </c>
    </row>
    <row r="150" spans="2:26" ht="21" x14ac:dyDescent="0.3">
      <c r="F150" s="73" t="s">
        <v>495</v>
      </c>
      <c r="G150" s="222" t="s">
        <v>496</v>
      </c>
      <c r="H150" s="214" t="s">
        <v>384</v>
      </c>
      <c r="I150" s="185" t="s">
        <v>108</v>
      </c>
      <c r="J150" s="172">
        <f>IF(I150="Brother",$C$6*Table4[[#This Row],[Seniority Dues]],IF(I150="EC",$C$7,IF(I150="Alumni",$C$8,IF(I150="Dropped",$C$11,IF(I150="President",$C$10,IF(I150="Inactive",$C$9,IF(Table4[[#This Row],[Type]]="New Member",$C$13,0)))))))</f>
        <v>600</v>
      </c>
      <c r="K150" s="85"/>
      <c r="L150" s="85"/>
      <c r="M150" s="282">
        <v>200</v>
      </c>
      <c r="N150" s="241">
        <f>200+200</f>
        <v>400</v>
      </c>
      <c r="O150" s="87"/>
      <c r="P150" s="132"/>
      <c r="Q150" s="132">
        <f>SUM(Table4[[#This Row],[Payment 1]:[Payment 2]])</f>
        <v>600</v>
      </c>
      <c r="R150" s="283">
        <f t="shared" si="12"/>
        <v>0</v>
      </c>
      <c r="S150" s="283">
        <f t="shared" si="10"/>
        <v>0</v>
      </c>
      <c r="T150" s="176">
        <f t="shared" si="11"/>
        <v>0</v>
      </c>
      <c r="U150" s="186"/>
      <c r="V150" s="187"/>
      <c r="W150" s="173"/>
      <c r="X150" s="134">
        <v>1</v>
      </c>
      <c r="Y150" s="135"/>
      <c r="Z150" s="173">
        <f>IF(Table4[[#This Row],[Year]]=1, 1.3, IF(Table4[[#This Row],[Year]]=2, 1.2, IF(Table4[[#This Row],[Year]]=3, 1, IF(Table4[[#This Row],[Year]]=4, 0.729166667, IF(Table4[[#This Row],[Year]]=5, 0.6, 0)))))</f>
        <v>1.3</v>
      </c>
    </row>
    <row r="151" spans="2:26" ht="21" x14ac:dyDescent="0.3">
      <c r="F151" s="73" t="s">
        <v>497</v>
      </c>
      <c r="G151" s="222" t="s">
        <v>498</v>
      </c>
      <c r="H151" s="214" t="s">
        <v>499</v>
      </c>
      <c r="I151" s="185" t="s">
        <v>104</v>
      </c>
      <c r="J151" s="172">
        <f>IF(I151="Brother",$C$6*Table4[[#This Row],[Seniority Dues]],IF(I151="EC",$C$7,IF(I151="Alumni",$C$8,IF(I151="Dropped",$C$11,IF(I151="President",$C$10,IF(I151="Inactive",$C$9,IF(Table4[[#This Row],[Type]]="New Member",$C$13,0)))))))</f>
        <v>0</v>
      </c>
      <c r="K151" s="172"/>
      <c r="L151" s="175"/>
      <c r="M151" s="174"/>
      <c r="N151" s="241"/>
      <c r="O151" s="87"/>
      <c r="P151" s="132"/>
      <c r="Q151" s="132">
        <f>SUM(Table4[[#This Row],[Payment 1]:[Payment 2]])</f>
        <v>0</v>
      </c>
      <c r="R151" s="283">
        <f t="shared" si="12"/>
        <v>0</v>
      </c>
      <c r="S151" s="283">
        <f t="shared" si="10"/>
        <v>0</v>
      </c>
      <c r="T151" s="176">
        <f t="shared" si="11"/>
        <v>0</v>
      </c>
      <c r="U151" s="186"/>
      <c r="V151" s="187"/>
      <c r="W151" s="173"/>
      <c r="X151" s="134">
        <v>1</v>
      </c>
      <c r="Y151" s="135"/>
      <c r="Z151" s="173">
        <f>IF(Table4[[#This Row],[Year]]=1, 1.3, IF(Table4[[#This Row],[Year]]=2, 1.2, IF(Table4[[#This Row],[Year]]=3, 1, IF(Table4[[#This Row],[Year]]=4, 0.729166667, IF(Table4[[#This Row],[Year]]=5, 0.6, 0)))))</f>
        <v>1.3</v>
      </c>
    </row>
    <row r="152" spans="2:26" ht="21" x14ac:dyDescent="0.3">
      <c r="F152" s="73" t="s">
        <v>500</v>
      </c>
      <c r="G152" s="222" t="s">
        <v>501</v>
      </c>
      <c r="H152" s="214" t="s">
        <v>502</v>
      </c>
      <c r="I152" s="185" t="s">
        <v>108</v>
      </c>
      <c r="J152" s="172">
        <f>IF(I152="Brother",$C$6*Table4[[#This Row],[Seniority Dues]],IF(I152="EC",$C$7,IF(I152="Alumni",$C$8,IF(I152="Dropped",$C$11,IF(I152="President",$C$10,IF(I152="Inactive",$C$9,IF(Table4[[#This Row],[Type]]="New Member",$C$13,0)))))))</f>
        <v>600</v>
      </c>
      <c r="K152" s="85"/>
      <c r="L152" s="85"/>
      <c r="M152" s="282">
        <v>200</v>
      </c>
      <c r="N152" s="241">
        <v>200</v>
      </c>
      <c r="O152" s="87"/>
      <c r="P152" s="132"/>
      <c r="Q152" s="132">
        <f>SUM(Table4[[#This Row],[Payment 1]:[Payment 2]])</f>
        <v>400</v>
      </c>
      <c r="R152" s="283">
        <f t="shared" si="12"/>
        <v>200</v>
      </c>
      <c r="S152" s="283">
        <f t="shared" si="10"/>
        <v>0</v>
      </c>
      <c r="T152" s="176">
        <f t="shared" si="11"/>
        <v>200</v>
      </c>
      <c r="U152" s="186"/>
      <c r="V152" s="187"/>
      <c r="W152" s="173"/>
      <c r="X152" s="134">
        <v>1</v>
      </c>
      <c r="Y152" s="135"/>
      <c r="Z152" s="173">
        <f>IF(Table4[[#This Row],[Year]]=1, 1.3, IF(Table4[[#This Row],[Year]]=2, 1.2, IF(Table4[[#This Row],[Year]]=3, 1, IF(Table4[[#This Row],[Year]]=4, 0.729166667, IF(Table4[[#This Row],[Year]]=5, 0.6, 0)))))</f>
        <v>1.3</v>
      </c>
    </row>
    <row r="153" spans="2:26" ht="21" x14ac:dyDescent="0.3">
      <c r="F153" s="73" t="s">
        <v>503</v>
      </c>
      <c r="G153" s="222" t="s">
        <v>504</v>
      </c>
      <c r="H153" s="214" t="s">
        <v>505</v>
      </c>
      <c r="I153" s="185" t="s">
        <v>104</v>
      </c>
      <c r="J153" s="172">
        <f>IF(I153="Brother",$C$6*Table4[[#This Row],[Seniority Dues]],IF(I153="EC",$C$7,IF(I153="Alumni",$C$8,IF(I153="Dropped",$C$11,IF(I153="President",$C$10,IF(I153="Inactive",$C$9,IF(Table4[[#This Row],[Type]]="New Member",$C$13,0)))))))</f>
        <v>0</v>
      </c>
      <c r="K153" s="172"/>
      <c r="L153" s="175"/>
      <c r="M153" s="174"/>
      <c r="N153" s="241"/>
      <c r="O153" s="87"/>
      <c r="P153" s="132"/>
      <c r="Q153" s="132">
        <f>SUM(Table4[[#This Row],[Payment 1]:[Payment 2]])</f>
        <v>0</v>
      </c>
      <c r="R153" s="283">
        <f t="shared" si="12"/>
        <v>0</v>
      </c>
      <c r="S153" s="283">
        <f t="shared" si="10"/>
        <v>0</v>
      </c>
      <c r="T153" s="176">
        <f t="shared" si="11"/>
        <v>0</v>
      </c>
      <c r="U153" s="186"/>
      <c r="V153" s="187"/>
      <c r="W153" s="173"/>
      <c r="X153" s="134">
        <v>1</v>
      </c>
      <c r="Y153" s="135"/>
      <c r="Z153" s="173">
        <f>IF(Table4[[#This Row],[Year]]=1, 1.3, IF(Table4[[#This Row],[Year]]=2, 1.2, IF(Table4[[#This Row],[Year]]=3, 1, IF(Table4[[#This Row],[Year]]=4, 0.729166667, IF(Table4[[#This Row],[Year]]=5, 0.6, 0)))))</f>
        <v>1.3</v>
      </c>
    </row>
    <row r="154" spans="2:26" ht="21" x14ac:dyDescent="0.3">
      <c r="F154" s="73" t="s">
        <v>506</v>
      </c>
      <c r="G154" s="222" t="s">
        <v>507</v>
      </c>
      <c r="H154" s="214" t="s">
        <v>508</v>
      </c>
      <c r="I154" s="185" t="s">
        <v>104</v>
      </c>
      <c r="J154" s="172">
        <f>IF(I154="Brother",$C$6*Table4[[#This Row],[Seniority Dues]],IF(I154="EC",$C$7,IF(I154="Alumni",$C$8,IF(I154="Dropped",$C$11,IF(I154="President",$C$10,IF(I154="Inactive",$C$9,IF(Table4[[#This Row],[Type]]="New Member",$C$13,0)))))))</f>
        <v>0</v>
      </c>
      <c r="K154" s="172"/>
      <c r="L154" s="175"/>
      <c r="M154" s="174"/>
      <c r="N154" s="241"/>
      <c r="O154" s="87"/>
      <c r="P154" s="132"/>
      <c r="Q154" s="132">
        <f>SUM(Table4[[#This Row],[Payment 1]:[Payment 2]])</f>
        <v>0</v>
      </c>
      <c r="R154" s="283">
        <f t="shared" si="12"/>
        <v>0</v>
      </c>
      <c r="S154" s="283">
        <f t="shared" si="10"/>
        <v>0</v>
      </c>
      <c r="T154" s="176">
        <f t="shared" si="11"/>
        <v>0</v>
      </c>
      <c r="U154" s="186"/>
      <c r="V154" s="187"/>
      <c r="W154" s="173"/>
      <c r="X154" s="134">
        <v>1</v>
      </c>
      <c r="Y154" s="135"/>
      <c r="Z154" s="173">
        <f>IF(Table4[[#This Row],[Year]]=1, 1.3, IF(Table4[[#This Row],[Year]]=2, 1.2, IF(Table4[[#This Row],[Year]]=3, 1, IF(Table4[[#This Row],[Year]]=4, 0.729166667, IF(Table4[[#This Row],[Year]]=5, 0.6, 0)))))</f>
        <v>1.3</v>
      </c>
    </row>
    <row r="155" spans="2:26" s="122" customFormat="1" ht="21" customHeight="1" x14ac:dyDescent="0.4">
      <c r="B155" s="73"/>
      <c r="C155" s="73"/>
      <c r="D155" s="73"/>
      <c r="E155" s="73"/>
      <c r="F155" s="73" t="s">
        <v>509</v>
      </c>
      <c r="G155" s="222" t="s">
        <v>510</v>
      </c>
      <c r="H155" s="214" t="s">
        <v>396</v>
      </c>
      <c r="I155" s="185" t="s">
        <v>108</v>
      </c>
      <c r="J155" s="172">
        <f>IF(I155="Brother",$C$6*Table4[[#This Row],[Seniority Dues]],IF(I155="EC",$C$7,IF(I155="Alumni",$C$8,IF(I155="Dropped",$C$11,IF(I155="President",$C$10,IF(I155="Inactive",$C$9,IF(Table4[[#This Row],[Type]]="New Member",$C$13,0)))))))</f>
        <v>600</v>
      </c>
      <c r="K155" s="85"/>
      <c r="L155" s="85"/>
      <c r="M155" s="282">
        <v>200</v>
      </c>
      <c r="N155" s="241">
        <f>200+200</f>
        <v>400</v>
      </c>
      <c r="O155" s="87"/>
      <c r="P155" s="132"/>
      <c r="Q155" s="132">
        <f>SUM(Table4[[#This Row],[Payment 1]:[Payment 2]])</f>
        <v>600</v>
      </c>
      <c r="R155" s="283">
        <f t="shared" si="12"/>
        <v>0</v>
      </c>
      <c r="S155" s="283">
        <f t="shared" si="10"/>
        <v>0</v>
      </c>
      <c r="T155" s="176">
        <f t="shared" si="11"/>
        <v>0</v>
      </c>
      <c r="U155" s="186"/>
      <c r="V155" s="187"/>
      <c r="W155" s="173"/>
      <c r="X155" s="134">
        <v>1</v>
      </c>
      <c r="Y155" s="135"/>
      <c r="Z155" s="173">
        <f>IF(Table4[[#This Row],[Year]]=1, 1.3, IF(Table4[[#This Row],[Year]]=2, 1.2, IF(Table4[[#This Row],[Year]]=3, 1, IF(Table4[[#This Row],[Year]]=4, 0.729166667, IF(Table4[[#This Row],[Year]]=5, 0.6, 0)))))</f>
        <v>1.3</v>
      </c>
    </row>
    <row r="156" spans="2:26" ht="21" customHeight="1" x14ac:dyDescent="0.4">
      <c r="B156" s="122"/>
      <c r="C156" s="122"/>
      <c r="D156" s="122"/>
      <c r="F156" s="73" t="s">
        <v>511</v>
      </c>
      <c r="G156" s="222" t="s">
        <v>512</v>
      </c>
      <c r="H156" s="214" t="s">
        <v>513</v>
      </c>
      <c r="I156" s="185" t="s">
        <v>108</v>
      </c>
      <c r="J156" s="172">
        <f>IF(I156="Brother",$C$6*Table4[[#This Row],[Seniority Dues]],IF(I156="EC",$C$7,IF(I156="Alumni",$C$8,IF(I156="Dropped",$C$11,IF(I156="President",$C$10,IF(I156="Inactive",$C$9,IF(Table4[[#This Row],[Type]]="New Member",$C$13,0)))))))</f>
        <v>600</v>
      </c>
      <c r="K156" s="85"/>
      <c r="L156" s="85"/>
      <c r="M156" s="282">
        <v>200</v>
      </c>
      <c r="N156" s="241">
        <v>200</v>
      </c>
      <c r="O156" s="87"/>
      <c r="P156" s="132"/>
      <c r="Q156" s="132">
        <f>SUM(Table4[[#This Row],[Payment 1]:[Payment 2]])</f>
        <v>400</v>
      </c>
      <c r="R156" s="283">
        <f t="shared" si="12"/>
        <v>200</v>
      </c>
      <c r="S156" s="283">
        <f t="shared" si="10"/>
        <v>0</v>
      </c>
      <c r="T156" s="176">
        <f t="shared" si="11"/>
        <v>200</v>
      </c>
      <c r="U156" s="186"/>
      <c r="V156" s="187"/>
      <c r="W156" s="173"/>
      <c r="X156" s="134">
        <v>1</v>
      </c>
      <c r="Y156" s="135"/>
      <c r="Z156" s="173">
        <f>IF(Table4[[#This Row],[Year]]=1, 1.3, IF(Table4[[#This Row],[Year]]=2, 1.2, IF(Table4[[#This Row],[Year]]=3, 1, IF(Table4[[#This Row],[Year]]=4, 0.729166667, IF(Table4[[#This Row],[Year]]=5, 0.6, 0)))))</f>
        <v>1.3</v>
      </c>
    </row>
    <row r="157" spans="2:26" ht="21" x14ac:dyDescent="0.3">
      <c r="F157" s="73" t="s">
        <v>514</v>
      </c>
      <c r="G157" s="222" t="s">
        <v>515</v>
      </c>
      <c r="H157" s="214" t="s">
        <v>516</v>
      </c>
      <c r="I157" s="185" t="s">
        <v>108</v>
      </c>
      <c r="J157" s="172">
        <f>IF(I157="Brother",$C$6*Table4[[#This Row],[Seniority Dues]],IF(I157="EC",$C$7,IF(I157="Alumni",$C$8,IF(I157="Dropped",$C$11,IF(I157="President",$C$10,IF(I157="Inactive",$C$9,IF(Table4[[#This Row],[Type]]="New Member",$C$13,0)))))))</f>
        <v>600</v>
      </c>
      <c r="K157" s="85"/>
      <c r="L157" s="85"/>
      <c r="M157" s="282">
        <v>200</v>
      </c>
      <c r="N157" s="241">
        <f>200+200</f>
        <v>400</v>
      </c>
      <c r="O157" s="87"/>
      <c r="P157" s="132"/>
      <c r="Q157" s="132">
        <f>SUM(Table4[[#This Row],[Payment 1]:[Payment 2]])</f>
        <v>600</v>
      </c>
      <c r="R157" s="283">
        <f t="shared" si="12"/>
        <v>0</v>
      </c>
      <c r="S157" s="283">
        <f t="shared" si="10"/>
        <v>0</v>
      </c>
      <c r="T157" s="176">
        <f t="shared" si="11"/>
        <v>0</v>
      </c>
      <c r="U157" s="186"/>
      <c r="V157" s="187"/>
      <c r="W157" s="173"/>
      <c r="X157" s="134">
        <v>1</v>
      </c>
      <c r="Y157" s="135"/>
      <c r="Z157" s="173">
        <f>IF(Table4[[#This Row],[Year]]=1, 1.3, IF(Table4[[#This Row],[Year]]=2, 1.2, IF(Table4[[#This Row],[Year]]=3, 1, IF(Table4[[#This Row],[Year]]=4, 0.729166667, IF(Table4[[#This Row],[Year]]=5, 0.6, 0)))))</f>
        <v>1.3</v>
      </c>
    </row>
    <row r="158" spans="2:26" ht="21" x14ac:dyDescent="0.3">
      <c r="F158" s="284" t="s">
        <v>517</v>
      </c>
      <c r="G158" s="222" t="s">
        <v>518</v>
      </c>
      <c r="H158" s="214" t="s">
        <v>519</v>
      </c>
      <c r="I158" s="185" t="s">
        <v>108</v>
      </c>
      <c r="J158" s="172">
        <f>IF(I158="Brother",$C$6*Table4[[#This Row],[Seniority Dues]],IF(I158="EC",$C$7,IF(I158="Alumni",$C$8,IF(I158="Dropped",$C$11,IF(I158="President",$C$10,IF(I158="Inactive",$C$9,IF(Table4[[#This Row],[Type]]="New Member",$C$13,0)))))))</f>
        <v>600</v>
      </c>
      <c r="K158" s="85">
        <f>50+25</f>
        <v>75</v>
      </c>
      <c r="L158" s="85"/>
      <c r="M158" s="282">
        <v>250</v>
      </c>
      <c r="N158" s="241"/>
      <c r="O158" s="87"/>
      <c r="P158" s="132"/>
      <c r="Q158" s="132">
        <f>SUM(Table4[[#This Row],[Payment 1]:[Payment 2]])</f>
        <v>250</v>
      </c>
      <c r="R158" s="283">
        <f t="shared" si="12"/>
        <v>425</v>
      </c>
      <c r="S158" s="283">
        <f t="shared" si="10"/>
        <v>0</v>
      </c>
      <c r="T158" s="176">
        <f t="shared" si="11"/>
        <v>425</v>
      </c>
      <c r="U158" s="186"/>
      <c r="V158" s="187"/>
      <c r="W158" s="173"/>
      <c r="X158" s="134">
        <v>1</v>
      </c>
      <c r="Y158" s="135"/>
      <c r="Z158" s="173">
        <f>IF(Table4[[#This Row],[Year]]=1, 1.3, IF(Table4[[#This Row],[Year]]=2, 1.2, IF(Table4[[#This Row],[Year]]=3, 1, IF(Table4[[#This Row],[Year]]=4, 0.729166667, IF(Table4[[#This Row],[Year]]=5, 0.6, 0)))))</f>
        <v>1.3</v>
      </c>
    </row>
    <row r="159" spans="2:26" ht="21" x14ac:dyDescent="0.3">
      <c r="F159" s="73" t="s">
        <v>520</v>
      </c>
      <c r="G159" s="266" t="s">
        <v>521</v>
      </c>
      <c r="H159" s="266" t="s">
        <v>479</v>
      </c>
      <c r="I159" s="185" t="s">
        <v>108</v>
      </c>
      <c r="J159" s="172">
        <f>IF(I159="Brother",$C$6*Table4[[#This Row],[Seniority Dues]],IF(I159="EC",$C$7,IF(I159="Alumni",$C$8,IF(I159="Dropped",$C$11,IF(I159="President",$C$10,IF(I159="Inactive",$C$9,IF(Table4[[#This Row],[Type]]="New Member",$C$13,0)))))))</f>
        <v>600</v>
      </c>
      <c r="K159" s="85">
        <v>25</v>
      </c>
      <c r="L159" s="85"/>
      <c r="M159" s="282">
        <v>200</v>
      </c>
      <c r="N159" s="241">
        <v>225</v>
      </c>
      <c r="O159" s="87"/>
      <c r="P159" s="132"/>
      <c r="Q159" s="132">
        <f>SUM(Table4[[#This Row],[Payment 1]:[Payment 2]])</f>
        <v>425</v>
      </c>
      <c r="R159" s="283">
        <f t="shared" si="12"/>
        <v>200</v>
      </c>
      <c r="S159" s="283">
        <f t="shared" si="10"/>
        <v>0</v>
      </c>
      <c r="T159" s="176">
        <f t="shared" si="11"/>
        <v>200</v>
      </c>
      <c r="U159" s="186"/>
      <c r="V159" s="187"/>
      <c r="W159" s="173"/>
      <c r="X159" s="134">
        <v>1</v>
      </c>
      <c r="Y159" s="135"/>
      <c r="Z159" s="173">
        <f>IF(Table4[[#This Row],[Year]]=1, 1.3, IF(Table4[[#This Row],[Year]]=2, 1.2, IF(Table4[[#This Row],[Year]]=3, 1, IF(Table4[[#This Row],[Year]]=4, 0.729166667, IF(Table4[[#This Row],[Year]]=5, 0.6, 0)))))</f>
        <v>1.3</v>
      </c>
    </row>
    <row r="160" spans="2:26" ht="27" thickBot="1" x14ac:dyDescent="0.45">
      <c r="G160" s="137" t="s">
        <v>448</v>
      </c>
      <c r="H160" s="138">
        <f>SUBTOTAL(103,Table4[First Name])</f>
        <v>157</v>
      </c>
      <c r="I160" s="139"/>
      <c r="J160" s="140">
        <f>SUBTOTAL(109,Table4[Amount Due])</f>
        <v>65098.000002559987</v>
      </c>
      <c r="K160" s="140"/>
      <c r="L160" s="141">
        <f>SUBTOTAL(109,Table4[[Roll Over ]])</f>
        <v>11302</v>
      </c>
      <c r="M160" s="142">
        <f>SUM(Table4[Payment 1])</f>
        <v>62027.67</v>
      </c>
      <c r="N160" s="142"/>
      <c r="O160" s="141"/>
      <c r="P160" s="141"/>
      <c r="Q160" s="142">
        <f>SUBTOTAL(109,Table4[Total Paid])</f>
        <v>72291.760000000009</v>
      </c>
      <c r="R160" s="142"/>
      <c r="S160" s="142"/>
      <c r="T160" s="143">
        <f>SUBTOTAL(109,Table4[Remaining Balance])</f>
        <v>6353.2500017600014</v>
      </c>
      <c r="U160" s="144"/>
      <c r="V160" s="144"/>
      <c r="W160" s="144"/>
      <c r="X160" s="144"/>
      <c r="Y160" s="144"/>
      <c r="Z160" s="145"/>
    </row>
  </sheetData>
  <mergeCells count="3">
    <mergeCell ref="C2:D2"/>
    <mergeCell ref="B4:D4"/>
    <mergeCell ref="B28:C28"/>
  </mergeCells>
  <phoneticPr fontId="10" type="noConversion"/>
  <conditionalFormatting sqref="I158:I159">
    <cfRule type="expression" dxfId="12" priority="30">
      <formula>IF(ISBLANK($C$2),0,ISNUMBER(SEARCH($C$2,#REF!&amp;#REF!&amp;$I158&amp;$J158)))</formula>
    </cfRule>
  </conditionalFormatting>
  <conditionalFormatting sqref="I3:W3 T4:W115 I4:Q143 R4:R159 G72:H72 T116:Y137 S138:Z138 S139:W143 Y139:Z143 X139:X159">
    <cfRule type="expression" dxfId="11" priority="3">
      <formula>IF(ISBLANK($C$2),0,ISNUMBER(SEARCH($C$2,$G3&amp;$H3&amp;$I3&amp;$J3)))</formula>
    </cfRule>
  </conditionalFormatting>
  <conditionalFormatting sqref="S3">
    <cfRule type="cellIs" dxfId="10" priority="1" operator="greaterThan">
      <formula>0</formula>
    </cfRule>
  </conditionalFormatting>
  <conditionalFormatting sqref="S144:W149 I144:Q149 Y144:Z149">
    <cfRule type="expression" dxfId="9" priority="27">
      <formula>IF(ISBLANK($C$2),0,ISNUMBER(SEARCH($C$2,$G145&amp;$H145&amp;$I144&amp;$J144)))</formula>
    </cfRule>
  </conditionalFormatting>
  <conditionalFormatting sqref="S150:W157 I150:Q157 Y150:Z157">
    <cfRule type="expression" dxfId="8" priority="33">
      <formula>IF(ISBLANK($C$2),0,ISNUMBER(SEARCH($C$2,$G152&amp;$H152&amp;$I150&amp;$J150)))</formula>
    </cfRule>
  </conditionalFormatting>
  <conditionalFormatting sqref="T3:T118 Y3:Z3 Y4:Y115 S4:S137 Z4:Z137">
    <cfRule type="expression" dxfId="7" priority="5">
      <formula>IF(ISBLANK($C$2),0,ISNUMBER(SEARCH($C$2,$G3&amp;$H3&amp;$I3&amp;$J3)))</formula>
    </cfRule>
  </conditionalFormatting>
  <conditionalFormatting sqref="T3:T159">
    <cfRule type="cellIs" dxfId="6" priority="4" operator="greaterThan">
      <formula>0</formula>
    </cfRule>
  </conditionalFormatting>
  <conditionalFormatting sqref="X72:X115">
    <cfRule type="expression" dxfId="5" priority="2">
      <formula>IF(ISBLANK($C$2),0,ISNUMBER(SEARCH($C$2,$G72&amp;$H72&amp;$I72&amp;$J72)))</formula>
    </cfRule>
  </conditionalFormatting>
  <dataValidations count="1">
    <dataValidation type="list" allowBlank="1" showInputMessage="1" showErrorMessage="1" sqref="I3:I159" xr:uid="{7BE6CE36-9938-394E-B471-99FC7EB804D3}">
      <formula1>$B$6:$B$13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D071A-6614-4CD9-89B6-3950F3BBC780}">
  <sheetPr codeName="Sheet6">
    <tabColor theme="4" tint="0.79998168889431442"/>
  </sheetPr>
  <dimension ref="B1:AA190"/>
  <sheetViews>
    <sheetView topLeftCell="A47" zoomScale="89" zoomScaleNormal="75" workbookViewId="0">
      <pane xSplit="7" topLeftCell="H1" activePane="topRight" state="frozen"/>
      <selection activeCell="A72" sqref="A72"/>
      <selection pane="topRight" activeCell="M62" sqref="M62"/>
    </sheetView>
  </sheetViews>
  <sheetFormatPr baseColWidth="10" defaultColWidth="10.6640625" defaultRowHeight="19" x14ac:dyDescent="0.3"/>
  <cols>
    <col min="1" max="1" width="3.1640625" style="73" customWidth="1"/>
    <col min="2" max="2" width="15.5" style="73" bestFit="1" customWidth="1"/>
    <col min="3" max="3" width="12.83203125" style="73" bestFit="1" customWidth="1"/>
    <col min="4" max="4" width="13.33203125" style="73" bestFit="1" customWidth="1"/>
    <col min="5" max="5" width="15" style="73" customWidth="1"/>
    <col min="6" max="6" width="19.33203125" style="73" customWidth="1"/>
    <col min="7" max="7" width="24.6640625" style="73" bestFit="1" customWidth="1"/>
    <col min="8" max="8" width="21.83203125" style="73" bestFit="1" customWidth="1"/>
    <col min="9" max="9" width="15.5" style="73" bestFit="1" customWidth="1"/>
    <col min="10" max="10" width="23.83203125" style="73" bestFit="1" customWidth="1"/>
    <col min="11" max="11" width="19.6640625" style="73" bestFit="1" customWidth="1"/>
    <col min="12" max="12" width="22" style="73" bestFit="1" customWidth="1"/>
    <col min="13" max="13" width="22" style="73" customWidth="1"/>
    <col min="14" max="14" width="20.5" style="73" customWidth="1"/>
    <col min="15" max="15" width="33" style="73" customWidth="1"/>
    <col min="16" max="16" width="35.6640625" style="73" customWidth="1"/>
    <col min="17" max="19" width="33.1640625" style="73" customWidth="1"/>
    <col min="20" max="20" width="34.6640625" style="73" bestFit="1" customWidth="1"/>
    <col min="21" max="21" width="32.6640625" style="73" bestFit="1" customWidth="1"/>
    <col min="22" max="22" width="27.6640625" style="73" bestFit="1" customWidth="1"/>
    <col min="23" max="23" width="49.83203125" style="73" bestFit="1" customWidth="1"/>
    <col min="24" max="24" width="10.83203125" style="73" bestFit="1" customWidth="1"/>
    <col min="25" max="25" width="23.1640625" style="73" bestFit="1" customWidth="1"/>
    <col min="26" max="26" width="25.6640625" style="73" bestFit="1" customWidth="1"/>
    <col min="27" max="27" width="7.1640625" style="73" bestFit="1" customWidth="1"/>
    <col min="28" max="28" width="3.6640625" style="73" bestFit="1" customWidth="1"/>
    <col min="29" max="16384" width="10.6640625" style="73"/>
  </cols>
  <sheetData>
    <row r="1" spans="2:27" ht="20" thickBot="1" x14ac:dyDescent="0.35"/>
    <row r="2" spans="2:27" s="75" customFormat="1" ht="30" customHeight="1" thickBot="1" x14ac:dyDescent="0.35">
      <c r="B2" s="74" t="s">
        <v>51</v>
      </c>
      <c r="C2" s="365"/>
      <c r="D2" s="366"/>
      <c r="F2" s="233" t="s">
        <v>52</v>
      </c>
      <c r="G2" s="76" t="s">
        <v>53</v>
      </c>
      <c r="H2" s="77" t="s">
        <v>54</v>
      </c>
      <c r="I2" s="78" t="s">
        <v>55</v>
      </c>
      <c r="J2" s="79" t="s">
        <v>56</v>
      </c>
      <c r="K2" s="320" t="s">
        <v>57</v>
      </c>
      <c r="L2" s="308" t="s">
        <v>58</v>
      </c>
      <c r="M2" s="319" t="s">
        <v>450</v>
      </c>
      <c r="N2" s="310" t="s">
        <v>451</v>
      </c>
      <c r="O2" s="80" t="s">
        <v>60</v>
      </c>
      <c r="P2" s="77" t="s">
        <v>452</v>
      </c>
      <c r="Q2" s="81" t="s">
        <v>61</v>
      </c>
      <c r="R2" s="81" t="s">
        <v>453</v>
      </c>
      <c r="S2" s="81" t="s">
        <v>454</v>
      </c>
      <c r="T2" s="82" t="s">
        <v>62</v>
      </c>
      <c r="U2" s="82" t="s">
        <v>63</v>
      </c>
      <c r="V2" s="82" t="s">
        <v>64</v>
      </c>
      <c r="W2" s="82" t="s">
        <v>65</v>
      </c>
      <c r="X2" s="83" t="s">
        <v>66</v>
      </c>
      <c r="Y2" s="83" t="s">
        <v>67</v>
      </c>
      <c r="Z2" s="146" t="s">
        <v>68</v>
      </c>
      <c r="AA2" s="73"/>
    </row>
    <row r="3" spans="2:27" ht="22" thickBot="1" x14ac:dyDescent="0.35">
      <c r="F3" s="73" t="s">
        <v>69</v>
      </c>
      <c r="G3" s="301" t="s">
        <v>70</v>
      </c>
      <c r="H3" s="302" t="s">
        <v>71</v>
      </c>
      <c r="I3" s="300" t="s">
        <v>72</v>
      </c>
      <c r="J3" s="85">
        <f>IF(I3="Brother",$C$6*Table46[[#This Row],[Seniority Dues]],IF(I3="EC",$C$7,IF(I3="Alumni",$C$8,IF(I3="Dropped",$C$11,IF(I3="President",$C$10,IF(I3="Inactive",$C$9,IF(Table46[[#This Row],[Type]]="New Member",$C$13,0)))))))</f>
        <v>200</v>
      </c>
      <c r="K3" s="85"/>
      <c r="L3" s="132">
        <f>VLOOKUP(F3,Winter!$F$3:$T$159, 13,)</f>
        <v>0</v>
      </c>
      <c r="M3" s="318">
        <v>200</v>
      </c>
      <c r="N3" s="311"/>
      <c r="O3" s="309"/>
      <c r="P3" s="132"/>
      <c r="Q3" s="132">
        <f t="shared" ref="Q3:Q34" si="0">M3+N3</f>
        <v>200</v>
      </c>
      <c r="R3" s="132">
        <f t="shared" ref="R3:R34" si="1">J3+K3+L3-M3-N3</f>
        <v>0</v>
      </c>
      <c r="S3" s="132">
        <f t="shared" ref="S3:S34" si="2">IF((J3+L3-M3+K3-N3)&lt;0,J3+L3-M3+K3-N3,0)</f>
        <v>0</v>
      </c>
      <c r="T3" s="133">
        <f t="shared" ref="T3:T34" si="3">IF((J3+L3-M3+K3-N3)&gt;0, J3+L3-M3+K3-N3, 0)</f>
        <v>0</v>
      </c>
      <c r="U3" s="147"/>
      <c r="V3" s="168"/>
      <c r="W3" s="89"/>
      <c r="X3" s="188">
        <v>4</v>
      </c>
      <c r="Y3" s="135"/>
      <c r="Z3" s="134">
        <f>IF(Table46[[#This Row],[Year]]=1, 1.3, IF(Table46[[#This Row],[Year]]=2, 1.2, IF(Table46[[#This Row],[Year]]=3, 1, IF(Table46[[#This Row],[Year]]=4, 0.72917, IF(Table46[[#This Row],[Year]]=5, 0.6, 0)))))</f>
        <v>0.72916999999999998</v>
      </c>
    </row>
    <row r="4" spans="2:27" ht="22" thickBot="1" x14ac:dyDescent="0.35">
      <c r="B4" s="367" t="s">
        <v>55</v>
      </c>
      <c r="C4" s="368"/>
      <c r="D4" s="369"/>
      <c r="E4" s="90"/>
      <c r="F4" s="73" t="s">
        <v>73</v>
      </c>
      <c r="G4" s="229" t="s">
        <v>74</v>
      </c>
      <c r="H4" s="297" t="s">
        <v>75</v>
      </c>
      <c r="I4" s="300" t="s">
        <v>72</v>
      </c>
      <c r="J4" s="85">
        <f>IF(I4="Brother",$C$6*Table46[[#This Row],[Seniority Dues]],IF(I4="EC",$C$7,IF(I4="Alumni",$C$8,IF(I4="Dropped",$C$11,IF(I4="President",$C$10,IF(I4="Inactive",$C$9,IF(Table46[[#This Row],[Type]]="New Member",$C$13,0)))))))</f>
        <v>200</v>
      </c>
      <c r="K4" s="85">
        <v>25</v>
      </c>
      <c r="L4" s="132">
        <f>VLOOKUP(F4,Winter!$F$3:$T$159, 13,)</f>
        <v>1.6000001323845936E-7</v>
      </c>
      <c r="M4" s="315">
        <v>225</v>
      </c>
      <c r="N4" s="312"/>
      <c r="O4" s="309" t="s">
        <v>455</v>
      </c>
      <c r="P4" s="132"/>
      <c r="Q4" s="132">
        <f t="shared" si="0"/>
        <v>225</v>
      </c>
      <c r="R4" s="132">
        <f t="shared" si="1"/>
        <v>1.6000001323845936E-7</v>
      </c>
      <c r="S4" s="132">
        <f t="shared" si="2"/>
        <v>0</v>
      </c>
      <c r="T4" s="133">
        <f t="shared" si="3"/>
        <v>1.6000001323845936E-7</v>
      </c>
      <c r="U4" s="147"/>
      <c r="V4" s="168"/>
      <c r="W4" s="89"/>
      <c r="X4" s="188">
        <v>4</v>
      </c>
      <c r="Y4" s="135"/>
      <c r="Z4" s="134">
        <f>IF(Table46[[#This Row],[Year]]=1, 1.3, IF(Table46[[#This Row],[Year]]=2, 1.2, IF(Table46[[#This Row],[Year]]=3, 1, IF(Table46[[#This Row],[Year]]=4, 0.72917, IF(Table46[[#This Row],[Year]]=5, 0.6, 0)))))</f>
        <v>0.72916999999999998</v>
      </c>
    </row>
    <row r="5" spans="2:27" ht="22" thickBot="1" x14ac:dyDescent="0.35">
      <c r="B5" s="91" t="s">
        <v>55</v>
      </c>
      <c r="C5" s="92" t="s">
        <v>77</v>
      </c>
      <c r="D5" s="93" t="s">
        <v>78</v>
      </c>
      <c r="E5" s="90"/>
      <c r="F5" s="73" t="s">
        <v>79</v>
      </c>
      <c r="G5" s="229" t="s">
        <v>80</v>
      </c>
      <c r="H5" s="297" t="s">
        <v>81</v>
      </c>
      <c r="I5" s="300" t="s">
        <v>89</v>
      </c>
      <c r="J5" s="85">
        <f>IF(I5="Brother",$C$6*Table46[[#This Row],[Seniority Dues]],IF(I5="EC",$C$7,IF(I5="Alumni",$C$8,IF(I5="Dropped",$C$11,IF(I5="President",$C$10,IF(I5="Inactive",$C$9,IF(Table46[[#This Row],[Type]]="New Member",$C$13,0)))))))</f>
        <v>0</v>
      </c>
      <c r="K5" s="85"/>
      <c r="L5" s="132">
        <f>VLOOKUP(F5,Winter!$F$3:$T$159, 13,)</f>
        <v>0</v>
      </c>
      <c r="M5" s="315"/>
      <c r="N5" s="312"/>
      <c r="O5" s="309"/>
      <c r="P5" s="132"/>
      <c r="Q5" s="132">
        <f t="shared" si="0"/>
        <v>0</v>
      </c>
      <c r="R5" s="132">
        <f t="shared" si="1"/>
        <v>0</v>
      </c>
      <c r="S5" s="132">
        <f t="shared" si="2"/>
        <v>0</v>
      </c>
      <c r="T5" s="133">
        <f t="shared" si="3"/>
        <v>0</v>
      </c>
      <c r="U5" s="147"/>
      <c r="V5" s="168"/>
      <c r="W5" s="89"/>
      <c r="X5" s="188">
        <v>4</v>
      </c>
      <c r="Y5" s="135"/>
      <c r="Z5" s="134">
        <f>IF(Table46[[#This Row],[Year]]=1, 1.3, IF(Table46[[#This Row],[Year]]=2, 1.2, IF(Table46[[#This Row],[Year]]=3, 1, IF(Table46[[#This Row],[Year]]=4, 0.72917, IF(Table46[[#This Row],[Year]]=5, 0.6, 0)))))</f>
        <v>0.72916999999999998</v>
      </c>
    </row>
    <row r="6" spans="2:27" ht="21" x14ac:dyDescent="0.3">
      <c r="B6" s="94" t="s">
        <v>76</v>
      </c>
      <c r="C6" s="95">
        <v>480</v>
      </c>
      <c r="D6" s="96">
        <f>COUNTIF(Table46[Type],B6)</f>
        <v>98</v>
      </c>
      <c r="E6" s="90"/>
      <c r="F6" s="73" t="s">
        <v>82</v>
      </c>
      <c r="G6" s="222" t="s">
        <v>83</v>
      </c>
      <c r="H6" s="214" t="s">
        <v>84</v>
      </c>
      <c r="I6" s="300" t="s">
        <v>76</v>
      </c>
      <c r="J6" s="85">
        <f>IF(I6="Brother",$C$6*Table46[[#This Row],[Seniority Dues]],IF(I6="EC",$C$7,IF(I6="Alumni",$C$8,IF(I6="Dropped",$C$11,IF(I6="President",$C$10,IF(I6="Inactive",$C$9,IF(Table46[[#This Row],[Type]]="New Member",$C$13,0)))))))</f>
        <v>576</v>
      </c>
      <c r="K6" s="85"/>
      <c r="L6" s="132">
        <f>VLOOKUP(F6,Winter!$F$3:$T$159, 13,)</f>
        <v>-25</v>
      </c>
      <c r="M6" s="315">
        <v>551</v>
      </c>
      <c r="N6" s="312"/>
      <c r="O6" s="309"/>
      <c r="P6" s="132"/>
      <c r="Q6" s="132">
        <f t="shared" si="0"/>
        <v>551</v>
      </c>
      <c r="R6" s="132">
        <f t="shared" si="1"/>
        <v>0</v>
      </c>
      <c r="S6" s="132">
        <f t="shared" si="2"/>
        <v>0</v>
      </c>
      <c r="T6" s="133">
        <f t="shared" si="3"/>
        <v>0</v>
      </c>
      <c r="U6" s="147"/>
      <c r="V6" s="168"/>
      <c r="W6" s="89"/>
      <c r="X6" s="218">
        <v>2</v>
      </c>
      <c r="Y6" s="135"/>
      <c r="Z6" s="134">
        <f>IF(Table46[[#This Row],[Year]]=1, 1.3, IF(Table46[[#This Row],[Year]]=2, 1.2, IF(Table46[[#This Row],[Year]]=3, 1, IF(Table46[[#This Row],[Year]]=4, 0.72917, IF(Table46[[#This Row],[Year]]=5, 0.6, 0)))))</f>
        <v>1.2</v>
      </c>
    </row>
    <row r="7" spans="2:27" ht="21" x14ac:dyDescent="0.3">
      <c r="B7" s="94" t="s">
        <v>85</v>
      </c>
      <c r="C7" s="95">
        <v>225</v>
      </c>
      <c r="D7" s="94">
        <f>COUNTIF(Table46[Type],B7)</f>
        <v>7</v>
      </c>
      <c r="E7" s="90"/>
      <c r="F7" s="73" t="s">
        <v>86</v>
      </c>
      <c r="G7" s="229" t="s">
        <v>87</v>
      </c>
      <c r="H7" s="297" t="s">
        <v>88</v>
      </c>
      <c r="I7" s="300" t="s">
        <v>89</v>
      </c>
      <c r="J7" s="85">
        <f>IF(I7="Brother",$C$6*Table46[[#This Row],[Seniority Dues]],IF(I7="EC",$C$7,IF(I7="Alumni",$C$8,IF(I7="Dropped",$C$11,IF(I7="President",$C$10,IF(I7="Inactive",$C$9,IF(Table46[[#This Row],[Type]]="New Member",$C$13,0)))))))</f>
        <v>0</v>
      </c>
      <c r="K7" s="85"/>
      <c r="L7" s="132">
        <f>VLOOKUP(F7,Winter!$F$3:$T$159, 13,)</f>
        <v>337.75</v>
      </c>
      <c r="M7" s="315">
        <v>337.75</v>
      </c>
      <c r="N7" s="312"/>
      <c r="O7" s="309" t="s">
        <v>455</v>
      </c>
      <c r="P7" s="132"/>
      <c r="Q7" s="132">
        <f t="shared" si="0"/>
        <v>337.75</v>
      </c>
      <c r="R7" s="132">
        <f t="shared" si="1"/>
        <v>0</v>
      </c>
      <c r="S7" s="132">
        <f t="shared" si="2"/>
        <v>0</v>
      </c>
      <c r="T7" s="133">
        <f t="shared" si="3"/>
        <v>0</v>
      </c>
      <c r="U7" s="147"/>
      <c r="V7" s="168"/>
      <c r="W7" s="89"/>
      <c r="X7" s="188">
        <v>4</v>
      </c>
      <c r="Y7" s="135"/>
      <c r="Z7" s="134">
        <f>IF(Table46[[#This Row],[Year]]=1, 1.3, IF(Table46[[#This Row],[Year]]=2, 1.2, IF(Table46[[#This Row],[Year]]=3, 1, IF(Table46[[#This Row],[Year]]=4, 0.72917, IF(Table46[[#This Row],[Year]]=5, 0.6, 0)))))</f>
        <v>0.72916999999999998</v>
      </c>
    </row>
    <row r="8" spans="2:27" ht="21" x14ac:dyDescent="0.3">
      <c r="B8" s="94" t="s">
        <v>89</v>
      </c>
      <c r="C8" s="95">
        <v>0</v>
      </c>
      <c r="D8" s="94">
        <f>COUNTIF(Table46[Type],B8)</f>
        <v>12</v>
      </c>
      <c r="E8" s="90"/>
      <c r="F8" s="73" t="s">
        <v>90</v>
      </c>
      <c r="G8" s="229" t="s">
        <v>91</v>
      </c>
      <c r="H8" s="297" t="s">
        <v>92</v>
      </c>
      <c r="I8" s="300" t="s">
        <v>76</v>
      </c>
      <c r="J8" s="85">
        <f>IF(I8="Brother",$C$6*Table46[[#This Row],[Seniority Dues]],IF(I8="EC",$C$7,IF(I8="Alumni",$C$8,IF(I8="Dropped",$C$11,IF(I8="President",$C$10,IF(I8="Inactive",$C$9,IF(Table46[[#This Row],[Type]]="New Member",$C$13,0)))))))</f>
        <v>350.0016</v>
      </c>
      <c r="K8" s="85">
        <v>25</v>
      </c>
      <c r="L8" s="132">
        <v>0</v>
      </c>
      <c r="M8" s="315">
        <v>375</v>
      </c>
      <c r="N8" s="312"/>
      <c r="O8" s="309"/>
      <c r="P8" s="132"/>
      <c r="Q8" s="132">
        <f t="shared" si="0"/>
        <v>375</v>
      </c>
      <c r="R8" s="132">
        <f t="shared" si="1"/>
        <v>1.5999999999962711E-3</v>
      </c>
      <c r="S8" s="132">
        <f t="shared" si="2"/>
        <v>0</v>
      </c>
      <c r="T8" s="133">
        <f t="shared" si="3"/>
        <v>1.5999999999962711E-3</v>
      </c>
      <c r="U8" s="147"/>
      <c r="V8" s="168"/>
      <c r="W8" s="89"/>
      <c r="X8" s="189">
        <v>4</v>
      </c>
      <c r="Y8" s="135"/>
      <c r="Z8" s="134">
        <f>IF(Table46[[#This Row],[Year]]=1, 1.3, IF(Table46[[#This Row],[Year]]=2, 1.2, IF(Table46[[#This Row],[Year]]=3, 1, IF(Table46[[#This Row],[Year]]=4, 0.72917, IF(Table46[[#This Row],[Year]]=5, 0.6, 0)))))</f>
        <v>0.72916999999999998</v>
      </c>
    </row>
    <row r="9" spans="2:27" ht="21" x14ac:dyDescent="0.3">
      <c r="B9" s="94" t="s">
        <v>72</v>
      </c>
      <c r="C9" s="95">
        <v>200</v>
      </c>
      <c r="D9" s="94">
        <f>COUNTIF(Table46[Type],B9)</f>
        <v>23</v>
      </c>
      <c r="E9" s="90"/>
      <c r="F9" s="73" t="s">
        <v>93</v>
      </c>
      <c r="G9" s="222" t="s">
        <v>94</v>
      </c>
      <c r="H9" s="214" t="s">
        <v>95</v>
      </c>
      <c r="I9" s="300" t="s">
        <v>76</v>
      </c>
      <c r="J9" s="85">
        <f>IF(I9="Brother",$C$6*Table46[[#This Row],[Seniority Dues]],IF(I9="EC",$C$7,IF(I9="Alumni",$C$8,IF(I9="Dropped",$C$11,IF(I9="President",$C$10,IF(I9="Inactive",$C$9,IF(Table46[[#This Row],[Type]]="New Member",$C$13,0)))))))</f>
        <v>576</v>
      </c>
      <c r="K9" s="85">
        <v>25</v>
      </c>
      <c r="L9" s="132">
        <f>VLOOKUP(F9,Winter!$F$3:$T$159, 13,)</f>
        <v>0</v>
      </c>
      <c r="M9" s="315">
        <v>601</v>
      </c>
      <c r="N9" s="312"/>
      <c r="O9" s="309"/>
      <c r="P9" s="132"/>
      <c r="Q9" s="132">
        <f t="shared" si="0"/>
        <v>601</v>
      </c>
      <c r="R9" s="132">
        <f t="shared" si="1"/>
        <v>0</v>
      </c>
      <c r="S9" s="132">
        <f t="shared" si="2"/>
        <v>0</v>
      </c>
      <c r="T9" s="133">
        <f t="shared" si="3"/>
        <v>0</v>
      </c>
      <c r="U9" s="147"/>
      <c r="V9" s="168"/>
      <c r="W9" s="89"/>
      <c r="X9" s="218">
        <v>2</v>
      </c>
      <c r="Y9" s="135"/>
      <c r="Z9" s="134">
        <f>IF(Table46[[#This Row],[Year]]=1, 1.3, IF(Table46[[#This Row],[Year]]=2, 1.2, IF(Table46[[#This Row],[Year]]=3, 1, IF(Table46[[#This Row],[Year]]=4, 0.72917, IF(Table46[[#This Row],[Year]]=5, 0.6, 0)))))</f>
        <v>1.2</v>
      </c>
    </row>
    <row r="10" spans="2:27" ht="21" x14ac:dyDescent="0.3">
      <c r="B10" s="94" t="s">
        <v>96</v>
      </c>
      <c r="C10" s="95">
        <v>0</v>
      </c>
      <c r="D10" s="94">
        <f>COUNTIF(Table46[Type],B10)</f>
        <v>1</v>
      </c>
      <c r="E10" s="90"/>
      <c r="F10" s="73" t="s">
        <v>97</v>
      </c>
      <c r="G10" s="222" t="s">
        <v>98</v>
      </c>
      <c r="H10" s="214" t="s">
        <v>99</v>
      </c>
      <c r="I10" s="300" t="s">
        <v>76</v>
      </c>
      <c r="J10" s="85">
        <f>IF(I10="Brother",$C$6*Table46[[#This Row],[Seniority Dues]],IF(I10="EC",$C$7,IF(I10="Alumni",$C$8,IF(I10="Dropped",$C$11,IF(I10="President",$C$10,IF(I10="Inactive",$C$9,IF(Table46[[#This Row],[Type]]="New Member",$C$13,0)))))))</f>
        <v>576</v>
      </c>
      <c r="K10" s="85"/>
      <c r="L10" s="132">
        <f>VLOOKUP(F10,Winter!$F$3:$T$159, 13,)</f>
        <v>0</v>
      </c>
      <c r="M10" s="315">
        <v>576</v>
      </c>
      <c r="N10" s="312"/>
      <c r="O10" s="309"/>
      <c r="P10" s="132"/>
      <c r="Q10" s="132">
        <f t="shared" si="0"/>
        <v>576</v>
      </c>
      <c r="R10" s="132">
        <f t="shared" si="1"/>
        <v>0</v>
      </c>
      <c r="S10" s="132">
        <f t="shared" si="2"/>
        <v>0</v>
      </c>
      <c r="T10" s="133">
        <f t="shared" si="3"/>
        <v>0</v>
      </c>
      <c r="U10" s="147"/>
      <c r="V10" s="168"/>
      <c r="W10" s="89"/>
      <c r="X10" s="218">
        <v>2</v>
      </c>
      <c r="Y10" s="135"/>
      <c r="Z10" s="134">
        <f>IF(Table46[[#This Row],[Year]]=1, 1.3, IF(Table46[[#This Row],[Year]]=2, 1.2, IF(Table46[[#This Row],[Year]]=3, 1, IF(Table46[[#This Row],[Year]]=4, 0.72917, IF(Table46[[#This Row],[Year]]=5, 0.6, 0)))))</f>
        <v>1.2</v>
      </c>
    </row>
    <row r="11" spans="2:27" ht="21" x14ac:dyDescent="0.3">
      <c r="B11" s="94" t="s">
        <v>100</v>
      </c>
      <c r="C11" s="95">
        <v>0</v>
      </c>
      <c r="D11" s="94">
        <f>COUNTIF(Table46[Type],B11)</f>
        <v>1</v>
      </c>
      <c r="F11" s="73" t="s">
        <v>394</v>
      </c>
      <c r="G11" s="222" t="s">
        <v>395</v>
      </c>
      <c r="H11" s="214" t="s">
        <v>396</v>
      </c>
      <c r="I11" s="300" t="s">
        <v>76</v>
      </c>
      <c r="J11" s="85">
        <f>IF(I11="Brother",$C$6*Table46[[#This Row],[Seniority Dues]],IF(I11="EC",$C$7,IF(I11="Alumni",$C$8,IF(I11="Dropped",$C$11,IF(I11="President",$C$10,IF(I11="Inactive",$C$9,IF(Table46[[#This Row],[Type]]="New Member",$C$13,0)))))))</f>
        <v>624</v>
      </c>
      <c r="K11" s="85"/>
      <c r="L11" s="132">
        <f>VLOOKUP(F11,Winter!$F$3:$T$159, 13,)</f>
        <v>0</v>
      </c>
      <c r="M11" s="315">
        <v>624</v>
      </c>
      <c r="N11" s="312"/>
      <c r="O11" s="309"/>
      <c r="P11" s="132"/>
      <c r="Q11" s="132">
        <f t="shared" si="0"/>
        <v>624</v>
      </c>
      <c r="R11" s="132">
        <f t="shared" si="1"/>
        <v>0</v>
      </c>
      <c r="S11" s="132">
        <f t="shared" si="2"/>
        <v>0</v>
      </c>
      <c r="T11" s="133">
        <f t="shared" si="3"/>
        <v>0</v>
      </c>
      <c r="U11" s="147"/>
      <c r="V11" s="168"/>
      <c r="W11" s="89"/>
      <c r="X11" s="218">
        <v>1</v>
      </c>
      <c r="Y11" s="135"/>
      <c r="Z11" s="134">
        <f>IF(Table46[[#This Row],[Year]]=1, 1.3, IF(Table46[[#This Row],[Year]]=2, 1.2, IF(Table46[[#This Row],[Year]]=3, 1, IF(Table46[[#This Row],[Year]]=4, 0.72917, IF(Table46[[#This Row],[Year]]=5, 0.6, 0)))))</f>
        <v>1.3</v>
      </c>
    </row>
    <row r="12" spans="2:27" ht="21" x14ac:dyDescent="0.3">
      <c r="B12" s="94" t="s">
        <v>104</v>
      </c>
      <c r="C12" s="95">
        <v>0</v>
      </c>
      <c r="D12" s="94">
        <f>COUNTIF(Table46[Type],B12)</f>
        <v>0</v>
      </c>
      <c r="F12" s="73" t="s">
        <v>101</v>
      </c>
      <c r="G12" s="229" t="s">
        <v>102</v>
      </c>
      <c r="H12" s="297" t="s">
        <v>103</v>
      </c>
      <c r="I12" s="300" t="s">
        <v>76</v>
      </c>
      <c r="J12" s="85">
        <f>IF(I12="Brother",$C$6*Table46[[#This Row],[Seniority Dues]],IF(I12="EC",$C$7,IF(I12="Alumni",$C$8,IF(I12="Dropped",$C$11,IF(I12="President",$C$10,IF(I12="Inactive",$C$9,IF(Table46[[#This Row],[Type]]="New Member",$C$13,0)))))))</f>
        <v>350.0016</v>
      </c>
      <c r="K12" s="85">
        <v>25</v>
      </c>
      <c r="L12" s="132">
        <f>VLOOKUP(F12,Winter!$F$3:$T$159, 13,)</f>
        <v>400.00000016000001</v>
      </c>
      <c r="M12" s="315"/>
      <c r="N12" s="312"/>
      <c r="O12" s="309" t="s">
        <v>455</v>
      </c>
      <c r="P12" s="132"/>
      <c r="Q12" s="132">
        <f t="shared" si="0"/>
        <v>0</v>
      </c>
      <c r="R12" s="132">
        <f t="shared" si="1"/>
        <v>775.00160015999995</v>
      </c>
      <c r="S12" s="132">
        <f t="shared" si="2"/>
        <v>0</v>
      </c>
      <c r="T12" s="133">
        <f t="shared" si="3"/>
        <v>775.00160015999995</v>
      </c>
      <c r="U12" s="147"/>
      <c r="V12" s="168"/>
      <c r="W12" s="89"/>
      <c r="X12" s="188">
        <v>4</v>
      </c>
      <c r="Y12" s="135"/>
      <c r="Z12" s="134">
        <f>IF(Table46[[#This Row],[Year]]=1, 1.3, IF(Table46[[#This Row],[Year]]=2, 1.2, IF(Table46[[#This Row],[Year]]=3, 1, IF(Table46[[#This Row],[Year]]=4, 0.72917, IF(Table46[[#This Row],[Year]]=5, 0.6, 0)))))</f>
        <v>0.72916999999999998</v>
      </c>
    </row>
    <row r="13" spans="2:27" ht="22" thickBot="1" x14ac:dyDescent="0.35">
      <c r="B13" s="97" t="s">
        <v>108</v>
      </c>
      <c r="C13" s="98">
        <v>600</v>
      </c>
      <c r="D13" s="99">
        <f>COUNTIF(Table46[Type],B13)</f>
        <v>0</v>
      </c>
      <c r="F13" s="73" t="s">
        <v>105</v>
      </c>
      <c r="G13" s="229" t="s">
        <v>106</v>
      </c>
      <c r="H13" s="297" t="s">
        <v>107</v>
      </c>
      <c r="I13" s="300" t="s">
        <v>76</v>
      </c>
      <c r="J13" s="85">
        <f>IF(I13="Brother",$C$6*Table46[[#This Row],[Seniority Dues]],IF(I13="EC",$C$7,IF(I13="Alumni",$C$8,IF(I13="Dropped",$C$11,IF(I13="President",$C$10,IF(I13="Inactive",$C$9,IF(Table46[[#This Row],[Type]]="New Member",$C$13,0)))))))</f>
        <v>480</v>
      </c>
      <c r="K13" s="85"/>
      <c r="L13" s="132">
        <f>VLOOKUP(F13,Winter!$F$3:$T$159, 13,)</f>
        <v>-25</v>
      </c>
      <c r="M13" s="315">
        <v>455</v>
      </c>
      <c r="N13" s="312"/>
      <c r="O13" s="309"/>
      <c r="P13" s="132"/>
      <c r="Q13" s="132">
        <f t="shared" si="0"/>
        <v>455</v>
      </c>
      <c r="R13" s="132">
        <f t="shared" si="1"/>
        <v>0</v>
      </c>
      <c r="S13" s="132">
        <f t="shared" si="2"/>
        <v>0</v>
      </c>
      <c r="T13" s="133">
        <f t="shared" si="3"/>
        <v>0</v>
      </c>
      <c r="U13" s="147"/>
      <c r="V13" s="168"/>
      <c r="W13" s="89"/>
      <c r="X13" s="189">
        <v>3</v>
      </c>
      <c r="Y13" s="135"/>
      <c r="Z13" s="134">
        <f>IF(Table46[[#This Row],[Year]]=1, 1.3, IF(Table46[[#This Row],[Year]]=2, 1.2, IF(Table46[[#This Row],[Year]]=3, 1, IF(Table46[[#This Row],[Year]]=4, 0.72917, IF(Table46[[#This Row],[Year]]=5, 0.6, 0)))))</f>
        <v>1</v>
      </c>
    </row>
    <row r="14" spans="2:27" ht="21" x14ac:dyDescent="0.3">
      <c r="F14" s="73" t="s">
        <v>109</v>
      </c>
      <c r="G14" s="229" t="s">
        <v>110</v>
      </c>
      <c r="H14" s="297" t="s">
        <v>111</v>
      </c>
      <c r="I14" s="300" t="s">
        <v>72</v>
      </c>
      <c r="J14" s="85">
        <f>IF(I14="Brother",$C$6*Table46[[#This Row],[Seniority Dues]],IF(I14="EC",$C$7,IF(I14="Alumni",$C$8,IF(I14="Dropped",$C$11,IF(I14="President",$C$10,IF(I14="Inactive",$C$9,IF(Table46[[#This Row],[Type]]="New Member",$C$13,0)))))))</f>
        <v>200</v>
      </c>
      <c r="K14" s="85"/>
      <c r="L14" s="132">
        <f>VLOOKUP(F14,Winter!$F$3:$T$159, 13,)</f>
        <v>0</v>
      </c>
      <c r="M14" s="315">
        <v>200</v>
      </c>
      <c r="N14" s="312"/>
      <c r="O14" s="309"/>
      <c r="P14" s="132"/>
      <c r="Q14" s="132">
        <f t="shared" si="0"/>
        <v>200</v>
      </c>
      <c r="R14" s="132">
        <f t="shared" si="1"/>
        <v>0</v>
      </c>
      <c r="S14" s="132">
        <f t="shared" si="2"/>
        <v>0</v>
      </c>
      <c r="T14" s="133">
        <f t="shared" si="3"/>
        <v>0</v>
      </c>
      <c r="U14" s="147"/>
      <c r="V14" s="168"/>
      <c r="W14" s="89"/>
      <c r="X14" s="188">
        <v>4</v>
      </c>
      <c r="Y14" s="135"/>
      <c r="Z14" s="134">
        <f>IF(Table46[[#This Row],[Year]]=1, 1.3, IF(Table46[[#This Row],[Year]]=2, 1.2, IF(Table46[[#This Row],[Year]]=3, 1, IF(Table46[[#This Row],[Year]]=4, 0.72917, IF(Table46[[#This Row],[Year]]=5, 0.6, 0)))))</f>
        <v>0.72916999999999998</v>
      </c>
    </row>
    <row r="15" spans="2:27" ht="22" thickBot="1" x14ac:dyDescent="0.35">
      <c r="F15" s="73" t="s">
        <v>397</v>
      </c>
      <c r="G15" s="222" t="s">
        <v>398</v>
      </c>
      <c r="H15" s="214" t="s">
        <v>261</v>
      </c>
      <c r="I15" s="300" t="s">
        <v>76</v>
      </c>
      <c r="J15" s="85">
        <f>IF(I15="Brother",$C$6*Table46[[#This Row],[Seniority Dues]],IF(I15="EC",$C$7,IF(I15="Alumni",$C$8,IF(I15="Dropped",$C$11,IF(I15="President",$C$10,IF(I15="Inactive",$C$9,IF(Table46[[#This Row],[Type]]="New Member",$C$13,0)))))))</f>
        <v>624</v>
      </c>
      <c r="K15" s="85"/>
      <c r="L15" s="132">
        <f>VLOOKUP(F15,Winter!$F$3:$T$159, 13,)</f>
        <v>0</v>
      </c>
      <c r="M15" s="315">
        <v>624</v>
      </c>
      <c r="N15" s="312"/>
      <c r="O15" s="309"/>
      <c r="P15" s="132"/>
      <c r="Q15" s="132">
        <f t="shared" si="0"/>
        <v>624</v>
      </c>
      <c r="R15" s="132">
        <f t="shared" si="1"/>
        <v>0</v>
      </c>
      <c r="S15" s="132">
        <f t="shared" si="2"/>
        <v>0</v>
      </c>
      <c r="T15" s="133">
        <f t="shared" si="3"/>
        <v>0</v>
      </c>
      <c r="U15" s="147"/>
      <c r="V15" s="168"/>
      <c r="W15" s="89"/>
      <c r="X15" s="218">
        <v>1</v>
      </c>
      <c r="Y15" s="135"/>
      <c r="Z15" s="134">
        <f>IF(Table46[[#This Row],[Year]]=1, 1.3, IF(Table46[[#This Row],[Year]]=2, 1.2, IF(Table46[[#This Row],[Year]]=3, 1, IF(Table46[[#This Row],[Year]]=4, 0.72917, IF(Table46[[#This Row],[Year]]=5, 0.6, 0)))))</f>
        <v>1.3</v>
      </c>
    </row>
    <row r="16" spans="2:27" ht="21" customHeight="1" thickBot="1" x14ac:dyDescent="0.35">
      <c r="B16" s="100" t="s">
        <v>66</v>
      </c>
      <c r="C16" s="101" t="s">
        <v>78</v>
      </c>
      <c r="D16" s="102" t="s">
        <v>118</v>
      </c>
      <c r="F16" s="73" t="s">
        <v>112</v>
      </c>
      <c r="G16" s="222" t="s">
        <v>113</v>
      </c>
      <c r="H16" s="214" t="s">
        <v>114</v>
      </c>
      <c r="I16" s="300" t="s">
        <v>76</v>
      </c>
      <c r="J16" s="85">
        <f>IF(I16="Brother",$C$6*Table46[[#This Row],[Seniority Dues]],IF(I16="EC",$C$7,IF(I16="Alumni",$C$8,IF(I16="Dropped",$C$11,IF(I16="President",$C$10,IF(I16="Inactive",$C$9,IF(Table46[[#This Row],[Type]]="New Member",$C$13,0)))))))</f>
        <v>576</v>
      </c>
      <c r="K16" s="85"/>
      <c r="L16" s="132">
        <f>VLOOKUP(F16,Winter!$F$3:$T$159, 13,)</f>
        <v>0</v>
      </c>
      <c r="M16" s="315">
        <v>576</v>
      </c>
      <c r="N16" s="312"/>
      <c r="O16" s="309"/>
      <c r="P16" s="132"/>
      <c r="Q16" s="132">
        <f t="shared" si="0"/>
        <v>576</v>
      </c>
      <c r="R16" s="132">
        <f t="shared" si="1"/>
        <v>0</v>
      </c>
      <c r="S16" s="132">
        <f t="shared" si="2"/>
        <v>0</v>
      </c>
      <c r="T16" s="133">
        <f t="shared" si="3"/>
        <v>0</v>
      </c>
      <c r="U16" s="147"/>
      <c r="V16" s="168"/>
      <c r="W16" s="89"/>
      <c r="X16" s="218">
        <v>2</v>
      </c>
      <c r="Y16" s="135"/>
      <c r="Z16" s="134">
        <f>IF(Table46[[#This Row],[Year]]=1, 1.3, IF(Table46[[#This Row],[Year]]=2, 1.2, IF(Table46[[#This Row],[Year]]=3, 1, IF(Table46[[#This Row],[Year]]=4, 0.72917, IF(Table46[[#This Row],[Year]]=5, 0.6, 0)))))</f>
        <v>1.2</v>
      </c>
    </row>
    <row r="17" spans="2:26" ht="21" x14ac:dyDescent="0.3">
      <c r="B17" s="103">
        <v>1</v>
      </c>
      <c r="C17" s="104">
        <f>COUNTIFS(X:X,B17,I:I,"&lt;&gt;Dropped")</f>
        <v>34</v>
      </c>
      <c r="D17" s="105">
        <f>C17/$C$22</f>
        <v>0.24113475177304963</v>
      </c>
      <c r="F17" s="73" t="s">
        <v>399</v>
      </c>
      <c r="G17" s="222" t="s">
        <v>113</v>
      </c>
      <c r="H17" s="214" t="s">
        <v>400</v>
      </c>
      <c r="I17" s="300" t="s">
        <v>76</v>
      </c>
      <c r="J17" s="85">
        <f>IF(I17="Brother",$C$6*Table46[[#This Row],[Seniority Dues]],IF(I17="EC",$C$7,IF(I17="Alumni",$C$8,IF(I17="Dropped",$C$11,IF(I17="President",$C$10,IF(I17="Inactive",$C$9,IF(Table46[[#This Row],[Type]]="New Member",$C$13,0)))))))</f>
        <v>624</v>
      </c>
      <c r="K17" s="85"/>
      <c r="L17" s="132">
        <f>VLOOKUP(F17,Winter!$F$3:$T$159, 13,)</f>
        <v>-24</v>
      </c>
      <c r="M17" s="315">
        <v>201.25</v>
      </c>
      <c r="N17" s="312"/>
      <c r="O17" s="309" t="s">
        <v>455</v>
      </c>
      <c r="P17" s="132"/>
      <c r="Q17" s="132">
        <f t="shared" si="0"/>
        <v>201.25</v>
      </c>
      <c r="R17" s="132">
        <f t="shared" si="1"/>
        <v>398.75</v>
      </c>
      <c r="S17" s="132">
        <f t="shared" si="2"/>
        <v>0</v>
      </c>
      <c r="T17" s="133">
        <f t="shared" si="3"/>
        <v>398.75</v>
      </c>
      <c r="U17" s="147"/>
      <c r="V17" s="168"/>
      <c r="W17" s="89"/>
      <c r="X17" s="218">
        <v>1</v>
      </c>
      <c r="Y17" s="135"/>
      <c r="Z17" s="134">
        <f>IF(Table46[[#This Row],[Year]]=1, 1.3, IF(Table46[[#This Row],[Year]]=2, 1.2, IF(Table46[[#This Row],[Year]]=3, 1, IF(Table46[[#This Row],[Year]]=4, 0.72917, IF(Table46[[#This Row],[Year]]=5, 0.6, 0)))))</f>
        <v>1.3</v>
      </c>
    </row>
    <row r="18" spans="2:26" ht="21" x14ac:dyDescent="0.3">
      <c r="B18" s="106">
        <v>2</v>
      </c>
      <c r="C18" s="107">
        <f>COUNTIFS(X:X,B18,I:I,"&lt;&gt;Dropped")</f>
        <v>40</v>
      </c>
      <c r="D18" s="108">
        <f>C18/$C$22</f>
        <v>0.28368794326241137</v>
      </c>
      <c r="F18" s="73" t="s">
        <v>401</v>
      </c>
      <c r="G18" s="222" t="s">
        <v>402</v>
      </c>
      <c r="H18" s="214" t="s">
        <v>99</v>
      </c>
      <c r="I18" s="300" t="s">
        <v>76</v>
      </c>
      <c r="J18" s="85">
        <f>IF(I18="Brother",$C$6*Table46[[#This Row],[Seniority Dues]],IF(I18="EC",$C$7,IF(I18="Alumni",$C$8,IF(I18="Dropped",$C$11,IF(I18="President",$C$10,IF(I18="Inactive",$C$9,IF(Table46[[#This Row],[Type]]="New Member",$C$13,0)))))))</f>
        <v>576</v>
      </c>
      <c r="K18" s="85">
        <v>25</v>
      </c>
      <c r="L18" s="132">
        <f>VLOOKUP(F18,Winter!$F$3:$T$159, 13,)</f>
        <v>0</v>
      </c>
      <c r="M18" s="315">
        <v>601</v>
      </c>
      <c r="N18" s="312"/>
      <c r="O18" s="309"/>
      <c r="P18" s="132"/>
      <c r="Q18" s="132">
        <f t="shared" si="0"/>
        <v>601</v>
      </c>
      <c r="R18" s="132">
        <f t="shared" si="1"/>
        <v>0</v>
      </c>
      <c r="S18" s="132">
        <f t="shared" si="2"/>
        <v>0</v>
      </c>
      <c r="T18" s="133">
        <f t="shared" si="3"/>
        <v>0</v>
      </c>
      <c r="U18" s="147"/>
      <c r="V18" s="168"/>
      <c r="W18" s="89"/>
      <c r="X18" s="218">
        <v>2</v>
      </c>
      <c r="Y18" s="135"/>
      <c r="Z18" s="134">
        <f>IF(Table46[[#This Row],[Year]]=1, 1.3, IF(Table46[[#This Row],[Year]]=2, 1.2, IF(Table46[[#This Row],[Year]]=3, 1, IF(Table46[[#This Row],[Year]]=4, 0.72917, IF(Table46[[#This Row],[Year]]=5, 0.6, 0)))))</f>
        <v>1.2</v>
      </c>
    </row>
    <row r="19" spans="2:26" ht="21" x14ac:dyDescent="0.3">
      <c r="B19" s="106">
        <v>3</v>
      </c>
      <c r="C19" s="107">
        <f>COUNTIFS(X:X,B19,I:I,"&lt;&gt;Dropped")</f>
        <v>29</v>
      </c>
      <c r="D19" s="108">
        <f>C19/$C$22</f>
        <v>0.20567375886524822</v>
      </c>
      <c r="F19" s="73" t="s">
        <v>115</v>
      </c>
      <c r="G19" s="229" t="s">
        <v>116</v>
      </c>
      <c r="H19" s="297" t="s">
        <v>117</v>
      </c>
      <c r="I19" s="300" t="s">
        <v>89</v>
      </c>
      <c r="J19" s="85">
        <f>IF(I19="Brother",$C$6*Table46[[#This Row],[Seniority Dues]],IF(I19="EC",$C$7,IF(I19="Alumni",$C$8,IF(I19="Dropped",$C$11,IF(I19="President",$C$10,IF(I19="Inactive",$C$9,IF(Table46[[#This Row],[Type]]="New Member",$C$13,0)))))))</f>
        <v>0</v>
      </c>
      <c r="K19" s="85"/>
      <c r="L19" s="132">
        <f>VLOOKUP(F19,Winter!$F$3:$T$159, 13,)</f>
        <v>112.5</v>
      </c>
      <c r="M19" s="315">
        <v>112.5</v>
      </c>
      <c r="N19" s="312"/>
      <c r="O19" s="309" t="s">
        <v>455</v>
      </c>
      <c r="P19" s="132"/>
      <c r="Q19" s="132">
        <f t="shared" si="0"/>
        <v>112.5</v>
      </c>
      <c r="R19" s="132">
        <f t="shared" si="1"/>
        <v>0</v>
      </c>
      <c r="S19" s="132">
        <f t="shared" si="2"/>
        <v>0</v>
      </c>
      <c r="T19" s="133">
        <f t="shared" si="3"/>
        <v>0</v>
      </c>
      <c r="U19" s="147"/>
      <c r="V19" s="168"/>
      <c r="W19" s="89"/>
      <c r="X19" s="188">
        <v>4</v>
      </c>
      <c r="Y19" s="135"/>
      <c r="Z19" s="134">
        <f>IF(Table46[[#This Row],[Year]]=1, 1.3, IF(Table46[[#This Row],[Year]]=2, 1.2, IF(Table46[[#This Row],[Year]]=3, 1, IF(Table46[[#This Row],[Year]]=4, 0.72917, IF(Table46[[#This Row],[Year]]=5, 0.6, 0)))))</f>
        <v>0.72916999999999998</v>
      </c>
    </row>
    <row r="20" spans="2:26" ht="21" x14ac:dyDescent="0.3">
      <c r="B20" s="106">
        <v>4</v>
      </c>
      <c r="C20" s="107">
        <f>COUNTIFS(X:X,B20,I:I,"&lt;&gt;Dropped")</f>
        <v>38</v>
      </c>
      <c r="D20" s="108">
        <f>C20/$C$22</f>
        <v>0.26950354609929078</v>
      </c>
      <c r="F20" s="73" t="s">
        <v>119</v>
      </c>
      <c r="G20" s="229" t="s">
        <v>120</v>
      </c>
      <c r="H20" s="297" t="s">
        <v>121</v>
      </c>
      <c r="I20" s="300" t="s">
        <v>72</v>
      </c>
      <c r="J20" s="85">
        <f>IF(I20="Brother",$C$6*Table46[[#This Row],[Seniority Dues]],IF(I20="EC",$C$7,IF(I20="Alumni",$C$8,IF(I20="Dropped",$C$11,IF(I20="President",$C$10,IF(I20="Inactive",$C$9,IF(Table46[[#This Row],[Type]]="New Member",$C$13,0)))))))</f>
        <v>200</v>
      </c>
      <c r="K20" s="85"/>
      <c r="L20" s="132">
        <f>VLOOKUP(F20,Winter!$F$3:$T$159, 13,)</f>
        <v>0</v>
      </c>
      <c r="M20" s="315">
        <v>200</v>
      </c>
      <c r="N20" s="312"/>
      <c r="O20" s="309"/>
      <c r="P20" s="132"/>
      <c r="Q20" s="132">
        <f t="shared" si="0"/>
        <v>200</v>
      </c>
      <c r="R20" s="132">
        <f t="shared" si="1"/>
        <v>0</v>
      </c>
      <c r="S20" s="132">
        <f t="shared" si="2"/>
        <v>0</v>
      </c>
      <c r="T20" s="133">
        <f t="shared" si="3"/>
        <v>0</v>
      </c>
      <c r="U20" s="147"/>
      <c r="V20" s="168"/>
      <c r="W20" s="89"/>
      <c r="X20" s="188">
        <v>4</v>
      </c>
      <c r="Y20" s="135"/>
      <c r="Z20" s="134">
        <f>IF(Table46[[#This Row],[Year]]=1, 1.3, IF(Table46[[#This Row],[Year]]=2, 1.2, IF(Table46[[#This Row],[Year]]=3, 1, IF(Table46[[#This Row],[Year]]=4, 0.72917, IF(Table46[[#This Row],[Year]]=5, 0.6, 0)))))</f>
        <v>0.72916999999999998</v>
      </c>
    </row>
    <row r="21" spans="2:26" ht="22" thickBot="1" x14ac:dyDescent="0.35">
      <c r="B21" s="109">
        <v>5</v>
      </c>
      <c r="C21" s="110">
        <f>COUNTIFS(X:X,B21,I:I,"&lt;&gt;Dropped")</f>
        <v>0</v>
      </c>
      <c r="D21" s="111">
        <f>C21/$C$22</f>
        <v>0</v>
      </c>
      <c r="F21" s="73" t="s">
        <v>122</v>
      </c>
      <c r="G21" s="229" t="s">
        <v>123</v>
      </c>
      <c r="H21" s="297" t="s">
        <v>88</v>
      </c>
      <c r="I21" s="300" t="s">
        <v>72</v>
      </c>
      <c r="J21" s="85">
        <f>IF(I21="Brother",$C$6*Table46[[#This Row],[Seniority Dues]],IF(I21="EC",$C$7,IF(I21="Alumni",$C$8,IF(I21="Dropped",$C$11,IF(I21="President",$C$10,IF(I21="Inactive",$C$9,IF(Table46[[#This Row],[Type]]="New Member",$C$13,0)))))))</f>
        <v>200</v>
      </c>
      <c r="K21" s="85"/>
      <c r="L21" s="132">
        <f>VLOOKUP(F21,Winter!$F$3:$T$159, 13,)</f>
        <v>0</v>
      </c>
      <c r="M21" s="315">
        <v>201.5</v>
      </c>
      <c r="N21" s="312"/>
      <c r="O21" s="309"/>
      <c r="P21" s="132"/>
      <c r="Q21" s="132">
        <f t="shared" si="0"/>
        <v>201.5</v>
      </c>
      <c r="R21" s="132">
        <f t="shared" si="1"/>
        <v>-1.5</v>
      </c>
      <c r="S21" s="132">
        <f t="shared" si="2"/>
        <v>-1.5</v>
      </c>
      <c r="T21" s="133">
        <f t="shared" si="3"/>
        <v>0</v>
      </c>
      <c r="U21" s="147"/>
      <c r="V21" s="168"/>
      <c r="W21" s="89"/>
      <c r="X21" s="188">
        <v>4</v>
      </c>
      <c r="Y21" s="135"/>
      <c r="Z21" s="134">
        <f>IF(Table46[[#This Row],[Year]]=1, 1.3, IF(Table46[[#This Row],[Year]]=2, 1.2, IF(Table46[[#This Row],[Year]]=3, 1, IF(Table46[[#This Row],[Year]]=4, 0.72917, IF(Table46[[#This Row],[Year]]=5, 0.6, 0)))))</f>
        <v>0.72916999999999998</v>
      </c>
    </row>
    <row r="22" spans="2:26" ht="22" thickBot="1" x14ac:dyDescent="0.35">
      <c r="B22" s="109" t="s">
        <v>25</v>
      </c>
      <c r="C22" s="110">
        <f>SUM(C17:C21)</f>
        <v>141</v>
      </c>
      <c r="D22" s="112"/>
      <c r="F22" s="73" t="s">
        <v>124</v>
      </c>
      <c r="G22" s="229" t="s">
        <v>125</v>
      </c>
      <c r="H22" s="297" t="s">
        <v>95</v>
      </c>
      <c r="I22" s="300" t="s">
        <v>76</v>
      </c>
      <c r="J22" s="85">
        <f>IF(I22="Brother",$C$6*Table46[[#This Row],[Seniority Dues]],IF(I22="EC",$C$7,IF(I22="Alumni",$C$8,IF(I22="Dropped",$C$11,IF(I22="President",$C$10,IF(I22="Inactive",$C$9,IF(Table46[[#This Row],[Type]]="New Member",$C$13,0)))))))</f>
        <v>480</v>
      </c>
      <c r="K22" s="85"/>
      <c r="L22" s="132">
        <f>VLOOKUP(F22,Winter!$F$3:$T$159, 13,)</f>
        <v>-25</v>
      </c>
      <c r="M22" s="315">
        <v>455</v>
      </c>
      <c r="N22" s="312"/>
      <c r="O22" s="309"/>
      <c r="P22" s="132"/>
      <c r="Q22" s="132">
        <f t="shared" si="0"/>
        <v>455</v>
      </c>
      <c r="R22" s="132">
        <f t="shared" si="1"/>
        <v>0</v>
      </c>
      <c r="S22" s="132">
        <f t="shared" si="2"/>
        <v>0</v>
      </c>
      <c r="T22" s="133">
        <f t="shared" si="3"/>
        <v>0</v>
      </c>
      <c r="U22" s="147"/>
      <c r="V22" s="168"/>
      <c r="W22" s="89"/>
      <c r="X22" s="189">
        <v>3</v>
      </c>
      <c r="Y22" s="135"/>
      <c r="Z22" s="134">
        <f>IF(Table46[[#This Row],[Year]]=1, 1.3, IF(Table46[[#This Row],[Year]]=2, 1.2, IF(Table46[[#This Row],[Year]]=3, 1, IF(Table46[[#This Row],[Year]]=4, 0.72917, IF(Table46[[#This Row],[Year]]=5, 0.6, 0)))))</f>
        <v>1</v>
      </c>
    </row>
    <row r="23" spans="2:26" ht="21" x14ac:dyDescent="0.3">
      <c r="B23" s="107"/>
      <c r="C23" s="107"/>
      <c r="D23" s="107"/>
      <c r="F23" s="73" t="s">
        <v>126</v>
      </c>
      <c r="G23" s="229" t="s">
        <v>127</v>
      </c>
      <c r="H23" s="297" t="s">
        <v>128</v>
      </c>
      <c r="I23" s="300" t="s">
        <v>85</v>
      </c>
      <c r="J23" s="85">
        <f>IF(I23="Brother",$C$6*Table46[[#This Row],[Seniority Dues]],IF(I23="EC",$C$7,IF(I23="Alumni",$C$8,IF(I23="Dropped",$C$11,IF(I23="President",$C$10,IF(I23="Inactive",$C$9,IF(Table46[[#This Row],[Type]]="New Member",$C$13,0)))))))</f>
        <v>225</v>
      </c>
      <c r="K23" s="85">
        <v>25</v>
      </c>
      <c r="L23" s="132">
        <f>VLOOKUP(F23,Winter!$F$3:$T$159, 13,)</f>
        <v>0</v>
      </c>
      <c r="M23" s="316">
        <v>250</v>
      </c>
      <c r="N23" s="313"/>
      <c r="O23" s="309"/>
      <c r="P23" s="132"/>
      <c r="Q23" s="132">
        <f t="shared" si="0"/>
        <v>250</v>
      </c>
      <c r="R23" s="283">
        <f t="shared" si="1"/>
        <v>0</v>
      </c>
      <c r="S23" s="283">
        <f t="shared" si="2"/>
        <v>0</v>
      </c>
      <c r="T23" s="133">
        <f t="shared" si="3"/>
        <v>0</v>
      </c>
      <c r="U23" s="186"/>
      <c r="V23" s="187"/>
      <c r="W23" s="173"/>
      <c r="X23" s="189">
        <v>3</v>
      </c>
      <c r="Y23" s="135"/>
      <c r="Z23" s="134">
        <f>IF(Table46[[#This Row],[Year]]=1, 1.3, IF(Table46[[#This Row],[Year]]=2, 1.2, IF(Table46[[#This Row],[Year]]=3, 1, IF(Table46[[#This Row],[Year]]=4, 0.72917, IF(Table46[[#This Row],[Year]]=5, 0.6, 0)))))</f>
        <v>1</v>
      </c>
    </row>
    <row r="24" spans="2:26" ht="21" x14ac:dyDescent="0.3">
      <c r="B24" s="107"/>
      <c r="C24" s="107"/>
      <c r="D24" s="107"/>
      <c r="F24" s="73" t="s">
        <v>129</v>
      </c>
      <c r="G24" s="229" t="s">
        <v>130</v>
      </c>
      <c r="H24" s="297" t="s">
        <v>131</v>
      </c>
      <c r="I24" s="299" t="s">
        <v>72</v>
      </c>
      <c r="J24" s="85">
        <f>IF(I24="Brother",$C$6*Table46[[#This Row],[Seniority Dues]],IF(I24="EC",$C$7,IF(I24="Alumni",$C$8,IF(I24="Dropped",$C$11,IF(I24="President",$C$10,IF(I24="Inactive",$C$9,IF(Table46[[#This Row],[Type]]="New Member",$C$13,0)))))))</f>
        <v>200</v>
      </c>
      <c r="K24" s="85"/>
      <c r="L24" s="132">
        <v>0</v>
      </c>
      <c r="M24" s="316">
        <v>200</v>
      </c>
      <c r="N24" s="313"/>
      <c r="O24" s="309"/>
      <c r="P24" s="132"/>
      <c r="Q24" s="132">
        <f t="shared" si="0"/>
        <v>200</v>
      </c>
      <c r="R24" s="283">
        <f t="shared" si="1"/>
        <v>0</v>
      </c>
      <c r="S24" s="283">
        <f t="shared" si="2"/>
        <v>0</v>
      </c>
      <c r="T24" s="133">
        <f t="shared" si="3"/>
        <v>0</v>
      </c>
      <c r="U24" s="186"/>
      <c r="V24" s="187"/>
      <c r="W24" s="173"/>
      <c r="X24" s="188">
        <v>4</v>
      </c>
      <c r="Y24" s="135"/>
      <c r="Z24" s="134">
        <f>IF(Table46[[#This Row],[Year]]=1, 1.3, IF(Table46[[#This Row],[Year]]=2, 1.2, IF(Table46[[#This Row],[Year]]=3, 1, IF(Table46[[#This Row],[Year]]=4, 0.72917, IF(Table46[[#This Row],[Year]]=5, 0.6, 0)))))</f>
        <v>0.72916999999999998</v>
      </c>
    </row>
    <row r="25" spans="2:26" ht="21" x14ac:dyDescent="0.3">
      <c r="B25" s="107"/>
      <c r="C25" s="107"/>
      <c r="D25" s="107"/>
      <c r="F25" s="73" t="s">
        <v>132</v>
      </c>
      <c r="G25" s="222" t="s">
        <v>133</v>
      </c>
      <c r="H25" s="214" t="s">
        <v>134</v>
      </c>
      <c r="I25" s="299" t="s">
        <v>76</v>
      </c>
      <c r="J25" s="85">
        <f>IF(I25="Brother",$C$6*Table46[[#This Row],[Seniority Dues]],IF(I25="EC",$C$7,IF(I25="Alumni",$C$8,IF(I25="Dropped",$C$11,IF(I25="President",$C$10,IF(I25="Inactive",$C$9,IF(Table46[[#This Row],[Type]]="New Member",$C$13,0)))))))</f>
        <v>576</v>
      </c>
      <c r="K25" s="85"/>
      <c r="L25" s="132">
        <f>VLOOKUP(F25,Winter!$F$3:$T$159, 13,)</f>
        <v>0</v>
      </c>
      <c r="M25" s="316">
        <v>300.5</v>
      </c>
      <c r="N25" s="313">
        <v>300.5</v>
      </c>
      <c r="O25" s="309" t="s">
        <v>455</v>
      </c>
      <c r="P25" s="132"/>
      <c r="Q25" s="132">
        <f t="shared" si="0"/>
        <v>601</v>
      </c>
      <c r="R25" s="283">
        <f t="shared" si="1"/>
        <v>-25</v>
      </c>
      <c r="S25" s="283">
        <f t="shared" si="2"/>
        <v>-25</v>
      </c>
      <c r="T25" s="133">
        <f t="shared" si="3"/>
        <v>0</v>
      </c>
      <c r="U25" s="186"/>
      <c r="V25" s="187"/>
      <c r="W25" s="173"/>
      <c r="X25" s="218">
        <v>2</v>
      </c>
      <c r="Y25" s="135"/>
      <c r="Z25" s="134">
        <f>IF(Table46[[#This Row],[Year]]=1, 1.3, IF(Table46[[#This Row],[Year]]=2, 1.2, IF(Table46[[#This Row],[Year]]=3, 1, IF(Table46[[#This Row],[Year]]=4, 0.72917, IF(Table46[[#This Row],[Year]]=5, 0.6, 0)))))</f>
        <v>1.2</v>
      </c>
    </row>
    <row r="26" spans="2:26" ht="21" x14ac:dyDescent="0.3">
      <c r="B26" s="371" t="s">
        <v>816</v>
      </c>
      <c r="C26" s="371"/>
      <c r="D26" s="107"/>
      <c r="F26" s="73" t="s">
        <v>135</v>
      </c>
      <c r="G26" s="229" t="s">
        <v>136</v>
      </c>
      <c r="H26" s="297" t="s">
        <v>137</v>
      </c>
      <c r="I26" s="299" t="s">
        <v>89</v>
      </c>
      <c r="J26" s="85">
        <f>IF(I26="Brother",$C$6*Table46[[#This Row],[Seniority Dues]],IF(I26="EC",$C$7,IF(I26="Alumni",$C$8,IF(I26="Dropped",$C$11,IF(I26="President",$C$10,IF(I26="Inactive",$C$9,IF(Table46[[#This Row],[Type]]="New Member",$C$13,0)))))))</f>
        <v>0</v>
      </c>
      <c r="K26" s="85"/>
      <c r="L26" s="132">
        <f>VLOOKUP(F26,Winter!$F$3:$T$159, 13,)</f>
        <v>40</v>
      </c>
      <c r="M26" s="316">
        <v>40</v>
      </c>
      <c r="N26" s="313"/>
      <c r="O26" s="309"/>
      <c r="P26" s="132"/>
      <c r="Q26" s="132">
        <f t="shared" si="0"/>
        <v>40</v>
      </c>
      <c r="R26" s="283">
        <f t="shared" si="1"/>
        <v>0</v>
      </c>
      <c r="S26" s="283">
        <f t="shared" si="2"/>
        <v>0</v>
      </c>
      <c r="T26" s="133">
        <f t="shared" si="3"/>
        <v>0</v>
      </c>
      <c r="U26" s="186"/>
      <c r="V26" s="187"/>
      <c r="W26" s="173"/>
      <c r="X26" s="188">
        <v>4</v>
      </c>
      <c r="Y26" s="135"/>
      <c r="Z26" s="134">
        <f>IF(Table46[[#This Row],[Year]]=1, 1.3, IF(Table46[[#This Row],[Year]]=2, 1.2, IF(Table46[[#This Row],[Year]]=3, 1, IF(Table46[[#This Row],[Year]]=4, 0.72917, IF(Table46[[#This Row],[Year]]=5, 0.6, 0)))))</f>
        <v>0.72916999999999998</v>
      </c>
    </row>
    <row r="27" spans="2:26" ht="21" x14ac:dyDescent="0.3">
      <c r="B27" s="107"/>
      <c r="C27" s="107"/>
      <c r="D27" s="107"/>
      <c r="F27" s="73" t="s">
        <v>470</v>
      </c>
      <c r="G27" s="222" t="s">
        <v>471</v>
      </c>
      <c r="H27" s="214" t="s">
        <v>256</v>
      </c>
      <c r="I27" s="299" t="s">
        <v>76</v>
      </c>
      <c r="J27" s="85">
        <f>IF(I27="Brother",$C$6*Table46[[#This Row],[Seniority Dues]],IF(I27="EC",$C$7,IF(I27="Alumni",$C$8,IF(I27="Dropped",$C$11,IF(I27="President",$C$10,IF(I27="Inactive",$C$9,IF(Table46[[#This Row],[Type]]="New Member",$C$13,0)))))))</f>
        <v>624</v>
      </c>
      <c r="K27" s="85">
        <v>-124</v>
      </c>
      <c r="L27" s="132">
        <f>VLOOKUP(F27,Winter!$F$3:$T$159, 13,)</f>
        <v>0</v>
      </c>
      <c r="M27" s="316">
        <v>500</v>
      </c>
      <c r="N27" s="313"/>
      <c r="O27" s="309"/>
      <c r="P27" s="132"/>
      <c r="Q27" s="132">
        <f t="shared" si="0"/>
        <v>500</v>
      </c>
      <c r="R27" s="283">
        <f t="shared" si="1"/>
        <v>0</v>
      </c>
      <c r="S27" s="283">
        <f t="shared" si="2"/>
        <v>0</v>
      </c>
      <c r="T27" s="133">
        <f t="shared" si="3"/>
        <v>0</v>
      </c>
      <c r="U27" s="186"/>
      <c r="V27" s="187"/>
      <c r="W27" s="173"/>
      <c r="X27" s="218">
        <v>1</v>
      </c>
      <c r="Y27" s="135"/>
      <c r="Z27" s="134">
        <f>IF(Table46[[#This Row],[Year]]=1, 1.3, IF(Table46[[#This Row],[Year]]=2, 1.2, IF(Table46[[#This Row],[Year]]=3, 1, IF(Table46[[#This Row],[Year]]=4, 0.72917, IF(Table46[[#This Row],[Year]]=5, 0.6, 0)))))</f>
        <v>1.3</v>
      </c>
    </row>
    <row r="28" spans="2:26" ht="21" x14ac:dyDescent="0.3">
      <c r="B28" s="107"/>
      <c r="C28" s="107"/>
      <c r="D28" s="107"/>
      <c r="F28" s="73" t="s">
        <v>403</v>
      </c>
      <c r="G28" s="222" t="s">
        <v>404</v>
      </c>
      <c r="H28" s="214" t="s">
        <v>405</v>
      </c>
      <c r="I28" s="299" t="s">
        <v>76</v>
      </c>
      <c r="J28" s="85">
        <f>IF(I28="Brother",$C$6*Table46[[#This Row],[Seniority Dues]],IF(I28="EC",$C$7,IF(I28="Alumni",$C$8,IF(I28="Dropped",$C$11,IF(I28="President",$C$10,IF(I28="Inactive",$C$9,IF(Table46[[#This Row],[Type]]="New Member",$C$13,0)))))))</f>
        <v>624</v>
      </c>
      <c r="K28" s="85">
        <v>-274</v>
      </c>
      <c r="L28" s="132">
        <f>VLOOKUP(F28,Winter!$F$3:$T$159, 13,)</f>
        <v>0</v>
      </c>
      <c r="M28" s="316">
        <v>350</v>
      </c>
      <c r="N28" s="313"/>
      <c r="O28" s="309"/>
      <c r="P28" s="132" t="s">
        <v>522</v>
      </c>
      <c r="Q28" s="132">
        <f t="shared" si="0"/>
        <v>350</v>
      </c>
      <c r="R28" s="283">
        <f t="shared" si="1"/>
        <v>0</v>
      </c>
      <c r="S28" s="283">
        <f t="shared" si="2"/>
        <v>0</v>
      </c>
      <c r="T28" s="133">
        <f t="shared" si="3"/>
        <v>0</v>
      </c>
      <c r="U28" s="186"/>
      <c r="V28" s="187"/>
      <c r="W28" s="173"/>
      <c r="X28" s="218">
        <v>1</v>
      </c>
      <c r="Y28" s="135"/>
      <c r="Z28" s="134">
        <f>IF(Table46[[#This Row],[Year]]=1, 1.3, IF(Table46[[#This Row],[Year]]=2, 1.2, IF(Table46[[#This Row],[Year]]=3, 1, IF(Table46[[#This Row],[Year]]=4, 0.72917, IF(Table46[[#This Row],[Year]]=5, 0.6, 0)))))</f>
        <v>1.3</v>
      </c>
    </row>
    <row r="29" spans="2:26" ht="21" x14ac:dyDescent="0.3">
      <c r="B29" s="107"/>
      <c r="C29" s="107"/>
      <c r="D29" s="107"/>
      <c r="F29" s="73" t="s">
        <v>472</v>
      </c>
      <c r="G29" s="222" t="s">
        <v>473</v>
      </c>
      <c r="H29" s="214" t="s">
        <v>474</v>
      </c>
      <c r="I29" s="299" t="s">
        <v>76</v>
      </c>
      <c r="J29" s="85">
        <f>IF(I29="Brother",$C$6*Table46[[#This Row],[Seniority Dues]],IF(I29="EC",$C$7,IF(I29="Alumni",$C$8,IF(I29="Dropped",$C$11,IF(I29="President",$C$10,IF(I29="Inactive",$C$9,IF(Table46[[#This Row],[Type]]="New Member",$C$13,0)))))))</f>
        <v>624</v>
      </c>
      <c r="K29" s="85"/>
      <c r="L29" s="132">
        <f>VLOOKUP(F29,Winter!$F$3:$T$159, 13,)</f>
        <v>200</v>
      </c>
      <c r="M29" s="316">
        <f>200+166.66</f>
        <v>366.65999999999997</v>
      </c>
      <c r="N29" s="313">
        <v>166.66</v>
      </c>
      <c r="O29" s="309"/>
      <c r="P29" s="132"/>
      <c r="Q29" s="132">
        <f t="shared" si="0"/>
        <v>533.31999999999994</v>
      </c>
      <c r="R29" s="283">
        <f t="shared" si="1"/>
        <v>290.68000000000006</v>
      </c>
      <c r="S29" s="283">
        <f t="shared" si="2"/>
        <v>0</v>
      </c>
      <c r="T29" s="133">
        <f t="shared" si="3"/>
        <v>290.68000000000006</v>
      </c>
      <c r="U29" s="186"/>
      <c r="V29" s="187"/>
      <c r="W29" s="173"/>
      <c r="X29" s="218">
        <v>1</v>
      </c>
      <c r="Y29" s="135"/>
      <c r="Z29" s="134">
        <f>IF(Table46[[#This Row],[Year]]=1, 1.3, IF(Table46[[#This Row],[Year]]=2, 1.2, IF(Table46[[#This Row],[Year]]=3, 1, IF(Table46[[#This Row],[Year]]=4, 0.72917, IF(Table46[[#This Row],[Year]]=5, 0.6, 0)))))</f>
        <v>1.3</v>
      </c>
    </row>
    <row r="30" spans="2:26" ht="21" x14ac:dyDescent="0.3">
      <c r="B30" s="107"/>
      <c r="C30" s="107"/>
      <c r="D30" s="107"/>
      <c r="F30" s="73" t="s">
        <v>406</v>
      </c>
      <c r="G30" s="222" t="s">
        <v>407</v>
      </c>
      <c r="H30" s="214" t="s">
        <v>408</v>
      </c>
      <c r="I30" s="299" t="s">
        <v>76</v>
      </c>
      <c r="J30" s="85">
        <f>IF(I30="Brother",$C$6*Table46[[#This Row],[Seniority Dues]],IF(I30="EC",$C$7,IF(I30="Alumni",$C$8,IF(I30="Dropped",$C$11,IF(I30="President",$C$10,IF(I30="Inactive",$C$9,IF(Table46[[#This Row],[Type]]="New Member",$C$13,0)))))))</f>
        <v>624</v>
      </c>
      <c r="K30" s="85"/>
      <c r="L30" s="132">
        <f>VLOOKUP(F30,Winter!$F$3:$T$159, 13,)</f>
        <v>0</v>
      </c>
      <c r="M30" s="316">
        <v>624</v>
      </c>
      <c r="N30" s="313"/>
      <c r="O30" s="309"/>
      <c r="P30" s="132"/>
      <c r="Q30" s="132">
        <f t="shared" si="0"/>
        <v>624</v>
      </c>
      <c r="R30" s="283">
        <f t="shared" si="1"/>
        <v>0</v>
      </c>
      <c r="S30" s="283">
        <f t="shared" si="2"/>
        <v>0</v>
      </c>
      <c r="T30" s="133">
        <f t="shared" si="3"/>
        <v>0</v>
      </c>
      <c r="U30" s="186"/>
      <c r="V30" s="187"/>
      <c r="W30" s="173"/>
      <c r="X30" s="218">
        <v>1</v>
      </c>
      <c r="Y30" s="135"/>
      <c r="Z30" s="134">
        <f>IF(Table46[[#This Row],[Year]]=1, 1.3, IF(Table46[[#This Row],[Year]]=2, 1.2, IF(Table46[[#This Row],[Year]]=3, 1, IF(Table46[[#This Row],[Year]]=4, 0.72917, IF(Table46[[#This Row],[Year]]=5, 0.6, 0)))))</f>
        <v>1.3</v>
      </c>
    </row>
    <row r="31" spans="2:26" ht="21" x14ac:dyDescent="0.3">
      <c r="B31" s="107"/>
      <c r="C31" s="107"/>
      <c r="D31" s="107"/>
      <c r="F31" s="73" t="s">
        <v>138</v>
      </c>
      <c r="G31" s="229" t="s">
        <v>139</v>
      </c>
      <c r="H31" s="297" t="s">
        <v>140</v>
      </c>
      <c r="I31" s="299" t="s">
        <v>85</v>
      </c>
      <c r="J31" s="85">
        <f>IF(I31="Brother",$C$6*Table46[[#This Row],[Seniority Dues]],IF(I31="EC",$C$7,IF(I31="Alumni",$C$8,IF(I31="Dropped",$C$11,IF(I31="President",$C$10,IF(I31="Inactive",$C$9,IF(Table46[[#This Row],[Type]]="New Member",$C$13,0)))))))</f>
        <v>225</v>
      </c>
      <c r="K31" s="85"/>
      <c r="L31" s="132">
        <f>VLOOKUP(F31,Winter!$F$3:$T$159, 13,)</f>
        <v>0</v>
      </c>
      <c r="M31" s="316">
        <v>225</v>
      </c>
      <c r="N31" s="313"/>
      <c r="O31" s="309"/>
      <c r="P31" s="132"/>
      <c r="Q31" s="132">
        <f t="shared" si="0"/>
        <v>225</v>
      </c>
      <c r="R31" s="283">
        <f t="shared" si="1"/>
        <v>0</v>
      </c>
      <c r="S31" s="283">
        <f t="shared" si="2"/>
        <v>0</v>
      </c>
      <c r="T31" s="133">
        <f t="shared" si="3"/>
        <v>0</v>
      </c>
      <c r="U31" s="186"/>
      <c r="V31" s="187"/>
      <c r="W31" s="173"/>
      <c r="X31" s="188">
        <v>4</v>
      </c>
      <c r="Y31" s="135"/>
      <c r="Z31" s="134">
        <f>IF(Table46[[#This Row],[Year]]=1, 1.3, IF(Table46[[#This Row],[Year]]=2, 1.2, IF(Table46[[#This Row],[Year]]=3, 1, IF(Table46[[#This Row],[Year]]=4, 0.72917, IF(Table46[[#This Row],[Year]]=5, 0.6, 0)))))</f>
        <v>0.72916999999999998</v>
      </c>
    </row>
    <row r="32" spans="2:26" ht="21" x14ac:dyDescent="0.3">
      <c r="B32" s="107"/>
      <c r="C32" s="107"/>
      <c r="D32" s="107"/>
      <c r="F32" s="73" t="s">
        <v>141</v>
      </c>
      <c r="G32" s="222" t="s">
        <v>142</v>
      </c>
      <c r="H32" s="321" t="s">
        <v>143</v>
      </c>
      <c r="I32" s="299" t="s">
        <v>76</v>
      </c>
      <c r="J32" s="85">
        <f>IF(I32="Brother",$C$6*Table46[[#This Row],[Seniority Dues]],IF(I32="EC",$C$7,IF(I32="Alumni",$C$8,IF(I32="Dropped",$C$11,IF(I32="President",$C$10,IF(I32="Inactive",$C$9,IF(Table46[[#This Row],[Type]]="New Member",$C$13,0)))))))</f>
        <v>576</v>
      </c>
      <c r="K32" s="85"/>
      <c r="L32" s="132">
        <f>VLOOKUP(F32,Winter!$F$3:$T$159, 13,)</f>
        <v>-25</v>
      </c>
      <c r="M32" s="316">
        <v>551</v>
      </c>
      <c r="N32" s="313"/>
      <c r="O32" s="309"/>
      <c r="P32" s="132"/>
      <c r="Q32" s="132">
        <f t="shared" si="0"/>
        <v>551</v>
      </c>
      <c r="R32" s="283">
        <f t="shared" si="1"/>
        <v>0</v>
      </c>
      <c r="S32" s="283">
        <f t="shared" si="2"/>
        <v>0</v>
      </c>
      <c r="T32" s="133">
        <f t="shared" si="3"/>
        <v>0</v>
      </c>
      <c r="U32" s="186"/>
      <c r="V32" s="187"/>
      <c r="W32" s="173"/>
      <c r="X32" s="218">
        <v>2</v>
      </c>
      <c r="Y32" s="135"/>
      <c r="Z32" s="134">
        <f>IF(Table46[[#This Row],[Year]]=1, 1.3, IF(Table46[[#This Row],[Year]]=2, 1.2, IF(Table46[[#This Row],[Year]]=3, 1, IF(Table46[[#This Row],[Year]]=4, 0.72917, IF(Table46[[#This Row],[Year]]=5, 0.6, 0)))))</f>
        <v>1.2</v>
      </c>
    </row>
    <row r="33" spans="2:26" ht="21" x14ac:dyDescent="0.3">
      <c r="B33" s="107"/>
      <c r="C33" s="107"/>
      <c r="D33" s="107"/>
      <c r="F33" s="73" t="s">
        <v>144</v>
      </c>
      <c r="G33" s="229" t="s">
        <v>145</v>
      </c>
      <c r="H33" s="297" t="s">
        <v>92</v>
      </c>
      <c r="I33" s="299" t="s">
        <v>76</v>
      </c>
      <c r="J33" s="85">
        <f>IF(I33="Brother",$C$6*Table46[[#This Row],[Seniority Dues]],IF(I33="EC",$C$7,IF(I33="Alumni",$C$8,IF(I33="Dropped",$C$11,IF(I33="President",$C$10,IF(I33="Inactive",$C$9,IF(Table46[[#This Row],[Type]]="New Member",$C$13,0)))))))</f>
        <v>350.0016</v>
      </c>
      <c r="K33" s="85">
        <v>25</v>
      </c>
      <c r="L33" s="132">
        <f>VLOOKUP(F33,Winter!$F$3:$T$159, 13,)</f>
        <v>-150</v>
      </c>
      <c r="M33" s="316">
        <v>225</v>
      </c>
      <c r="N33" s="313"/>
      <c r="O33" s="309"/>
      <c r="P33" s="132"/>
      <c r="Q33" s="132">
        <f t="shared" si="0"/>
        <v>225</v>
      </c>
      <c r="R33" s="283">
        <f t="shared" si="1"/>
        <v>1.5999999999962711E-3</v>
      </c>
      <c r="S33" s="283">
        <f t="shared" si="2"/>
        <v>0</v>
      </c>
      <c r="T33" s="133">
        <f t="shared" si="3"/>
        <v>1.5999999999962711E-3</v>
      </c>
      <c r="U33" s="186"/>
      <c r="V33" s="187"/>
      <c r="W33" s="173"/>
      <c r="X33" s="188">
        <v>4</v>
      </c>
      <c r="Y33" s="135"/>
      <c r="Z33" s="134">
        <f>IF(Table46[[#This Row],[Year]]=1, 1.3, IF(Table46[[#This Row],[Year]]=2, 1.2, IF(Table46[[#This Row],[Year]]=3, 1, IF(Table46[[#This Row],[Year]]=4, 0.72917, IF(Table46[[#This Row],[Year]]=5, 0.6, 0)))))</f>
        <v>0.72916999999999998</v>
      </c>
    </row>
    <row r="34" spans="2:26" ht="21" x14ac:dyDescent="0.3">
      <c r="B34" s="107"/>
      <c r="C34" s="107"/>
      <c r="D34" s="107"/>
      <c r="F34" s="73" t="s">
        <v>149</v>
      </c>
      <c r="G34" s="229" t="s">
        <v>150</v>
      </c>
      <c r="H34" s="297" t="s">
        <v>151</v>
      </c>
      <c r="I34" s="299" t="s">
        <v>76</v>
      </c>
      <c r="J34" s="85">
        <f>IF(I34="Brother",$C$6*Table46[[#This Row],[Seniority Dues]],IF(I34="EC",$C$7,IF(I34="Alumni",$C$8,IF(I34="Dropped",$C$11,IF(I34="President",$C$10,IF(I34="Inactive",$C$9,IF(Table46[[#This Row],[Type]]="New Member",$C$13,0)))))))</f>
        <v>480</v>
      </c>
      <c r="K34" s="85"/>
      <c r="L34" s="132">
        <f>VLOOKUP(F34,Winter!$F$3:$T$159, 13,)</f>
        <v>400</v>
      </c>
      <c r="M34" s="316">
        <v>160</v>
      </c>
      <c r="N34" s="313"/>
      <c r="O34" s="309" t="s">
        <v>455</v>
      </c>
      <c r="P34" s="132"/>
      <c r="Q34" s="132">
        <f t="shared" si="0"/>
        <v>160</v>
      </c>
      <c r="R34" s="283">
        <f t="shared" si="1"/>
        <v>720</v>
      </c>
      <c r="S34" s="283">
        <f t="shared" si="2"/>
        <v>0</v>
      </c>
      <c r="T34" s="133">
        <f t="shared" si="3"/>
        <v>720</v>
      </c>
      <c r="U34" s="186"/>
      <c r="V34" s="187"/>
      <c r="W34" s="173"/>
      <c r="X34" s="188">
        <v>3</v>
      </c>
      <c r="Y34" s="135"/>
      <c r="Z34" s="134">
        <f>IF(Table46[[#This Row],[Year]]=1, 1.3, IF(Table46[[#This Row],[Year]]=2, 1.2, IF(Table46[[#This Row],[Year]]=3, 1, IF(Table46[[#This Row],[Year]]=4, 0.72917, IF(Table46[[#This Row],[Year]]=5, 0.6, 0)))))</f>
        <v>1</v>
      </c>
    </row>
    <row r="35" spans="2:26" ht="21" x14ac:dyDescent="0.3">
      <c r="B35" s="107"/>
      <c r="C35" s="107"/>
      <c r="D35" s="107"/>
      <c r="F35" s="73" t="s">
        <v>152</v>
      </c>
      <c r="G35" s="229" t="s">
        <v>153</v>
      </c>
      <c r="H35" s="297" t="s">
        <v>88</v>
      </c>
      <c r="I35" s="299" t="s">
        <v>76</v>
      </c>
      <c r="J35" s="85">
        <f>IF(I35="Brother",$C$6*Table46[[#This Row],[Seniority Dues]],IF(I35="EC",$C$7,IF(I35="Alumni",$C$8,IF(I35="Dropped",$C$11,IF(I35="President",$C$10,IF(I35="Inactive",$C$9,IF(Table46[[#This Row],[Type]]="New Member",$C$13,0)))))))</f>
        <v>350.0016</v>
      </c>
      <c r="K35" s="85"/>
      <c r="L35" s="132">
        <f>VLOOKUP(F35,Winter!$F$3:$T$159, 13,)</f>
        <v>-24.999999839999987</v>
      </c>
      <c r="M35" s="316">
        <v>325</v>
      </c>
      <c r="N35" s="313"/>
      <c r="O35" s="309"/>
      <c r="P35" s="132"/>
      <c r="Q35" s="132">
        <f t="shared" ref="Q35:Q64" si="4">M35+N35</f>
        <v>325</v>
      </c>
      <c r="R35" s="283">
        <f t="shared" ref="R35:R64" si="5">J35+K35+L35-M35-N35</f>
        <v>1.6001600000095095E-3</v>
      </c>
      <c r="S35" s="283">
        <f t="shared" ref="S35:S64" si="6">IF((J35+L35-M35+K35-N35)&lt;0,J35+L35-M35+K35-N35,0)</f>
        <v>0</v>
      </c>
      <c r="T35" s="133">
        <f t="shared" ref="T35:T64" si="7">IF((J35+L35-M35+K35-N35)&gt;0, J35+L35-M35+K35-N35, 0)</f>
        <v>1.6001600000095095E-3</v>
      </c>
      <c r="U35" s="186"/>
      <c r="V35" s="187"/>
      <c r="W35" s="173"/>
      <c r="X35" s="188">
        <v>4</v>
      </c>
      <c r="Y35" s="135"/>
      <c r="Z35" s="134">
        <f>IF(Table46[[#This Row],[Year]]=1, 1.3, IF(Table46[[#This Row],[Year]]=2, 1.2, IF(Table46[[#This Row],[Year]]=3, 1, IF(Table46[[#This Row],[Year]]=4, 0.72917, IF(Table46[[#This Row],[Year]]=5, 0.6, 0)))))</f>
        <v>0.72916999999999998</v>
      </c>
    </row>
    <row r="36" spans="2:26" ht="21" x14ac:dyDescent="0.3">
      <c r="B36" s="107"/>
      <c r="C36" s="107"/>
      <c r="D36" s="107"/>
      <c r="F36" s="73" t="s">
        <v>156</v>
      </c>
      <c r="G36" s="229" t="s">
        <v>157</v>
      </c>
      <c r="H36" s="297" t="s">
        <v>158</v>
      </c>
      <c r="I36" s="299" t="s">
        <v>85</v>
      </c>
      <c r="J36" s="85">
        <f>IF(I36="Brother",$C$6*Table46[[#This Row],[Seniority Dues]],IF(I36="EC",$C$7,IF(I36="Alumni",$C$8,IF(I36="Dropped",$C$11,IF(I36="President",$C$10,IF(I36="Inactive",$C$9,IF(Table46[[#This Row],[Type]]="New Member",$C$13,0)))))))</f>
        <v>225</v>
      </c>
      <c r="K36" s="85">
        <v>25</v>
      </c>
      <c r="L36" s="132">
        <f>VLOOKUP(F36,Winter!$F$3:$T$159, 13,)</f>
        <v>0</v>
      </c>
      <c r="M36" s="316">
        <v>250</v>
      </c>
      <c r="N36" s="313"/>
      <c r="O36" s="309"/>
      <c r="P36" s="132"/>
      <c r="Q36" s="132">
        <f t="shared" si="4"/>
        <v>250</v>
      </c>
      <c r="R36" s="283">
        <f t="shared" si="5"/>
        <v>0</v>
      </c>
      <c r="S36" s="283">
        <f t="shared" si="6"/>
        <v>0</v>
      </c>
      <c r="T36" s="133">
        <f t="shared" si="7"/>
        <v>0</v>
      </c>
      <c r="U36" s="186"/>
      <c r="V36" s="187"/>
      <c r="W36" s="173"/>
      <c r="X36" s="189">
        <v>3</v>
      </c>
      <c r="Y36" s="135"/>
      <c r="Z36" s="134">
        <f>IF(Table46[[#This Row],[Year]]=1, 1.3, IF(Table46[[#This Row],[Year]]=2, 1.2, IF(Table46[[#This Row],[Year]]=3, 1, IF(Table46[[#This Row],[Year]]=4, 0.72917, IF(Table46[[#This Row],[Year]]=5, 0.6, 0)))))</f>
        <v>1</v>
      </c>
    </row>
    <row r="37" spans="2:26" ht="21" x14ac:dyDescent="0.3">
      <c r="B37" s="107"/>
      <c r="C37" s="107"/>
      <c r="D37" s="107"/>
      <c r="F37" s="73" t="s">
        <v>159</v>
      </c>
      <c r="G37" s="229" t="s">
        <v>160</v>
      </c>
      <c r="H37" s="297" t="s">
        <v>161</v>
      </c>
      <c r="I37" s="299" t="s">
        <v>76</v>
      </c>
      <c r="J37" s="85">
        <f>IF(I37="Brother",$C$6*Table46[[#This Row],[Seniority Dues]],IF(I37="EC",$C$7,IF(I37="Alumni",$C$8,IF(I37="Dropped",$C$11,IF(I37="President",$C$10,IF(I37="Inactive",$C$9,IF(Table46[[#This Row],[Type]]="New Member",$C$13,0)))))))</f>
        <v>350.0016</v>
      </c>
      <c r="K37" s="85">
        <v>25</v>
      </c>
      <c r="L37" s="132">
        <v>0</v>
      </c>
      <c r="M37" s="316">
        <v>375</v>
      </c>
      <c r="N37" s="313"/>
      <c r="O37" s="309"/>
      <c r="P37" s="132"/>
      <c r="Q37" s="132">
        <f t="shared" si="4"/>
        <v>375</v>
      </c>
      <c r="R37" s="283">
        <f t="shared" si="5"/>
        <v>1.5999999999962711E-3</v>
      </c>
      <c r="S37" s="283">
        <f t="shared" si="6"/>
        <v>0</v>
      </c>
      <c r="T37" s="133">
        <f t="shared" si="7"/>
        <v>1.5999999999962711E-3</v>
      </c>
      <c r="U37" s="186"/>
      <c r="V37" s="187"/>
      <c r="W37" s="173"/>
      <c r="X37" s="188">
        <v>4</v>
      </c>
      <c r="Y37" s="135"/>
      <c r="Z37" s="134">
        <f>IF(Table46[[#This Row],[Year]]=1, 1.3, IF(Table46[[#This Row],[Year]]=2, 1.2, IF(Table46[[#This Row],[Year]]=3, 1, IF(Table46[[#This Row],[Year]]=4, 0.72917, IF(Table46[[#This Row],[Year]]=5, 0.6, 0)))))</f>
        <v>0.72916999999999998</v>
      </c>
    </row>
    <row r="38" spans="2:26" ht="21" x14ac:dyDescent="0.3">
      <c r="B38" s="107"/>
      <c r="C38" s="107"/>
      <c r="D38" s="107"/>
      <c r="F38" s="73" t="s">
        <v>162</v>
      </c>
      <c r="G38" s="222" t="s">
        <v>163</v>
      </c>
      <c r="H38" s="214" t="s">
        <v>164</v>
      </c>
      <c r="I38" s="299" t="s">
        <v>76</v>
      </c>
      <c r="J38" s="85">
        <f>IF(I38="Brother",$C$6*Table46[[#This Row],[Seniority Dues]],IF(I38="EC",$C$7,IF(I38="Alumni",$C$8,IF(I38="Dropped",$C$11,IF(I38="President",$C$10,IF(I38="Inactive",$C$9,IF(Table46[[#This Row],[Type]]="New Member",$C$13,0)))))))</f>
        <v>576</v>
      </c>
      <c r="K38" s="85">
        <v>25</v>
      </c>
      <c r="L38" s="132">
        <f>VLOOKUP(F38,Winter!$F$3:$T$159, 13,)</f>
        <v>0</v>
      </c>
      <c r="M38" s="316">
        <v>601</v>
      </c>
      <c r="N38" s="313"/>
      <c r="O38" s="309"/>
      <c r="P38" s="132"/>
      <c r="Q38" s="132">
        <f t="shared" si="4"/>
        <v>601</v>
      </c>
      <c r="R38" s="283">
        <f t="shared" si="5"/>
        <v>0</v>
      </c>
      <c r="S38" s="283">
        <f t="shared" si="6"/>
        <v>0</v>
      </c>
      <c r="T38" s="133">
        <f t="shared" si="7"/>
        <v>0</v>
      </c>
      <c r="U38" s="186"/>
      <c r="V38" s="187"/>
      <c r="W38" s="173"/>
      <c r="X38" s="218">
        <v>2</v>
      </c>
      <c r="Y38" s="135"/>
      <c r="Z38" s="134">
        <f>IF(Table46[[#This Row],[Year]]=1, 1.3, IF(Table46[[#This Row],[Year]]=2, 1.2, IF(Table46[[#This Row],[Year]]=3, 1, IF(Table46[[#This Row],[Year]]=4, 0.72917, IF(Table46[[#This Row],[Year]]=5, 0.6, 0)))))</f>
        <v>1.2</v>
      </c>
    </row>
    <row r="39" spans="2:26" ht="21" x14ac:dyDescent="0.3">
      <c r="B39" s="107"/>
      <c r="C39" s="107"/>
      <c r="D39" s="107"/>
      <c r="F39" s="73" t="s">
        <v>475</v>
      </c>
      <c r="G39" s="222" t="s">
        <v>476</v>
      </c>
      <c r="H39" s="214" t="s">
        <v>88</v>
      </c>
      <c r="I39" s="299" t="s">
        <v>76</v>
      </c>
      <c r="J39" s="85">
        <f>IF(I39="Brother",$C$6*Table46[[#This Row],[Seniority Dues]],IF(I39="EC",$C$7,IF(I39="Alumni",$C$8,IF(I39="Dropped",$C$11,IF(I39="President",$C$10,IF(I39="Inactive",$C$9,IF(Table46[[#This Row],[Type]]="New Member",$C$13,0)))))))</f>
        <v>624</v>
      </c>
      <c r="K39" s="85">
        <v>-124</v>
      </c>
      <c r="L39" s="132">
        <f>VLOOKUP(F39,Winter!$F$3:$T$159, 13,)</f>
        <v>0</v>
      </c>
      <c r="M39" s="316">
        <v>500</v>
      </c>
      <c r="N39" s="313"/>
      <c r="O39" s="309"/>
      <c r="P39" s="132"/>
      <c r="Q39" s="132">
        <f t="shared" si="4"/>
        <v>500</v>
      </c>
      <c r="R39" s="283">
        <f t="shared" si="5"/>
        <v>0</v>
      </c>
      <c r="S39" s="283">
        <f t="shared" si="6"/>
        <v>0</v>
      </c>
      <c r="T39" s="133">
        <f t="shared" si="7"/>
        <v>0</v>
      </c>
      <c r="U39" s="186"/>
      <c r="V39" s="187"/>
      <c r="W39" s="173"/>
      <c r="X39" s="218">
        <v>1</v>
      </c>
      <c r="Y39" s="135"/>
      <c r="Z39" s="134">
        <f>IF(Table46[[#This Row],[Year]]=1, 1.3, IF(Table46[[#This Row],[Year]]=2, 1.2, IF(Table46[[#This Row],[Year]]=3, 1, IF(Table46[[#This Row],[Year]]=4, 0.72917, IF(Table46[[#This Row],[Year]]=5, 0.6, 0)))))</f>
        <v>1.3</v>
      </c>
    </row>
    <row r="40" spans="2:26" ht="21" x14ac:dyDescent="0.3">
      <c r="B40" s="107"/>
      <c r="C40" s="107"/>
      <c r="D40" s="107"/>
      <c r="F40" s="73" t="s">
        <v>165</v>
      </c>
      <c r="G40" s="222" t="s">
        <v>166</v>
      </c>
      <c r="H40" s="214" t="s">
        <v>167</v>
      </c>
      <c r="I40" s="299" t="s">
        <v>76</v>
      </c>
      <c r="J40" s="85">
        <f>IF(I40="Brother",$C$6*Table46[[#This Row],[Seniority Dues]],IF(I40="EC",$C$7,IF(I40="Alumni",$C$8,IF(I40="Dropped",$C$11,IF(I40="President",$C$10,IF(I40="Inactive",$C$9,IF(Table46[[#This Row],[Type]]="New Member",$C$13,0)))))))</f>
        <v>576</v>
      </c>
      <c r="K40" s="85"/>
      <c r="L40" s="132">
        <f>VLOOKUP(F40,Winter!$F$3:$T$159, 13,)</f>
        <v>25</v>
      </c>
      <c r="M40" s="316">
        <v>601</v>
      </c>
      <c r="N40" s="313"/>
      <c r="O40" s="309"/>
      <c r="P40" s="132"/>
      <c r="Q40" s="132">
        <f t="shared" si="4"/>
        <v>601</v>
      </c>
      <c r="R40" s="283">
        <f t="shared" si="5"/>
        <v>0</v>
      </c>
      <c r="S40" s="283">
        <f t="shared" si="6"/>
        <v>0</v>
      </c>
      <c r="T40" s="133">
        <f t="shared" si="7"/>
        <v>0</v>
      </c>
      <c r="U40" s="186"/>
      <c r="V40" s="187"/>
      <c r="W40" s="173"/>
      <c r="X40" s="218">
        <v>2</v>
      </c>
      <c r="Y40" s="135"/>
      <c r="Z40" s="134">
        <f>IF(Table46[[#This Row],[Year]]=1, 1.3, IF(Table46[[#This Row],[Year]]=2, 1.2, IF(Table46[[#This Row],[Year]]=3, 1, IF(Table46[[#This Row],[Year]]=4, 0.72917, IF(Table46[[#This Row],[Year]]=5, 0.6, 0)))))</f>
        <v>1.2</v>
      </c>
    </row>
    <row r="41" spans="2:26" ht="21" x14ac:dyDescent="0.3">
      <c r="B41" s="107"/>
      <c r="C41" s="107"/>
      <c r="D41" s="107"/>
      <c r="F41" s="73" t="s">
        <v>168</v>
      </c>
      <c r="G41" s="229" t="s">
        <v>169</v>
      </c>
      <c r="H41" s="297" t="s">
        <v>170</v>
      </c>
      <c r="I41" s="299" t="s">
        <v>76</v>
      </c>
      <c r="J41" s="85">
        <f>IF(I41="Brother",$C$6*Table46[[#This Row],[Seniority Dues]],IF(I41="EC",$C$7,IF(I41="Alumni",$C$8,IF(I41="Dropped",$C$11,IF(I41="President",$C$10,IF(I41="Inactive",$C$9,IF(Table46[[#This Row],[Type]]="New Member",$C$13,0)))))))</f>
        <v>350.0016</v>
      </c>
      <c r="K41" s="85"/>
      <c r="L41" s="132">
        <f>VLOOKUP(F41,Winter!$F$3:$T$159, 13,)</f>
        <v>1.6000001323845936E-7</v>
      </c>
      <c r="M41" s="316">
        <v>350</v>
      </c>
      <c r="N41" s="313"/>
      <c r="O41" s="309"/>
      <c r="P41" s="132"/>
      <c r="Q41" s="132">
        <f t="shared" si="4"/>
        <v>350</v>
      </c>
      <c r="R41" s="283">
        <f t="shared" si="5"/>
        <v>1.6001600000095095E-3</v>
      </c>
      <c r="S41" s="283">
        <f t="shared" si="6"/>
        <v>0</v>
      </c>
      <c r="T41" s="133">
        <f t="shared" si="7"/>
        <v>1.6001600000095095E-3</v>
      </c>
      <c r="U41" s="186"/>
      <c r="V41" s="187"/>
      <c r="W41" s="173"/>
      <c r="X41" s="188">
        <v>4</v>
      </c>
      <c r="Y41" s="135"/>
      <c r="Z41" s="134">
        <f>IF(Table46[[#This Row],[Year]]=1, 1.3, IF(Table46[[#This Row],[Year]]=2, 1.2, IF(Table46[[#This Row],[Year]]=3, 1, IF(Table46[[#This Row],[Year]]=4, 0.72917, IF(Table46[[#This Row],[Year]]=5, 0.6, 0)))))</f>
        <v>0.72916999999999998</v>
      </c>
    </row>
    <row r="42" spans="2:26" ht="21" x14ac:dyDescent="0.3">
      <c r="B42" s="107"/>
      <c r="C42" s="107"/>
      <c r="D42" s="107"/>
      <c r="F42" s="73" t="s">
        <v>171</v>
      </c>
      <c r="G42" s="222" t="s">
        <v>172</v>
      </c>
      <c r="H42" s="214" t="s">
        <v>173</v>
      </c>
      <c r="I42" s="299" t="s">
        <v>76</v>
      </c>
      <c r="J42" s="85">
        <f>IF(I42="Brother",$C$6*Table46[[#This Row],[Seniority Dues]],IF(I42="EC",$C$7,IF(I42="Alumni",$C$8,IF(I42="Dropped",$C$11,IF(I42="President",$C$10,IF(I42="Inactive",$C$9,IF(Table46[[#This Row],[Type]]="New Member",$C$13,0)))))))</f>
        <v>576</v>
      </c>
      <c r="K42" s="85">
        <v>65</v>
      </c>
      <c r="L42" s="132">
        <f>VLOOKUP(F42,Winter!$F$3:$T$159, 13,)</f>
        <v>25</v>
      </c>
      <c r="M42" s="316">
        <v>626</v>
      </c>
      <c r="N42" s="313">
        <v>40</v>
      </c>
      <c r="O42" s="309"/>
      <c r="P42" s="132"/>
      <c r="Q42" s="132">
        <f t="shared" si="4"/>
        <v>666</v>
      </c>
      <c r="R42" s="283">
        <f t="shared" si="5"/>
        <v>0</v>
      </c>
      <c r="S42" s="283">
        <f t="shared" si="6"/>
        <v>0</v>
      </c>
      <c r="T42" s="133">
        <f t="shared" si="7"/>
        <v>0</v>
      </c>
      <c r="U42" s="186"/>
      <c r="V42" s="187"/>
      <c r="W42" s="173"/>
      <c r="X42" s="218">
        <v>2</v>
      </c>
      <c r="Y42" s="135"/>
      <c r="Z42" s="134">
        <f>IF(Table46[[#This Row],[Year]]=1, 1.3, IF(Table46[[#This Row],[Year]]=2, 1.2, IF(Table46[[#This Row],[Year]]=3, 1, IF(Table46[[#This Row],[Year]]=4, 0.72917, IF(Table46[[#This Row],[Year]]=5, 0.6, 0)))))</f>
        <v>1.2</v>
      </c>
    </row>
    <row r="43" spans="2:26" ht="21" x14ac:dyDescent="0.3">
      <c r="B43" s="107"/>
      <c r="C43" s="107"/>
      <c r="D43" s="107"/>
      <c r="F43" s="73" t="s">
        <v>174</v>
      </c>
      <c r="G43" s="229" t="s">
        <v>175</v>
      </c>
      <c r="H43" s="297" t="s">
        <v>176</v>
      </c>
      <c r="I43" s="299" t="s">
        <v>76</v>
      </c>
      <c r="J43" s="85">
        <f>IF(I43="Brother",$C$6*Table46[[#This Row],[Seniority Dues]],IF(I43="EC",$C$7,IF(I43="Alumni",$C$8,IF(I43="Dropped",$C$11,IF(I43="President",$C$10,IF(I43="Inactive",$C$9,IF(Table46[[#This Row],[Type]]="New Member",$C$13,0)))))))</f>
        <v>350.0016</v>
      </c>
      <c r="K43" s="85"/>
      <c r="L43" s="132">
        <f>VLOOKUP(F43,Winter!$F$3:$T$159, 13,)</f>
        <v>-24.999999839999987</v>
      </c>
      <c r="M43" s="316">
        <f>2*108.33</f>
        <v>216.66</v>
      </c>
      <c r="N43" s="313">
        <v>108.44</v>
      </c>
      <c r="O43" s="309" t="s">
        <v>455</v>
      </c>
      <c r="P43" s="132"/>
      <c r="Q43" s="132">
        <f t="shared" si="4"/>
        <v>325.10000000000002</v>
      </c>
      <c r="R43" s="283">
        <f t="shared" si="5"/>
        <v>-9.8399839999984806E-2</v>
      </c>
      <c r="S43" s="283">
        <f t="shared" si="6"/>
        <v>-9.8399839999984806E-2</v>
      </c>
      <c r="T43" s="133">
        <f t="shared" si="7"/>
        <v>0</v>
      </c>
      <c r="U43" s="186"/>
      <c r="V43" s="187"/>
      <c r="W43" s="173"/>
      <c r="X43" s="189">
        <v>4</v>
      </c>
      <c r="Y43" s="135"/>
      <c r="Z43" s="134">
        <f>IF(Table46[[#This Row],[Year]]=1, 1.3, IF(Table46[[#This Row],[Year]]=2, 1.2, IF(Table46[[#This Row],[Year]]=3, 1, IF(Table46[[#This Row],[Year]]=4, 0.72917, IF(Table46[[#This Row],[Year]]=5, 0.6, 0)))))</f>
        <v>0.72916999999999998</v>
      </c>
    </row>
    <row r="44" spans="2:26" ht="21" x14ac:dyDescent="0.3">
      <c r="B44" s="107"/>
      <c r="C44" s="107"/>
      <c r="D44" s="107"/>
      <c r="F44" s="73" t="s">
        <v>177</v>
      </c>
      <c r="G44" s="229" t="s">
        <v>178</v>
      </c>
      <c r="H44" s="297" t="s">
        <v>179</v>
      </c>
      <c r="I44" s="299" t="s">
        <v>76</v>
      </c>
      <c r="J44" s="85">
        <f>IF(I44="Brother",$C$6*Table46[[#This Row],[Seniority Dues]],IF(I44="EC",$C$7,IF(I44="Alumni",$C$8,IF(I44="Dropped",$C$11,IF(I44="President",$C$10,IF(I44="Inactive",$C$9,IF(Table46[[#This Row],[Type]]="New Member",$C$13,0)))))))</f>
        <v>480</v>
      </c>
      <c r="K44" s="85"/>
      <c r="L44" s="132">
        <f>VLOOKUP(F44,Winter!$F$3:$T$159, 13,)</f>
        <v>-25</v>
      </c>
      <c r="M44" s="316">
        <v>455</v>
      </c>
      <c r="N44" s="313"/>
      <c r="O44" s="309"/>
      <c r="P44" s="132"/>
      <c r="Q44" s="132">
        <f t="shared" si="4"/>
        <v>455</v>
      </c>
      <c r="R44" s="283">
        <f t="shared" si="5"/>
        <v>0</v>
      </c>
      <c r="S44" s="283">
        <f t="shared" si="6"/>
        <v>0</v>
      </c>
      <c r="T44" s="133">
        <f t="shared" si="7"/>
        <v>0</v>
      </c>
      <c r="U44" s="186"/>
      <c r="V44" s="187"/>
      <c r="W44" s="173"/>
      <c r="X44" s="188">
        <v>3</v>
      </c>
      <c r="Y44" s="135"/>
      <c r="Z44" s="134">
        <f>IF(Table46[[#This Row],[Year]]=1, 1.3, IF(Table46[[#This Row],[Year]]=2, 1.2, IF(Table46[[#This Row],[Year]]=3, 1, IF(Table46[[#This Row],[Year]]=4, 0.72917, IF(Table46[[#This Row],[Year]]=5, 0.6, 0)))))</f>
        <v>1</v>
      </c>
    </row>
    <row r="45" spans="2:26" ht="21" x14ac:dyDescent="0.3">
      <c r="B45" s="107"/>
      <c r="C45" s="107"/>
      <c r="D45" s="107"/>
      <c r="F45" s="73" t="s">
        <v>180</v>
      </c>
      <c r="G45" s="222" t="s">
        <v>181</v>
      </c>
      <c r="H45" s="214" t="s">
        <v>151</v>
      </c>
      <c r="I45" s="299" t="s">
        <v>72</v>
      </c>
      <c r="J45" s="85">
        <f>IF(I45="Brother",$C$6*Table46[[#This Row],[Seniority Dues]],IF(I45="EC",$C$7,IF(I45="Alumni",$C$8,IF(I45="Dropped",$C$11,IF(I45="President",$C$10,IF(I45="Inactive",$C$9,IF(Table46[[#This Row],[Type]]="New Member",$C$13,0)))))))</f>
        <v>200</v>
      </c>
      <c r="K45" s="85"/>
      <c r="L45" s="132">
        <f>VLOOKUP(F45,Winter!$F$3:$T$159, 13,)</f>
        <v>0</v>
      </c>
      <c r="M45" s="316">
        <v>200</v>
      </c>
      <c r="N45" s="313"/>
      <c r="O45" s="309"/>
      <c r="P45" s="132"/>
      <c r="Q45" s="132">
        <f t="shared" si="4"/>
        <v>200</v>
      </c>
      <c r="R45" s="283">
        <f t="shared" si="5"/>
        <v>0</v>
      </c>
      <c r="S45" s="283">
        <f t="shared" si="6"/>
        <v>0</v>
      </c>
      <c r="T45" s="133">
        <f t="shared" si="7"/>
        <v>0</v>
      </c>
      <c r="U45" s="186"/>
      <c r="V45" s="187"/>
      <c r="W45" s="173"/>
      <c r="X45" s="218">
        <v>3</v>
      </c>
      <c r="Y45" s="135"/>
      <c r="Z45" s="134">
        <f>IF(Table46[[#This Row],[Year]]=1, 1.3, IF(Table46[[#This Row],[Year]]=2, 1.2, IF(Table46[[#This Row],[Year]]=3, 1, IF(Table46[[#This Row],[Year]]=4, 0.72917, IF(Table46[[#This Row],[Year]]=5, 0.6, 0)))))</f>
        <v>1</v>
      </c>
    </row>
    <row r="46" spans="2:26" ht="21" x14ac:dyDescent="0.3">
      <c r="B46" s="107"/>
      <c r="C46" s="107"/>
      <c r="D46" s="107"/>
      <c r="F46" s="73" t="s">
        <v>409</v>
      </c>
      <c r="G46" s="222" t="s">
        <v>181</v>
      </c>
      <c r="H46" s="214" t="s">
        <v>317</v>
      </c>
      <c r="I46" s="299" t="s">
        <v>76</v>
      </c>
      <c r="J46" s="85">
        <f>IF(I46="Brother",$C$6*Table46[[#This Row],[Seniority Dues]],IF(I46="EC",$C$7,IF(I46="Alumni",$C$8,IF(I46="Dropped",$C$11,IF(I46="President",$C$10,IF(I46="Inactive",$C$9,IF(Table46[[#This Row],[Type]]="New Member",$C$13,0)))))))</f>
        <v>624</v>
      </c>
      <c r="K46" s="85"/>
      <c r="L46" s="132">
        <f>VLOOKUP(F46,Winter!$F$3:$T$159, 13,)</f>
        <v>25</v>
      </c>
      <c r="M46" s="316">
        <v>649</v>
      </c>
      <c r="N46" s="313"/>
      <c r="O46" s="309"/>
      <c r="P46" s="132"/>
      <c r="Q46" s="132">
        <f t="shared" si="4"/>
        <v>649</v>
      </c>
      <c r="R46" s="283">
        <f t="shared" si="5"/>
        <v>0</v>
      </c>
      <c r="S46" s="283">
        <f t="shared" si="6"/>
        <v>0</v>
      </c>
      <c r="T46" s="133">
        <f t="shared" si="7"/>
        <v>0</v>
      </c>
      <c r="U46" s="186"/>
      <c r="V46" s="187"/>
      <c r="W46" s="173"/>
      <c r="X46" s="218">
        <v>1</v>
      </c>
      <c r="Y46" s="135"/>
      <c r="Z46" s="134">
        <f>IF(Table46[[#This Row],[Year]]=1, 1.3, IF(Table46[[#This Row],[Year]]=2, 1.2, IF(Table46[[#This Row],[Year]]=3, 1, IF(Table46[[#This Row],[Year]]=4, 0.72917, IF(Table46[[#This Row],[Year]]=5, 0.6, 0)))))</f>
        <v>1.3</v>
      </c>
    </row>
    <row r="47" spans="2:26" ht="21" x14ac:dyDescent="0.3">
      <c r="B47" s="107"/>
      <c r="C47" s="107"/>
      <c r="D47" s="107"/>
      <c r="F47" s="73" t="s">
        <v>410</v>
      </c>
      <c r="G47" s="222" t="s">
        <v>411</v>
      </c>
      <c r="H47" s="214" t="s">
        <v>390</v>
      </c>
      <c r="I47" s="299" t="s">
        <v>76</v>
      </c>
      <c r="J47" s="85">
        <f>IF(I47="Brother",$C$6*Table46[[#This Row],[Seniority Dues]],IF(I47="EC",$C$7,IF(I47="Alumni",$C$8,IF(I47="Dropped",$C$11,IF(I47="President",$C$10,IF(I47="Inactive",$C$9,IF(Table46[[#This Row],[Type]]="New Member",$C$13,0)))))))</f>
        <v>624</v>
      </c>
      <c r="K47" s="85"/>
      <c r="L47" s="132">
        <f>VLOOKUP(F47,Winter!$F$3:$T$159, 13,)</f>
        <v>0</v>
      </c>
      <c r="M47" s="316">
        <v>624</v>
      </c>
      <c r="N47" s="313"/>
      <c r="O47" s="309"/>
      <c r="P47" s="132"/>
      <c r="Q47" s="132">
        <f t="shared" si="4"/>
        <v>624</v>
      </c>
      <c r="R47" s="283">
        <f t="shared" si="5"/>
        <v>0</v>
      </c>
      <c r="S47" s="283">
        <f t="shared" si="6"/>
        <v>0</v>
      </c>
      <c r="T47" s="133">
        <f t="shared" si="7"/>
        <v>0</v>
      </c>
      <c r="U47" s="186"/>
      <c r="V47" s="187"/>
      <c r="W47" s="173"/>
      <c r="X47" s="218">
        <v>1</v>
      </c>
      <c r="Y47" s="135"/>
      <c r="Z47" s="134">
        <f>IF(Table46[[#This Row],[Year]]=1, 1.3, IF(Table46[[#This Row],[Year]]=2, 1.2, IF(Table46[[#This Row],[Year]]=3, 1, IF(Table46[[#This Row],[Year]]=4, 0.72917, IF(Table46[[#This Row],[Year]]=5, 0.6, 0)))))</f>
        <v>1.3</v>
      </c>
    </row>
    <row r="48" spans="2:26" ht="21" x14ac:dyDescent="0.3">
      <c r="B48" s="107"/>
      <c r="C48" s="107"/>
      <c r="D48" s="107"/>
      <c r="F48" s="73" t="s">
        <v>182</v>
      </c>
      <c r="G48" s="222" t="s">
        <v>183</v>
      </c>
      <c r="H48" s="214" t="s">
        <v>184</v>
      </c>
      <c r="I48" s="299" t="s">
        <v>76</v>
      </c>
      <c r="J48" s="85">
        <f>IF(I48="Brother",$C$6*Table46[[#This Row],[Seniority Dues]],IF(I48="EC",$C$7,IF(I48="Alumni",$C$8,IF(I48="Dropped",$C$11,IF(I48="President",$C$10,IF(I48="Inactive",$C$9,IF(Table46[[#This Row],[Type]]="New Member",$C$13,0)))))))</f>
        <v>576</v>
      </c>
      <c r="K48" s="85">
        <v>25</v>
      </c>
      <c r="L48" s="132">
        <f>VLOOKUP(F48,Winter!$F$3:$T$159, 13,)</f>
        <v>-50</v>
      </c>
      <c r="M48" s="316">
        <v>551</v>
      </c>
      <c r="N48" s="313"/>
      <c r="O48" s="309"/>
      <c r="P48" s="132"/>
      <c r="Q48" s="132">
        <f t="shared" si="4"/>
        <v>551</v>
      </c>
      <c r="R48" s="283">
        <f t="shared" si="5"/>
        <v>0</v>
      </c>
      <c r="S48" s="283">
        <f t="shared" si="6"/>
        <v>0</v>
      </c>
      <c r="T48" s="133">
        <f t="shared" si="7"/>
        <v>0</v>
      </c>
      <c r="U48" s="186"/>
      <c r="V48" s="187"/>
      <c r="W48" s="173"/>
      <c r="X48" s="218">
        <v>2</v>
      </c>
      <c r="Y48" s="135"/>
      <c r="Z48" s="134">
        <f>IF(Table46[[#This Row],[Year]]=1, 1.3, IF(Table46[[#This Row],[Year]]=2, 1.2, IF(Table46[[#This Row],[Year]]=3, 1, IF(Table46[[#This Row],[Year]]=4, 0.72917, IF(Table46[[#This Row],[Year]]=5, 0.6, 0)))))</f>
        <v>1.2</v>
      </c>
    </row>
    <row r="49" spans="2:26" ht="21" x14ac:dyDescent="0.3">
      <c r="B49" s="107"/>
      <c r="C49" s="107"/>
      <c r="D49" s="107"/>
      <c r="F49" s="73" t="s">
        <v>185</v>
      </c>
      <c r="G49" s="222" t="s">
        <v>186</v>
      </c>
      <c r="H49" s="214" t="s">
        <v>187</v>
      </c>
      <c r="I49" s="299" t="s">
        <v>76</v>
      </c>
      <c r="J49" s="85">
        <f>IF(I49="Brother",$C$6*Table46[[#This Row],[Seniority Dues]],IF(I49="EC",$C$7,IF(I49="Alumni",$C$8,IF(I49="Dropped",$C$11,IF(I49="President",$C$10,IF(I49="Inactive",$C$9,IF(Table46[[#This Row],[Type]]="New Member",$C$13,0)))))))</f>
        <v>576</v>
      </c>
      <c r="K49" s="85"/>
      <c r="L49" s="132">
        <f>VLOOKUP(F49,Winter!$F$3:$T$159, 13,)</f>
        <v>0</v>
      </c>
      <c r="M49" s="316">
        <f>144+144</f>
        <v>288</v>
      </c>
      <c r="N49" s="313">
        <v>38</v>
      </c>
      <c r="O49" s="309" t="s">
        <v>455</v>
      </c>
      <c r="P49" s="132"/>
      <c r="Q49" s="132">
        <f t="shared" si="4"/>
        <v>326</v>
      </c>
      <c r="R49" s="283">
        <f t="shared" si="5"/>
        <v>250</v>
      </c>
      <c r="S49" s="283">
        <f t="shared" si="6"/>
        <v>0</v>
      </c>
      <c r="T49" s="133">
        <f t="shared" si="7"/>
        <v>250</v>
      </c>
      <c r="U49" s="186"/>
      <c r="V49" s="187"/>
      <c r="W49" s="173"/>
      <c r="X49" s="218">
        <v>2</v>
      </c>
      <c r="Y49" s="135"/>
      <c r="Z49" s="134">
        <f>IF(Table46[[#This Row],[Year]]=1, 1.3, IF(Table46[[#This Row],[Year]]=2, 1.2, IF(Table46[[#This Row],[Year]]=3, 1, IF(Table46[[#This Row],[Year]]=4, 0.72917, IF(Table46[[#This Row],[Year]]=5, 0.6, 0)))))</f>
        <v>1.2</v>
      </c>
    </row>
    <row r="50" spans="2:26" ht="21" x14ac:dyDescent="0.3">
      <c r="B50" s="107"/>
      <c r="C50" s="107"/>
      <c r="D50" s="107"/>
      <c r="F50" s="73" t="s">
        <v>188</v>
      </c>
      <c r="G50" s="229" t="s">
        <v>189</v>
      </c>
      <c r="H50" s="297" t="s">
        <v>190</v>
      </c>
      <c r="I50" s="299" t="s">
        <v>96</v>
      </c>
      <c r="J50" s="85">
        <f>IF(I50="Brother",$C$6*Table46[[#This Row],[Seniority Dues]],IF(I50="EC",$C$7,IF(I50="Alumni",$C$8,IF(I50="Dropped",$C$11,IF(I50="President",$C$10,IF(I50="Inactive",$C$9,IF(Table46[[#This Row],[Type]]="New Member",$C$13,0)))))))</f>
        <v>0</v>
      </c>
      <c r="K50" s="85"/>
      <c r="L50" s="132">
        <f>VLOOKUP(F50,Winter!$F$3:$T$159, 13,)</f>
        <v>0</v>
      </c>
      <c r="M50" s="316"/>
      <c r="N50" s="313"/>
      <c r="O50" s="309"/>
      <c r="P50" s="132"/>
      <c r="Q50" s="132">
        <f t="shared" si="4"/>
        <v>0</v>
      </c>
      <c r="R50" s="283">
        <f t="shared" si="5"/>
        <v>0</v>
      </c>
      <c r="S50" s="283">
        <f t="shared" si="6"/>
        <v>0</v>
      </c>
      <c r="T50" s="133">
        <f t="shared" si="7"/>
        <v>0</v>
      </c>
      <c r="U50" s="186"/>
      <c r="V50" s="187"/>
      <c r="W50" s="173"/>
      <c r="X50" s="188">
        <v>3</v>
      </c>
      <c r="Y50" s="135"/>
      <c r="Z50" s="134">
        <f>IF(Table46[[#This Row],[Year]]=1, 1.3, IF(Table46[[#This Row],[Year]]=2, 1.2, IF(Table46[[#This Row],[Year]]=3, 1, IF(Table46[[#This Row],[Year]]=4, 0.72917, IF(Table46[[#This Row],[Year]]=5, 0.6, 0)))))</f>
        <v>1</v>
      </c>
    </row>
    <row r="51" spans="2:26" ht="21" x14ac:dyDescent="0.3">
      <c r="B51" s="107"/>
      <c r="C51" s="107"/>
      <c r="D51" s="107"/>
      <c r="F51" s="73" t="s">
        <v>412</v>
      </c>
      <c r="G51" s="222" t="s">
        <v>413</v>
      </c>
      <c r="H51" s="214" t="s">
        <v>301</v>
      </c>
      <c r="I51" s="299" t="s">
        <v>76</v>
      </c>
      <c r="J51" s="85">
        <f>IF(I51="Brother",$C$6*Table46[[#This Row],[Seniority Dues]],IF(I51="EC",$C$7,IF(I51="Alumni",$C$8,IF(I51="Dropped",$C$11,IF(I51="President",$C$10,IF(I51="Inactive",$C$9,IF(Table46[[#This Row],[Type]]="New Member",$C$13,0)))))))</f>
        <v>624</v>
      </c>
      <c r="K51" s="85">
        <v>25</v>
      </c>
      <c r="L51" s="132">
        <f>VLOOKUP(F51,Winter!$F$3:$T$159, 13,)</f>
        <v>-600</v>
      </c>
      <c r="M51" s="316"/>
      <c r="N51" s="313"/>
      <c r="O51" s="309"/>
      <c r="P51" s="132"/>
      <c r="Q51" s="132">
        <f t="shared" si="4"/>
        <v>0</v>
      </c>
      <c r="R51" s="283">
        <f t="shared" si="5"/>
        <v>49</v>
      </c>
      <c r="S51" s="283">
        <f t="shared" si="6"/>
        <v>0</v>
      </c>
      <c r="T51" s="133">
        <f t="shared" si="7"/>
        <v>49</v>
      </c>
      <c r="U51" s="186"/>
      <c r="V51" s="187"/>
      <c r="W51" s="173"/>
      <c r="X51" s="218">
        <v>1</v>
      </c>
      <c r="Y51" s="135"/>
      <c r="Z51" s="134">
        <f>IF(Table46[[#This Row],[Year]]=1, 1.3, IF(Table46[[#This Row],[Year]]=2, 1.2, IF(Table46[[#This Row],[Year]]=3, 1, IF(Table46[[#This Row],[Year]]=4, 0.72917, IF(Table46[[#This Row],[Year]]=5, 0.6, 0)))))</f>
        <v>1.3</v>
      </c>
    </row>
    <row r="52" spans="2:26" ht="21" x14ac:dyDescent="0.3">
      <c r="B52" s="107"/>
      <c r="C52" s="107"/>
      <c r="D52" s="107"/>
      <c r="F52" s="73" t="s">
        <v>191</v>
      </c>
      <c r="G52" s="222" t="s">
        <v>192</v>
      </c>
      <c r="H52" s="214" t="s">
        <v>193</v>
      </c>
      <c r="I52" s="299" t="s">
        <v>76</v>
      </c>
      <c r="J52" s="85">
        <f>IF(I52="Brother",$C$6*Table46[[#This Row],[Seniority Dues]],IF(I52="EC",$C$7,IF(I52="Alumni",$C$8,IF(I52="Dropped",$C$11,IF(I52="President",$C$10,IF(I52="Inactive",$C$9,IF(Table46[[#This Row],[Type]]="New Member",$C$13,0)))))))</f>
        <v>576</v>
      </c>
      <c r="K52" s="85"/>
      <c r="L52" s="132">
        <f>VLOOKUP(F52,Winter!$F$3:$T$159, 13,)</f>
        <v>25</v>
      </c>
      <c r="M52" s="316">
        <v>601</v>
      </c>
      <c r="N52" s="313"/>
      <c r="O52" s="309"/>
      <c r="P52" s="132"/>
      <c r="Q52" s="132">
        <f t="shared" si="4"/>
        <v>601</v>
      </c>
      <c r="R52" s="283">
        <f t="shared" si="5"/>
        <v>0</v>
      </c>
      <c r="S52" s="283">
        <f t="shared" si="6"/>
        <v>0</v>
      </c>
      <c r="T52" s="133">
        <f t="shared" si="7"/>
        <v>0</v>
      </c>
      <c r="U52" s="186"/>
      <c r="V52" s="187"/>
      <c r="W52" s="173"/>
      <c r="X52" s="218">
        <v>2</v>
      </c>
      <c r="Y52" s="135"/>
      <c r="Z52" s="134">
        <f>IF(Table46[[#This Row],[Year]]=1, 1.3, IF(Table46[[#This Row],[Year]]=2, 1.2, IF(Table46[[#This Row],[Year]]=3, 1, IF(Table46[[#This Row],[Year]]=4, 0.72917, IF(Table46[[#This Row],[Year]]=5, 0.6, 0)))))</f>
        <v>1.2</v>
      </c>
    </row>
    <row r="53" spans="2:26" ht="21" x14ac:dyDescent="0.3">
      <c r="B53" s="107"/>
      <c r="C53" s="107"/>
      <c r="D53" s="107"/>
      <c r="F53" s="73" t="s">
        <v>194</v>
      </c>
      <c r="G53" s="229" t="s">
        <v>195</v>
      </c>
      <c r="H53" s="297" t="s">
        <v>196</v>
      </c>
      <c r="I53" s="299" t="s">
        <v>76</v>
      </c>
      <c r="J53" s="85">
        <f>IF(I53="Brother",$C$6*Table46[[#This Row],[Seniority Dues]],IF(I53="EC",$C$7,IF(I53="Alumni",$C$8,IF(I53="Dropped",$C$11,IF(I53="President",$C$10,IF(I53="Inactive",$C$9,IF(Table46[[#This Row],[Type]]="New Member",$C$13,0)))))))</f>
        <v>480</v>
      </c>
      <c r="K53" s="85">
        <v>25</v>
      </c>
      <c r="L53" s="132">
        <f>VLOOKUP(F53,Winter!$F$3:$T$159, 13,)</f>
        <v>0</v>
      </c>
      <c r="M53" s="316">
        <v>505</v>
      </c>
      <c r="N53" s="313"/>
      <c r="O53" s="309"/>
      <c r="P53" s="132"/>
      <c r="Q53" s="132">
        <f t="shared" si="4"/>
        <v>505</v>
      </c>
      <c r="R53" s="283">
        <f t="shared" si="5"/>
        <v>0</v>
      </c>
      <c r="S53" s="283">
        <f t="shared" si="6"/>
        <v>0</v>
      </c>
      <c r="T53" s="133">
        <f t="shared" si="7"/>
        <v>0</v>
      </c>
      <c r="U53" s="186"/>
      <c r="V53" s="187"/>
      <c r="W53" s="173"/>
      <c r="X53" s="188">
        <v>3</v>
      </c>
      <c r="Y53" s="135"/>
      <c r="Z53" s="134">
        <f>IF(Table46[[#This Row],[Year]]=1, 1.3, IF(Table46[[#This Row],[Year]]=2, 1.2, IF(Table46[[#This Row],[Year]]=3, 1, IF(Table46[[#This Row],[Year]]=4, 0.72917, IF(Table46[[#This Row],[Year]]=5, 0.6, 0)))))</f>
        <v>1</v>
      </c>
    </row>
    <row r="54" spans="2:26" ht="21" x14ac:dyDescent="0.3">
      <c r="B54" s="107"/>
      <c r="C54" s="107"/>
      <c r="D54" s="107"/>
      <c r="F54" s="73" t="s">
        <v>480</v>
      </c>
      <c r="G54" s="222" t="s">
        <v>481</v>
      </c>
      <c r="H54" s="214" t="s">
        <v>482</v>
      </c>
      <c r="I54" s="299" t="s">
        <v>76</v>
      </c>
      <c r="J54" s="85">
        <f>IF(I54="Brother",$C$6*Table46[[#This Row],[Seniority Dues]],IF(I54="EC",$C$7,IF(I54="Alumni",$C$8,IF(I54="Dropped",$C$11,IF(I54="President",$C$10,IF(I54="Inactive",$C$9,IF(Table46[[#This Row],[Type]]="New Member",$C$13,0)))))))</f>
        <v>624</v>
      </c>
      <c r="K54" s="85"/>
      <c r="L54" s="132">
        <f>VLOOKUP(F54,Winter!$F$3:$T$159, 13,)</f>
        <v>300</v>
      </c>
      <c r="M54" s="316"/>
      <c r="N54" s="313"/>
      <c r="O54" s="309"/>
      <c r="P54" s="132"/>
      <c r="Q54" s="132">
        <f t="shared" si="4"/>
        <v>0</v>
      </c>
      <c r="R54" s="283">
        <f t="shared" si="5"/>
        <v>924</v>
      </c>
      <c r="S54" s="283">
        <f t="shared" si="6"/>
        <v>0</v>
      </c>
      <c r="T54" s="133">
        <f t="shared" si="7"/>
        <v>924</v>
      </c>
      <c r="U54" s="186"/>
      <c r="V54" s="187"/>
      <c r="W54" s="173"/>
      <c r="X54" s="218">
        <v>1</v>
      </c>
      <c r="Y54" s="135"/>
      <c r="Z54" s="134">
        <f>IF(Table46[[#This Row],[Year]]=1, 1.3, IF(Table46[[#This Row],[Year]]=2, 1.2, IF(Table46[[#This Row],[Year]]=3, 1, IF(Table46[[#This Row],[Year]]=4, 0.72917, IF(Table46[[#This Row],[Year]]=5, 0.6, 0)))))</f>
        <v>1.3</v>
      </c>
    </row>
    <row r="55" spans="2:26" ht="21" x14ac:dyDescent="0.3">
      <c r="B55" s="107"/>
      <c r="C55" s="107"/>
      <c r="D55" s="107"/>
      <c r="F55" s="73" t="s">
        <v>200</v>
      </c>
      <c r="G55" s="229" t="s">
        <v>201</v>
      </c>
      <c r="H55" s="297" t="s">
        <v>202</v>
      </c>
      <c r="I55" s="299" t="s">
        <v>72</v>
      </c>
      <c r="J55" s="85">
        <f>IF(I55="Brother",$C$6*Table46[[#This Row],[Seniority Dues]],IF(I55="EC",$C$7,IF(I55="Alumni",$C$8,IF(I55="Dropped",$C$11,IF(I55="President",$C$10,IF(I55="Inactive",$C$9,IF(Table46[[#This Row],[Type]]="New Member",$C$13,0)))))))</f>
        <v>200</v>
      </c>
      <c r="K55" s="85"/>
      <c r="L55" s="132">
        <f>VLOOKUP(F55,Winter!$F$3:$T$159, 13,)</f>
        <v>-24.999999839999987</v>
      </c>
      <c r="M55" s="316">
        <v>175</v>
      </c>
      <c r="N55" s="313"/>
      <c r="O55" s="309"/>
      <c r="P55" s="132"/>
      <c r="Q55" s="132">
        <f t="shared" si="4"/>
        <v>175</v>
      </c>
      <c r="R55" s="283">
        <f t="shared" si="5"/>
        <v>1.6000001323845936E-7</v>
      </c>
      <c r="S55" s="283">
        <f t="shared" si="6"/>
        <v>0</v>
      </c>
      <c r="T55" s="133">
        <f t="shared" si="7"/>
        <v>1.6000001323845936E-7</v>
      </c>
      <c r="U55" s="186"/>
      <c r="V55" s="187"/>
      <c r="W55" s="173"/>
      <c r="X55" s="188">
        <v>4</v>
      </c>
      <c r="Y55" s="135"/>
      <c r="Z55" s="134">
        <f>IF(Table46[[#This Row],[Year]]=1, 1.3, IF(Table46[[#This Row],[Year]]=2, 1.2, IF(Table46[[#This Row],[Year]]=3, 1, IF(Table46[[#This Row],[Year]]=4, 0.72917, IF(Table46[[#This Row],[Year]]=5, 0.6, 0)))))</f>
        <v>0.72916999999999998</v>
      </c>
    </row>
    <row r="56" spans="2:26" ht="21" x14ac:dyDescent="0.3">
      <c r="B56" s="107"/>
      <c r="C56" s="107"/>
      <c r="D56" s="107"/>
      <c r="F56" s="73" t="s">
        <v>203</v>
      </c>
      <c r="G56" s="229" t="s">
        <v>204</v>
      </c>
      <c r="H56" s="297" t="s">
        <v>205</v>
      </c>
      <c r="I56" s="299" t="s">
        <v>72</v>
      </c>
      <c r="J56" s="85">
        <f>IF(I56="Brother",$C$6*Table46[[#This Row],[Seniority Dues]],IF(I56="EC",$C$7,IF(I56="Alumni",$C$8,IF(I56="Dropped",$C$11,IF(I56="President",$C$10,IF(I56="Inactive",$C$9,IF(Table46[[#This Row],[Type]]="New Member",$C$13,0)))))))</f>
        <v>200</v>
      </c>
      <c r="K56" s="85"/>
      <c r="L56" s="132">
        <f>VLOOKUP(F56,Winter!$F$3:$T$159, 13,)</f>
        <v>0</v>
      </c>
      <c r="M56" s="316">
        <v>200</v>
      </c>
      <c r="N56" s="313"/>
      <c r="O56" s="309"/>
      <c r="P56" s="132"/>
      <c r="Q56" s="132">
        <f t="shared" si="4"/>
        <v>200</v>
      </c>
      <c r="R56" s="283">
        <f t="shared" si="5"/>
        <v>0</v>
      </c>
      <c r="S56" s="283">
        <f t="shared" si="6"/>
        <v>0</v>
      </c>
      <c r="T56" s="133">
        <f t="shared" si="7"/>
        <v>0</v>
      </c>
      <c r="U56" s="186"/>
      <c r="V56" s="187"/>
      <c r="W56" s="173"/>
      <c r="X56" s="188">
        <v>3</v>
      </c>
      <c r="Y56" s="135"/>
      <c r="Z56" s="134">
        <f>IF(Table46[[#This Row],[Year]]=1, 1.3, IF(Table46[[#This Row],[Year]]=2, 1.2, IF(Table46[[#This Row],[Year]]=3, 1, IF(Table46[[#This Row],[Year]]=4, 0.72917, IF(Table46[[#This Row],[Year]]=5, 0.6, 0)))))</f>
        <v>1</v>
      </c>
    </row>
    <row r="57" spans="2:26" ht="21" x14ac:dyDescent="0.3">
      <c r="B57" s="107"/>
      <c r="C57" s="107"/>
      <c r="D57" s="107"/>
      <c r="F57" s="73" t="s">
        <v>414</v>
      </c>
      <c r="G57" s="222" t="s">
        <v>204</v>
      </c>
      <c r="H57" s="214" t="s">
        <v>272</v>
      </c>
      <c r="I57" s="299" t="s">
        <v>76</v>
      </c>
      <c r="J57" s="85">
        <f>IF(I57="Brother",$C$6*Table46[[#This Row],[Seniority Dues]],IF(I57="EC",$C$7,IF(I57="Alumni",$C$8,IF(I57="Dropped",$C$11,IF(I57="President",$C$10,IF(I57="Inactive",$C$9,IF(Table46[[#This Row],[Type]]="New Member",$C$13,0)))))))</f>
        <v>624</v>
      </c>
      <c r="K57" s="85"/>
      <c r="L57" s="132">
        <f>VLOOKUP(F57,Winter!$F$3:$T$159, 13,)</f>
        <v>25</v>
      </c>
      <c r="M57" s="316">
        <v>649</v>
      </c>
      <c r="N57" s="313"/>
      <c r="O57" s="309"/>
      <c r="P57" s="132"/>
      <c r="Q57" s="132">
        <f t="shared" si="4"/>
        <v>649</v>
      </c>
      <c r="R57" s="283">
        <f t="shared" si="5"/>
        <v>0</v>
      </c>
      <c r="S57" s="283">
        <f t="shared" si="6"/>
        <v>0</v>
      </c>
      <c r="T57" s="133">
        <f t="shared" si="7"/>
        <v>0</v>
      </c>
      <c r="U57" s="186"/>
      <c r="V57" s="187"/>
      <c r="W57" s="173"/>
      <c r="X57" s="218">
        <v>1</v>
      </c>
      <c r="Y57" s="135"/>
      <c r="Z57" s="134">
        <f>IF(Table46[[#This Row],[Year]]=1, 1.3, IF(Table46[[#This Row],[Year]]=2, 1.2, IF(Table46[[#This Row],[Year]]=3, 1, IF(Table46[[#This Row],[Year]]=4, 0.72917, IF(Table46[[#This Row],[Year]]=5, 0.6, 0)))))</f>
        <v>1.3</v>
      </c>
    </row>
    <row r="58" spans="2:26" ht="21" x14ac:dyDescent="0.3">
      <c r="B58" s="107"/>
      <c r="C58" s="107"/>
      <c r="D58" s="107"/>
      <c r="F58" s="73" t="s">
        <v>415</v>
      </c>
      <c r="G58" s="222" t="s">
        <v>416</v>
      </c>
      <c r="H58" s="214" t="s">
        <v>417</v>
      </c>
      <c r="I58" s="299" t="s">
        <v>76</v>
      </c>
      <c r="J58" s="85">
        <f>IF(I58="Brother",$C$6*Table46[[#This Row],[Seniority Dues]],IF(I58="EC",$C$7,IF(I58="Alumni",$C$8,IF(I58="Dropped",$C$11,IF(I58="President",$C$10,IF(I58="Inactive",$C$9,IF(Table46[[#This Row],[Type]]="New Member",$C$13,0)))))))</f>
        <v>624</v>
      </c>
      <c r="K58" s="85"/>
      <c r="L58" s="132">
        <f>VLOOKUP(F58,Winter!$F$3:$T$159, 13,)</f>
        <v>0</v>
      </c>
      <c r="M58" s="316">
        <v>624</v>
      </c>
      <c r="N58" s="313"/>
      <c r="O58" s="309"/>
      <c r="P58" s="132"/>
      <c r="Q58" s="132">
        <f t="shared" si="4"/>
        <v>624</v>
      </c>
      <c r="R58" s="283">
        <f t="shared" si="5"/>
        <v>0</v>
      </c>
      <c r="S58" s="283">
        <f t="shared" si="6"/>
        <v>0</v>
      </c>
      <c r="T58" s="133">
        <f t="shared" si="7"/>
        <v>0</v>
      </c>
      <c r="U58" s="186"/>
      <c r="V58" s="187"/>
      <c r="W58" s="173"/>
      <c r="X58" s="218">
        <v>1</v>
      </c>
      <c r="Y58" s="135"/>
      <c r="Z58" s="134">
        <f>IF(Table46[[#This Row],[Year]]=1, 1.3, IF(Table46[[#This Row],[Year]]=2, 1.2, IF(Table46[[#This Row],[Year]]=3, 1, IF(Table46[[#This Row],[Year]]=4, 0.72917, IF(Table46[[#This Row],[Year]]=5, 0.6, 0)))))</f>
        <v>1.3</v>
      </c>
    </row>
    <row r="59" spans="2:26" ht="21" x14ac:dyDescent="0.3">
      <c r="B59" s="107"/>
      <c r="C59" s="107"/>
      <c r="D59" s="107"/>
      <c r="F59" s="73" t="s">
        <v>418</v>
      </c>
      <c r="G59" s="222" t="s">
        <v>148</v>
      </c>
      <c r="H59" s="214" t="s">
        <v>419</v>
      </c>
      <c r="I59" s="299" t="s">
        <v>76</v>
      </c>
      <c r="J59" s="85">
        <f>IF(I59="Brother",$C$6*Table46[[#This Row],[Seniority Dues]],IF(I59="EC",$C$7,IF(I59="Alumni",$C$8,IF(I59="Dropped",$C$11,IF(I59="President",$C$10,IF(I59="Inactive",$C$9,IF(Table46[[#This Row],[Type]]="New Member",$C$13,0)))))))</f>
        <v>624</v>
      </c>
      <c r="K59" s="85"/>
      <c r="L59" s="132">
        <f>VLOOKUP(F59,Winter!$F$3:$T$159, 13,)</f>
        <v>0</v>
      </c>
      <c r="M59" s="316">
        <v>624</v>
      </c>
      <c r="N59" s="313"/>
      <c r="O59" s="309"/>
      <c r="P59" s="132"/>
      <c r="Q59" s="132">
        <f t="shared" si="4"/>
        <v>624</v>
      </c>
      <c r="R59" s="283">
        <f t="shared" si="5"/>
        <v>0</v>
      </c>
      <c r="S59" s="283">
        <f t="shared" si="6"/>
        <v>0</v>
      </c>
      <c r="T59" s="133">
        <f t="shared" si="7"/>
        <v>0</v>
      </c>
      <c r="U59" s="186"/>
      <c r="V59" s="187"/>
      <c r="W59" s="173"/>
      <c r="X59" s="218">
        <v>1</v>
      </c>
      <c r="Y59" s="135"/>
      <c r="Z59" s="134">
        <f>IF(Table46[[#This Row],[Year]]=1, 1.3, IF(Table46[[#This Row],[Year]]=2, 1.2, IF(Table46[[#This Row],[Year]]=3, 1, IF(Table46[[#This Row],[Year]]=4, 0.72917, IF(Table46[[#This Row],[Year]]=5, 0.6, 0)))))</f>
        <v>1.3</v>
      </c>
    </row>
    <row r="60" spans="2:26" ht="21" x14ac:dyDescent="0.3">
      <c r="B60" s="107"/>
      <c r="C60" s="107"/>
      <c r="D60" s="107"/>
      <c r="F60" s="73" t="s">
        <v>483</v>
      </c>
      <c r="G60" s="222" t="s">
        <v>484</v>
      </c>
      <c r="H60" s="214" t="s">
        <v>107</v>
      </c>
      <c r="I60" s="299" t="s">
        <v>76</v>
      </c>
      <c r="J60" s="85">
        <f>IF(I60="Brother",$C$6*Table46[[#This Row],[Seniority Dues]],IF(I60="EC",$C$7,IF(I60="Alumni",$C$8,IF(I60="Dropped",$C$11,IF(I60="President",$C$10,IF(I60="Inactive",$C$9,IF(Table46[[#This Row],[Type]]="New Member",$C$13,0)))))))</f>
        <v>624</v>
      </c>
      <c r="K60" s="85"/>
      <c r="L60" s="132">
        <f>VLOOKUP(F60,Winter!$F$3:$T$159, 13,)</f>
        <v>600</v>
      </c>
      <c r="M60" s="316"/>
      <c r="N60" s="313"/>
      <c r="O60" s="309"/>
      <c r="P60" s="132"/>
      <c r="Q60" s="132">
        <f t="shared" si="4"/>
        <v>0</v>
      </c>
      <c r="R60" s="283">
        <f t="shared" si="5"/>
        <v>1224</v>
      </c>
      <c r="S60" s="283">
        <f t="shared" si="6"/>
        <v>0</v>
      </c>
      <c r="T60" s="133">
        <f t="shared" si="7"/>
        <v>1224</v>
      </c>
      <c r="U60" s="186"/>
      <c r="V60" s="187"/>
      <c r="W60" s="173"/>
      <c r="X60" s="218">
        <v>1</v>
      </c>
      <c r="Y60" s="135"/>
      <c r="Z60" s="134">
        <f>IF(Table46[[#This Row],[Year]]=1, 1.3, IF(Table46[[#This Row],[Year]]=2, 1.2, IF(Table46[[#This Row],[Year]]=3, 1, IF(Table46[[#This Row],[Year]]=4, 0.72917, IF(Table46[[#This Row],[Year]]=5, 0.6, 0)))))</f>
        <v>1.3</v>
      </c>
    </row>
    <row r="61" spans="2:26" ht="21" x14ac:dyDescent="0.3">
      <c r="B61" s="107"/>
      <c r="C61" s="107"/>
      <c r="D61" s="107"/>
      <c r="F61" s="73" t="s">
        <v>206</v>
      </c>
      <c r="G61" s="222" t="s">
        <v>207</v>
      </c>
      <c r="H61" s="214" t="s">
        <v>208</v>
      </c>
      <c r="I61" s="299" t="s">
        <v>76</v>
      </c>
      <c r="J61" s="85">
        <f>IF(I61="Brother",$C$6*Table46[[#This Row],[Seniority Dues]],IF(I61="EC",$C$7,IF(I61="Alumni",$C$8,IF(I61="Dropped",$C$11,IF(I61="President",$C$10,IF(I61="Inactive",$C$9,IF(Table46[[#This Row],[Type]]="New Member",$C$13,0)))))))</f>
        <v>576</v>
      </c>
      <c r="K61" s="85"/>
      <c r="L61" s="132">
        <f>VLOOKUP(F61,Winter!$F$3:$T$159, 13,)</f>
        <v>-125</v>
      </c>
      <c r="M61" s="316">
        <v>334</v>
      </c>
      <c r="N61" s="313"/>
      <c r="O61" s="309" t="s">
        <v>455</v>
      </c>
      <c r="P61" s="132"/>
      <c r="Q61" s="132">
        <f t="shared" si="4"/>
        <v>334</v>
      </c>
      <c r="R61" s="283">
        <f t="shared" si="5"/>
        <v>117</v>
      </c>
      <c r="S61" s="283">
        <f t="shared" si="6"/>
        <v>0</v>
      </c>
      <c r="T61" s="133">
        <f t="shared" si="7"/>
        <v>117</v>
      </c>
      <c r="U61" s="186"/>
      <c r="V61" s="187"/>
      <c r="W61" s="173"/>
      <c r="X61" s="218">
        <v>2</v>
      </c>
      <c r="Y61" s="135"/>
      <c r="Z61" s="134">
        <f>IF(Table46[[#This Row],[Year]]=1, 1.3, IF(Table46[[#This Row],[Year]]=2, 1.2, IF(Table46[[#This Row],[Year]]=3, 1, IF(Table46[[#This Row],[Year]]=4, 0.72917, IF(Table46[[#This Row],[Year]]=5, 0.6, 0)))))</f>
        <v>1.2</v>
      </c>
    </row>
    <row r="62" spans="2:26" ht="21" x14ac:dyDescent="0.3">
      <c r="B62" s="107"/>
      <c r="C62" s="107"/>
      <c r="D62" s="107"/>
      <c r="F62" s="73" t="s">
        <v>420</v>
      </c>
      <c r="G62" s="222" t="s">
        <v>421</v>
      </c>
      <c r="H62" s="214" t="s">
        <v>422</v>
      </c>
      <c r="I62" s="299" t="s">
        <v>76</v>
      </c>
      <c r="J62" s="85">
        <f>IF(I62="Brother",$C$6*Table46[[#This Row],[Seniority Dues]],IF(I62="EC",$C$7,IF(I62="Alumni",$C$8,IF(I62="Dropped",$C$11,IF(I62="President",$C$10,IF(I62="Inactive",$C$9,IF(Table46[[#This Row],[Type]]="New Member",$C$13,0)))))))</f>
        <v>624</v>
      </c>
      <c r="K62" s="85"/>
      <c r="L62" s="132">
        <f>VLOOKUP(F62,Winter!$F$3:$T$159, 13,)</f>
        <v>25</v>
      </c>
      <c r="M62" s="316">
        <v>649</v>
      </c>
      <c r="N62" s="313"/>
      <c r="O62" s="309"/>
      <c r="P62" s="132"/>
      <c r="Q62" s="132">
        <f t="shared" si="4"/>
        <v>649</v>
      </c>
      <c r="R62" s="283">
        <f t="shared" si="5"/>
        <v>0</v>
      </c>
      <c r="S62" s="283">
        <f t="shared" si="6"/>
        <v>0</v>
      </c>
      <c r="T62" s="133">
        <f t="shared" si="7"/>
        <v>0</v>
      </c>
      <c r="U62" s="186"/>
      <c r="V62" s="187"/>
      <c r="W62" s="173"/>
      <c r="X62" s="218">
        <v>1</v>
      </c>
      <c r="Y62" s="135"/>
      <c r="Z62" s="134">
        <f>IF(Table46[[#This Row],[Year]]=1, 1.3, IF(Table46[[#This Row],[Year]]=2, 1.2, IF(Table46[[#This Row],[Year]]=3, 1, IF(Table46[[#This Row],[Year]]=4, 0.72917, IF(Table46[[#This Row],[Year]]=5, 0.6, 0)))))</f>
        <v>1.3</v>
      </c>
    </row>
    <row r="63" spans="2:26" ht="21" x14ac:dyDescent="0.3">
      <c r="B63" s="107"/>
      <c r="C63" s="107"/>
      <c r="D63" s="107"/>
      <c r="F63" s="73" t="s">
        <v>209</v>
      </c>
      <c r="G63" s="222" t="s">
        <v>210</v>
      </c>
      <c r="H63" s="214" t="s">
        <v>211</v>
      </c>
      <c r="I63" s="299" t="s">
        <v>76</v>
      </c>
      <c r="J63" s="85">
        <f>IF(I63="Brother",$C$6*Table46[[#This Row],[Seniority Dues]],IF(I63="EC",$C$7,IF(I63="Alumni",$C$8,IF(I63="Dropped",$C$11,IF(I63="President",$C$10,IF(I63="Inactive",$C$9,IF(Table46[[#This Row],[Type]]="New Member",$C$13,0)))))))</f>
        <v>576</v>
      </c>
      <c r="K63" s="85">
        <v>25</v>
      </c>
      <c r="L63" s="132">
        <f>VLOOKUP(F63,Winter!$F$3:$T$159, 13,)</f>
        <v>0</v>
      </c>
      <c r="M63" s="316">
        <v>601</v>
      </c>
      <c r="N63" s="313"/>
      <c r="O63" s="309"/>
      <c r="P63" s="132"/>
      <c r="Q63" s="132">
        <f t="shared" si="4"/>
        <v>601</v>
      </c>
      <c r="R63" s="283">
        <f t="shared" si="5"/>
        <v>0</v>
      </c>
      <c r="S63" s="283">
        <f t="shared" si="6"/>
        <v>0</v>
      </c>
      <c r="T63" s="133">
        <f t="shared" si="7"/>
        <v>0</v>
      </c>
      <c r="U63" s="186"/>
      <c r="V63" s="187"/>
      <c r="W63" s="173"/>
      <c r="X63" s="218">
        <v>2</v>
      </c>
      <c r="Y63" s="135"/>
      <c r="Z63" s="134">
        <f>IF(Table46[[#This Row],[Year]]=1, 1.3, IF(Table46[[#This Row],[Year]]=2, 1.2, IF(Table46[[#This Row],[Year]]=3, 1, IF(Table46[[#This Row],[Year]]=4, 0.72917, IF(Table46[[#This Row],[Year]]=5, 0.6, 0)))))</f>
        <v>1.2</v>
      </c>
    </row>
    <row r="64" spans="2:26" ht="21" x14ac:dyDescent="0.3">
      <c r="B64" s="107"/>
      <c r="C64" s="107"/>
      <c r="D64" s="107"/>
      <c r="F64" s="73" t="s">
        <v>485</v>
      </c>
      <c r="G64" s="222" t="s">
        <v>210</v>
      </c>
      <c r="H64" s="214" t="s">
        <v>486</v>
      </c>
      <c r="I64" s="299" t="s">
        <v>76</v>
      </c>
      <c r="J64" s="85">
        <f>IF(I64="Brother",$C$6*Table46[[#This Row],[Seniority Dues]],IF(I64="EC",$C$7,IF(I64="Alumni",$C$8,IF(I64="Dropped",$C$11,IF(I64="President",$C$10,IF(I64="Inactive",$C$9,IF(Table46[[#This Row],[Type]]="New Member",$C$13,0)))))))</f>
        <v>624</v>
      </c>
      <c r="K64" s="85">
        <v>-124</v>
      </c>
      <c r="L64" s="132">
        <f>VLOOKUP(F64,Winter!$F$3:$T$159, 13,)</f>
        <v>200</v>
      </c>
      <c r="M64" s="316">
        <v>200</v>
      </c>
      <c r="N64" s="313">
        <v>500</v>
      </c>
      <c r="O64" s="309"/>
      <c r="P64" s="132"/>
      <c r="Q64" s="132">
        <f t="shared" si="4"/>
        <v>700</v>
      </c>
      <c r="R64" s="283">
        <f t="shared" si="5"/>
        <v>0</v>
      </c>
      <c r="S64" s="283">
        <f t="shared" si="6"/>
        <v>0</v>
      </c>
      <c r="T64" s="133">
        <f t="shared" si="7"/>
        <v>0</v>
      </c>
      <c r="U64" s="186"/>
      <c r="V64" s="187"/>
      <c r="W64" s="173"/>
      <c r="X64" s="218">
        <v>1</v>
      </c>
      <c r="Y64" s="135"/>
      <c r="Z64" s="134">
        <f>IF(Table46[[#This Row],[Year]]=1, 1.3, IF(Table46[[#This Row],[Year]]=2, 1.2, IF(Table46[[#This Row],[Year]]=3, 1, IF(Table46[[#This Row],[Year]]=4, 0.72917, IF(Table46[[#This Row],[Year]]=5, 0.6, 0)))))</f>
        <v>1.3</v>
      </c>
    </row>
    <row r="65" spans="2:26" ht="21" x14ac:dyDescent="0.3">
      <c r="B65" s="107"/>
      <c r="C65" s="107"/>
      <c r="D65" s="107"/>
      <c r="F65" s="73" t="s">
        <v>212</v>
      </c>
      <c r="G65" s="222" t="s">
        <v>213</v>
      </c>
      <c r="H65" s="214" t="s">
        <v>214</v>
      </c>
      <c r="I65" s="299" t="s">
        <v>85</v>
      </c>
      <c r="J65" s="85">
        <f>IF(I65="Brother",$C$6*Table46[[#This Row],[Seniority Dues]],IF(I65="EC",$C$7,IF(I65="Alumni",$C$8,IF(I65="Dropped",$C$11,IF(I65="President",$C$10,IF(I65="Inactive",$C$9,IF(Table46[[#This Row],[Type]]="New Member",$C$13,0)))))))</f>
        <v>225</v>
      </c>
      <c r="K65" s="85">
        <v>25</v>
      </c>
      <c r="L65" s="132">
        <f>VLOOKUP(F65,Winter!$F$3:$T$159, 13,)</f>
        <v>0</v>
      </c>
      <c r="M65" s="316">
        <v>250</v>
      </c>
      <c r="N65" s="313"/>
      <c r="O65" s="309"/>
      <c r="P65" s="132"/>
      <c r="Q65" s="132">
        <f t="shared" ref="Q65:Q96" si="8">M65+N65</f>
        <v>250</v>
      </c>
      <c r="R65" s="283">
        <f t="shared" ref="R65:R96" si="9">J65+K65+L65-M65-N65</f>
        <v>0</v>
      </c>
      <c r="S65" s="283">
        <f t="shared" ref="S65:S96" si="10">IF((J65+L65-M65+K65-N65)&lt;0,J65+L65-M65+K65-N65,0)</f>
        <v>0</v>
      </c>
      <c r="T65" s="133">
        <f t="shared" ref="T65:T96" si="11">IF((J65+L65-M65+K65-N65)&gt;0, J65+L65-M65+K65-N65, 0)</f>
        <v>0</v>
      </c>
      <c r="U65" s="186"/>
      <c r="V65" s="187"/>
      <c r="W65" s="173"/>
      <c r="X65" s="218">
        <v>2</v>
      </c>
      <c r="Y65" s="135"/>
      <c r="Z65" s="134">
        <f>IF(Table46[[#This Row],[Year]]=1, 1.3, IF(Table46[[#This Row],[Year]]=2, 1.2, IF(Table46[[#This Row],[Year]]=3, 1, IF(Table46[[#This Row],[Year]]=4, 0.72917, IF(Table46[[#This Row],[Year]]=5, 0.6, 0)))))</f>
        <v>1.2</v>
      </c>
    </row>
    <row r="66" spans="2:26" ht="21" x14ac:dyDescent="0.3">
      <c r="B66" s="107"/>
      <c r="C66" s="107"/>
      <c r="D66" s="107"/>
      <c r="F66" s="73" t="s">
        <v>216</v>
      </c>
      <c r="G66" s="222" t="s">
        <v>217</v>
      </c>
      <c r="H66" s="214" t="s">
        <v>218</v>
      </c>
      <c r="I66" s="299" t="s">
        <v>76</v>
      </c>
      <c r="J66" s="85">
        <f>IF(I66="Brother",$C$6*Table46[[#This Row],[Seniority Dues]],IF(I66="EC",$C$7,IF(I66="Alumni",$C$8,IF(I66="Dropped",$C$11,IF(I66="President",$C$10,IF(I66="Inactive",$C$9,IF(Table46[[#This Row],[Type]]="New Member",$C$13,0)))))))</f>
        <v>576</v>
      </c>
      <c r="K66" s="85"/>
      <c r="L66" s="132">
        <f>VLOOKUP(F66,Winter!$F$3:$T$159, 13,)</f>
        <v>-50</v>
      </c>
      <c r="M66" s="316">
        <v>526</v>
      </c>
      <c r="N66" s="313"/>
      <c r="O66" s="309"/>
      <c r="P66" s="132"/>
      <c r="Q66" s="132">
        <f t="shared" si="8"/>
        <v>526</v>
      </c>
      <c r="R66" s="283">
        <f t="shared" si="9"/>
        <v>0</v>
      </c>
      <c r="S66" s="283">
        <f t="shared" si="10"/>
        <v>0</v>
      </c>
      <c r="T66" s="133">
        <f t="shared" si="11"/>
        <v>0</v>
      </c>
      <c r="U66" s="186"/>
      <c r="V66" s="187"/>
      <c r="W66" s="173"/>
      <c r="X66" s="218">
        <v>2</v>
      </c>
      <c r="Y66" s="135"/>
      <c r="Z66" s="134">
        <f>IF(Table46[[#This Row],[Year]]=1, 1.3, IF(Table46[[#This Row],[Year]]=2, 1.2, IF(Table46[[#This Row],[Year]]=3, 1, IF(Table46[[#This Row],[Year]]=4, 0.72917, IF(Table46[[#This Row],[Year]]=5, 0.6, 0)))))</f>
        <v>1.2</v>
      </c>
    </row>
    <row r="67" spans="2:26" ht="21" x14ac:dyDescent="0.3">
      <c r="B67" s="107"/>
      <c r="C67" s="107"/>
      <c r="D67" s="107"/>
      <c r="F67" s="73" t="s">
        <v>219</v>
      </c>
      <c r="G67" s="229" t="s">
        <v>220</v>
      </c>
      <c r="H67" s="297" t="s">
        <v>202</v>
      </c>
      <c r="I67" s="299" t="s">
        <v>72</v>
      </c>
      <c r="J67" s="85">
        <f>IF(I67="Brother",$C$6*Table46[[#This Row],[Seniority Dues]],IF(I67="EC",$C$7,IF(I67="Alumni",$C$8,IF(I67="Dropped",$C$11,IF(I67="President",$C$10,IF(I67="Inactive",$C$9,IF(Table46[[#This Row],[Type]]="New Member",$C$13,0)))))))</f>
        <v>200</v>
      </c>
      <c r="K67" s="85">
        <v>25</v>
      </c>
      <c r="L67" s="132">
        <f>VLOOKUP(F67,Winter!$F$3:$T$159, 13,)</f>
        <v>708</v>
      </c>
      <c r="M67" s="316">
        <v>250</v>
      </c>
      <c r="N67" s="313">
        <f>2*100</f>
        <v>200</v>
      </c>
      <c r="O67" s="309" t="s">
        <v>455</v>
      </c>
      <c r="P67" s="132"/>
      <c r="Q67" s="132">
        <f t="shared" si="8"/>
        <v>450</v>
      </c>
      <c r="R67" s="283">
        <f t="shared" si="9"/>
        <v>483</v>
      </c>
      <c r="S67" s="283">
        <f t="shared" si="10"/>
        <v>0</v>
      </c>
      <c r="T67" s="133">
        <f t="shared" si="11"/>
        <v>483</v>
      </c>
      <c r="U67" s="186"/>
      <c r="V67" s="187"/>
      <c r="W67" s="173"/>
      <c r="X67" s="188">
        <v>3</v>
      </c>
      <c r="Y67" s="135"/>
      <c r="Z67" s="134">
        <f>IF(Table46[[#This Row],[Year]]=1, 1.3, IF(Table46[[#This Row],[Year]]=2, 1.2, IF(Table46[[#This Row],[Year]]=3, 1, IF(Table46[[#This Row],[Year]]=4, 0.72917, IF(Table46[[#This Row],[Year]]=5, 0.6, 0)))))</f>
        <v>1</v>
      </c>
    </row>
    <row r="68" spans="2:26" ht="21" x14ac:dyDescent="0.3">
      <c r="B68" s="107"/>
      <c r="C68" s="107"/>
      <c r="D68" s="107"/>
      <c r="F68" s="73" t="s">
        <v>221</v>
      </c>
      <c r="G68" s="303" t="s">
        <v>220</v>
      </c>
      <c r="H68" s="297" t="s">
        <v>222</v>
      </c>
      <c r="I68" s="299" t="s">
        <v>76</v>
      </c>
      <c r="J68" s="85">
        <f>IF(I68="Brother",$C$6*Table46[[#This Row],[Seniority Dues]],IF(I68="EC",$C$7,IF(I68="Alumni",$C$8,IF(I68="Dropped",$C$11,IF(I68="President",$C$10,IF(I68="Inactive",$C$9,IF(Table46[[#This Row],[Type]]="New Member",$C$13,0)))))))</f>
        <v>480</v>
      </c>
      <c r="K68" s="85"/>
      <c r="L68" s="132">
        <f>VLOOKUP(F68,Winter!$F$3:$T$159, 13,)</f>
        <v>-25</v>
      </c>
      <c r="M68" s="316">
        <v>455</v>
      </c>
      <c r="N68" s="313"/>
      <c r="O68" s="309"/>
      <c r="P68" s="132"/>
      <c r="Q68" s="132">
        <f t="shared" si="8"/>
        <v>455</v>
      </c>
      <c r="R68" s="283">
        <f t="shared" si="9"/>
        <v>0</v>
      </c>
      <c r="S68" s="283">
        <f t="shared" si="10"/>
        <v>0</v>
      </c>
      <c r="T68" s="133">
        <f t="shared" si="11"/>
        <v>0</v>
      </c>
      <c r="U68" s="186"/>
      <c r="V68" s="187"/>
      <c r="W68" s="173"/>
      <c r="X68" s="219">
        <v>3</v>
      </c>
      <c r="Y68" s="135"/>
      <c r="Z68" s="134">
        <f>IF(Table46[[#This Row],[Year]]=1, 1.3, IF(Table46[[#This Row],[Year]]=2, 1.2, IF(Table46[[#This Row],[Year]]=3, 1, IF(Table46[[#This Row],[Year]]=4, 0.72917, IF(Table46[[#This Row],[Year]]=5, 0.6, 0)))))</f>
        <v>1</v>
      </c>
    </row>
    <row r="69" spans="2:26" ht="21" x14ac:dyDescent="0.3">
      <c r="B69" s="107"/>
      <c r="C69" s="107"/>
      <c r="D69" s="107"/>
      <c r="F69" s="73" t="s">
        <v>223</v>
      </c>
      <c r="G69" s="229" t="s">
        <v>224</v>
      </c>
      <c r="H69" s="297" t="s">
        <v>202</v>
      </c>
      <c r="I69" s="299" t="s">
        <v>72</v>
      </c>
      <c r="J69" s="85">
        <f>IF(I69="Brother",$C$6*Table46[[#This Row],[Seniority Dues]],IF(I69="EC",$C$7,IF(I69="Alumni",$C$8,IF(I69="Dropped",$C$11,IF(I69="President",$C$10,IF(I69="Inactive",$C$9,IF(Table46[[#This Row],[Type]]="New Member",$C$13,0)))))))</f>
        <v>200</v>
      </c>
      <c r="K69" s="85"/>
      <c r="L69" s="132">
        <f>VLOOKUP(F69,Winter!$F$3:$T$159, 13,)</f>
        <v>0</v>
      </c>
      <c r="M69" s="316">
        <v>100</v>
      </c>
      <c r="N69" s="313"/>
      <c r="O69" s="309" t="s">
        <v>455</v>
      </c>
      <c r="P69" s="132"/>
      <c r="Q69" s="132">
        <f t="shared" si="8"/>
        <v>100</v>
      </c>
      <c r="R69" s="283">
        <f t="shared" si="9"/>
        <v>100</v>
      </c>
      <c r="S69" s="283">
        <f t="shared" si="10"/>
        <v>0</v>
      </c>
      <c r="T69" s="133">
        <f t="shared" si="11"/>
        <v>100</v>
      </c>
      <c r="U69" s="186"/>
      <c r="V69" s="187"/>
      <c r="W69" s="173"/>
      <c r="X69" s="219">
        <v>3</v>
      </c>
      <c r="Y69" s="135"/>
      <c r="Z69" s="134">
        <f>IF(Table46[[#This Row],[Year]]=1, 1.3, IF(Table46[[#This Row],[Year]]=2, 1.2, IF(Table46[[#This Row],[Year]]=3, 1, IF(Table46[[#This Row],[Year]]=4, 0.72917, IF(Table46[[#This Row],[Year]]=5, 0.6, 0)))))</f>
        <v>1</v>
      </c>
    </row>
    <row r="70" spans="2:26" ht="21" x14ac:dyDescent="0.3">
      <c r="B70" s="107"/>
      <c r="C70" s="107"/>
      <c r="D70" s="107"/>
      <c r="F70" s="73" t="s">
        <v>225</v>
      </c>
      <c r="G70" s="229" t="s">
        <v>226</v>
      </c>
      <c r="H70" s="297" t="s">
        <v>227</v>
      </c>
      <c r="I70" s="299" t="s">
        <v>76</v>
      </c>
      <c r="J70" s="85">
        <f>IF(I70="Brother",$C$6*Table46[[#This Row],[Seniority Dues]],IF(I70="EC",$C$7,IF(I70="Alumni",$C$8,IF(I70="Dropped",$C$11,IF(I70="President",$C$10,IF(I70="Inactive",$C$9,IF(Table46[[#This Row],[Type]]="New Member",$C$13,0)))))))</f>
        <v>350.0016</v>
      </c>
      <c r="K70" s="85">
        <v>25</v>
      </c>
      <c r="L70" s="132">
        <f>VLOOKUP(F70,Winter!$F$3:$T$159, 13,)</f>
        <v>137.50000016000001</v>
      </c>
      <c r="M70" s="316">
        <v>75</v>
      </c>
      <c r="N70" s="313">
        <v>145.5</v>
      </c>
      <c r="O70" s="309" t="s">
        <v>455</v>
      </c>
      <c r="P70" s="132"/>
      <c r="Q70" s="132">
        <f t="shared" si="8"/>
        <v>220.5</v>
      </c>
      <c r="R70" s="283">
        <f t="shared" si="9"/>
        <v>292.00160015999995</v>
      </c>
      <c r="S70" s="283">
        <f t="shared" si="10"/>
        <v>0</v>
      </c>
      <c r="T70" s="133">
        <f t="shared" si="11"/>
        <v>292.00160016000001</v>
      </c>
      <c r="U70" s="186"/>
      <c r="V70" s="187"/>
      <c r="W70" s="173"/>
      <c r="X70" s="219">
        <v>4</v>
      </c>
      <c r="Y70" s="135"/>
      <c r="Z70" s="134">
        <f>IF(Table46[[#This Row],[Year]]=1, 1.3, IF(Table46[[#This Row],[Year]]=2, 1.2, IF(Table46[[#This Row],[Year]]=3, 1, IF(Table46[[#This Row],[Year]]=4, 0.72917, IF(Table46[[#This Row],[Year]]=5, 0.6, 0)))))</f>
        <v>0.72916999999999998</v>
      </c>
    </row>
    <row r="71" spans="2:26" ht="21" x14ac:dyDescent="0.3">
      <c r="B71" s="107"/>
      <c r="C71" s="107"/>
      <c r="D71" s="107"/>
      <c r="F71" s="73" t="s">
        <v>490</v>
      </c>
      <c r="G71" s="222" t="s">
        <v>491</v>
      </c>
      <c r="H71" s="214" t="s">
        <v>352</v>
      </c>
      <c r="I71" s="299" t="s">
        <v>76</v>
      </c>
      <c r="J71" s="85">
        <f>IF(I71="Brother",$C$6*Table46[[#This Row],[Seniority Dues]],IF(I71="EC",$C$7,IF(I71="Alumni",$C$8,IF(I71="Dropped",$C$11,IF(I71="President",$C$10,IF(I71="Inactive",$C$9,IF(Table46[[#This Row],[Type]]="New Member",$C$13,0)))))))</f>
        <v>624</v>
      </c>
      <c r="K71" s="85">
        <v>-124</v>
      </c>
      <c r="L71" s="132">
        <f>VLOOKUP(F71,Winter!$F$3:$T$159, 13,)</f>
        <v>0</v>
      </c>
      <c r="M71" s="316">
        <v>500</v>
      </c>
      <c r="N71" s="313"/>
      <c r="O71" s="309"/>
      <c r="P71" s="132"/>
      <c r="Q71" s="132">
        <f t="shared" si="8"/>
        <v>500</v>
      </c>
      <c r="R71" s="283">
        <f t="shared" si="9"/>
        <v>0</v>
      </c>
      <c r="S71" s="283">
        <f t="shared" si="10"/>
        <v>0</v>
      </c>
      <c r="T71" s="133">
        <f t="shared" si="11"/>
        <v>0</v>
      </c>
      <c r="U71" s="186"/>
      <c r="V71" s="187"/>
      <c r="W71" s="173"/>
      <c r="X71" s="134">
        <v>1</v>
      </c>
      <c r="Y71" s="135"/>
      <c r="Z71" s="134">
        <f>IF(Table46[[#This Row],[Year]]=1, 1.3, IF(Table46[[#This Row],[Year]]=2, 1.2, IF(Table46[[#This Row],[Year]]=3, 1, IF(Table46[[#This Row],[Year]]=4, 0.72917, IF(Table46[[#This Row],[Year]]=5, 0.6, 0)))))</f>
        <v>1.3</v>
      </c>
    </row>
    <row r="72" spans="2:26" ht="21" x14ac:dyDescent="0.3">
      <c r="B72" s="107"/>
      <c r="C72" s="107"/>
      <c r="D72" s="107"/>
      <c r="F72" s="73" t="s">
        <v>228</v>
      </c>
      <c r="G72" s="222" t="s">
        <v>229</v>
      </c>
      <c r="H72" s="214" t="s">
        <v>230</v>
      </c>
      <c r="I72" s="299" t="s">
        <v>76</v>
      </c>
      <c r="J72" s="85">
        <f>IF(I72="Brother",$C$6*Table46[[#This Row],[Seniority Dues]],IF(I72="EC",$C$7,IF(I72="Alumni",$C$8,IF(I72="Dropped",$C$11,IF(I72="President",$C$10,IF(I72="Inactive",$C$9,IF(Table46[[#This Row],[Type]]="New Member",$C$13,0)))))))</f>
        <v>576</v>
      </c>
      <c r="K72" s="85">
        <v>25</v>
      </c>
      <c r="L72" s="132">
        <f>VLOOKUP(F72,Winter!$F$3:$T$159, 13,)</f>
        <v>25</v>
      </c>
      <c r="M72" s="316">
        <v>626</v>
      </c>
      <c r="N72" s="313"/>
      <c r="O72" s="309"/>
      <c r="P72" s="132"/>
      <c r="Q72" s="132">
        <f t="shared" si="8"/>
        <v>626</v>
      </c>
      <c r="R72" s="283">
        <f t="shared" si="9"/>
        <v>0</v>
      </c>
      <c r="S72" s="283">
        <f t="shared" si="10"/>
        <v>0</v>
      </c>
      <c r="T72" s="133">
        <f t="shared" si="11"/>
        <v>0</v>
      </c>
      <c r="U72" s="186"/>
      <c r="V72" s="187"/>
      <c r="W72" s="173"/>
      <c r="X72" s="134">
        <v>2</v>
      </c>
      <c r="Y72" s="135"/>
      <c r="Z72" s="134">
        <f>IF(Table46[[#This Row],[Year]]=1, 1.3, IF(Table46[[#This Row],[Year]]=2, 1.2, IF(Table46[[#This Row],[Year]]=3, 1, IF(Table46[[#This Row],[Year]]=4, 0.72917, IF(Table46[[#This Row],[Year]]=5, 0.6, 0)))))</f>
        <v>1.2</v>
      </c>
    </row>
    <row r="73" spans="2:26" ht="21" x14ac:dyDescent="0.3">
      <c r="B73" s="107"/>
      <c r="C73" s="107"/>
      <c r="D73" s="107"/>
      <c r="F73" s="73" t="s">
        <v>231</v>
      </c>
      <c r="G73" s="222" t="s">
        <v>232</v>
      </c>
      <c r="H73" s="214" t="s">
        <v>92</v>
      </c>
      <c r="I73" s="299" t="s">
        <v>76</v>
      </c>
      <c r="J73" s="85">
        <f>IF(I73="Brother",$C$6*Table46[[#This Row],[Seniority Dues]],IF(I73="EC",$C$7,IF(I73="Alumni",$C$8,IF(I73="Dropped",$C$11,IF(I73="President",$C$10,IF(I73="Inactive",$C$9,IF(Table46[[#This Row],[Type]]="New Member",$C$13,0)))))))</f>
        <v>576</v>
      </c>
      <c r="K73" s="85">
        <f>25+40</f>
        <v>65</v>
      </c>
      <c r="L73" s="132">
        <f>VLOOKUP(F73,Winter!$F$3:$T$159, 13,)</f>
        <v>0</v>
      </c>
      <c r="M73" s="316">
        <v>601</v>
      </c>
      <c r="N73" s="313">
        <v>40</v>
      </c>
      <c r="O73" s="309"/>
      <c r="P73" s="132"/>
      <c r="Q73" s="132">
        <f t="shared" si="8"/>
        <v>641</v>
      </c>
      <c r="R73" s="283">
        <f t="shared" si="9"/>
        <v>0</v>
      </c>
      <c r="S73" s="283">
        <f t="shared" si="10"/>
        <v>0</v>
      </c>
      <c r="T73" s="133">
        <f t="shared" si="11"/>
        <v>0</v>
      </c>
      <c r="U73" s="186"/>
      <c r="V73" s="187"/>
      <c r="W73" s="173"/>
      <c r="X73" s="134">
        <v>2</v>
      </c>
      <c r="Y73" s="135"/>
      <c r="Z73" s="134">
        <f>IF(Table46[[#This Row],[Year]]=1, 1.3, IF(Table46[[#This Row],[Year]]=2, 1.2, IF(Table46[[#This Row],[Year]]=3, 1, IF(Table46[[#This Row],[Year]]=4, 0.72917, IF(Table46[[#This Row],[Year]]=5, 0.6, 0)))))</f>
        <v>1.2</v>
      </c>
    </row>
    <row r="74" spans="2:26" ht="21" x14ac:dyDescent="0.3">
      <c r="B74" s="107"/>
      <c r="C74" s="107"/>
      <c r="D74" s="107"/>
      <c r="F74" s="73" t="s">
        <v>423</v>
      </c>
      <c r="G74" s="222" t="s">
        <v>390</v>
      </c>
      <c r="H74" s="214" t="s">
        <v>148</v>
      </c>
      <c r="I74" s="299" t="s">
        <v>76</v>
      </c>
      <c r="J74" s="85">
        <f>IF(I74="Brother",$C$6*Table46[[#This Row],[Seniority Dues]],IF(I74="EC",$C$7,IF(I74="Alumni",$C$8,IF(I74="Dropped",$C$11,IF(I74="President",$C$10,IF(I74="Inactive",$C$9,IF(Table46[[#This Row],[Type]]="New Member",$C$13,0)))))))</f>
        <v>624</v>
      </c>
      <c r="K74" s="85"/>
      <c r="L74" s="132">
        <f>VLOOKUP(F74,Winter!$F$3:$T$159, 13,)</f>
        <v>0</v>
      </c>
      <c r="M74" s="316">
        <v>624</v>
      </c>
      <c r="N74" s="313"/>
      <c r="O74" s="309"/>
      <c r="P74" s="132"/>
      <c r="Q74" s="132">
        <f t="shared" si="8"/>
        <v>624</v>
      </c>
      <c r="R74" s="283">
        <f t="shared" si="9"/>
        <v>0</v>
      </c>
      <c r="S74" s="283">
        <f t="shared" si="10"/>
        <v>0</v>
      </c>
      <c r="T74" s="133">
        <f t="shared" si="11"/>
        <v>0</v>
      </c>
      <c r="U74" s="186"/>
      <c r="V74" s="187"/>
      <c r="W74" s="173"/>
      <c r="X74" s="134">
        <v>1</v>
      </c>
      <c r="Y74" s="135"/>
      <c r="Z74" s="134">
        <f>IF(Table46[[#This Row],[Year]]=1, 1.3, IF(Table46[[#This Row],[Year]]=2, 1.2, IF(Table46[[#This Row],[Year]]=3, 1, IF(Table46[[#This Row],[Year]]=4, 0.72917, IF(Table46[[#This Row],[Year]]=5, 0.6, 0)))))</f>
        <v>1.3</v>
      </c>
    </row>
    <row r="75" spans="2:26" ht="21" x14ac:dyDescent="0.3">
      <c r="B75" s="107"/>
      <c r="C75" s="107"/>
      <c r="D75" s="107"/>
      <c r="F75" s="73" t="s">
        <v>236</v>
      </c>
      <c r="G75" s="222" t="s">
        <v>237</v>
      </c>
      <c r="H75" s="214" t="s">
        <v>238</v>
      </c>
      <c r="I75" s="299" t="s">
        <v>85</v>
      </c>
      <c r="J75" s="85">
        <f>IF(I75="Brother",$C$6*Table46[[#This Row],[Seniority Dues]],IF(I75="EC",$C$7,IF(I75="Alumni",$C$8,IF(I75="Dropped",$C$11,IF(I75="President",$C$10,IF(I75="Inactive",$C$9,IF(Table46[[#This Row],[Type]]="New Member",$C$13,0)))))))</f>
        <v>225</v>
      </c>
      <c r="K75" s="85">
        <v>25</v>
      </c>
      <c r="L75" s="132">
        <f>VLOOKUP(F75,Winter!$F$3:$T$159, 13,)</f>
        <v>0</v>
      </c>
      <c r="M75" s="316">
        <v>250</v>
      </c>
      <c r="N75" s="313"/>
      <c r="O75" s="309"/>
      <c r="P75" s="132"/>
      <c r="Q75" s="132">
        <f t="shared" si="8"/>
        <v>250</v>
      </c>
      <c r="R75" s="283">
        <f t="shared" si="9"/>
        <v>0</v>
      </c>
      <c r="S75" s="283">
        <f t="shared" si="10"/>
        <v>0</v>
      </c>
      <c r="T75" s="133">
        <f t="shared" si="11"/>
        <v>0</v>
      </c>
      <c r="U75" s="186"/>
      <c r="V75" s="187"/>
      <c r="W75" s="173"/>
      <c r="X75" s="134">
        <v>2</v>
      </c>
      <c r="Y75" s="135"/>
      <c r="Z75" s="134">
        <f>IF(Table46[[#This Row],[Year]]=1, 1.3, IF(Table46[[#This Row],[Year]]=2, 1.2, IF(Table46[[#This Row],[Year]]=3, 1, IF(Table46[[#This Row],[Year]]=4, 0.72917, IF(Table46[[#This Row],[Year]]=5, 0.6, 0)))))</f>
        <v>1.2</v>
      </c>
    </row>
    <row r="76" spans="2:26" ht="21" x14ac:dyDescent="0.3">
      <c r="B76" s="107"/>
      <c r="C76" s="107"/>
      <c r="D76" s="107"/>
      <c r="F76" s="73" t="s">
        <v>239</v>
      </c>
      <c r="G76" s="222" t="s">
        <v>240</v>
      </c>
      <c r="H76" s="214" t="s">
        <v>205</v>
      </c>
      <c r="I76" s="299" t="s">
        <v>76</v>
      </c>
      <c r="J76" s="85">
        <f>IF(I76="Brother",$C$6*Table46[[#This Row],[Seniority Dues]],IF(I76="EC",$C$7,IF(I76="Alumni",$C$8,IF(I76="Dropped",$C$11,IF(I76="President",$C$10,IF(I76="Inactive",$C$9,IF(Table46[[#This Row],[Type]]="New Member",$C$13,0)))))))</f>
        <v>576</v>
      </c>
      <c r="K76" s="85"/>
      <c r="L76" s="132">
        <f>VLOOKUP(F76,Winter!$F$3:$T$159, 13,)</f>
        <v>0</v>
      </c>
      <c r="M76" s="316">
        <v>576</v>
      </c>
      <c r="N76" s="313"/>
      <c r="O76" s="309"/>
      <c r="P76" s="132"/>
      <c r="Q76" s="132">
        <f t="shared" si="8"/>
        <v>576</v>
      </c>
      <c r="R76" s="283">
        <f t="shared" si="9"/>
        <v>0</v>
      </c>
      <c r="S76" s="283">
        <f t="shared" si="10"/>
        <v>0</v>
      </c>
      <c r="T76" s="133">
        <f t="shared" si="11"/>
        <v>0</v>
      </c>
      <c r="U76" s="186"/>
      <c r="V76" s="187"/>
      <c r="W76" s="173"/>
      <c r="X76" s="134">
        <v>2</v>
      </c>
      <c r="Y76" s="135"/>
      <c r="Z76" s="134">
        <f>IF(Table46[[#This Row],[Year]]=1, 1.3, IF(Table46[[#This Row],[Year]]=2, 1.2, IF(Table46[[#This Row],[Year]]=3, 1, IF(Table46[[#This Row],[Year]]=4, 0.72917, IF(Table46[[#This Row],[Year]]=5, 0.6, 0)))))</f>
        <v>1.2</v>
      </c>
    </row>
    <row r="77" spans="2:26" ht="21" x14ac:dyDescent="0.3">
      <c r="B77" s="107"/>
      <c r="C77" s="107"/>
      <c r="D77" s="107"/>
      <c r="F77" s="73" t="s">
        <v>492</v>
      </c>
      <c r="G77" s="222" t="s">
        <v>493</v>
      </c>
      <c r="H77" s="214" t="s">
        <v>494</v>
      </c>
      <c r="I77" s="299" t="s">
        <v>76</v>
      </c>
      <c r="J77" s="85">
        <f>IF(I77="Brother",$C$6*Table46[[#This Row],[Seniority Dues]],IF(I77="EC",$C$7,IF(I77="Alumni",$C$8,IF(I77="Dropped",$C$11,IF(I77="President",$C$10,IF(I77="Inactive",$C$9,IF(Table46[[#This Row],[Type]]="New Member",$C$13,0)))))))</f>
        <v>624</v>
      </c>
      <c r="K77" s="85">
        <v>-124</v>
      </c>
      <c r="L77" s="132">
        <f>VLOOKUP(F77,Winter!$F$3:$T$159, 13,)</f>
        <v>0</v>
      </c>
      <c r="M77" s="316">
        <v>500</v>
      </c>
      <c r="N77" s="313"/>
      <c r="O77" s="309"/>
      <c r="P77" s="132"/>
      <c r="Q77" s="132">
        <f t="shared" si="8"/>
        <v>500</v>
      </c>
      <c r="R77" s="283">
        <f t="shared" si="9"/>
        <v>0</v>
      </c>
      <c r="S77" s="283">
        <f t="shared" si="10"/>
        <v>0</v>
      </c>
      <c r="T77" s="133">
        <f t="shared" si="11"/>
        <v>0</v>
      </c>
      <c r="U77" s="186"/>
      <c r="V77" s="187"/>
      <c r="W77" s="173"/>
      <c r="X77" s="134">
        <v>1</v>
      </c>
      <c r="Y77" s="135"/>
      <c r="Z77" s="134">
        <f>IF(Table46[[#This Row],[Year]]=1, 1.3, IF(Table46[[#This Row],[Year]]=2, 1.2, IF(Table46[[#This Row],[Year]]=3, 1, IF(Table46[[#This Row],[Year]]=4, 0.72917, IF(Table46[[#This Row],[Year]]=5, 0.6, 0)))))</f>
        <v>1.3</v>
      </c>
    </row>
    <row r="78" spans="2:26" ht="21" x14ac:dyDescent="0.3">
      <c r="B78" s="107"/>
      <c r="C78" s="107"/>
      <c r="D78" s="107"/>
      <c r="F78" s="73" t="s">
        <v>424</v>
      </c>
      <c r="G78" s="222" t="s">
        <v>425</v>
      </c>
      <c r="H78" s="214" t="s">
        <v>426</v>
      </c>
      <c r="I78" s="299" t="s">
        <v>76</v>
      </c>
      <c r="J78" s="85">
        <f>IF(I78="Brother",$C$6*Table46[[#This Row],[Seniority Dues]],IF(I78="EC",$C$7,IF(I78="Alumni",$C$8,IF(I78="Dropped",$C$11,IF(I78="President",$C$10,IF(I78="Inactive",$C$9,IF(Table46[[#This Row],[Type]]="New Member",$C$13,0)))))))</f>
        <v>576</v>
      </c>
      <c r="K78" s="85"/>
      <c r="L78" s="132">
        <f>VLOOKUP(F78,Winter!$F$3:$T$159, 13,)</f>
        <v>25</v>
      </c>
      <c r="M78" s="316">
        <v>601</v>
      </c>
      <c r="N78" s="313"/>
      <c r="O78" s="309"/>
      <c r="P78" s="132"/>
      <c r="Q78" s="132">
        <f t="shared" si="8"/>
        <v>601</v>
      </c>
      <c r="R78" s="283">
        <f t="shared" si="9"/>
        <v>0</v>
      </c>
      <c r="S78" s="283">
        <f t="shared" si="10"/>
        <v>0</v>
      </c>
      <c r="T78" s="133">
        <f t="shared" si="11"/>
        <v>0</v>
      </c>
      <c r="U78" s="186"/>
      <c r="V78" s="187"/>
      <c r="W78" s="173"/>
      <c r="X78" s="134">
        <v>2</v>
      </c>
      <c r="Y78" s="135"/>
      <c r="Z78" s="134">
        <f>IF(Table46[[#This Row],[Year]]=1, 1.3, IF(Table46[[#This Row],[Year]]=2, 1.2, IF(Table46[[#This Row],[Year]]=3, 1, IF(Table46[[#This Row],[Year]]=4, 0.72917, IF(Table46[[#This Row],[Year]]=5, 0.6, 0)))))</f>
        <v>1.2</v>
      </c>
    </row>
    <row r="79" spans="2:26" ht="21" x14ac:dyDescent="0.3">
      <c r="B79" s="107"/>
      <c r="C79" s="107"/>
      <c r="D79" s="107"/>
      <c r="F79" s="73" t="s">
        <v>427</v>
      </c>
      <c r="G79" s="222" t="s">
        <v>428</v>
      </c>
      <c r="H79" s="214" t="s">
        <v>218</v>
      </c>
      <c r="I79" s="299" t="s">
        <v>76</v>
      </c>
      <c r="J79" s="85">
        <f>IF(I79="Brother",$C$6*Table46[[#This Row],[Seniority Dues]],IF(I79="EC",$C$7,IF(I79="Alumni",$C$8,IF(I79="Dropped",$C$11,IF(I79="President",$C$10,IF(I79="Inactive",$C$9,IF(Table46[[#This Row],[Type]]="New Member",$C$13,0)))))))</f>
        <v>480</v>
      </c>
      <c r="K79" s="85"/>
      <c r="L79" s="132">
        <f>VLOOKUP(F79,Winter!$F$3:$T$159, 13,)</f>
        <v>0</v>
      </c>
      <c r="M79" s="316">
        <v>480</v>
      </c>
      <c r="N79" s="313"/>
      <c r="O79" s="309"/>
      <c r="P79" s="132"/>
      <c r="Q79" s="132">
        <f t="shared" si="8"/>
        <v>480</v>
      </c>
      <c r="R79" s="283">
        <f t="shared" si="9"/>
        <v>0</v>
      </c>
      <c r="S79" s="283">
        <f t="shared" si="10"/>
        <v>0</v>
      </c>
      <c r="T79" s="133">
        <f t="shared" si="11"/>
        <v>0</v>
      </c>
      <c r="U79" s="186"/>
      <c r="V79" s="187"/>
      <c r="W79" s="173"/>
      <c r="X79" s="134">
        <v>3</v>
      </c>
      <c r="Y79" s="135"/>
      <c r="Z79" s="134">
        <f>IF(Table46[[#This Row],[Year]]=1, 1.3, IF(Table46[[#This Row],[Year]]=2, 1.2, IF(Table46[[#This Row],[Year]]=3, 1, IF(Table46[[#This Row],[Year]]=4, 0.72917, IF(Table46[[#This Row],[Year]]=5, 0.6, 0)))))</f>
        <v>1</v>
      </c>
    </row>
    <row r="80" spans="2:26" ht="21" x14ac:dyDescent="0.3">
      <c r="B80" s="107"/>
      <c r="C80" s="107"/>
      <c r="D80" s="107"/>
      <c r="F80" s="73" t="s">
        <v>241</v>
      </c>
      <c r="G80" s="222" t="s">
        <v>242</v>
      </c>
      <c r="H80" s="214" t="s">
        <v>243</v>
      </c>
      <c r="I80" s="299" t="s">
        <v>76</v>
      </c>
      <c r="J80" s="85">
        <f>IF(I80="Brother",$C$6*Table46[[#This Row],[Seniority Dues]],IF(I80="EC",$C$7,IF(I80="Alumni",$C$8,IF(I80="Dropped",$C$11,IF(I80="President",$C$10,IF(I80="Inactive",$C$9,IF(Table46[[#This Row],[Type]]="New Member",$C$13,0)))))))</f>
        <v>576</v>
      </c>
      <c r="K80" s="85"/>
      <c r="L80" s="132">
        <f>VLOOKUP(F80,Winter!$F$3:$T$159, 13,)</f>
        <v>25</v>
      </c>
      <c r="M80" s="316">
        <v>601</v>
      </c>
      <c r="N80" s="313"/>
      <c r="O80" s="309"/>
      <c r="P80" s="132"/>
      <c r="Q80" s="132">
        <f t="shared" si="8"/>
        <v>601</v>
      </c>
      <c r="R80" s="283">
        <f t="shared" si="9"/>
        <v>0</v>
      </c>
      <c r="S80" s="283">
        <f t="shared" si="10"/>
        <v>0</v>
      </c>
      <c r="T80" s="133">
        <f t="shared" si="11"/>
        <v>0</v>
      </c>
      <c r="U80" s="186"/>
      <c r="V80" s="187"/>
      <c r="W80" s="173"/>
      <c r="X80" s="134">
        <v>2</v>
      </c>
      <c r="Y80" s="135"/>
      <c r="Z80" s="134">
        <f>IF(Table46[[#This Row],[Year]]=1, 1.3, IF(Table46[[#This Row],[Year]]=2, 1.2, IF(Table46[[#This Row],[Year]]=3, 1, IF(Table46[[#This Row],[Year]]=4, 0.72917, IF(Table46[[#This Row],[Year]]=5, 0.6, 0)))))</f>
        <v>1.2</v>
      </c>
    </row>
    <row r="81" spans="2:26" ht="21" x14ac:dyDescent="0.3">
      <c r="B81" s="107"/>
      <c r="C81" s="107"/>
      <c r="D81" s="107"/>
      <c r="F81" s="73" t="s">
        <v>429</v>
      </c>
      <c r="G81" s="222" t="s">
        <v>320</v>
      </c>
      <c r="H81" s="214" t="s">
        <v>430</v>
      </c>
      <c r="I81" s="299" t="s">
        <v>76</v>
      </c>
      <c r="J81" s="85">
        <f>IF(I81="Brother",$C$6*Table46[[#This Row],[Seniority Dues]],IF(I81="EC",$C$7,IF(I81="Alumni",$C$8,IF(I81="Dropped",$C$11,IF(I81="President",$C$10,IF(I81="Inactive",$C$9,IF(Table46[[#This Row],[Type]]="New Member",$C$13,0)))))))</f>
        <v>624</v>
      </c>
      <c r="K81" s="85"/>
      <c r="L81" s="132">
        <f>VLOOKUP(F81,Winter!$F$3:$T$159, 13,)</f>
        <v>25</v>
      </c>
      <c r="M81" s="316">
        <v>649</v>
      </c>
      <c r="N81" s="313"/>
      <c r="O81" s="309"/>
      <c r="P81" s="132"/>
      <c r="Q81" s="132">
        <f t="shared" si="8"/>
        <v>649</v>
      </c>
      <c r="R81" s="283">
        <f t="shared" si="9"/>
        <v>0</v>
      </c>
      <c r="S81" s="283">
        <f t="shared" si="10"/>
        <v>0</v>
      </c>
      <c r="T81" s="133">
        <f t="shared" si="11"/>
        <v>0</v>
      </c>
      <c r="U81" s="186"/>
      <c r="V81" s="187"/>
      <c r="W81" s="173"/>
      <c r="X81" s="134">
        <v>1</v>
      </c>
      <c r="Y81" s="135"/>
      <c r="Z81" s="134">
        <f>IF(Table46[[#This Row],[Year]]=1, 1.3, IF(Table46[[#This Row],[Year]]=2, 1.2, IF(Table46[[#This Row],[Year]]=3, 1, IF(Table46[[#This Row],[Year]]=4, 0.72917, IF(Table46[[#This Row],[Year]]=5, 0.6, 0)))))</f>
        <v>1.3</v>
      </c>
    </row>
    <row r="82" spans="2:26" ht="21" x14ac:dyDescent="0.3">
      <c r="B82" s="107"/>
      <c r="C82" s="107"/>
      <c r="D82" s="107"/>
      <c r="F82" s="73" t="s">
        <v>244</v>
      </c>
      <c r="G82" s="229" t="s">
        <v>245</v>
      </c>
      <c r="H82" s="297" t="s">
        <v>246</v>
      </c>
      <c r="I82" s="299" t="s">
        <v>76</v>
      </c>
      <c r="J82" s="85">
        <f>IF(I82="Brother",$C$6*Table46[[#This Row],[Seniority Dues]],IF(I82="EC",$C$7,IF(I82="Alumni",$C$8,IF(I82="Dropped",$C$11,IF(I82="President",$C$10,IF(I82="Inactive",$C$9,IF(Table46[[#This Row],[Type]]="New Member",$C$13,0)))))))</f>
        <v>350.0016</v>
      </c>
      <c r="K82" s="85"/>
      <c r="L82" s="132">
        <v>0</v>
      </c>
      <c r="M82" s="316">
        <v>351.5</v>
      </c>
      <c r="N82" s="313"/>
      <c r="O82" s="309"/>
      <c r="P82" s="132"/>
      <c r="Q82" s="132">
        <f t="shared" si="8"/>
        <v>351.5</v>
      </c>
      <c r="R82" s="283">
        <f t="shared" si="9"/>
        <v>-1.4984000000000037</v>
      </c>
      <c r="S82" s="283">
        <f t="shared" si="10"/>
        <v>-1.4984000000000037</v>
      </c>
      <c r="T82" s="133">
        <f t="shared" si="11"/>
        <v>0</v>
      </c>
      <c r="U82" s="186"/>
      <c r="V82" s="187"/>
      <c r="W82" s="173"/>
      <c r="X82" s="219">
        <v>4</v>
      </c>
      <c r="Y82" s="135"/>
      <c r="Z82" s="134">
        <f>IF(Table46[[#This Row],[Year]]=1, 1.3, IF(Table46[[#This Row],[Year]]=2, 1.2, IF(Table46[[#This Row],[Year]]=3, 1, IF(Table46[[#This Row],[Year]]=4, 0.72917, IF(Table46[[#This Row],[Year]]=5, 0.6, 0)))))</f>
        <v>0.72916999999999998</v>
      </c>
    </row>
    <row r="83" spans="2:26" ht="21" x14ac:dyDescent="0.3">
      <c r="B83" s="107"/>
      <c r="C83" s="107"/>
      <c r="D83" s="107"/>
      <c r="F83" s="73" t="s">
        <v>247</v>
      </c>
      <c r="G83" s="229" t="s">
        <v>248</v>
      </c>
      <c r="H83" s="297" t="s">
        <v>249</v>
      </c>
      <c r="I83" s="299" t="s">
        <v>85</v>
      </c>
      <c r="J83" s="85">
        <f>IF(I83="Brother",$C$6*Table46[[#This Row],[Seniority Dues]],IF(I83="EC",$C$7,IF(I83="Alumni",$C$8,IF(I83="Dropped",$C$11,IF(I83="President",$C$10,IF(I83="Inactive",$C$9,IF(Table46[[#This Row],[Type]]="New Member",$C$13,0)))))))</f>
        <v>225</v>
      </c>
      <c r="K83" s="85"/>
      <c r="L83" s="132">
        <f>VLOOKUP(F83,Winter!$F$3:$T$159, 13,)</f>
        <v>-25</v>
      </c>
      <c r="M83" s="316">
        <v>200</v>
      </c>
      <c r="N83" s="313"/>
      <c r="O83" s="309"/>
      <c r="P83" s="132"/>
      <c r="Q83" s="132">
        <f t="shared" si="8"/>
        <v>200</v>
      </c>
      <c r="R83" s="283">
        <f t="shared" si="9"/>
        <v>0</v>
      </c>
      <c r="S83" s="283">
        <f t="shared" si="10"/>
        <v>0</v>
      </c>
      <c r="T83" s="133">
        <f t="shared" si="11"/>
        <v>0</v>
      </c>
      <c r="U83" s="186"/>
      <c r="V83" s="187"/>
      <c r="W83" s="173"/>
      <c r="X83" s="219">
        <v>3</v>
      </c>
      <c r="Y83" s="135"/>
      <c r="Z83" s="134">
        <f>IF(Table46[[#This Row],[Year]]=1, 1.3, IF(Table46[[#This Row],[Year]]=2, 1.2, IF(Table46[[#This Row],[Year]]=3, 1, IF(Table46[[#This Row],[Year]]=4, 0.72917, IF(Table46[[#This Row],[Year]]=5, 0.6, 0)))))</f>
        <v>1</v>
      </c>
    </row>
    <row r="84" spans="2:26" ht="21" x14ac:dyDescent="0.3">
      <c r="B84" s="107"/>
      <c r="C84" s="107"/>
      <c r="D84" s="107"/>
      <c r="F84" s="73" t="s">
        <v>250</v>
      </c>
      <c r="G84" s="229" t="s">
        <v>251</v>
      </c>
      <c r="H84" s="297" t="s">
        <v>184</v>
      </c>
      <c r="I84" s="299" t="s">
        <v>72</v>
      </c>
      <c r="J84" s="85">
        <f>IF(I84="Brother",$C$6*Table46[[#This Row],[Seniority Dues]],IF(I84="EC",$C$7,IF(I84="Alumni",$C$8,IF(I84="Dropped",$C$11,IF(I84="President",$C$10,IF(I84="Inactive",$C$9,IF(Table46[[#This Row],[Type]]="New Member",$C$13,0)))))))</f>
        <v>200</v>
      </c>
      <c r="K84" s="85"/>
      <c r="L84" s="132">
        <f>VLOOKUP(F84,Winter!$F$3:$T$159, 13,)</f>
        <v>0</v>
      </c>
      <c r="M84" s="316">
        <v>200</v>
      </c>
      <c r="N84" s="313"/>
      <c r="O84" s="309"/>
      <c r="P84" s="132"/>
      <c r="Q84" s="132">
        <f t="shared" si="8"/>
        <v>200</v>
      </c>
      <c r="R84" s="283">
        <f t="shared" si="9"/>
        <v>0</v>
      </c>
      <c r="S84" s="283">
        <f t="shared" si="10"/>
        <v>0</v>
      </c>
      <c r="T84" s="133">
        <f t="shared" si="11"/>
        <v>0</v>
      </c>
      <c r="U84" s="186"/>
      <c r="V84" s="187"/>
      <c r="W84" s="173"/>
      <c r="X84" s="220">
        <v>3</v>
      </c>
      <c r="Y84" s="135"/>
      <c r="Z84" s="134">
        <f>IF(Table46[[#This Row],[Year]]=1, 1.3, IF(Table46[[#This Row],[Year]]=2, 1.2, IF(Table46[[#This Row],[Year]]=3, 1, IF(Table46[[#This Row],[Year]]=4, 0.72917, IF(Table46[[#This Row],[Year]]=5, 0.6, 0)))))</f>
        <v>1</v>
      </c>
    </row>
    <row r="85" spans="2:26" ht="21" x14ac:dyDescent="0.3">
      <c r="B85" s="107"/>
      <c r="C85" s="107"/>
      <c r="D85" s="107"/>
      <c r="F85" s="73" t="s">
        <v>252</v>
      </c>
      <c r="G85" s="229" t="s">
        <v>253</v>
      </c>
      <c r="H85" s="297" t="s">
        <v>254</v>
      </c>
      <c r="I85" s="299" t="s">
        <v>72</v>
      </c>
      <c r="J85" s="85">
        <f>IF(I85="Brother",$C$6*Table46[[#This Row],[Seniority Dues]],IF(I85="EC",$C$7,IF(I85="Alumni",$C$8,IF(I85="Dropped",$C$11,IF(I85="President",$C$10,IF(I85="Inactive",$C$9,IF(Table46[[#This Row],[Type]]="New Member",$C$13,0)))))))</f>
        <v>200</v>
      </c>
      <c r="K85" s="85"/>
      <c r="L85" s="132">
        <f>VLOOKUP(F85,Winter!$F$3:$T$159, 13,)</f>
        <v>0</v>
      </c>
      <c r="M85" s="316">
        <v>200</v>
      </c>
      <c r="N85" s="313"/>
      <c r="O85" s="309"/>
      <c r="P85" s="132"/>
      <c r="Q85" s="132">
        <f t="shared" si="8"/>
        <v>200</v>
      </c>
      <c r="R85" s="283">
        <f t="shared" si="9"/>
        <v>0</v>
      </c>
      <c r="S85" s="283">
        <f t="shared" si="10"/>
        <v>0</v>
      </c>
      <c r="T85" s="133">
        <f t="shared" si="11"/>
        <v>0</v>
      </c>
      <c r="U85" s="186"/>
      <c r="V85" s="187"/>
      <c r="W85" s="173"/>
      <c r="X85" s="219">
        <v>4</v>
      </c>
      <c r="Y85" s="135"/>
      <c r="Z85" s="134">
        <f>IF(Table46[[#This Row],[Year]]=1, 1.3, IF(Table46[[#This Row],[Year]]=2, 1.2, IF(Table46[[#This Row],[Year]]=3, 1, IF(Table46[[#This Row],[Year]]=4, 0.72917, IF(Table46[[#This Row],[Year]]=5, 0.6, 0)))))</f>
        <v>0.72916999999999998</v>
      </c>
    </row>
    <row r="86" spans="2:26" ht="21" x14ac:dyDescent="0.3">
      <c r="B86" s="107"/>
      <c r="C86" s="107"/>
      <c r="D86" s="107"/>
      <c r="F86" s="73" t="s">
        <v>255</v>
      </c>
      <c r="G86" s="229" t="s">
        <v>253</v>
      </c>
      <c r="H86" s="297" t="s">
        <v>256</v>
      </c>
      <c r="I86" s="299" t="s">
        <v>89</v>
      </c>
      <c r="J86" s="85">
        <f>IF(I86="Brother",$C$6*Table46[[#This Row],[Seniority Dues]],IF(I86="EC",$C$7,IF(I86="Alumni",$C$8,IF(I86="Dropped",$C$11,IF(I86="President",$C$10,IF(I86="Inactive",$C$9,IF(Table46[[#This Row],[Type]]="New Member",$C$13,0)))))))</f>
        <v>0</v>
      </c>
      <c r="K86" s="85"/>
      <c r="L86" s="132">
        <f>VLOOKUP(F86,Winter!$F$3:$T$159, 13,)</f>
        <v>0</v>
      </c>
      <c r="M86" s="316"/>
      <c r="N86" s="313"/>
      <c r="O86" s="309"/>
      <c r="P86" s="132"/>
      <c r="Q86" s="132">
        <f t="shared" si="8"/>
        <v>0</v>
      </c>
      <c r="R86" s="283">
        <f t="shared" si="9"/>
        <v>0</v>
      </c>
      <c r="S86" s="283">
        <f t="shared" si="10"/>
        <v>0</v>
      </c>
      <c r="T86" s="133">
        <f t="shared" si="11"/>
        <v>0</v>
      </c>
      <c r="U86" s="186"/>
      <c r="V86" s="187"/>
      <c r="W86" s="173"/>
      <c r="X86" s="219">
        <v>4</v>
      </c>
      <c r="Y86" s="135"/>
      <c r="Z86" s="134">
        <f>IF(Table46[[#This Row],[Year]]=1, 1.3, IF(Table46[[#This Row],[Year]]=2, 1.2, IF(Table46[[#This Row],[Year]]=3, 1, IF(Table46[[#This Row],[Year]]=4, 0.72917, IF(Table46[[#This Row],[Year]]=5, 0.6, 0)))))</f>
        <v>0.72916999999999998</v>
      </c>
    </row>
    <row r="87" spans="2:26" ht="21" x14ac:dyDescent="0.3">
      <c r="B87" s="107"/>
      <c r="C87" s="107"/>
      <c r="D87" s="107"/>
      <c r="F87" s="73" t="s">
        <v>431</v>
      </c>
      <c r="G87" s="222" t="s">
        <v>432</v>
      </c>
      <c r="H87" s="214" t="s">
        <v>433</v>
      </c>
      <c r="I87" s="299" t="s">
        <v>76</v>
      </c>
      <c r="J87" s="85">
        <f>IF(I87="Brother",$C$6*Table46[[#This Row],[Seniority Dues]],IF(I87="EC",$C$7,IF(I87="Alumni",$C$8,IF(I87="Dropped",$C$11,IF(I87="President",$C$10,IF(I87="Inactive",$C$9,IF(Table46[[#This Row],[Type]]="New Member",$C$13,0)))))))</f>
        <v>624</v>
      </c>
      <c r="K87" s="85">
        <v>-312</v>
      </c>
      <c r="L87" s="132">
        <f>VLOOKUP(F87,Winter!$F$3:$T$159, 13,)</f>
        <v>0</v>
      </c>
      <c r="M87" s="316">
        <v>312</v>
      </c>
      <c r="N87" s="313"/>
      <c r="O87" s="309"/>
      <c r="P87" s="132" t="s">
        <v>522</v>
      </c>
      <c r="Q87" s="132">
        <f t="shared" si="8"/>
        <v>312</v>
      </c>
      <c r="R87" s="283">
        <f t="shared" si="9"/>
        <v>0</v>
      </c>
      <c r="S87" s="283">
        <f t="shared" si="10"/>
        <v>0</v>
      </c>
      <c r="T87" s="133">
        <f t="shared" si="11"/>
        <v>0</v>
      </c>
      <c r="U87" s="186"/>
      <c r="V87" s="187"/>
      <c r="W87" s="173"/>
      <c r="X87" s="134">
        <v>1</v>
      </c>
      <c r="Y87" s="135"/>
      <c r="Z87" s="134">
        <f>IF(Table46[[#This Row],[Year]]=1, 1.3, IF(Table46[[#This Row],[Year]]=2, 1.2, IF(Table46[[#This Row],[Year]]=3, 1, IF(Table46[[#This Row],[Year]]=4, 0.72917, IF(Table46[[#This Row],[Year]]=5, 0.6, 0)))))</f>
        <v>1.3</v>
      </c>
    </row>
    <row r="88" spans="2:26" ht="21" x14ac:dyDescent="0.3">
      <c r="B88" s="107"/>
      <c r="C88" s="107"/>
      <c r="D88" s="107"/>
      <c r="F88" s="73" t="s">
        <v>259</v>
      </c>
      <c r="G88" s="229" t="s">
        <v>260</v>
      </c>
      <c r="H88" s="297" t="s">
        <v>261</v>
      </c>
      <c r="I88" s="299" t="s">
        <v>72</v>
      </c>
      <c r="J88" s="85">
        <f>IF(I88="Brother",$C$6*Table46[[#This Row],[Seniority Dues]],IF(I88="EC",$C$7,IF(I88="Alumni",$C$8,IF(I88="Dropped",$C$11,IF(I88="President",$C$10,IF(I88="Inactive",$C$9,IF(Table46[[#This Row],[Type]]="New Member",$C$13,0)))))))</f>
        <v>200</v>
      </c>
      <c r="K88" s="85"/>
      <c r="L88" s="132">
        <f>VLOOKUP(F88,Winter!$F$3:$T$159, 13,)</f>
        <v>0</v>
      </c>
      <c r="M88" s="316">
        <v>200</v>
      </c>
      <c r="N88" s="313"/>
      <c r="O88" s="309"/>
      <c r="P88" s="132"/>
      <c r="Q88" s="132">
        <f t="shared" si="8"/>
        <v>200</v>
      </c>
      <c r="R88" s="283">
        <f t="shared" si="9"/>
        <v>0</v>
      </c>
      <c r="S88" s="283">
        <f t="shared" si="10"/>
        <v>0</v>
      </c>
      <c r="T88" s="133">
        <f t="shared" si="11"/>
        <v>0</v>
      </c>
      <c r="U88" s="186"/>
      <c r="V88" s="187"/>
      <c r="W88" s="173"/>
      <c r="X88" s="219">
        <v>3</v>
      </c>
      <c r="Y88" s="135"/>
      <c r="Z88" s="134">
        <f>IF(Table46[[#This Row],[Year]]=1, 1.3, IF(Table46[[#This Row],[Year]]=2, 1.2, IF(Table46[[#This Row],[Year]]=3, 1, IF(Table46[[#This Row],[Year]]=4, 0.72917, IF(Table46[[#This Row],[Year]]=5, 0.6, 0)))))</f>
        <v>1</v>
      </c>
    </row>
    <row r="89" spans="2:26" ht="21" x14ac:dyDescent="0.3">
      <c r="B89" s="107"/>
      <c r="C89" s="107"/>
      <c r="D89" s="107"/>
      <c r="F89" s="73" t="s">
        <v>262</v>
      </c>
      <c r="G89" s="222" t="s">
        <v>263</v>
      </c>
      <c r="H89" s="214" t="s">
        <v>264</v>
      </c>
      <c r="I89" s="299" t="s">
        <v>76</v>
      </c>
      <c r="J89" s="85">
        <f>IF(I89="Brother",$C$6*Table46[[#This Row],[Seniority Dues]],IF(I89="EC",$C$7,IF(I89="Alumni",$C$8,IF(I89="Dropped",$C$11,IF(I89="President",$C$10,IF(I89="Inactive",$C$9,IF(Table46[[#This Row],[Type]]="New Member",$C$13,0)))))))</f>
        <v>576</v>
      </c>
      <c r="K89" s="85"/>
      <c r="L89" s="132">
        <f>VLOOKUP(F89,Winter!$F$3:$T$159, 13,)</f>
        <v>-25</v>
      </c>
      <c r="M89" s="316">
        <v>551</v>
      </c>
      <c r="N89" s="313"/>
      <c r="O89" s="309"/>
      <c r="P89" s="132"/>
      <c r="Q89" s="132">
        <f t="shared" si="8"/>
        <v>551</v>
      </c>
      <c r="R89" s="283">
        <f t="shared" si="9"/>
        <v>0</v>
      </c>
      <c r="S89" s="283">
        <f t="shared" si="10"/>
        <v>0</v>
      </c>
      <c r="T89" s="133">
        <f t="shared" si="11"/>
        <v>0</v>
      </c>
      <c r="U89" s="186"/>
      <c r="V89" s="187"/>
      <c r="W89" s="173"/>
      <c r="X89" s="134">
        <v>2</v>
      </c>
      <c r="Y89" s="135"/>
      <c r="Z89" s="134">
        <f>IF(Table46[[#This Row],[Year]]=1, 1.3, IF(Table46[[#This Row],[Year]]=2, 1.2, IF(Table46[[#This Row],[Year]]=3, 1, IF(Table46[[#This Row],[Year]]=4, 0.72917, IF(Table46[[#This Row],[Year]]=5, 0.6, 0)))))</f>
        <v>1.2</v>
      </c>
    </row>
    <row r="90" spans="2:26" ht="21" x14ac:dyDescent="0.3">
      <c r="B90" s="107"/>
      <c r="C90" s="107"/>
      <c r="D90" s="107"/>
      <c r="F90" s="73" t="s">
        <v>265</v>
      </c>
      <c r="G90" s="222" t="s">
        <v>266</v>
      </c>
      <c r="H90" s="214" t="s">
        <v>267</v>
      </c>
      <c r="I90" s="299" t="s">
        <v>76</v>
      </c>
      <c r="J90" s="85">
        <f>IF(I90="Brother",$C$6*Table46[[#This Row],[Seniority Dues]],IF(I90="EC",$C$7,IF(I90="Alumni",$C$8,IF(I90="Dropped",$C$11,IF(I90="President",$C$10,IF(I90="Inactive",$C$9,IF(Table46[[#This Row],[Type]]="New Member",$C$13,0)))))))</f>
        <v>480</v>
      </c>
      <c r="K90" s="85">
        <v>25</v>
      </c>
      <c r="L90" s="132">
        <f>VLOOKUP(F90,Winter!$F$3:$T$159, 13,)</f>
        <v>-25</v>
      </c>
      <c r="M90" s="316">
        <v>480</v>
      </c>
      <c r="N90" s="313"/>
      <c r="O90" s="309"/>
      <c r="P90" s="132"/>
      <c r="Q90" s="132">
        <f t="shared" si="8"/>
        <v>480</v>
      </c>
      <c r="R90" s="283">
        <f t="shared" si="9"/>
        <v>0</v>
      </c>
      <c r="S90" s="283">
        <f t="shared" si="10"/>
        <v>0</v>
      </c>
      <c r="T90" s="133">
        <f t="shared" si="11"/>
        <v>0</v>
      </c>
      <c r="U90" s="186"/>
      <c r="V90" s="187"/>
      <c r="W90" s="173"/>
      <c r="X90" s="134">
        <v>3</v>
      </c>
      <c r="Y90" s="135"/>
      <c r="Z90" s="134">
        <f>IF(Table46[[#This Row],[Year]]=1, 1.3, IF(Table46[[#This Row],[Year]]=2, 1.2, IF(Table46[[#This Row],[Year]]=3, 1, IF(Table46[[#This Row],[Year]]=4, 0.72917, IF(Table46[[#This Row],[Year]]=5, 0.6, 0)))))</f>
        <v>1</v>
      </c>
    </row>
    <row r="91" spans="2:26" ht="21" x14ac:dyDescent="0.3">
      <c r="B91" s="107"/>
      <c r="C91" s="107"/>
      <c r="D91" s="107"/>
      <c r="F91" s="73" t="s">
        <v>268</v>
      </c>
      <c r="G91" s="222" t="s">
        <v>269</v>
      </c>
      <c r="H91" s="298" t="s">
        <v>117</v>
      </c>
      <c r="I91" s="299" t="s">
        <v>76</v>
      </c>
      <c r="J91" s="85">
        <f>IF(I91="Brother",$C$6*Table46[[#This Row],[Seniority Dues]],IF(I91="EC",$C$7,IF(I91="Alumni",$C$8,IF(I91="Dropped",$C$11,IF(I91="President",$C$10,IF(I91="Inactive",$C$9,IF(Table46[[#This Row],[Type]]="New Member",$C$13,0)))))))</f>
        <v>576</v>
      </c>
      <c r="K91" s="85"/>
      <c r="L91" s="132">
        <f>VLOOKUP(F91,Winter!$F$3:$T$159, 13,)</f>
        <v>0</v>
      </c>
      <c r="M91" s="316">
        <v>576</v>
      </c>
      <c r="N91" s="313"/>
      <c r="O91" s="309"/>
      <c r="P91" s="132"/>
      <c r="Q91" s="132">
        <f t="shared" si="8"/>
        <v>576</v>
      </c>
      <c r="R91" s="283">
        <f t="shared" si="9"/>
        <v>0</v>
      </c>
      <c r="S91" s="283">
        <f t="shared" si="10"/>
        <v>0</v>
      </c>
      <c r="T91" s="133">
        <f t="shared" si="11"/>
        <v>0</v>
      </c>
      <c r="U91" s="186"/>
      <c r="V91" s="187"/>
      <c r="W91" s="173"/>
      <c r="X91" s="134">
        <v>2</v>
      </c>
      <c r="Y91" s="135"/>
      <c r="Z91" s="134">
        <f>IF(Table46[[#This Row],[Year]]=1, 1.3, IF(Table46[[#This Row],[Year]]=2, 1.2, IF(Table46[[#This Row],[Year]]=3, 1, IF(Table46[[#This Row],[Year]]=4, 0.72917, IF(Table46[[#This Row],[Year]]=5, 0.6, 0)))))</f>
        <v>1.2</v>
      </c>
    </row>
    <row r="92" spans="2:26" ht="21" x14ac:dyDescent="0.3">
      <c r="B92" s="107"/>
      <c r="C92" s="107"/>
      <c r="D92" s="107"/>
      <c r="F92" s="73" t="s">
        <v>270</v>
      </c>
      <c r="G92" s="222" t="s">
        <v>271</v>
      </c>
      <c r="H92" s="214" t="s">
        <v>272</v>
      </c>
      <c r="I92" s="299" t="s">
        <v>76</v>
      </c>
      <c r="J92" s="85">
        <f>IF(I92="Brother",$C$6*Table46[[#This Row],[Seniority Dues]],IF(I92="EC",$C$7,IF(I92="Alumni",$C$8,IF(I92="Dropped",$C$11,IF(I92="President",$C$10,IF(I92="Inactive",$C$9,IF(Table46[[#This Row],[Type]]="New Member",$C$13,0)))))))</f>
        <v>576</v>
      </c>
      <c r="K92" s="85"/>
      <c r="L92" s="132">
        <v>-25</v>
      </c>
      <c r="M92" s="316">
        <v>551</v>
      </c>
      <c r="N92" s="313"/>
      <c r="O92" s="309"/>
      <c r="P92" s="132"/>
      <c r="Q92" s="132">
        <f t="shared" si="8"/>
        <v>551</v>
      </c>
      <c r="R92" s="283">
        <f t="shared" si="9"/>
        <v>0</v>
      </c>
      <c r="S92" s="283">
        <f t="shared" si="10"/>
        <v>0</v>
      </c>
      <c r="T92" s="133">
        <f t="shared" si="11"/>
        <v>0</v>
      </c>
      <c r="U92" s="186"/>
      <c r="V92" s="187"/>
      <c r="W92" s="173"/>
      <c r="X92" s="134">
        <v>2</v>
      </c>
      <c r="Y92" s="135"/>
      <c r="Z92" s="134">
        <f>IF(Table46[[#This Row],[Year]]=1, 1.3, IF(Table46[[#This Row],[Year]]=2, 1.2, IF(Table46[[#This Row],[Year]]=3, 1, IF(Table46[[#This Row],[Year]]=4, 0.72917, IF(Table46[[#This Row],[Year]]=5, 0.6, 0)))))</f>
        <v>1.2</v>
      </c>
    </row>
    <row r="93" spans="2:26" ht="21" x14ac:dyDescent="0.3">
      <c r="B93" s="107"/>
      <c r="C93" s="107"/>
      <c r="D93" s="107"/>
      <c r="F93" s="73" t="s">
        <v>434</v>
      </c>
      <c r="G93" s="222" t="s">
        <v>435</v>
      </c>
      <c r="H93" s="214" t="s">
        <v>387</v>
      </c>
      <c r="I93" s="299" t="s">
        <v>76</v>
      </c>
      <c r="J93" s="85">
        <f>IF(I93="Brother",$C$6*Table46[[#This Row],[Seniority Dues]],IF(I93="EC",$C$7,IF(I93="Alumni",$C$8,IF(I93="Dropped",$C$11,IF(I93="President",$C$10,IF(I93="Inactive",$C$9,IF(Table46[[#This Row],[Type]]="New Member",$C$13,0)))))))</f>
        <v>624</v>
      </c>
      <c r="K93" s="85"/>
      <c r="L93" s="132">
        <f>VLOOKUP(F93,Winter!$F$3:$T$159, 13,)</f>
        <v>0</v>
      </c>
      <c r="M93" s="316">
        <f>2*156</f>
        <v>312</v>
      </c>
      <c r="N93" s="313"/>
      <c r="O93" s="309" t="s">
        <v>455</v>
      </c>
      <c r="P93" s="132"/>
      <c r="Q93" s="132">
        <f t="shared" si="8"/>
        <v>312</v>
      </c>
      <c r="R93" s="283">
        <f t="shared" si="9"/>
        <v>312</v>
      </c>
      <c r="S93" s="283">
        <f t="shared" si="10"/>
        <v>0</v>
      </c>
      <c r="T93" s="133">
        <f t="shared" si="11"/>
        <v>312</v>
      </c>
      <c r="U93" s="186"/>
      <c r="V93" s="187"/>
      <c r="W93" s="173"/>
      <c r="X93" s="134">
        <v>1</v>
      </c>
      <c r="Y93" s="135"/>
      <c r="Z93" s="134">
        <f>IF(Table46[[#This Row],[Year]]=1, 1.3, IF(Table46[[#This Row],[Year]]=2, 1.2, IF(Table46[[#This Row],[Year]]=3, 1, IF(Table46[[#This Row],[Year]]=4, 0.72917, IF(Table46[[#This Row],[Year]]=5, 0.6, 0)))))</f>
        <v>1.3</v>
      </c>
    </row>
    <row r="94" spans="2:26" ht="21" x14ac:dyDescent="0.3">
      <c r="B94" s="107"/>
      <c r="C94" s="107"/>
      <c r="D94" s="107"/>
      <c r="F94" s="73" t="s">
        <v>273</v>
      </c>
      <c r="G94" s="222" t="s">
        <v>274</v>
      </c>
      <c r="H94" s="214" t="s">
        <v>275</v>
      </c>
      <c r="I94" s="299" t="s">
        <v>76</v>
      </c>
      <c r="J94" s="85">
        <f>IF(I94="Brother",$C$6*Table46[[#This Row],[Seniority Dues]],IF(I94="EC",$C$7,IF(I94="Alumni",$C$8,IF(I94="Dropped",$C$11,IF(I94="President",$C$10,IF(I94="Inactive",$C$9,IF(Table46[[#This Row],[Type]]="New Member",$C$13,0)))))))</f>
        <v>576</v>
      </c>
      <c r="K94" s="85"/>
      <c r="L94" s="132">
        <f>VLOOKUP(F94,Winter!$F$3:$T$159, 13,)</f>
        <v>0</v>
      </c>
      <c r="M94" s="316">
        <v>192</v>
      </c>
      <c r="N94" s="313">
        <v>193.5</v>
      </c>
      <c r="O94" s="309" t="s">
        <v>455</v>
      </c>
      <c r="P94" s="132"/>
      <c r="Q94" s="132">
        <f t="shared" si="8"/>
        <v>385.5</v>
      </c>
      <c r="R94" s="283">
        <f t="shared" si="9"/>
        <v>190.5</v>
      </c>
      <c r="S94" s="283">
        <f t="shared" si="10"/>
        <v>0</v>
      </c>
      <c r="T94" s="133">
        <f t="shared" si="11"/>
        <v>190.5</v>
      </c>
      <c r="U94" s="186"/>
      <c r="V94" s="187"/>
      <c r="W94" s="173"/>
      <c r="X94" s="134">
        <v>2</v>
      </c>
      <c r="Y94" s="135"/>
      <c r="Z94" s="134">
        <f>IF(Table46[[#This Row],[Year]]=1, 1.3, IF(Table46[[#This Row],[Year]]=2, 1.2, IF(Table46[[#This Row],[Year]]=3, 1, IF(Table46[[#This Row],[Year]]=4, 0.72917, IF(Table46[[#This Row],[Year]]=5, 0.6, 0)))))</f>
        <v>1.2</v>
      </c>
    </row>
    <row r="95" spans="2:26" ht="21" x14ac:dyDescent="0.3">
      <c r="B95" s="107"/>
      <c r="C95" s="107"/>
      <c r="D95" s="107"/>
      <c r="F95" s="73" t="s">
        <v>276</v>
      </c>
      <c r="G95" s="229" t="s">
        <v>277</v>
      </c>
      <c r="H95" s="297" t="s">
        <v>278</v>
      </c>
      <c r="I95" s="299" t="s">
        <v>89</v>
      </c>
      <c r="J95" s="85">
        <f>IF(I95="Brother",$C$6*Table46[[#This Row],[Seniority Dues]],IF(I95="EC",$C$7,IF(I95="Alumni",$C$8,IF(I95="Dropped",$C$11,IF(I95="President",$C$10,IF(I95="Inactive",$C$9,IF(Table46[[#This Row],[Type]]="New Member",$C$13,0)))))))</f>
        <v>0</v>
      </c>
      <c r="K95" s="85">
        <v>25</v>
      </c>
      <c r="L95" s="132">
        <f>VLOOKUP(F95,Winter!$F$3:$T$159, 13,)</f>
        <v>195</v>
      </c>
      <c r="M95" s="316">
        <v>195</v>
      </c>
      <c r="N95" s="313"/>
      <c r="O95" s="309"/>
      <c r="P95" s="132"/>
      <c r="Q95" s="132">
        <f t="shared" si="8"/>
        <v>195</v>
      </c>
      <c r="R95" s="283">
        <f t="shared" si="9"/>
        <v>25</v>
      </c>
      <c r="S95" s="283">
        <f t="shared" si="10"/>
        <v>0</v>
      </c>
      <c r="T95" s="133">
        <f t="shared" si="11"/>
        <v>25</v>
      </c>
      <c r="U95" s="186"/>
      <c r="V95" s="187"/>
      <c r="W95" s="173"/>
      <c r="X95" s="219">
        <v>4</v>
      </c>
      <c r="Y95" s="135"/>
      <c r="Z95" s="134">
        <f>IF(Table46[[#This Row],[Year]]=1, 1.3, IF(Table46[[#This Row],[Year]]=2, 1.2, IF(Table46[[#This Row],[Year]]=3, 1, IF(Table46[[#This Row],[Year]]=4, 0.72917, IF(Table46[[#This Row],[Year]]=5, 0.6, 0)))))</f>
        <v>0.72916999999999998</v>
      </c>
    </row>
    <row r="96" spans="2:26" ht="21" x14ac:dyDescent="0.3">
      <c r="B96" s="107"/>
      <c r="C96" s="107"/>
      <c r="D96" s="107"/>
      <c r="F96" s="73" t="s">
        <v>279</v>
      </c>
      <c r="G96" s="222" t="s">
        <v>280</v>
      </c>
      <c r="H96" s="214" t="s">
        <v>281</v>
      </c>
      <c r="I96" s="299" t="s">
        <v>76</v>
      </c>
      <c r="J96" s="85">
        <f>IF(I96="Brother",$C$6*Table46[[#This Row],[Seniority Dues]],IF(I96="EC",$C$7,IF(I96="Alumni",$C$8,IF(I96="Dropped",$C$11,IF(I96="President",$C$10,IF(I96="Inactive",$C$9,IF(Table46[[#This Row],[Type]]="New Member",$C$13,0)))))))</f>
        <v>576</v>
      </c>
      <c r="K96" s="85">
        <v>-351</v>
      </c>
      <c r="L96" s="132">
        <f>VLOOKUP(F96,Winter!$F$3:$T$159, 13,)</f>
        <v>-25</v>
      </c>
      <c r="M96" s="316">
        <v>200</v>
      </c>
      <c r="N96" s="313"/>
      <c r="O96" s="309"/>
      <c r="P96" s="132" t="s">
        <v>523</v>
      </c>
      <c r="Q96" s="132">
        <f t="shared" si="8"/>
        <v>200</v>
      </c>
      <c r="R96" s="283">
        <f t="shared" si="9"/>
        <v>0</v>
      </c>
      <c r="S96" s="283">
        <f t="shared" si="10"/>
        <v>0</v>
      </c>
      <c r="T96" s="133">
        <f t="shared" si="11"/>
        <v>0</v>
      </c>
      <c r="U96" s="186"/>
      <c r="V96" s="187"/>
      <c r="W96" s="173"/>
      <c r="X96" s="134">
        <v>2</v>
      </c>
      <c r="Y96" s="135"/>
      <c r="Z96" s="134">
        <f>IF(Table46[[#This Row],[Year]]=1, 1.3, IF(Table46[[#This Row],[Year]]=2, 1.2, IF(Table46[[#This Row],[Year]]=3, 1, IF(Table46[[#This Row],[Year]]=4, 0.72917, IF(Table46[[#This Row],[Year]]=5, 0.6, 0)))))</f>
        <v>1.2</v>
      </c>
    </row>
    <row r="97" spans="2:26" ht="21" x14ac:dyDescent="0.3">
      <c r="B97" s="107"/>
      <c r="C97" s="107"/>
      <c r="D97" s="107"/>
      <c r="F97" s="73" t="s">
        <v>282</v>
      </c>
      <c r="G97" s="229" t="s">
        <v>283</v>
      </c>
      <c r="H97" s="297" t="s">
        <v>284</v>
      </c>
      <c r="I97" s="299" t="s">
        <v>89</v>
      </c>
      <c r="J97" s="85">
        <f>IF(I97="Brother",$C$6*Table46[[#This Row],[Seniority Dues]],IF(I97="EC",$C$7,IF(I97="Alumni",$C$8,IF(I97="Dropped",$C$11,IF(I97="President",$C$10,IF(I97="Inactive",$C$9,IF(Table46[[#This Row],[Type]]="New Member",$C$13,0)))))))</f>
        <v>0</v>
      </c>
      <c r="K97" s="85"/>
      <c r="L97" s="132">
        <f>VLOOKUP(F97,Winter!$F$3:$T$159, 13,)</f>
        <v>1.6000001323845936E-7</v>
      </c>
      <c r="M97" s="316"/>
      <c r="N97" s="313"/>
      <c r="O97" s="309"/>
      <c r="P97" s="132"/>
      <c r="Q97" s="132">
        <f t="shared" ref="Q97:Q127" si="12">M97+N97</f>
        <v>0</v>
      </c>
      <c r="R97" s="283">
        <f t="shared" ref="R97:R127" si="13">J97+K97+L97-M97-N97</f>
        <v>1.6000001323845936E-7</v>
      </c>
      <c r="S97" s="283">
        <f t="shared" ref="S97:S121" si="14">IF((J97+L97-M97+K97-N97)&lt;0,J97+L97-M97+K97-N97,0)</f>
        <v>0</v>
      </c>
      <c r="T97" s="133">
        <f t="shared" ref="T97:T121" si="15">IF((J97+L97-M97+K97-N97)&gt;0, J97+L97-M97+K97-N97, 0)</f>
        <v>1.6000001323845936E-7</v>
      </c>
      <c r="U97" s="186"/>
      <c r="V97" s="187"/>
      <c r="W97" s="173"/>
      <c r="X97" s="219">
        <v>4</v>
      </c>
      <c r="Y97" s="135"/>
      <c r="Z97" s="134">
        <f>IF(Table46[[#This Row],[Year]]=1, 1.3, IF(Table46[[#This Row],[Year]]=2, 1.2, IF(Table46[[#This Row],[Year]]=3, 1, IF(Table46[[#This Row],[Year]]=4, 0.72917, IF(Table46[[#This Row],[Year]]=5, 0.6, 0)))))</f>
        <v>0.72916999999999998</v>
      </c>
    </row>
    <row r="98" spans="2:26" ht="21" x14ac:dyDescent="0.3">
      <c r="B98" s="107"/>
      <c r="C98" s="107"/>
      <c r="D98" s="107"/>
      <c r="F98" s="73" t="s">
        <v>495</v>
      </c>
      <c r="G98" s="222" t="s">
        <v>496</v>
      </c>
      <c r="H98" s="214" t="s">
        <v>384</v>
      </c>
      <c r="I98" s="299" t="s">
        <v>76</v>
      </c>
      <c r="J98" s="85">
        <f>IF(I98="Brother",$C$6*Table46[[#This Row],[Seniority Dues]],IF(I98="EC",$C$7,IF(I98="Alumni",$C$8,IF(I98="Dropped",$C$11,IF(I98="President",$C$10,IF(I98="Inactive",$C$9,IF(Table46[[#This Row],[Type]]="New Member",$C$13,0)))))))</f>
        <v>624</v>
      </c>
      <c r="K98" s="85">
        <v>-124</v>
      </c>
      <c r="L98" s="132">
        <f>VLOOKUP(F98,Winter!$F$3:$T$159, 13,)</f>
        <v>0</v>
      </c>
      <c r="M98" s="316">
        <v>500</v>
      </c>
      <c r="N98" s="313"/>
      <c r="O98" s="309"/>
      <c r="P98" s="132"/>
      <c r="Q98" s="132">
        <f t="shared" si="12"/>
        <v>500</v>
      </c>
      <c r="R98" s="283">
        <f t="shared" si="13"/>
        <v>0</v>
      </c>
      <c r="S98" s="283">
        <f t="shared" si="14"/>
        <v>0</v>
      </c>
      <c r="T98" s="133">
        <f t="shared" si="15"/>
        <v>0</v>
      </c>
      <c r="U98" s="186"/>
      <c r="V98" s="187"/>
      <c r="W98" s="173"/>
      <c r="X98" s="134">
        <v>1</v>
      </c>
      <c r="Y98" s="135"/>
      <c r="Z98" s="134">
        <f>IF(Table46[[#This Row],[Year]]=1, 1.3, IF(Table46[[#This Row],[Year]]=2, 1.2, IF(Table46[[#This Row],[Year]]=3, 1, IF(Table46[[#This Row],[Year]]=4, 0.72917, IF(Table46[[#This Row],[Year]]=5, 0.6, 0)))))</f>
        <v>1.3</v>
      </c>
    </row>
    <row r="99" spans="2:26" ht="21" x14ac:dyDescent="0.3">
      <c r="B99" s="107"/>
      <c r="C99" s="107"/>
      <c r="D99" s="107"/>
      <c r="F99" s="73" t="s">
        <v>285</v>
      </c>
      <c r="G99" s="229" t="s">
        <v>286</v>
      </c>
      <c r="H99" s="297" t="s">
        <v>287</v>
      </c>
      <c r="I99" s="299" t="s">
        <v>76</v>
      </c>
      <c r="J99" s="85">
        <f>IF(I99="Brother",$C$6*Table46[[#This Row],[Seniority Dues]],IF(I99="EC",$C$7,IF(I99="Alumni",$C$8,IF(I99="Dropped",$C$11,IF(I99="President",$C$10,IF(I99="Inactive",$C$9,IF(Table46[[#This Row],[Type]]="New Member",$C$13,0)))))))</f>
        <v>480</v>
      </c>
      <c r="K99" s="85"/>
      <c r="L99" s="132">
        <f>VLOOKUP(F99,Winter!$F$3:$T$159, 13,)</f>
        <v>0</v>
      </c>
      <c r="M99" s="316">
        <v>480</v>
      </c>
      <c r="N99" s="313"/>
      <c r="O99" s="309"/>
      <c r="P99" s="132"/>
      <c r="Q99" s="132">
        <f t="shared" si="12"/>
        <v>480</v>
      </c>
      <c r="R99" s="283">
        <f t="shared" si="13"/>
        <v>0</v>
      </c>
      <c r="S99" s="283">
        <f t="shared" si="14"/>
        <v>0</v>
      </c>
      <c r="T99" s="133">
        <f t="shared" si="15"/>
        <v>0</v>
      </c>
      <c r="U99" s="186"/>
      <c r="V99" s="187"/>
      <c r="W99" s="173"/>
      <c r="X99" s="219">
        <v>3</v>
      </c>
      <c r="Y99" s="135"/>
      <c r="Z99" s="134">
        <f>IF(Table46[[#This Row],[Year]]=1, 1.3, IF(Table46[[#This Row],[Year]]=2, 1.2, IF(Table46[[#This Row],[Year]]=3, 1, IF(Table46[[#This Row],[Year]]=4, 0.72917, IF(Table46[[#This Row],[Year]]=5, 0.6, 0)))))</f>
        <v>1</v>
      </c>
    </row>
    <row r="100" spans="2:26" ht="21" x14ac:dyDescent="0.3">
      <c r="B100" s="107"/>
      <c r="C100" s="107"/>
      <c r="D100" s="107"/>
      <c r="F100" s="73" t="s">
        <v>288</v>
      </c>
      <c r="G100" s="222" t="s">
        <v>289</v>
      </c>
      <c r="H100" s="214" t="s">
        <v>290</v>
      </c>
      <c r="I100" s="299" t="s">
        <v>76</v>
      </c>
      <c r="J100" s="85">
        <f>IF(I100="Brother",$C$6*Table46[[#This Row],[Seniority Dues]],IF(I100="EC",$C$7,IF(I100="Alumni",$C$8,IF(I100="Dropped",$C$11,IF(I100="President",$C$10,IF(I100="Inactive",$C$9,IF(Table46[[#This Row],[Type]]="New Member",$C$13,0)))))))</f>
        <v>576</v>
      </c>
      <c r="K100" s="85"/>
      <c r="L100" s="132">
        <f>VLOOKUP(F100,Winter!$F$3:$T$159, 13,)</f>
        <v>0</v>
      </c>
      <c r="M100" s="316">
        <v>576</v>
      </c>
      <c r="N100" s="313"/>
      <c r="O100" s="309"/>
      <c r="P100" s="132"/>
      <c r="Q100" s="132">
        <f t="shared" si="12"/>
        <v>576</v>
      </c>
      <c r="R100" s="283">
        <f t="shared" si="13"/>
        <v>0</v>
      </c>
      <c r="S100" s="283">
        <f t="shared" si="14"/>
        <v>0</v>
      </c>
      <c r="T100" s="133">
        <f t="shared" si="15"/>
        <v>0</v>
      </c>
      <c r="U100" s="186"/>
      <c r="V100" s="187"/>
      <c r="W100" s="173"/>
      <c r="X100" s="134">
        <v>2</v>
      </c>
      <c r="Y100" s="135"/>
      <c r="Z100" s="134">
        <f>IF(Table46[[#This Row],[Year]]=1, 1.3, IF(Table46[[#This Row],[Year]]=2, 1.2, IF(Table46[[#This Row],[Year]]=3, 1, IF(Table46[[#This Row],[Year]]=4, 0.72917, IF(Table46[[#This Row],[Year]]=5, 0.6, 0)))))</f>
        <v>1.2</v>
      </c>
    </row>
    <row r="101" spans="2:26" ht="21" x14ac:dyDescent="0.3">
      <c r="B101" s="107"/>
      <c r="C101" s="107"/>
      <c r="D101" s="107"/>
      <c r="F101" s="73" t="s">
        <v>291</v>
      </c>
      <c r="G101" s="222" t="s">
        <v>292</v>
      </c>
      <c r="H101" s="298" t="s">
        <v>293</v>
      </c>
      <c r="I101" s="299" t="s">
        <v>76</v>
      </c>
      <c r="J101" s="85">
        <f>IF(I101="Brother",$C$6*Table46[[#This Row],[Seniority Dues]],IF(I101="EC",$C$7,IF(I101="Alumni",$C$8,IF(I101="Dropped",$C$11,IF(I101="President",$C$10,IF(I101="Inactive",$C$9,IF(Table46[[#This Row],[Type]]="New Member",$C$13,0)))))))</f>
        <v>576</v>
      </c>
      <c r="K101" s="85">
        <v>25</v>
      </c>
      <c r="L101" s="132">
        <f>VLOOKUP(F101,Winter!$F$3:$T$159, 13,)</f>
        <v>213.5</v>
      </c>
      <c r="M101" s="316">
        <v>150</v>
      </c>
      <c r="N101" s="313">
        <v>145.5</v>
      </c>
      <c r="O101" s="309"/>
      <c r="P101" s="132"/>
      <c r="Q101" s="132">
        <f t="shared" si="12"/>
        <v>295.5</v>
      </c>
      <c r="R101" s="283">
        <f t="shared" si="13"/>
        <v>519</v>
      </c>
      <c r="S101" s="283">
        <f t="shared" si="14"/>
        <v>0</v>
      </c>
      <c r="T101" s="133">
        <f t="shared" si="15"/>
        <v>519</v>
      </c>
      <c r="U101" s="186"/>
      <c r="V101" s="187"/>
      <c r="W101" s="173"/>
      <c r="X101" s="134">
        <v>2</v>
      </c>
      <c r="Y101" s="135"/>
      <c r="Z101" s="134">
        <f>IF(Table46[[#This Row],[Year]]=1, 1.3, IF(Table46[[#This Row],[Year]]=2, 1.2, IF(Table46[[#This Row],[Year]]=3, 1, IF(Table46[[#This Row],[Year]]=4, 0.72917, IF(Table46[[#This Row],[Year]]=5, 0.6, 0)))))</f>
        <v>1.2</v>
      </c>
    </row>
    <row r="102" spans="2:26" ht="21" x14ac:dyDescent="0.3">
      <c r="B102" s="107"/>
      <c r="C102" s="107"/>
      <c r="D102" s="107"/>
      <c r="F102" s="73" t="s">
        <v>294</v>
      </c>
      <c r="G102" s="222" t="s">
        <v>295</v>
      </c>
      <c r="H102" s="214" t="s">
        <v>296</v>
      </c>
      <c r="I102" s="299" t="s">
        <v>76</v>
      </c>
      <c r="J102" s="85">
        <f>IF(I102="Brother",$C$6*Table46[[#This Row],[Seniority Dues]],IF(I102="EC",$C$7,IF(I102="Alumni",$C$8,IF(I102="Dropped",$C$11,IF(I102="President",$C$10,IF(I102="Inactive",$C$9,IF(Table46[[#This Row],[Type]]="New Member",$C$13,0)))))))</f>
        <v>576</v>
      </c>
      <c r="K102" s="85">
        <v>25</v>
      </c>
      <c r="L102" s="132">
        <f>VLOOKUP(F102,Winter!$F$3:$T$159, 13,)</f>
        <v>-25</v>
      </c>
      <c r="M102" s="316">
        <v>576</v>
      </c>
      <c r="N102" s="313"/>
      <c r="O102" s="309"/>
      <c r="P102" s="132"/>
      <c r="Q102" s="132">
        <f t="shared" si="12"/>
        <v>576</v>
      </c>
      <c r="R102" s="283">
        <f t="shared" si="13"/>
        <v>0</v>
      </c>
      <c r="S102" s="283">
        <f t="shared" si="14"/>
        <v>0</v>
      </c>
      <c r="T102" s="133">
        <f t="shared" si="15"/>
        <v>0</v>
      </c>
      <c r="U102" s="186"/>
      <c r="V102" s="187"/>
      <c r="W102" s="173"/>
      <c r="X102" s="134">
        <v>2</v>
      </c>
      <c r="Y102" s="135"/>
      <c r="Z102" s="134">
        <f>IF(Table46[[#This Row],[Year]]=1, 1.3, IF(Table46[[#This Row],[Year]]=2, 1.2, IF(Table46[[#This Row],[Year]]=3, 1, IF(Table46[[#This Row],[Year]]=4, 0.72917, IF(Table46[[#This Row],[Year]]=5, 0.6, 0)))))</f>
        <v>1.2</v>
      </c>
    </row>
    <row r="103" spans="2:26" ht="21" x14ac:dyDescent="0.3">
      <c r="B103" s="107"/>
      <c r="C103" s="107"/>
      <c r="D103" s="107"/>
      <c r="F103" s="73" t="s">
        <v>299</v>
      </c>
      <c r="G103" s="229" t="s">
        <v>300</v>
      </c>
      <c r="H103" s="297" t="s">
        <v>301</v>
      </c>
      <c r="I103" s="299" t="s">
        <v>89</v>
      </c>
      <c r="J103" s="85">
        <f>IF(I103="Brother",$C$6*Table46[[#This Row],[Seniority Dues]],IF(I103="EC",$C$7,IF(I103="Alumni",$C$8,IF(I103="Dropped",$C$11,IF(I103="President",$C$10,IF(I103="Inactive",$C$9,IF(Table46[[#This Row],[Type]]="New Member",$C$13,0)))))))</f>
        <v>0</v>
      </c>
      <c r="K103" s="85"/>
      <c r="L103" s="132">
        <f>VLOOKUP(F103,Winter!$F$3:$T$159, 13,)</f>
        <v>95.5</v>
      </c>
      <c r="M103" s="316">
        <v>50</v>
      </c>
      <c r="N103" s="313">
        <v>51.5</v>
      </c>
      <c r="O103" s="309"/>
      <c r="P103" s="132"/>
      <c r="Q103" s="132">
        <f t="shared" si="12"/>
        <v>101.5</v>
      </c>
      <c r="R103" s="283">
        <f t="shared" si="13"/>
        <v>-6</v>
      </c>
      <c r="S103" s="283">
        <f t="shared" si="14"/>
        <v>-6</v>
      </c>
      <c r="T103" s="133">
        <f t="shared" si="15"/>
        <v>0</v>
      </c>
      <c r="U103" s="186"/>
      <c r="V103" s="187"/>
      <c r="W103" s="173"/>
      <c r="X103" s="219">
        <v>4</v>
      </c>
      <c r="Y103" s="135"/>
      <c r="Z103" s="134">
        <f>IF(Table46[[#This Row],[Year]]=1, 1.3, IF(Table46[[#This Row],[Year]]=2, 1.2, IF(Table46[[#This Row],[Year]]=3, 1, IF(Table46[[#This Row],[Year]]=4, 0.72917, IF(Table46[[#This Row],[Year]]=5, 0.6, 0)))))</f>
        <v>0.72916999999999998</v>
      </c>
    </row>
    <row r="104" spans="2:26" ht="21" x14ac:dyDescent="0.3">
      <c r="B104" s="107"/>
      <c r="C104" s="107"/>
      <c r="D104" s="107"/>
      <c r="F104" s="73" t="s">
        <v>304</v>
      </c>
      <c r="G104" s="229" t="s">
        <v>305</v>
      </c>
      <c r="H104" s="297" t="s">
        <v>187</v>
      </c>
      <c r="I104" s="299" t="s">
        <v>76</v>
      </c>
      <c r="J104" s="85">
        <f>IF(I104="Brother",$C$6*Table46[[#This Row],[Seniority Dues]],IF(I104="EC",$C$7,IF(I104="Alumni",$C$8,IF(I104="Dropped",$C$11,IF(I104="President",$C$10,IF(I104="Inactive",$C$9,IF(Table46[[#This Row],[Type]]="New Member",$C$13,0)))))))</f>
        <v>480</v>
      </c>
      <c r="K104" s="85">
        <v>40</v>
      </c>
      <c r="L104" s="132">
        <f>VLOOKUP(F104,Winter!$F$3:$T$159, 13,)</f>
        <v>-25</v>
      </c>
      <c r="M104" s="316">
        <v>455</v>
      </c>
      <c r="N104" s="313">
        <v>40</v>
      </c>
      <c r="O104" s="309"/>
      <c r="P104" s="132"/>
      <c r="Q104" s="132">
        <f t="shared" si="12"/>
        <v>495</v>
      </c>
      <c r="R104" s="283">
        <f t="shared" si="13"/>
        <v>0</v>
      </c>
      <c r="S104" s="283">
        <f t="shared" si="14"/>
        <v>0</v>
      </c>
      <c r="T104" s="133">
        <f t="shared" si="15"/>
        <v>0</v>
      </c>
      <c r="U104" s="186"/>
      <c r="V104" s="187"/>
      <c r="W104" s="173"/>
      <c r="X104" s="219">
        <v>3</v>
      </c>
      <c r="Y104" s="135"/>
      <c r="Z104" s="134">
        <f>IF(Table46[[#This Row],[Year]]=1, 1.3, IF(Table46[[#This Row],[Year]]=2, 1.2, IF(Table46[[#This Row],[Year]]=3, 1, IF(Table46[[#This Row],[Year]]=4, 0.72917, IF(Table46[[#This Row],[Year]]=5, 0.6, 0)))))</f>
        <v>1</v>
      </c>
    </row>
    <row r="105" spans="2:26" ht="21" x14ac:dyDescent="0.3">
      <c r="B105" s="107"/>
      <c r="C105" s="107"/>
      <c r="D105" s="107"/>
      <c r="F105" s="73" t="s">
        <v>306</v>
      </c>
      <c r="G105" s="229" t="s">
        <v>307</v>
      </c>
      <c r="H105" s="297" t="s">
        <v>308</v>
      </c>
      <c r="I105" s="299" t="s">
        <v>72</v>
      </c>
      <c r="J105" s="85">
        <f>IF(I105="Brother",$C$6*Table46[[#This Row],[Seniority Dues]],IF(I105="EC",$C$7,IF(I105="Alumni",$C$8,IF(I105="Dropped",$C$11,IF(I105="President",$C$10,IF(I105="Inactive",$C$9,IF(Table46[[#This Row],[Type]]="New Member",$C$13,0)))))))</f>
        <v>200</v>
      </c>
      <c r="K105" s="85">
        <v>25</v>
      </c>
      <c r="L105" s="132">
        <f>VLOOKUP(F105,Winter!$F$3:$T$159, 13,)</f>
        <v>245.5</v>
      </c>
      <c r="M105" s="316">
        <v>50</v>
      </c>
      <c r="N105" s="313">
        <v>51.5</v>
      </c>
      <c r="O105" s="309"/>
      <c r="P105" s="132"/>
      <c r="Q105" s="132">
        <f t="shared" si="12"/>
        <v>101.5</v>
      </c>
      <c r="R105" s="283">
        <f t="shared" si="13"/>
        <v>369</v>
      </c>
      <c r="S105" s="283">
        <f t="shared" si="14"/>
        <v>0</v>
      </c>
      <c r="T105" s="133">
        <f t="shared" si="15"/>
        <v>369</v>
      </c>
      <c r="U105" s="186"/>
      <c r="V105" s="187"/>
      <c r="W105" s="173"/>
      <c r="X105" s="219">
        <v>4</v>
      </c>
      <c r="Y105" s="135"/>
      <c r="Z105" s="134">
        <f>IF(Table46[[#This Row],[Year]]=1, 1.3, IF(Table46[[#This Row],[Year]]=2, 1.2, IF(Table46[[#This Row],[Year]]=3, 1, IF(Table46[[#This Row],[Year]]=4, 0.72917, IF(Table46[[#This Row],[Year]]=5, 0.6, 0)))))</f>
        <v>0.72916999999999998</v>
      </c>
    </row>
    <row r="106" spans="2:26" ht="21" x14ac:dyDescent="0.3">
      <c r="B106" s="123"/>
      <c r="C106" s="123"/>
      <c r="D106" s="123"/>
      <c r="F106" s="73" t="s">
        <v>311</v>
      </c>
      <c r="G106" s="229" t="s">
        <v>312</v>
      </c>
      <c r="H106" s="297" t="s">
        <v>88</v>
      </c>
      <c r="I106" s="299" t="s">
        <v>89</v>
      </c>
      <c r="J106" s="85">
        <f>IF(I106="Brother",$C$6*Table46[[#This Row],[Seniority Dues]],IF(I106="EC",$C$7,IF(I106="Alumni",$C$8,IF(I106="Dropped",$C$11,IF(I106="President",$C$10,IF(I106="Inactive",$C$9,IF(Table46[[#This Row],[Type]]="New Member",$C$13,0)))))))</f>
        <v>0</v>
      </c>
      <c r="K106" s="85"/>
      <c r="L106" s="132">
        <f>VLOOKUP(F106,Winter!$F$3:$T$159, 13,)</f>
        <v>0</v>
      </c>
      <c r="M106" s="316"/>
      <c r="N106" s="313"/>
      <c r="O106" s="309"/>
      <c r="P106" s="132"/>
      <c r="Q106" s="132">
        <f t="shared" si="12"/>
        <v>0</v>
      </c>
      <c r="R106" s="283">
        <f t="shared" si="13"/>
        <v>0</v>
      </c>
      <c r="S106" s="283">
        <f t="shared" si="14"/>
        <v>0</v>
      </c>
      <c r="T106" s="133">
        <f t="shared" si="15"/>
        <v>0</v>
      </c>
      <c r="U106" s="186"/>
      <c r="V106" s="187"/>
      <c r="W106" s="173"/>
      <c r="X106" s="219">
        <v>4</v>
      </c>
      <c r="Y106" s="135"/>
      <c r="Z106" s="134">
        <f>IF(Table46[[#This Row],[Year]]=1, 1.3, IF(Table46[[#This Row],[Year]]=2, 1.2, IF(Table46[[#This Row],[Year]]=3, 1, IF(Table46[[#This Row],[Year]]=4, 0.72917, IF(Table46[[#This Row],[Year]]=5, 0.6, 0)))))</f>
        <v>0.72916999999999998</v>
      </c>
    </row>
    <row r="107" spans="2:26" ht="21" x14ac:dyDescent="0.3">
      <c r="B107" s="123"/>
      <c r="C107" s="123"/>
      <c r="D107" s="123"/>
      <c r="F107" s="73" t="s">
        <v>313</v>
      </c>
      <c r="G107" s="229" t="s">
        <v>314</v>
      </c>
      <c r="H107" s="297" t="s">
        <v>220</v>
      </c>
      <c r="I107" s="299" t="s">
        <v>76</v>
      </c>
      <c r="J107" s="85">
        <f>IF(I107="Brother",$C$6*Table46[[#This Row],[Seniority Dues]],IF(I107="EC",$C$7,IF(I107="Alumni",$C$8,IF(I107="Dropped",$C$11,IF(I107="President",$C$10,IF(I107="Inactive",$C$9,IF(Table46[[#This Row],[Type]]="New Member",$C$13,0)))))))</f>
        <v>350.0016</v>
      </c>
      <c r="K107" s="85"/>
      <c r="L107" s="132">
        <f>VLOOKUP(F107,Winter!$F$3:$T$159, 13,)</f>
        <v>-24.999999839999987</v>
      </c>
      <c r="M107" s="316">
        <v>325</v>
      </c>
      <c r="N107" s="313"/>
      <c r="O107" s="309"/>
      <c r="P107" s="132"/>
      <c r="Q107" s="132">
        <f t="shared" si="12"/>
        <v>325</v>
      </c>
      <c r="R107" s="283">
        <f t="shared" si="13"/>
        <v>1.6001600000095095E-3</v>
      </c>
      <c r="S107" s="283">
        <f t="shared" si="14"/>
        <v>0</v>
      </c>
      <c r="T107" s="133">
        <f t="shared" si="15"/>
        <v>1.6001600000095095E-3</v>
      </c>
      <c r="U107" s="186"/>
      <c r="V107" s="187"/>
      <c r="W107" s="173"/>
      <c r="X107" s="219">
        <v>4</v>
      </c>
      <c r="Y107" s="135"/>
      <c r="Z107" s="134">
        <f>IF(Table46[[#This Row],[Year]]=1, 1.3, IF(Table46[[#This Row],[Year]]=2, 1.2, IF(Table46[[#This Row],[Year]]=3, 1, IF(Table46[[#This Row],[Year]]=4, 0.72917, IF(Table46[[#This Row],[Year]]=5, 0.6, 0)))))</f>
        <v>0.72916999999999998</v>
      </c>
    </row>
    <row r="108" spans="2:26" ht="21" x14ac:dyDescent="0.3">
      <c r="B108" s="123"/>
      <c r="C108" s="123"/>
      <c r="D108" s="123"/>
      <c r="F108" s="73" t="s">
        <v>315</v>
      </c>
      <c r="G108" s="222" t="s">
        <v>316</v>
      </c>
      <c r="H108" s="214" t="s">
        <v>317</v>
      </c>
      <c r="I108" s="299" t="s">
        <v>76</v>
      </c>
      <c r="J108" s="85">
        <f>IF(I108="Brother",$C$6*Table46[[#This Row],[Seniority Dues]],IF(I108="EC",$C$7,IF(I108="Alumni",$C$8,IF(I108="Dropped",$C$11,IF(I108="President",$C$10,IF(I108="Inactive",$C$9,IF(Table46[[#This Row],[Type]]="New Member",$C$13,0)))))))</f>
        <v>576</v>
      </c>
      <c r="K108" s="85"/>
      <c r="L108" s="132">
        <f>VLOOKUP(F108,Winter!$F$3:$T$159, 13,)</f>
        <v>-25</v>
      </c>
      <c r="M108" s="316">
        <v>551</v>
      </c>
      <c r="N108" s="313"/>
      <c r="O108" s="309"/>
      <c r="P108" s="132"/>
      <c r="Q108" s="132">
        <f t="shared" si="12"/>
        <v>551</v>
      </c>
      <c r="R108" s="283">
        <f t="shared" si="13"/>
        <v>0</v>
      </c>
      <c r="S108" s="283">
        <f t="shared" si="14"/>
        <v>0</v>
      </c>
      <c r="T108" s="133">
        <f t="shared" si="15"/>
        <v>0</v>
      </c>
      <c r="U108" s="186"/>
      <c r="V108" s="187"/>
      <c r="W108" s="173"/>
      <c r="X108" s="134">
        <v>2</v>
      </c>
      <c r="Y108" s="135"/>
      <c r="Z108" s="134">
        <f>IF(Table46[[#This Row],[Year]]=1, 1.3, IF(Table46[[#This Row],[Year]]=2, 1.2, IF(Table46[[#This Row],[Year]]=3, 1, IF(Table46[[#This Row],[Year]]=4, 0.72917, IF(Table46[[#This Row],[Year]]=5, 0.6, 0)))))</f>
        <v>1.2</v>
      </c>
    </row>
    <row r="109" spans="2:26" ht="21" x14ac:dyDescent="0.3">
      <c r="B109" s="123"/>
      <c r="C109" s="123"/>
      <c r="D109" s="123"/>
      <c r="F109" s="73" t="s">
        <v>318</v>
      </c>
      <c r="G109" s="222" t="s">
        <v>319</v>
      </c>
      <c r="H109" s="214" t="s">
        <v>320</v>
      </c>
      <c r="I109" s="299" t="s">
        <v>76</v>
      </c>
      <c r="J109" s="85">
        <f>IF(I109="Brother",$C$6*Table46[[#This Row],[Seniority Dues]],IF(I109="EC",$C$7,IF(I109="Alumni",$C$8,IF(I109="Dropped",$C$11,IF(I109="President",$C$10,IF(I109="Inactive",$C$9,IF(Table46[[#This Row],[Type]]="New Member",$C$13,0)))))))</f>
        <v>576</v>
      </c>
      <c r="K109" s="85">
        <v>100</v>
      </c>
      <c r="L109" s="132">
        <f>VLOOKUP(F109,Winter!$F$3:$T$159, 13,)</f>
        <v>25</v>
      </c>
      <c r="M109" s="316">
        <v>676</v>
      </c>
      <c r="N109" s="313"/>
      <c r="O109" s="309"/>
      <c r="P109" s="132"/>
      <c r="Q109" s="132">
        <f t="shared" si="12"/>
        <v>676</v>
      </c>
      <c r="R109" s="283">
        <f t="shared" si="13"/>
        <v>25</v>
      </c>
      <c r="S109" s="283">
        <f t="shared" si="14"/>
        <v>0</v>
      </c>
      <c r="T109" s="133">
        <f t="shared" si="15"/>
        <v>25</v>
      </c>
      <c r="U109" s="186"/>
      <c r="V109" s="187"/>
      <c r="W109" s="173"/>
      <c r="X109" s="134">
        <v>2</v>
      </c>
      <c r="Y109" s="135"/>
      <c r="Z109" s="134">
        <f>IF(Table46[[#This Row],[Year]]=1, 1.3, IF(Table46[[#This Row],[Year]]=2, 1.2, IF(Table46[[#This Row],[Year]]=3, 1, IF(Table46[[#This Row],[Year]]=4, 0.72917, IF(Table46[[#This Row],[Year]]=5, 0.6, 0)))))</f>
        <v>1.2</v>
      </c>
    </row>
    <row r="110" spans="2:26" ht="21" x14ac:dyDescent="0.3">
      <c r="B110" s="123"/>
      <c r="C110" s="123"/>
      <c r="D110" s="123"/>
      <c r="F110" s="73" t="s">
        <v>321</v>
      </c>
      <c r="G110" s="229" t="s">
        <v>322</v>
      </c>
      <c r="H110" s="297" t="s">
        <v>323</v>
      </c>
      <c r="I110" s="299" t="s">
        <v>76</v>
      </c>
      <c r="J110" s="85">
        <f>IF(I110="Brother",$C$6*Table46[[#This Row],[Seniority Dues]],IF(I110="EC",$C$7,IF(I110="Alumni",$C$8,IF(I110="Dropped",$C$11,IF(I110="President",$C$10,IF(I110="Inactive",$C$9,IF(Table46[[#This Row],[Type]]="New Member",$C$13,0)))))))</f>
        <v>480</v>
      </c>
      <c r="K110" s="85"/>
      <c r="L110" s="132">
        <f>VLOOKUP(F110,Winter!$F$3:$T$159, 13,)</f>
        <v>-25</v>
      </c>
      <c r="M110" s="316">
        <v>455</v>
      </c>
      <c r="N110" s="313"/>
      <c r="O110" s="309"/>
      <c r="P110" s="132"/>
      <c r="Q110" s="132">
        <f t="shared" si="12"/>
        <v>455</v>
      </c>
      <c r="R110" s="283">
        <f t="shared" si="13"/>
        <v>0</v>
      </c>
      <c r="S110" s="283">
        <f t="shared" si="14"/>
        <v>0</v>
      </c>
      <c r="T110" s="133">
        <f t="shared" si="15"/>
        <v>0</v>
      </c>
      <c r="U110" s="186"/>
      <c r="V110" s="187"/>
      <c r="W110" s="173"/>
      <c r="X110" s="219">
        <v>3</v>
      </c>
      <c r="Y110" s="135"/>
      <c r="Z110" s="134">
        <f>IF(Table46[[#This Row],[Year]]=1, 1.3, IF(Table46[[#This Row],[Year]]=2, 1.2, IF(Table46[[#This Row],[Year]]=3, 1, IF(Table46[[#This Row],[Year]]=4, 0.72917, IF(Table46[[#This Row],[Year]]=5, 0.6, 0)))))</f>
        <v>1</v>
      </c>
    </row>
    <row r="111" spans="2:26" ht="21" x14ac:dyDescent="0.3">
      <c r="B111" s="123"/>
      <c r="C111" s="123"/>
      <c r="D111" s="123"/>
      <c r="F111" s="73" t="s">
        <v>324</v>
      </c>
      <c r="G111" s="222" t="s">
        <v>325</v>
      </c>
      <c r="H111" s="298" t="s">
        <v>326</v>
      </c>
      <c r="I111" s="299" t="s">
        <v>76</v>
      </c>
      <c r="J111" s="85">
        <f>IF(I111="Brother",$C$6*Table46[[#This Row],[Seniority Dues]],IF(I111="EC",$C$7,IF(I111="Alumni",$C$8,IF(I111="Dropped",$C$11,IF(I111="President",$C$10,IF(I111="Inactive",$C$9,IF(Table46[[#This Row],[Type]]="New Member",$C$13,0)))))))</f>
        <v>480</v>
      </c>
      <c r="K111" s="85"/>
      <c r="L111" s="132">
        <f>VLOOKUP(F111,Winter!$F$3:$T$159, 13,)</f>
        <v>0</v>
      </c>
      <c r="M111" s="316">
        <v>480</v>
      </c>
      <c r="N111" s="313"/>
      <c r="O111" s="309"/>
      <c r="P111" s="132"/>
      <c r="Q111" s="132">
        <f t="shared" si="12"/>
        <v>480</v>
      </c>
      <c r="R111" s="283">
        <f t="shared" si="13"/>
        <v>0</v>
      </c>
      <c r="S111" s="283">
        <f t="shared" si="14"/>
        <v>0</v>
      </c>
      <c r="T111" s="133">
        <f t="shared" si="15"/>
        <v>0</v>
      </c>
      <c r="U111" s="186"/>
      <c r="V111" s="187"/>
      <c r="W111" s="173"/>
      <c r="X111" s="134">
        <v>3</v>
      </c>
      <c r="Y111" s="135"/>
      <c r="Z111" s="134">
        <f>IF(Table46[[#This Row],[Year]]=1, 1.3, IF(Table46[[#This Row],[Year]]=2, 1.2, IF(Table46[[#This Row],[Year]]=3, 1, IF(Table46[[#This Row],[Year]]=4, 0.72917, IF(Table46[[#This Row],[Year]]=5, 0.6, 0)))))</f>
        <v>1</v>
      </c>
    </row>
    <row r="112" spans="2:26" ht="21" x14ac:dyDescent="0.3">
      <c r="B112" s="123"/>
      <c r="C112" s="123"/>
      <c r="D112" s="123"/>
      <c r="F112" s="73" t="s">
        <v>327</v>
      </c>
      <c r="G112" s="222" t="s">
        <v>328</v>
      </c>
      <c r="H112" s="214" t="s">
        <v>329</v>
      </c>
      <c r="I112" s="299" t="s">
        <v>76</v>
      </c>
      <c r="J112" s="85">
        <f>IF(I112="Brother",$C$6*Table46[[#This Row],[Seniority Dues]],IF(I112="EC",$C$7,IF(I112="Alumni",$C$8,IF(I112="Dropped",$C$11,IF(I112="President",$C$10,IF(I112="Inactive",$C$9,IF(Table46[[#This Row],[Type]]="New Member",$C$13,0)))))))</f>
        <v>576</v>
      </c>
      <c r="K112" s="85"/>
      <c r="L112" s="132">
        <f>VLOOKUP(F112,Winter!$F$3:$T$159, 13,)</f>
        <v>0</v>
      </c>
      <c r="M112" s="316">
        <v>576</v>
      </c>
      <c r="N112" s="313"/>
      <c r="O112" s="309"/>
      <c r="P112" s="132"/>
      <c r="Q112" s="132">
        <f t="shared" si="12"/>
        <v>576</v>
      </c>
      <c r="R112" s="283">
        <f t="shared" si="13"/>
        <v>0</v>
      </c>
      <c r="S112" s="283">
        <f t="shared" si="14"/>
        <v>0</v>
      </c>
      <c r="T112" s="133">
        <f t="shared" si="15"/>
        <v>0</v>
      </c>
      <c r="U112" s="186"/>
      <c r="V112" s="187"/>
      <c r="W112" s="173"/>
      <c r="X112" s="134">
        <v>2</v>
      </c>
      <c r="Y112" s="135"/>
      <c r="Z112" s="134">
        <f>IF(Table46[[#This Row],[Year]]=1, 1.3, IF(Table46[[#This Row],[Year]]=2, 1.2, IF(Table46[[#This Row],[Year]]=3, 1, IF(Table46[[#This Row],[Year]]=4, 0.72917, IF(Table46[[#This Row],[Year]]=5, 0.6, 0)))))</f>
        <v>1.2</v>
      </c>
    </row>
    <row r="113" spans="2:26" ht="21" x14ac:dyDescent="0.3">
      <c r="B113" s="123"/>
      <c r="C113" s="123"/>
      <c r="D113" s="123"/>
      <c r="F113" s="73" t="s">
        <v>330</v>
      </c>
      <c r="G113" s="222" t="s">
        <v>331</v>
      </c>
      <c r="H113" s="214" t="s">
        <v>332</v>
      </c>
      <c r="I113" s="299" t="s">
        <v>76</v>
      </c>
      <c r="J113" s="85">
        <f>IF(I113="Brother",$C$6*Table46[[#This Row],[Seniority Dues]],IF(I113="EC",$C$7,IF(I113="Alumni",$C$8,IF(I113="Dropped",$C$11,IF(I113="President",$C$10,IF(I113="Inactive",$C$9,IF(Table46[[#This Row],[Type]]="New Member",$C$13,0)))))))</f>
        <v>576</v>
      </c>
      <c r="K113" s="85"/>
      <c r="L113" s="132">
        <f>VLOOKUP(F113,Winter!$F$3:$T$159, 13,)</f>
        <v>25</v>
      </c>
      <c r="M113" s="316">
        <v>601</v>
      </c>
      <c r="N113" s="313"/>
      <c r="O113" s="309"/>
      <c r="P113" s="132"/>
      <c r="Q113" s="132">
        <f t="shared" si="12"/>
        <v>601</v>
      </c>
      <c r="R113" s="283">
        <f t="shared" si="13"/>
        <v>0</v>
      </c>
      <c r="S113" s="283">
        <f t="shared" si="14"/>
        <v>0</v>
      </c>
      <c r="T113" s="133">
        <f t="shared" si="15"/>
        <v>0</v>
      </c>
      <c r="U113" s="186"/>
      <c r="V113" s="187"/>
      <c r="W113" s="173"/>
      <c r="X113" s="134">
        <v>2</v>
      </c>
      <c r="Y113" s="135"/>
      <c r="Z113" s="134">
        <f>IF(Table46[[#This Row],[Year]]=1, 1.3, IF(Table46[[#This Row],[Year]]=2, 1.2, IF(Table46[[#This Row],[Year]]=3, 1, IF(Table46[[#This Row],[Year]]=4, 0.72917, IF(Table46[[#This Row],[Year]]=5, 0.6, 0)))))</f>
        <v>1.2</v>
      </c>
    </row>
    <row r="114" spans="2:26" ht="21" x14ac:dyDescent="0.3">
      <c r="B114" s="123"/>
      <c r="C114" s="123"/>
      <c r="D114" s="123"/>
      <c r="F114" s="73" t="s">
        <v>436</v>
      </c>
      <c r="G114" s="222" t="s">
        <v>437</v>
      </c>
      <c r="H114" s="214" t="s">
        <v>438</v>
      </c>
      <c r="I114" s="299" t="s">
        <v>76</v>
      </c>
      <c r="J114" s="85">
        <f>IF(I114="Brother",$C$6*Table46[[#This Row],[Seniority Dues]],IF(I114="EC",$C$7,IF(I114="Alumni",$C$8,IF(I114="Dropped",$C$11,IF(I114="President",$C$10,IF(I114="Inactive",$C$9,IF(Table46[[#This Row],[Type]]="New Member",$C$13,0)))))))</f>
        <v>624</v>
      </c>
      <c r="K114" s="85"/>
      <c r="L114" s="132">
        <f>VLOOKUP(F114,Winter!$F$3:$T$159, 13,)</f>
        <v>0</v>
      </c>
      <c r="M114" s="316">
        <v>624</v>
      </c>
      <c r="N114" s="313"/>
      <c r="O114" s="309"/>
      <c r="P114" s="132"/>
      <c r="Q114" s="132">
        <f t="shared" si="12"/>
        <v>624</v>
      </c>
      <c r="R114" s="283">
        <f t="shared" si="13"/>
        <v>0</v>
      </c>
      <c r="S114" s="283">
        <f t="shared" si="14"/>
        <v>0</v>
      </c>
      <c r="T114" s="133">
        <f t="shared" si="15"/>
        <v>0</v>
      </c>
      <c r="U114" s="186"/>
      <c r="V114" s="187"/>
      <c r="W114" s="173"/>
      <c r="X114" s="134">
        <v>1</v>
      </c>
      <c r="Y114" s="135"/>
      <c r="Z114" s="134">
        <f>IF(Table46[[#This Row],[Year]]=1, 1.3, IF(Table46[[#This Row],[Year]]=2, 1.2, IF(Table46[[#This Row],[Year]]=3, 1, IF(Table46[[#This Row],[Year]]=4, 0.72917, IF(Table46[[#This Row],[Year]]=5, 0.6, 0)))))</f>
        <v>1.3</v>
      </c>
    </row>
    <row r="115" spans="2:26" ht="21" x14ac:dyDescent="0.3">
      <c r="B115" s="123"/>
      <c r="C115" s="123"/>
      <c r="D115" s="123"/>
      <c r="F115" s="73" t="s">
        <v>500</v>
      </c>
      <c r="G115" s="222" t="s">
        <v>501</v>
      </c>
      <c r="H115" s="214" t="s">
        <v>502</v>
      </c>
      <c r="I115" s="299" t="s">
        <v>76</v>
      </c>
      <c r="J115" s="85">
        <f>IF(I115="Brother",$C$6*Table46[[#This Row],[Seniority Dues]],IF(I115="EC",$C$7,IF(I115="Alumni",$C$8,IF(I115="Dropped",$C$11,IF(I115="President",$C$10,IF(I115="Inactive",$C$9,IF(Table46[[#This Row],[Type]]="New Member",$C$13,0)))))))</f>
        <v>624</v>
      </c>
      <c r="K115" s="85">
        <v>-124</v>
      </c>
      <c r="L115" s="132">
        <f>VLOOKUP(F115,Winter!$F$3:$T$159, 13,)</f>
        <v>200</v>
      </c>
      <c r="M115" s="316">
        <v>200</v>
      </c>
      <c r="N115" s="313">
        <v>500</v>
      </c>
      <c r="O115" s="309"/>
      <c r="P115" s="132"/>
      <c r="Q115" s="132">
        <f t="shared" si="12"/>
        <v>700</v>
      </c>
      <c r="R115" s="283">
        <f t="shared" si="13"/>
        <v>0</v>
      </c>
      <c r="S115" s="283">
        <f t="shared" si="14"/>
        <v>0</v>
      </c>
      <c r="T115" s="133">
        <f t="shared" si="15"/>
        <v>0</v>
      </c>
      <c r="U115" s="186"/>
      <c r="V115" s="187"/>
      <c r="W115" s="173"/>
      <c r="X115" s="134">
        <v>1</v>
      </c>
      <c r="Y115" s="135"/>
      <c r="Z115" s="134">
        <f>IF(Table46[[#This Row],[Year]]=1, 1.3, IF(Table46[[#This Row],[Year]]=2, 1.2, IF(Table46[[#This Row],[Year]]=3, 1, IF(Table46[[#This Row],[Year]]=4, 0.72917, IF(Table46[[#This Row],[Year]]=5, 0.6, 0)))))</f>
        <v>1.3</v>
      </c>
    </row>
    <row r="116" spans="2:26" ht="21" x14ac:dyDescent="0.3">
      <c r="B116" s="123"/>
      <c r="C116" s="123"/>
      <c r="D116" s="123"/>
      <c r="F116" s="73" t="s">
        <v>333</v>
      </c>
      <c r="G116" s="229" t="s">
        <v>334</v>
      </c>
      <c r="H116" s="297" t="s">
        <v>335</v>
      </c>
      <c r="I116" s="299" t="s">
        <v>72</v>
      </c>
      <c r="J116" s="85">
        <f>IF(I116="Brother",$C$6*Table46[[#This Row],[Seniority Dues]],IF(I116="EC",$C$7,IF(I116="Alumni",$C$8,IF(I116="Dropped",$C$11,IF(I116="President",$C$10,IF(I116="Inactive",$C$9,IF(Table46[[#This Row],[Type]]="New Member",$C$13,0)))))))</f>
        <v>200</v>
      </c>
      <c r="K116" s="85">
        <v>25</v>
      </c>
      <c r="L116" s="132">
        <f>VLOOKUP(F116,Winter!$F$3:$T$159, 13,)</f>
        <v>-3</v>
      </c>
      <c r="M116" s="316">
        <v>51.5</v>
      </c>
      <c r="N116" s="313">
        <v>101.5</v>
      </c>
      <c r="O116" s="309" t="s">
        <v>455</v>
      </c>
      <c r="P116" s="132"/>
      <c r="Q116" s="132">
        <f t="shared" si="12"/>
        <v>153</v>
      </c>
      <c r="R116" s="283">
        <f t="shared" si="13"/>
        <v>69</v>
      </c>
      <c r="S116" s="283">
        <f t="shared" si="14"/>
        <v>0</v>
      </c>
      <c r="T116" s="133">
        <f t="shared" si="15"/>
        <v>69</v>
      </c>
      <c r="U116" s="186"/>
      <c r="V116" s="187"/>
      <c r="W116" s="173"/>
      <c r="X116" s="219">
        <v>4</v>
      </c>
      <c r="Y116" s="135"/>
      <c r="Z116" s="134">
        <f>IF(Table46[[#This Row],[Year]]=1, 1.3, IF(Table46[[#This Row],[Year]]=2, 1.2, IF(Table46[[#This Row],[Year]]=3, 1, IF(Table46[[#This Row],[Year]]=4, 0.72917, IF(Table46[[#This Row],[Year]]=5, 0.6, 0)))))</f>
        <v>0.72916999999999998</v>
      </c>
    </row>
    <row r="117" spans="2:26" ht="21" x14ac:dyDescent="0.3">
      <c r="B117" s="123"/>
      <c r="C117" s="123"/>
      <c r="D117" s="123"/>
      <c r="F117" s="73" t="s">
        <v>463</v>
      </c>
      <c r="G117" s="229" t="s">
        <v>337</v>
      </c>
      <c r="H117" s="297" t="s">
        <v>464</v>
      </c>
      <c r="I117" s="299" t="s">
        <v>85</v>
      </c>
      <c r="J117" s="85">
        <f>IF(I117="Brother",$C$6*Table46[[#This Row],[Seniority Dues]],IF(I117="EC",$C$7,IF(I117="Alumni",$C$8,IF(I117="Dropped",$C$11,IF(I117="President",$C$10,IF(I117="Inactive",$C$9,IF(Table46[[#This Row],[Type]]="New Member",$C$13,0)))))))</f>
        <v>225</v>
      </c>
      <c r="K117" s="85"/>
      <c r="L117" s="132">
        <f>VLOOKUP(F117,Winter!$F$3:$T$159, 13,)</f>
        <v>0</v>
      </c>
      <c r="M117" s="316">
        <v>225</v>
      </c>
      <c r="N117" s="313"/>
      <c r="O117" s="309"/>
      <c r="P117" s="132"/>
      <c r="Q117" s="132">
        <f t="shared" si="12"/>
        <v>225</v>
      </c>
      <c r="R117" s="283">
        <f t="shared" si="13"/>
        <v>0</v>
      </c>
      <c r="S117" s="283">
        <f t="shared" si="14"/>
        <v>0</v>
      </c>
      <c r="T117" s="133">
        <f t="shared" si="15"/>
        <v>0</v>
      </c>
      <c r="U117" s="186"/>
      <c r="V117" s="187"/>
      <c r="W117" s="173"/>
      <c r="X117" s="220">
        <v>3</v>
      </c>
      <c r="Y117" s="135"/>
      <c r="Z117" s="134">
        <f>IF(Table46[[#This Row],[Year]]=1, 1.3, IF(Table46[[#This Row],[Year]]=2, 1.2, IF(Table46[[#This Row],[Year]]=3, 1, IF(Table46[[#This Row],[Year]]=4, 0.72917, IF(Table46[[#This Row],[Year]]=5, 0.6, 0)))))</f>
        <v>1</v>
      </c>
    </row>
    <row r="118" spans="2:26" ht="21" x14ac:dyDescent="0.3">
      <c r="B118" s="123"/>
      <c r="C118" s="123"/>
      <c r="D118" s="123"/>
      <c r="F118" s="73" t="s">
        <v>339</v>
      </c>
      <c r="G118" s="229" t="s">
        <v>340</v>
      </c>
      <c r="H118" s="297" t="s">
        <v>341</v>
      </c>
      <c r="I118" s="299" t="s">
        <v>72</v>
      </c>
      <c r="J118" s="85">
        <f>IF(I118="Brother",$C$6*Table46[[#This Row],[Seniority Dues]],IF(I118="EC",$C$7,IF(I118="Alumni",$C$8,IF(I118="Dropped",$C$11,IF(I118="President",$C$10,IF(I118="Inactive",$C$9,IF(Table46[[#This Row],[Type]]="New Member",$C$13,0)))))))</f>
        <v>200</v>
      </c>
      <c r="K118" s="85">
        <v>25</v>
      </c>
      <c r="L118" s="132">
        <f>VLOOKUP(F118,Winter!$F$3:$T$159, 13,)</f>
        <v>1.6000012692529708E-7</v>
      </c>
      <c r="M118" s="316">
        <v>150</v>
      </c>
      <c r="N118" s="313"/>
      <c r="O118" s="309"/>
      <c r="P118" s="132"/>
      <c r="Q118" s="132">
        <f t="shared" si="12"/>
        <v>150</v>
      </c>
      <c r="R118" s="283">
        <f t="shared" si="13"/>
        <v>75.000000160000127</v>
      </c>
      <c r="S118" s="283">
        <f t="shared" si="14"/>
        <v>0</v>
      </c>
      <c r="T118" s="133">
        <f t="shared" si="15"/>
        <v>75.000000160000127</v>
      </c>
      <c r="U118" s="186"/>
      <c r="V118" s="187"/>
      <c r="W118" s="173"/>
      <c r="X118" s="219">
        <v>4</v>
      </c>
      <c r="Y118" s="135"/>
      <c r="Z118" s="134">
        <f>IF(Table46[[#This Row],[Year]]=1, 1.3, IF(Table46[[#This Row],[Year]]=2, 1.2, IF(Table46[[#This Row],[Year]]=3, 1, IF(Table46[[#This Row],[Year]]=4, 0.72917, IF(Table46[[#This Row],[Year]]=5, 0.6, 0)))))</f>
        <v>0.72916999999999998</v>
      </c>
    </row>
    <row r="119" spans="2:26" ht="21" x14ac:dyDescent="0.3">
      <c r="B119" s="123"/>
      <c r="C119" s="123"/>
      <c r="D119" s="123"/>
      <c r="F119" s="73" t="s">
        <v>509</v>
      </c>
      <c r="G119" s="222" t="s">
        <v>510</v>
      </c>
      <c r="H119" s="214" t="s">
        <v>396</v>
      </c>
      <c r="I119" s="299" t="s">
        <v>76</v>
      </c>
      <c r="J119" s="85">
        <f>IF(I119="Brother",$C$6*Table46[[#This Row],[Seniority Dues]],IF(I119="EC",$C$7,IF(I119="Alumni",$C$8,IF(I119="Dropped",$C$11,IF(I119="President",$C$10,IF(I119="Inactive",$C$9,IF(Table46[[#This Row],[Type]]="New Member",$C$13,0)))))))</f>
        <v>624</v>
      </c>
      <c r="K119" s="85">
        <v>-124</v>
      </c>
      <c r="L119" s="132">
        <f>VLOOKUP(F119,Winter!$F$3:$T$159, 13,)</f>
        <v>0</v>
      </c>
      <c r="M119" s="316">
        <v>500</v>
      </c>
      <c r="N119" s="313"/>
      <c r="O119" s="309"/>
      <c r="P119" s="132"/>
      <c r="Q119" s="132">
        <f t="shared" si="12"/>
        <v>500</v>
      </c>
      <c r="R119" s="283">
        <f t="shared" si="13"/>
        <v>0</v>
      </c>
      <c r="S119" s="283">
        <f t="shared" si="14"/>
        <v>0</v>
      </c>
      <c r="T119" s="133">
        <f t="shared" si="15"/>
        <v>0</v>
      </c>
      <c r="U119" s="186"/>
      <c r="V119" s="187"/>
      <c r="W119" s="173"/>
      <c r="X119" s="134">
        <v>1</v>
      </c>
      <c r="Y119" s="135"/>
      <c r="Z119" s="134">
        <f>IF(Table46[[#This Row],[Year]]=1, 1.3, IF(Table46[[#This Row],[Year]]=2, 1.2, IF(Table46[[#This Row],[Year]]=3, 1, IF(Table46[[#This Row],[Year]]=4, 0.72917, IF(Table46[[#This Row],[Year]]=5, 0.6, 0)))))</f>
        <v>1.3</v>
      </c>
    </row>
    <row r="120" spans="2:26" ht="21" x14ac:dyDescent="0.3">
      <c r="B120" s="123"/>
      <c r="C120" s="123"/>
      <c r="D120" s="123"/>
      <c r="F120" s="73" t="s">
        <v>342</v>
      </c>
      <c r="G120" s="222" t="s">
        <v>343</v>
      </c>
      <c r="H120" s="214" t="s">
        <v>344</v>
      </c>
      <c r="I120" s="299" t="s">
        <v>76</v>
      </c>
      <c r="J120" s="85">
        <f>IF(I120="Brother",$C$6*Table46[[#This Row],[Seniority Dues]],IF(I120="EC",$C$7,IF(I120="Alumni",$C$8,IF(I120="Dropped",$C$11,IF(I120="President",$C$10,IF(I120="Inactive",$C$9,IF(Table46[[#This Row],[Type]]="New Member",$C$13,0)))))))</f>
        <v>576</v>
      </c>
      <c r="K120" s="85"/>
      <c r="L120" s="132">
        <f>VLOOKUP(F120,Winter!$F$3:$T$159, 13,)</f>
        <v>25</v>
      </c>
      <c r="M120" s="316">
        <v>601</v>
      </c>
      <c r="N120" s="313"/>
      <c r="O120" s="309"/>
      <c r="P120" s="132"/>
      <c r="Q120" s="132">
        <f t="shared" si="12"/>
        <v>601</v>
      </c>
      <c r="R120" s="283">
        <f t="shared" si="13"/>
        <v>0</v>
      </c>
      <c r="S120" s="283">
        <f t="shared" si="14"/>
        <v>0</v>
      </c>
      <c r="T120" s="133">
        <f t="shared" si="15"/>
        <v>0</v>
      </c>
      <c r="U120" s="186"/>
      <c r="V120" s="187"/>
      <c r="W120" s="173"/>
      <c r="X120" s="134">
        <v>2</v>
      </c>
      <c r="Y120" s="135"/>
      <c r="Z120" s="134">
        <f>IF(Table46[[#This Row],[Year]]=1, 1.3, IF(Table46[[#This Row],[Year]]=2, 1.2, IF(Table46[[#This Row],[Year]]=3, 1, IF(Table46[[#This Row],[Year]]=4, 0.72917, IF(Table46[[#This Row],[Year]]=5, 0.6, 0)))))</f>
        <v>1.2</v>
      </c>
    </row>
    <row r="121" spans="2:26" ht="21" x14ac:dyDescent="0.3">
      <c r="B121" s="123"/>
      <c r="C121" s="123"/>
      <c r="D121" s="123"/>
      <c r="F121" s="73" t="s">
        <v>345</v>
      </c>
      <c r="G121" s="229" t="s">
        <v>346</v>
      </c>
      <c r="H121" s="297" t="s">
        <v>347</v>
      </c>
      <c r="I121" s="299" t="s">
        <v>72</v>
      </c>
      <c r="J121" s="85">
        <f>IF(I121="Brother",$C$6*Table46[[#This Row],[Seniority Dues]],IF(I121="EC",$C$7,IF(I121="Alumni",$C$8,IF(I121="Dropped",$C$11,IF(I121="President",$C$10,IF(I121="Inactive",$C$9,IF(Table46[[#This Row],[Type]]="New Member",$C$13,0)))))))</f>
        <v>200</v>
      </c>
      <c r="K121" s="85"/>
      <c r="L121" s="132">
        <f>VLOOKUP(F121,Winter!$F$3:$T$159, 13,)</f>
        <v>0</v>
      </c>
      <c r="M121" s="316">
        <v>200</v>
      </c>
      <c r="N121" s="313"/>
      <c r="O121" s="309"/>
      <c r="P121" s="132"/>
      <c r="Q121" s="132">
        <f t="shared" si="12"/>
        <v>200</v>
      </c>
      <c r="R121" s="283">
        <f t="shared" si="13"/>
        <v>0</v>
      </c>
      <c r="S121" s="283">
        <f t="shared" si="14"/>
        <v>0</v>
      </c>
      <c r="T121" s="133">
        <f t="shared" si="15"/>
        <v>0</v>
      </c>
      <c r="U121" s="186"/>
      <c r="V121" s="187"/>
      <c r="W121" s="173"/>
      <c r="X121" s="219">
        <v>4</v>
      </c>
      <c r="Y121" s="135"/>
      <c r="Z121" s="134">
        <f>IF(Table46[[#This Row],[Year]]=1, 1.3, IF(Table46[[#This Row],[Year]]=2, 1.2, IF(Table46[[#This Row],[Year]]=3, 1, IF(Table46[[#This Row],[Year]]=4, 0.72917, IF(Table46[[#This Row],[Year]]=5, 0.6, 0)))))</f>
        <v>0.72916999999999998</v>
      </c>
    </row>
    <row r="122" spans="2:26" ht="21" x14ac:dyDescent="0.3">
      <c r="B122" s="123"/>
      <c r="C122" s="123"/>
      <c r="D122" s="123"/>
      <c r="F122" s="73" t="s">
        <v>348</v>
      </c>
      <c r="G122" s="229" t="s">
        <v>349</v>
      </c>
      <c r="H122" s="297" t="s">
        <v>243</v>
      </c>
      <c r="I122" s="299" t="s">
        <v>76</v>
      </c>
      <c r="J122" s="85">
        <f>IF(I122="Brother",$C$6*Table46[[#This Row],[Seniority Dues]],IF(I122="EC",$C$7,IF(I122="Alumni",$C$8,IF(I122="Dropped",$C$11,IF(I122="President",$C$10,IF(I122="Inactive",$C$9,IF(Table46[[#This Row],[Type]]="New Member",$C$13,0)))))))</f>
        <v>480</v>
      </c>
      <c r="K122" s="85"/>
      <c r="L122" s="132">
        <f>VLOOKUP(F122,Winter!$F$3:$T$159, 13,)</f>
        <v>0</v>
      </c>
      <c r="M122" s="316">
        <v>480</v>
      </c>
      <c r="N122" s="313"/>
      <c r="O122" s="309"/>
      <c r="P122" s="132"/>
      <c r="Q122" s="132">
        <f t="shared" si="12"/>
        <v>480</v>
      </c>
      <c r="R122" s="283">
        <f t="shared" si="13"/>
        <v>0</v>
      </c>
      <c r="S122" s="283">
        <f t="shared" ref="S122:S144" si="16">IF((J122+L122-M122+K122-N122)&lt;0,J122+L122-M122+K122-N122,0)</f>
        <v>0</v>
      </c>
      <c r="T122" s="133">
        <f t="shared" ref="T122:T144" si="17">IF((J122+L122-M122+K122-N122)&gt;0, J122+L122-M122+K122-N122, 0)</f>
        <v>0</v>
      </c>
      <c r="U122" s="186"/>
      <c r="V122" s="187"/>
      <c r="W122" s="173"/>
      <c r="X122" s="220">
        <v>3</v>
      </c>
      <c r="Y122" s="135"/>
      <c r="Z122" s="134">
        <f>IF(Table46[[#This Row],[Year]]=1, 1.3, IF(Table46[[#This Row],[Year]]=2, 1.2, IF(Table46[[#This Row],[Year]]=3, 1, IF(Table46[[#This Row],[Year]]=4, 0.72917, IF(Table46[[#This Row],[Year]]=5, 0.6, 0)))))</f>
        <v>1</v>
      </c>
    </row>
    <row r="123" spans="2:26" ht="21" x14ac:dyDescent="0.3">
      <c r="B123" s="123"/>
      <c r="C123" s="123"/>
      <c r="D123" s="123"/>
      <c r="F123" s="73" t="s">
        <v>350</v>
      </c>
      <c r="G123" s="229" t="s">
        <v>351</v>
      </c>
      <c r="H123" s="297" t="s">
        <v>352</v>
      </c>
      <c r="I123" s="299" t="s">
        <v>72</v>
      </c>
      <c r="J123" s="85">
        <f>IF(I123="Brother",$C$6*Table46[[#This Row],[Seniority Dues]],IF(I123="EC",$C$7,IF(I123="Alumni",$C$8,IF(I123="Dropped",$C$11,IF(I123="President",$C$10,IF(I123="Inactive",$C$9,IF(Table46[[#This Row],[Type]]="New Member",$C$13,0)))))))</f>
        <v>200</v>
      </c>
      <c r="K123" s="85"/>
      <c r="L123" s="132">
        <f>VLOOKUP(F123,Winter!$F$3:$T$159, 13,)</f>
        <v>0</v>
      </c>
      <c r="M123" s="316">
        <v>200</v>
      </c>
      <c r="N123" s="313"/>
      <c r="O123" s="309"/>
      <c r="P123" s="132"/>
      <c r="Q123" s="132">
        <f t="shared" si="12"/>
        <v>200</v>
      </c>
      <c r="R123" s="283">
        <f t="shared" si="13"/>
        <v>0</v>
      </c>
      <c r="S123" s="283">
        <f t="shared" si="16"/>
        <v>0</v>
      </c>
      <c r="T123" s="133">
        <f t="shared" si="17"/>
        <v>0</v>
      </c>
      <c r="U123" s="186"/>
      <c r="V123" s="187"/>
      <c r="W123" s="173"/>
      <c r="X123" s="219">
        <v>3</v>
      </c>
      <c r="Y123" s="135"/>
      <c r="Z123" s="134">
        <f>IF(Table46[[#This Row],[Year]]=1, 1.3, IF(Table46[[#This Row],[Year]]=2, 1.2, IF(Table46[[#This Row],[Year]]=3, 1, IF(Table46[[#This Row],[Year]]=4, 0.72917, IF(Table46[[#This Row],[Year]]=5, 0.6, 0)))))</f>
        <v>1</v>
      </c>
    </row>
    <row r="124" spans="2:26" ht="21" x14ac:dyDescent="0.3">
      <c r="B124" s="123"/>
      <c r="C124" s="123"/>
      <c r="D124" s="123"/>
      <c r="F124" s="73" t="s">
        <v>353</v>
      </c>
      <c r="G124" s="222" t="s">
        <v>354</v>
      </c>
      <c r="H124" s="214" t="s">
        <v>355</v>
      </c>
      <c r="I124" s="299" t="s">
        <v>76</v>
      </c>
      <c r="J124" s="85">
        <f>IF(I124="Brother",$C$6*Table46[[#This Row],[Seniority Dues]],IF(I124="EC",$C$7,IF(I124="Alumni",$C$8,IF(I124="Dropped",$C$11,IF(I124="President",$C$10,IF(I124="Inactive",$C$9,IF(Table46[[#This Row],[Type]]="New Member",$C$13,0)))))))</f>
        <v>576</v>
      </c>
      <c r="K124" s="85"/>
      <c r="L124" s="132">
        <f>VLOOKUP(F124,Winter!$F$3:$T$159, 13,)</f>
        <v>-25</v>
      </c>
      <c r="M124" s="316">
        <v>551</v>
      </c>
      <c r="N124" s="313"/>
      <c r="O124" s="309"/>
      <c r="P124" s="132"/>
      <c r="Q124" s="132">
        <f t="shared" si="12"/>
        <v>551</v>
      </c>
      <c r="R124" s="283">
        <f t="shared" si="13"/>
        <v>0</v>
      </c>
      <c r="S124" s="283">
        <f t="shared" si="16"/>
        <v>0</v>
      </c>
      <c r="T124" s="133">
        <f t="shared" si="17"/>
        <v>0</v>
      </c>
      <c r="U124" s="186"/>
      <c r="V124" s="187"/>
      <c r="W124" s="173"/>
      <c r="X124" s="134">
        <v>2</v>
      </c>
      <c r="Y124" s="135"/>
      <c r="Z124" s="134">
        <f>IF(Table46[[#This Row],[Year]]=1, 1.3, IF(Table46[[#This Row],[Year]]=2, 1.2, IF(Table46[[#This Row],[Year]]=3, 1, IF(Table46[[#This Row],[Year]]=4, 0.72917, IF(Table46[[#This Row],[Year]]=5, 0.6, 0)))))</f>
        <v>1.2</v>
      </c>
    </row>
    <row r="125" spans="2:26" ht="21" x14ac:dyDescent="0.3">
      <c r="B125" s="123"/>
      <c r="C125" s="123"/>
      <c r="D125" s="123"/>
      <c r="F125" s="73" t="s">
        <v>356</v>
      </c>
      <c r="G125" s="229" t="s">
        <v>357</v>
      </c>
      <c r="H125" s="297" t="s">
        <v>358</v>
      </c>
      <c r="I125" s="299" t="s">
        <v>100</v>
      </c>
      <c r="J125" s="85">
        <f>IF(I125="Brother",$C$6*Table46[[#This Row],[Seniority Dues]],IF(I125="EC",$C$7,IF(I125="Alumni",$C$8,IF(I125="Dropped",$C$11,IF(I125="President",$C$10,IF(I125="Inactive",$C$9,IF(Table46[[#This Row],[Type]]="New Member",$C$13,0)))))))</f>
        <v>0</v>
      </c>
      <c r="K125" s="85"/>
      <c r="L125" s="132">
        <f>VLOOKUP(F125,Winter!$F$3:$T$159, 13,)</f>
        <v>0</v>
      </c>
      <c r="M125" s="316"/>
      <c r="N125" s="313"/>
      <c r="O125" s="309"/>
      <c r="P125" s="132"/>
      <c r="Q125" s="132">
        <f t="shared" si="12"/>
        <v>0</v>
      </c>
      <c r="R125" s="283">
        <f t="shared" si="13"/>
        <v>0</v>
      </c>
      <c r="S125" s="283">
        <f t="shared" si="16"/>
        <v>0</v>
      </c>
      <c r="T125" s="133">
        <f t="shared" si="17"/>
        <v>0</v>
      </c>
      <c r="U125" s="186"/>
      <c r="V125" s="187"/>
      <c r="W125" s="173"/>
      <c r="X125" s="219">
        <v>4</v>
      </c>
      <c r="Y125" s="135"/>
      <c r="Z125" s="134">
        <f>IF(Table46[[#This Row],[Year]]=1, 1.3, IF(Table46[[#This Row],[Year]]=2, 1.2, IF(Table46[[#This Row],[Year]]=3, 1, IF(Table46[[#This Row],[Year]]=4, 0.72917, IF(Table46[[#This Row],[Year]]=5, 0.6, 0)))))</f>
        <v>0.72916999999999998</v>
      </c>
    </row>
    <row r="126" spans="2:26" ht="21" x14ac:dyDescent="0.3">
      <c r="B126" s="123"/>
      <c r="C126" s="123"/>
      <c r="D126" s="123"/>
      <c r="F126" s="73" t="s">
        <v>511</v>
      </c>
      <c r="G126" s="222" t="s">
        <v>512</v>
      </c>
      <c r="H126" s="214" t="s">
        <v>513</v>
      </c>
      <c r="I126" s="299" t="s">
        <v>76</v>
      </c>
      <c r="J126" s="85">
        <f>IF(I126="Brother",$C$6*Table46[[#This Row],[Seniority Dues]],IF(I126="EC",$C$7,IF(I126="Alumni",$C$8,IF(I126="Dropped",$C$11,IF(I126="President",$C$10,IF(I126="Inactive",$C$9,IF(Table46[[#This Row],[Type]]="New Member",$C$13,0)))))))</f>
        <v>624</v>
      </c>
      <c r="K126" s="85">
        <v>-124</v>
      </c>
      <c r="L126" s="132">
        <f>VLOOKUP(F126,Winter!$F$3:$T$159, 13,)</f>
        <v>200</v>
      </c>
      <c r="M126" s="316">
        <v>200</v>
      </c>
      <c r="N126" s="313">
        <v>500</v>
      </c>
      <c r="O126" s="309"/>
      <c r="P126" s="132"/>
      <c r="Q126" s="132">
        <f t="shared" si="12"/>
        <v>700</v>
      </c>
      <c r="R126" s="283">
        <f t="shared" si="13"/>
        <v>0</v>
      </c>
      <c r="S126" s="283">
        <f t="shared" si="16"/>
        <v>0</v>
      </c>
      <c r="T126" s="133">
        <f t="shared" si="17"/>
        <v>0</v>
      </c>
      <c r="U126" s="186"/>
      <c r="V126" s="187"/>
      <c r="W126" s="173"/>
      <c r="X126" s="134">
        <v>1</v>
      </c>
      <c r="Y126" s="135"/>
      <c r="Z126" s="134">
        <f>IF(Table46[[#This Row],[Year]]=1, 1.3, IF(Table46[[#This Row],[Year]]=2, 1.2, IF(Table46[[#This Row],[Year]]=3, 1, IF(Table46[[#This Row],[Year]]=4, 0.72917, IF(Table46[[#This Row],[Year]]=5, 0.6, 0)))))</f>
        <v>1.3</v>
      </c>
    </row>
    <row r="127" spans="2:26" ht="21" x14ac:dyDescent="0.3">
      <c r="B127" s="123"/>
      <c r="C127" s="123"/>
      <c r="D127" s="123"/>
      <c r="F127" s="73" t="s">
        <v>359</v>
      </c>
      <c r="G127" s="229" t="s">
        <v>360</v>
      </c>
      <c r="H127" s="297" t="s">
        <v>190</v>
      </c>
      <c r="I127" s="299" t="s">
        <v>72</v>
      </c>
      <c r="J127" s="85">
        <f>IF(I127="Brother",$C$6*Table46[[#This Row],[Seniority Dues]],IF(I127="EC",$C$7,IF(I127="Alumni",$C$8,IF(I127="Dropped",$C$11,IF(I127="President",$C$10,IF(I127="Inactive",$C$9,IF(Table46[[#This Row],[Type]]="New Member",$C$13,0)))))))</f>
        <v>200</v>
      </c>
      <c r="K127" s="85">
        <v>25</v>
      </c>
      <c r="L127" s="132">
        <f>VLOOKUP(F127,Winter!$F$3:$T$159, 13,)</f>
        <v>1.6000001323845936E-7</v>
      </c>
      <c r="M127" s="316">
        <v>225</v>
      </c>
      <c r="N127" s="313"/>
      <c r="O127" s="309"/>
      <c r="P127" s="132"/>
      <c r="Q127" s="132">
        <f t="shared" si="12"/>
        <v>225</v>
      </c>
      <c r="R127" s="283">
        <f t="shared" si="13"/>
        <v>1.6000001323845936E-7</v>
      </c>
      <c r="S127" s="283">
        <f t="shared" si="16"/>
        <v>0</v>
      </c>
      <c r="T127" s="133">
        <f t="shared" si="17"/>
        <v>1.6000001323845936E-7</v>
      </c>
      <c r="U127" s="186"/>
      <c r="V127" s="187"/>
      <c r="W127" s="173"/>
      <c r="X127" s="219">
        <v>4</v>
      </c>
      <c r="Y127" s="135"/>
      <c r="Z127" s="134">
        <f>IF(Table46[[#This Row],[Year]]=1, 1.3, IF(Table46[[#This Row],[Year]]=2, 1.2, IF(Table46[[#This Row],[Year]]=3, 1, IF(Table46[[#This Row],[Year]]=4, 0.72917, IF(Table46[[#This Row],[Year]]=5, 0.6, 0)))))</f>
        <v>0.72916999999999998</v>
      </c>
    </row>
    <row r="128" spans="2:26" ht="21" x14ac:dyDescent="0.3">
      <c r="B128" s="123"/>
      <c r="C128" s="123"/>
      <c r="D128" s="123"/>
      <c r="F128" s="73" t="s">
        <v>361</v>
      </c>
      <c r="G128" s="229" t="s">
        <v>362</v>
      </c>
      <c r="H128" s="297" t="s">
        <v>363</v>
      </c>
      <c r="I128" s="299" t="s">
        <v>89</v>
      </c>
      <c r="J128" s="85">
        <f>IF(I128="Brother",$C$6*Table46[[#This Row],[Seniority Dues]],IF(I128="EC",$C$7,IF(I128="Alumni",$C$8,IF(I128="Dropped",$C$11,IF(I128="President",$C$10,IF(I128="Inactive",$C$9,IF(Table46[[#This Row],[Type]]="New Member",$C$13,0)))))))</f>
        <v>0</v>
      </c>
      <c r="K128" s="85"/>
      <c r="L128" s="132">
        <f>VLOOKUP(F128,Winter!$F$3:$T$159, 13,)</f>
        <v>1.6000001323845936E-7</v>
      </c>
      <c r="M128" s="316"/>
      <c r="N128" s="313"/>
      <c r="O128" s="309"/>
      <c r="P128" s="132"/>
      <c r="Q128" s="132">
        <f t="shared" ref="Q128:Q144" si="18">M128+N128</f>
        <v>0</v>
      </c>
      <c r="R128" s="283">
        <f t="shared" ref="R128:R144" si="19">J128+K128+L128-M128-N128</f>
        <v>1.6000001323845936E-7</v>
      </c>
      <c r="S128" s="283">
        <f t="shared" si="16"/>
        <v>0</v>
      </c>
      <c r="T128" s="133">
        <f t="shared" si="17"/>
        <v>1.6000001323845936E-7</v>
      </c>
      <c r="U128" s="186"/>
      <c r="V128" s="187"/>
      <c r="W128" s="173"/>
      <c r="X128" s="220">
        <v>4</v>
      </c>
      <c r="Y128" s="135"/>
      <c r="Z128" s="134">
        <f>IF(Table46[[#This Row],[Year]]=1, 1.3, IF(Table46[[#This Row],[Year]]=2, 1.2, IF(Table46[[#This Row],[Year]]=3, 1, IF(Table46[[#This Row],[Year]]=4, 0.72917, IF(Table46[[#This Row],[Year]]=5, 0.6, 0)))))</f>
        <v>0.72916999999999998</v>
      </c>
    </row>
    <row r="129" spans="2:26" ht="21" x14ac:dyDescent="0.3">
      <c r="B129" s="123"/>
      <c r="C129" s="123"/>
      <c r="D129" s="123"/>
      <c r="F129" s="73" t="s">
        <v>364</v>
      </c>
      <c r="G129" s="229" t="s">
        <v>365</v>
      </c>
      <c r="H129" s="297" t="s">
        <v>366</v>
      </c>
      <c r="I129" s="299" t="s">
        <v>72</v>
      </c>
      <c r="J129" s="85">
        <f>IF(I129="Brother",$C$6*Table46[[#This Row],[Seniority Dues]],IF(I129="EC",$C$7,IF(I129="Alumni",$C$8,IF(I129="Dropped",$C$11,IF(I129="President",$C$10,IF(I129="Inactive",$C$9,IF(Table46[[#This Row],[Type]]="New Member",$C$13,0)))))))</f>
        <v>200</v>
      </c>
      <c r="K129" s="85"/>
      <c r="L129" s="132">
        <f>VLOOKUP(F129,Winter!$F$3:$T$159, 13,)</f>
        <v>0</v>
      </c>
      <c r="M129" s="316">
        <v>200</v>
      </c>
      <c r="N129" s="313"/>
      <c r="O129" s="309"/>
      <c r="P129" s="132"/>
      <c r="Q129" s="132">
        <f t="shared" si="18"/>
        <v>200</v>
      </c>
      <c r="R129" s="283">
        <f t="shared" si="19"/>
        <v>0</v>
      </c>
      <c r="S129" s="283">
        <f t="shared" si="16"/>
        <v>0</v>
      </c>
      <c r="T129" s="133">
        <f t="shared" si="17"/>
        <v>0</v>
      </c>
      <c r="U129" s="186"/>
      <c r="V129" s="187"/>
      <c r="W129" s="173"/>
      <c r="X129" s="219">
        <v>4</v>
      </c>
      <c r="Y129" s="135"/>
      <c r="Z129" s="134">
        <f>IF(Table46[[#This Row],[Year]]=1, 1.3, IF(Table46[[#This Row],[Year]]=2, 1.2, IF(Table46[[#This Row],[Year]]=3, 1, IF(Table46[[#This Row],[Year]]=4, 0.72917, IF(Table46[[#This Row],[Year]]=5, 0.6, 0)))))</f>
        <v>0.72916999999999998</v>
      </c>
    </row>
    <row r="130" spans="2:26" ht="21" x14ac:dyDescent="0.3">
      <c r="B130" s="123"/>
      <c r="C130" s="123"/>
      <c r="D130" s="123"/>
      <c r="F130" s="73" t="s">
        <v>367</v>
      </c>
      <c r="G130" s="229" t="s">
        <v>368</v>
      </c>
      <c r="H130" s="297" t="s">
        <v>369</v>
      </c>
      <c r="I130" s="299" t="s">
        <v>76</v>
      </c>
      <c r="J130" s="85">
        <f>IF(I130="Brother",$C$6*Table46[[#This Row],[Seniority Dues]],IF(I130="EC",$C$7,IF(I130="Alumni",$C$8,IF(I130="Dropped",$C$11,IF(I130="President",$C$10,IF(I130="Inactive",$C$9,IF(Table46[[#This Row],[Type]]="New Member",$C$13,0)))))))</f>
        <v>480</v>
      </c>
      <c r="K130" s="85"/>
      <c r="L130" s="132">
        <f>VLOOKUP(F130,Winter!$F$3:$T$159, 13,)</f>
        <v>0</v>
      </c>
      <c r="M130" s="316">
        <v>480</v>
      </c>
      <c r="N130" s="313"/>
      <c r="O130" s="309"/>
      <c r="P130" s="132"/>
      <c r="Q130" s="132">
        <f t="shared" si="18"/>
        <v>480</v>
      </c>
      <c r="R130" s="283">
        <f t="shared" si="19"/>
        <v>0</v>
      </c>
      <c r="S130" s="283">
        <f t="shared" si="16"/>
        <v>0</v>
      </c>
      <c r="T130" s="133">
        <f t="shared" si="17"/>
        <v>0</v>
      </c>
      <c r="U130" s="186"/>
      <c r="V130" s="187"/>
      <c r="W130" s="173"/>
      <c r="X130" s="220">
        <v>3</v>
      </c>
      <c r="Y130" s="135"/>
      <c r="Z130" s="134">
        <f>IF(Table46[[#This Row],[Year]]=1, 1.3, IF(Table46[[#This Row],[Year]]=2, 1.2, IF(Table46[[#This Row],[Year]]=3, 1, IF(Table46[[#This Row],[Year]]=4, 0.72917, IF(Table46[[#This Row],[Year]]=5, 0.6, 0)))))</f>
        <v>1</v>
      </c>
    </row>
    <row r="131" spans="2:26" ht="21" x14ac:dyDescent="0.3">
      <c r="B131" s="123"/>
      <c r="C131" s="123"/>
      <c r="D131" s="123"/>
      <c r="F131" s="73" t="s">
        <v>439</v>
      </c>
      <c r="G131" s="222" t="s">
        <v>440</v>
      </c>
      <c r="H131" s="214" t="s">
        <v>441</v>
      </c>
      <c r="I131" s="299" t="s">
        <v>76</v>
      </c>
      <c r="J131" s="85">
        <f>IF(I131="Brother",$C$6*Table46[[#This Row],[Seniority Dues]],IF(I131="EC",$C$7,IF(I131="Alumni",$C$8,IF(I131="Dropped",$C$11,IF(I131="President",$C$10,IF(I131="Inactive",$C$9,IF(Table46[[#This Row],[Type]]="New Member",$C$13,0)))))))</f>
        <v>624</v>
      </c>
      <c r="K131" s="85"/>
      <c r="L131" s="132">
        <f>VLOOKUP(F131,Winter!$F$3:$T$159, 13,)</f>
        <v>0</v>
      </c>
      <c r="M131" s="316">
        <v>624</v>
      </c>
      <c r="N131" s="313"/>
      <c r="O131" s="309"/>
      <c r="P131" s="132"/>
      <c r="Q131" s="132">
        <f t="shared" si="18"/>
        <v>624</v>
      </c>
      <c r="R131" s="283">
        <f t="shared" si="19"/>
        <v>0</v>
      </c>
      <c r="S131" s="283">
        <f t="shared" si="16"/>
        <v>0</v>
      </c>
      <c r="T131" s="133">
        <f t="shared" si="17"/>
        <v>0</v>
      </c>
      <c r="U131" s="186"/>
      <c r="V131" s="187"/>
      <c r="W131" s="173"/>
      <c r="X131" s="134">
        <v>1</v>
      </c>
      <c r="Y131" s="135"/>
      <c r="Z131" s="134">
        <f>IF(Table46[[#This Row],[Year]]=1, 1.3, IF(Table46[[#This Row],[Year]]=2, 1.2, IF(Table46[[#This Row],[Year]]=3, 1, IF(Table46[[#This Row],[Year]]=4, 0.72917, IF(Table46[[#This Row],[Year]]=5, 0.6, 0)))))</f>
        <v>1.3</v>
      </c>
    </row>
    <row r="132" spans="2:26" ht="21" x14ac:dyDescent="0.3">
      <c r="B132" s="123"/>
      <c r="C132" s="123"/>
      <c r="D132" s="123"/>
      <c r="F132" s="73" t="s">
        <v>370</v>
      </c>
      <c r="G132" s="229" t="s">
        <v>371</v>
      </c>
      <c r="H132" s="297" t="s">
        <v>372</v>
      </c>
      <c r="I132" s="299" t="s">
        <v>76</v>
      </c>
      <c r="J132" s="85">
        <f>IF(I132="Brother",$C$6*Table46[[#This Row],[Seniority Dues]],IF(I132="EC",$C$7,IF(I132="Alumni",$C$8,IF(I132="Dropped",$C$11,IF(I132="President",$C$10,IF(I132="Inactive",$C$9,IF(Table46[[#This Row],[Type]]="New Member",$C$13,0)))))))</f>
        <v>480</v>
      </c>
      <c r="K132" s="85"/>
      <c r="L132" s="132">
        <f>VLOOKUP(F132,Winter!$F$3:$T$159, 13,)</f>
        <v>0</v>
      </c>
      <c r="M132" s="316">
        <v>480</v>
      </c>
      <c r="N132" s="313"/>
      <c r="O132" s="309"/>
      <c r="P132" s="132"/>
      <c r="Q132" s="132">
        <f t="shared" si="18"/>
        <v>480</v>
      </c>
      <c r="R132" s="283">
        <f t="shared" si="19"/>
        <v>0</v>
      </c>
      <c r="S132" s="283">
        <f t="shared" si="16"/>
        <v>0</v>
      </c>
      <c r="T132" s="133">
        <f t="shared" si="17"/>
        <v>0</v>
      </c>
      <c r="U132" s="186"/>
      <c r="V132" s="187"/>
      <c r="W132" s="173"/>
      <c r="X132" s="219">
        <v>3</v>
      </c>
      <c r="Y132" s="135"/>
      <c r="Z132" s="134">
        <f>IF(Table46[[#This Row],[Year]]=1, 1.3, IF(Table46[[#This Row],[Year]]=2, 1.2, IF(Table46[[#This Row],[Year]]=3, 1, IF(Table46[[#This Row],[Year]]=4, 0.72917, IF(Table46[[#This Row],[Year]]=5, 0.6, 0)))))</f>
        <v>1</v>
      </c>
    </row>
    <row r="133" spans="2:26" ht="21" x14ac:dyDescent="0.3">
      <c r="B133" s="123"/>
      <c r="C133" s="123"/>
      <c r="D133" s="123"/>
      <c r="F133" s="73" t="s">
        <v>373</v>
      </c>
      <c r="G133" s="222" t="s">
        <v>374</v>
      </c>
      <c r="H133" s="214" t="s">
        <v>375</v>
      </c>
      <c r="I133" s="299" t="s">
        <v>76</v>
      </c>
      <c r="J133" s="85">
        <f>IF(I133="Brother",$C$6*Table46[[#This Row],[Seniority Dues]],IF(I133="EC",$C$7,IF(I133="Alumni",$C$8,IF(I133="Dropped",$C$11,IF(I133="President",$C$10,IF(I133="Inactive",$C$9,IF(Table46[[#This Row],[Type]]="New Member",$C$13,0)))))))</f>
        <v>576</v>
      </c>
      <c r="K133" s="85"/>
      <c r="L133" s="132">
        <f>VLOOKUP(F133,Winter!$F$3:$T$159, 13,)</f>
        <v>0</v>
      </c>
      <c r="M133" s="316">
        <v>576</v>
      </c>
      <c r="N133" s="313"/>
      <c r="O133" s="309"/>
      <c r="P133" s="132"/>
      <c r="Q133" s="132">
        <f t="shared" si="18"/>
        <v>576</v>
      </c>
      <c r="R133" s="283">
        <f t="shared" si="19"/>
        <v>0</v>
      </c>
      <c r="S133" s="283">
        <f t="shared" si="16"/>
        <v>0</v>
      </c>
      <c r="T133" s="133">
        <f t="shared" si="17"/>
        <v>0</v>
      </c>
      <c r="U133" s="186"/>
      <c r="V133" s="187"/>
      <c r="W133" s="173"/>
      <c r="X133" s="134">
        <v>2</v>
      </c>
      <c r="Y133" s="135"/>
      <c r="Z133" s="134">
        <f>IF(Table46[[#This Row],[Year]]=1, 1.3, IF(Table46[[#This Row],[Year]]=2, 1.2, IF(Table46[[#This Row],[Year]]=3, 1, IF(Table46[[#This Row],[Year]]=4, 0.72917, IF(Table46[[#This Row],[Year]]=5, 0.6, 0)))))</f>
        <v>1.2</v>
      </c>
    </row>
    <row r="134" spans="2:26" ht="21" x14ac:dyDescent="0.3">
      <c r="B134" s="123"/>
      <c r="C134" s="123"/>
      <c r="D134" s="123"/>
      <c r="F134" s="73" t="s">
        <v>442</v>
      </c>
      <c r="G134" s="222" t="s">
        <v>443</v>
      </c>
      <c r="H134" s="214" t="s">
        <v>444</v>
      </c>
      <c r="I134" s="299" t="s">
        <v>76</v>
      </c>
      <c r="J134" s="85">
        <f>IF(I134="Brother",$C$6*Table46[[#This Row],[Seniority Dues]],IF(I134="EC",$C$7,IF(I134="Alumni",$C$8,IF(I134="Dropped",$C$11,IF(I134="President",$C$10,IF(I134="Inactive",$C$9,IF(Table46[[#This Row],[Type]]="New Member",$C$13,0)))))))</f>
        <v>624</v>
      </c>
      <c r="K134" s="85"/>
      <c r="L134" s="132">
        <f>VLOOKUP(F134,Winter!$F$3:$T$159, 13,)</f>
        <v>0</v>
      </c>
      <c r="M134" s="316">
        <v>624</v>
      </c>
      <c r="N134" s="313"/>
      <c r="O134" s="309"/>
      <c r="P134" s="132"/>
      <c r="Q134" s="132">
        <f t="shared" si="18"/>
        <v>624</v>
      </c>
      <c r="R134" s="283">
        <f t="shared" si="19"/>
        <v>0</v>
      </c>
      <c r="S134" s="283">
        <f t="shared" si="16"/>
        <v>0</v>
      </c>
      <c r="T134" s="133">
        <f t="shared" si="17"/>
        <v>0</v>
      </c>
      <c r="U134" s="186"/>
      <c r="V134" s="187"/>
      <c r="W134" s="173"/>
      <c r="X134" s="134">
        <v>1</v>
      </c>
      <c r="Y134" s="135"/>
      <c r="Z134" s="134">
        <f>IF(Table46[[#This Row],[Year]]=1, 1.3, IF(Table46[[#This Row],[Year]]=2, 1.2, IF(Table46[[#This Row],[Year]]=3, 1, IF(Table46[[#This Row],[Year]]=4, 0.72917, IF(Table46[[#This Row],[Year]]=5, 0.6, 0)))))</f>
        <v>1.3</v>
      </c>
    </row>
    <row r="135" spans="2:26" ht="21" x14ac:dyDescent="0.3">
      <c r="B135" s="123"/>
      <c r="C135" s="123"/>
      <c r="D135" s="123"/>
      <c r="F135" s="73" t="s">
        <v>376</v>
      </c>
      <c r="G135" s="229" t="s">
        <v>377</v>
      </c>
      <c r="H135" s="297" t="s">
        <v>151</v>
      </c>
      <c r="I135" s="299" t="s">
        <v>72</v>
      </c>
      <c r="J135" s="85">
        <f>IF(I135="Brother",$C$6*Table46[[#This Row],[Seniority Dues]],IF(I135="EC",$C$7,IF(I135="Alumni",$C$8,IF(I135="Dropped",$C$11,IF(I135="President",$C$10,IF(I135="Inactive",$C$9,IF(Table46[[#This Row],[Type]]="New Member",$C$13,0)))))))</f>
        <v>200</v>
      </c>
      <c r="K135" s="85"/>
      <c r="L135" s="132">
        <f>VLOOKUP(F135,Winter!$F$3:$T$159, 13,)</f>
        <v>200</v>
      </c>
      <c r="M135" s="316">
        <v>400</v>
      </c>
      <c r="N135" s="313"/>
      <c r="O135" s="309"/>
      <c r="P135" s="132"/>
      <c r="Q135" s="132">
        <f t="shared" si="18"/>
        <v>400</v>
      </c>
      <c r="R135" s="283">
        <f t="shared" si="19"/>
        <v>0</v>
      </c>
      <c r="S135" s="283">
        <f t="shared" si="16"/>
        <v>0</v>
      </c>
      <c r="T135" s="133">
        <f t="shared" si="17"/>
        <v>0</v>
      </c>
      <c r="U135" s="186"/>
      <c r="V135" s="187"/>
      <c r="W135" s="173"/>
      <c r="X135" s="220">
        <v>3</v>
      </c>
      <c r="Y135" s="135"/>
      <c r="Z135" s="134">
        <f>IF(Table46[[#This Row],[Year]]=1, 1.3, IF(Table46[[#This Row],[Year]]=2, 1.2, IF(Table46[[#This Row],[Year]]=3, 1, IF(Table46[[#This Row],[Year]]=4, 0.72917, IF(Table46[[#This Row],[Year]]=5, 0.6, 0)))))</f>
        <v>1</v>
      </c>
    </row>
    <row r="136" spans="2:26" ht="21" x14ac:dyDescent="0.3">
      <c r="B136" s="123"/>
      <c r="C136" s="123"/>
      <c r="D136" s="123"/>
      <c r="F136" s="73" t="s">
        <v>378</v>
      </c>
      <c r="G136" s="222" t="s">
        <v>379</v>
      </c>
      <c r="H136" s="214" t="s">
        <v>88</v>
      </c>
      <c r="I136" s="299" t="s">
        <v>76</v>
      </c>
      <c r="J136" s="85">
        <f>IF(I136="Brother",$C$6*Table46[[#This Row],[Seniority Dues]],IF(I136="EC",$C$7,IF(I136="Alumni",$C$8,IF(I136="Dropped",$C$11,IF(I136="President",$C$10,IF(I136="Inactive",$C$9,IF(Table46[[#This Row],[Type]]="New Member",$C$13,0)))))))</f>
        <v>576</v>
      </c>
      <c r="K136" s="85"/>
      <c r="L136" s="132">
        <f>VLOOKUP(F136,Winter!$F$3:$T$159, 13,)</f>
        <v>0</v>
      </c>
      <c r="M136" s="316">
        <v>576</v>
      </c>
      <c r="N136" s="313"/>
      <c r="O136" s="309"/>
      <c r="P136" s="132"/>
      <c r="Q136" s="132">
        <f t="shared" si="18"/>
        <v>576</v>
      </c>
      <c r="R136" s="283">
        <f t="shared" si="19"/>
        <v>0</v>
      </c>
      <c r="S136" s="283">
        <f t="shared" si="16"/>
        <v>0</v>
      </c>
      <c r="T136" s="133">
        <f t="shared" si="17"/>
        <v>0</v>
      </c>
      <c r="U136" s="186"/>
      <c r="V136" s="187"/>
      <c r="W136" s="173"/>
      <c r="X136" s="134">
        <v>2</v>
      </c>
      <c r="Y136" s="135"/>
      <c r="Z136" s="134">
        <f>IF(Table46[[#This Row],[Year]]=1, 1.3, IF(Table46[[#This Row],[Year]]=2, 1.2, IF(Table46[[#This Row],[Year]]=3, 1, IF(Table46[[#This Row],[Year]]=4, 0.72917, IF(Table46[[#This Row],[Year]]=5, 0.6, 0)))))</f>
        <v>1.2</v>
      </c>
    </row>
    <row r="137" spans="2:26" ht="21" x14ac:dyDescent="0.3">
      <c r="B137" s="123"/>
      <c r="C137" s="123"/>
      <c r="D137" s="123"/>
      <c r="F137" s="73" t="s">
        <v>380</v>
      </c>
      <c r="G137" s="229" t="s">
        <v>381</v>
      </c>
      <c r="H137" s="297" t="s">
        <v>243</v>
      </c>
      <c r="I137" s="299" t="s">
        <v>76</v>
      </c>
      <c r="J137" s="85">
        <f>IF(I137="Brother",$C$6*Table46[[#This Row],[Seniority Dues]],IF(I137="EC",$C$7,IF(I137="Alumni",$C$8,IF(I137="Dropped",$C$11,IF(I137="President",$C$10,IF(I137="Inactive",$C$9,IF(Table46[[#This Row],[Type]]="New Member",$C$13,0)))))))</f>
        <v>480</v>
      </c>
      <c r="K137" s="85"/>
      <c r="L137" s="132">
        <f>VLOOKUP(F137,Winter!$F$3:$T$159, 13,)</f>
        <v>0</v>
      </c>
      <c r="M137" s="316">
        <v>481.5</v>
      </c>
      <c r="N137" s="313"/>
      <c r="O137" s="309"/>
      <c r="P137" s="132"/>
      <c r="Q137" s="132">
        <f t="shared" si="18"/>
        <v>481.5</v>
      </c>
      <c r="R137" s="283">
        <f t="shared" si="19"/>
        <v>-1.5</v>
      </c>
      <c r="S137" s="283">
        <f t="shared" si="16"/>
        <v>-1.5</v>
      </c>
      <c r="T137" s="133">
        <f t="shared" si="17"/>
        <v>0</v>
      </c>
      <c r="U137" s="186"/>
      <c r="V137" s="187"/>
      <c r="W137" s="173"/>
      <c r="X137" s="219">
        <v>3</v>
      </c>
      <c r="Y137" s="135"/>
      <c r="Z137" s="134">
        <f>IF(Table46[[#This Row],[Year]]=1, 1.3, IF(Table46[[#This Row],[Year]]=2, 1.2, IF(Table46[[#This Row],[Year]]=3, 1, IF(Table46[[#This Row],[Year]]=4, 0.72917, IF(Table46[[#This Row],[Year]]=5, 0.6, 0)))))</f>
        <v>1</v>
      </c>
    </row>
    <row r="138" spans="2:26" ht="21" x14ac:dyDescent="0.3">
      <c r="B138" s="123"/>
      <c r="C138" s="123"/>
      <c r="D138" s="123"/>
      <c r="F138" s="73" t="s">
        <v>514</v>
      </c>
      <c r="G138" s="222" t="s">
        <v>515</v>
      </c>
      <c r="H138" s="214" t="s">
        <v>516</v>
      </c>
      <c r="I138" s="299" t="s">
        <v>76</v>
      </c>
      <c r="J138" s="85">
        <f>IF(I138="Brother",$C$6*Table46[[#This Row],[Seniority Dues]],IF(I138="EC",$C$7,IF(I138="Alumni",$C$8,IF(I138="Dropped",$C$11,IF(I138="President",$C$10,IF(I138="Inactive",$C$9,IF(Table46[[#This Row],[Type]]="New Member",$C$13,0)))))))</f>
        <v>624</v>
      </c>
      <c r="K138" s="85">
        <v>-124</v>
      </c>
      <c r="L138" s="132">
        <f>VLOOKUP(F138,Winter!$F$3:$T$159, 13,)</f>
        <v>0</v>
      </c>
      <c r="M138" s="316">
        <v>500</v>
      </c>
      <c r="N138" s="313"/>
      <c r="O138" s="309"/>
      <c r="P138" s="132"/>
      <c r="Q138" s="132">
        <f t="shared" si="18"/>
        <v>500</v>
      </c>
      <c r="R138" s="283">
        <f t="shared" si="19"/>
        <v>0</v>
      </c>
      <c r="S138" s="283">
        <f t="shared" si="16"/>
        <v>0</v>
      </c>
      <c r="T138" s="133">
        <f t="shared" si="17"/>
        <v>0</v>
      </c>
      <c r="U138" s="186"/>
      <c r="V138" s="187"/>
      <c r="W138" s="173"/>
      <c r="X138" s="134">
        <v>1</v>
      </c>
      <c r="Y138" s="135"/>
      <c r="Z138" s="134">
        <f>IF(Table46[[#This Row],[Year]]=1, 1.3, IF(Table46[[#This Row],[Year]]=2, 1.2, IF(Table46[[#This Row],[Year]]=3, 1, IF(Table46[[#This Row],[Year]]=4, 0.72917, IF(Table46[[#This Row],[Year]]=5, 0.6, 0)))))</f>
        <v>1.3</v>
      </c>
    </row>
    <row r="139" spans="2:26" ht="21" x14ac:dyDescent="0.3">
      <c r="F139" s="73" t="s">
        <v>445</v>
      </c>
      <c r="G139" s="222" t="s">
        <v>446</v>
      </c>
      <c r="H139" s="214" t="s">
        <v>447</v>
      </c>
      <c r="I139" s="299" t="s">
        <v>76</v>
      </c>
      <c r="J139" s="85">
        <f>IF(I139="Brother",$C$6*Table46[[#This Row],[Seniority Dues]],IF(I139="EC",$C$7,IF(I139="Alumni",$C$8,IF(I139="Dropped",$C$11,IF(I139="President",$C$10,IF(I139="Inactive",$C$9,IF(Table46[[#This Row],[Type]]="New Member",$C$13,0)))))))</f>
        <v>624</v>
      </c>
      <c r="K139" s="85">
        <v>40</v>
      </c>
      <c r="L139" s="132">
        <f>VLOOKUP(F139,Winter!$F$3:$T$159, 13,)</f>
        <v>0</v>
      </c>
      <c r="M139" s="316">
        <v>624</v>
      </c>
      <c r="N139" s="313">
        <f>2*40</f>
        <v>80</v>
      </c>
      <c r="O139" s="309"/>
      <c r="P139" s="132"/>
      <c r="Q139" s="132">
        <f t="shared" si="18"/>
        <v>704</v>
      </c>
      <c r="R139" s="283">
        <f t="shared" si="19"/>
        <v>-40</v>
      </c>
      <c r="S139" s="283">
        <f t="shared" si="16"/>
        <v>-40</v>
      </c>
      <c r="T139" s="133">
        <f t="shared" si="17"/>
        <v>0</v>
      </c>
      <c r="U139" s="186"/>
      <c r="V139" s="187"/>
      <c r="W139" s="173"/>
      <c r="X139" s="134">
        <v>1</v>
      </c>
      <c r="Y139" s="135"/>
      <c r="Z139" s="134">
        <f>IF(Table46[[#This Row],[Year]]=1, 1.3, IF(Table46[[#This Row],[Year]]=2, 1.2, IF(Table46[[#This Row],[Year]]=3, 1, IF(Table46[[#This Row],[Year]]=4, 0.72917, IF(Table46[[#This Row],[Year]]=5, 0.6, 0)))))</f>
        <v>1.3</v>
      </c>
    </row>
    <row r="140" spans="2:26" ht="21" x14ac:dyDescent="0.3">
      <c r="F140" s="73" t="s">
        <v>382</v>
      </c>
      <c r="G140" s="222" t="s">
        <v>383</v>
      </c>
      <c r="H140" s="321" t="s">
        <v>384</v>
      </c>
      <c r="I140" s="299" t="s">
        <v>76</v>
      </c>
      <c r="J140" s="85">
        <f>IF(I140="Brother",$C$6*Table46[[#This Row],[Seniority Dues]],IF(I140="EC",$C$7,IF(I140="Alumni",$C$8,IF(I140="Dropped",$C$11,IF(I140="President",$C$10,IF(I140="Inactive",$C$9,IF(Table46[[#This Row],[Type]]="New Member",$C$13,0)))))))</f>
        <v>576</v>
      </c>
      <c r="K140" s="85"/>
      <c r="L140" s="132">
        <f>VLOOKUP(F140,Winter!$F$3:$T$159, 13,)</f>
        <v>0</v>
      </c>
      <c r="M140" s="316">
        <v>576</v>
      </c>
      <c r="N140" s="313"/>
      <c r="O140" s="309"/>
      <c r="P140" s="132"/>
      <c r="Q140" s="132">
        <f t="shared" si="18"/>
        <v>576</v>
      </c>
      <c r="R140" s="283">
        <f t="shared" si="19"/>
        <v>0</v>
      </c>
      <c r="S140" s="283">
        <f t="shared" si="16"/>
        <v>0</v>
      </c>
      <c r="T140" s="133">
        <f t="shared" si="17"/>
        <v>0</v>
      </c>
      <c r="U140" s="186"/>
      <c r="V140" s="187"/>
      <c r="W140" s="173"/>
      <c r="X140" s="134">
        <v>2</v>
      </c>
      <c r="Y140" s="135"/>
      <c r="Z140" s="134">
        <f>IF(Table46[[#This Row],[Year]]=1, 1.3, IF(Table46[[#This Row],[Year]]=2, 1.2, IF(Table46[[#This Row],[Year]]=3, 1, IF(Table46[[#This Row],[Year]]=4, 0.72917, IF(Table46[[#This Row],[Year]]=5, 0.6, 0)))))</f>
        <v>1.2</v>
      </c>
    </row>
    <row r="141" spans="2:26" ht="21" x14ac:dyDescent="0.3">
      <c r="F141" s="73" t="s">
        <v>520</v>
      </c>
      <c r="G141" s="222" t="s">
        <v>521</v>
      </c>
      <c r="H141" s="214" t="s">
        <v>479</v>
      </c>
      <c r="I141" s="299" t="s">
        <v>76</v>
      </c>
      <c r="J141" s="85">
        <f>IF(I141="Brother",$C$6*Table46[[#This Row],[Seniority Dues]],IF(I141="EC",$C$7,IF(I141="Alumni",$C$8,IF(I141="Dropped",$C$11,IF(I141="President",$C$10,IF(I141="Inactive",$C$9,IF(Table46[[#This Row],[Type]]="New Member",$C$13,0)))))))</f>
        <v>624</v>
      </c>
      <c r="K141" s="85">
        <v>-124</v>
      </c>
      <c r="L141" s="132">
        <f>VLOOKUP(F141,Winter!$F$3:$T$159, 13,)</f>
        <v>200</v>
      </c>
      <c r="M141" s="316">
        <v>200</v>
      </c>
      <c r="N141" s="313">
        <v>500</v>
      </c>
      <c r="O141" s="309"/>
      <c r="P141" s="132"/>
      <c r="Q141" s="132">
        <f t="shared" si="18"/>
        <v>700</v>
      </c>
      <c r="R141" s="283">
        <f t="shared" si="19"/>
        <v>0</v>
      </c>
      <c r="S141" s="283">
        <f t="shared" si="16"/>
        <v>0</v>
      </c>
      <c r="T141" s="133">
        <f t="shared" si="17"/>
        <v>0</v>
      </c>
      <c r="U141" s="186"/>
      <c r="V141" s="187"/>
      <c r="W141" s="173"/>
      <c r="X141" s="134">
        <v>1</v>
      </c>
      <c r="Y141" s="135"/>
      <c r="Z141" s="134">
        <f>IF(Table46[[#This Row],[Year]]=1, 1.3, IF(Table46[[#This Row],[Year]]=2, 1.2, IF(Table46[[#This Row],[Year]]=3, 1, IF(Table46[[#This Row],[Year]]=4, 0.72917, IF(Table46[[#This Row],[Year]]=5, 0.6, 0)))))</f>
        <v>1.3</v>
      </c>
    </row>
    <row r="142" spans="2:26" ht="21" x14ac:dyDescent="0.3">
      <c r="F142" s="73" t="s">
        <v>385</v>
      </c>
      <c r="G142" s="229" t="s">
        <v>386</v>
      </c>
      <c r="H142" s="297" t="s">
        <v>387</v>
      </c>
      <c r="I142" s="299" t="s">
        <v>89</v>
      </c>
      <c r="J142" s="85">
        <f>IF(I142="Brother",$C$6*Table46[[#This Row],[Seniority Dues]],IF(I142="EC",$C$7,IF(I142="Alumni",$C$8,IF(I142="Dropped",$C$11,IF(I142="President",$C$10,IF(I142="Inactive",$C$9,IF(Table46[[#This Row],[Type]]="New Member",$C$13,0)))))))</f>
        <v>0</v>
      </c>
      <c r="K142" s="85"/>
      <c r="L142" s="132">
        <f>VLOOKUP(F142,Winter!$F$3:$T$159, 13,)</f>
        <v>0</v>
      </c>
      <c r="M142" s="316"/>
      <c r="N142" s="313"/>
      <c r="O142" s="309"/>
      <c r="P142" s="132"/>
      <c r="Q142" s="132">
        <f t="shared" si="18"/>
        <v>0</v>
      </c>
      <c r="R142" s="283">
        <f t="shared" si="19"/>
        <v>0</v>
      </c>
      <c r="S142" s="283">
        <f t="shared" si="16"/>
        <v>0</v>
      </c>
      <c r="T142" s="133">
        <f t="shared" si="17"/>
        <v>0</v>
      </c>
      <c r="U142" s="186"/>
      <c r="V142" s="187"/>
      <c r="W142" s="173"/>
      <c r="X142" s="219">
        <v>4</v>
      </c>
      <c r="Y142" s="135"/>
      <c r="Z142" s="134">
        <f>IF(Table46[[#This Row],[Year]]=1, 1.3, IF(Table46[[#This Row],[Year]]=2, 1.2, IF(Table46[[#This Row],[Year]]=3, 1, IF(Table46[[#This Row],[Year]]=4, 0.72917, IF(Table46[[#This Row],[Year]]=5, 0.6, 0)))))</f>
        <v>0.72916999999999998</v>
      </c>
    </row>
    <row r="143" spans="2:26" ht="21" x14ac:dyDescent="0.3">
      <c r="F143" s="73" t="s">
        <v>388</v>
      </c>
      <c r="G143" s="242" t="s">
        <v>389</v>
      </c>
      <c r="H143" s="304" t="s">
        <v>390</v>
      </c>
      <c r="I143" s="299" t="s">
        <v>89</v>
      </c>
      <c r="J143" s="85">
        <f>IF(I143="Brother",$C$6*Table46[[#This Row],[Seniority Dues]],IF(I143="EC",$C$7,IF(I143="Alumni",$C$8,IF(I143="Dropped",$C$11,IF(I143="President",$C$10,IF(I143="Inactive",$C$9,IF(Table46[[#This Row],[Type]]="New Member",$C$13,0)))))))</f>
        <v>0</v>
      </c>
      <c r="K143" s="85"/>
      <c r="L143" s="132">
        <f>VLOOKUP(F143,Winter!$F$3:$T$159, 13,)</f>
        <v>284</v>
      </c>
      <c r="M143" s="316">
        <v>200</v>
      </c>
      <c r="N143" s="313"/>
      <c r="O143" s="309"/>
      <c r="P143" s="132"/>
      <c r="Q143" s="132">
        <f t="shared" si="18"/>
        <v>200</v>
      </c>
      <c r="R143" s="283">
        <f t="shared" si="19"/>
        <v>84</v>
      </c>
      <c r="S143" s="283">
        <f t="shared" si="16"/>
        <v>0</v>
      </c>
      <c r="T143" s="133">
        <f t="shared" si="17"/>
        <v>84</v>
      </c>
      <c r="U143" s="186"/>
      <c r="V143" s="187"/>
      <c r="W143" s="173"/>
      <c r="X143" s="134">
        <v>4</v>
      </c>
      <c r="Y143" s="135"/>
      <c r="Z143" s="134">
        <f>IF(Table46[[#This Row],[Year]]=1, 1.3, IF(Table46[[#This Row],[Year]]=2, 1.2, IF(Table46[[#This Row],[Year]]=3, 1, IF(Table46[[#This Row],[Year]]=4, 0.72917, IF(Table46[[#This Row],[Year]]=5, 0.6, 0)))))</f>
        <v>0.72916999999999998</v>
      </c>
    </row>
    <row r="144" spans="2:26" ht="22" thickBot="1" x14ac:dyDescent="0.35">
      <c r="F144" s="73" t="s">
        <v>391</v>
      </c>
      <c r="G144" s="305" t="s">
        <v>392</v>
      </c>
      <c r="H144" s="306" t="s">
        <v>393</v>
      </c>
      <c r="I144" s="299" t="s">
        <v>72</v>
      </c>
      <c r="J144" s="85">
        <f>IF(I144="Brother",$C$6*Table46[[#This Row],[Seniority Dues]],IF(I144="EC",$C$7,IF(I144="Alumni",$C$8,IF(I144="Dropped",$C$11,IF(I144="President",$C$10,IF(I144="Inactive",$C$9,IF(Table46[[#This Row],[Type]]="New Member",$C$13,0)))))))</f>
        <v>200</v>
      </c>
      <c r="K144" s="85">
        <v>25</v>
      </c>
      <c r="L144" s="132">
        <f>VLOOKUP(F144,Winter!$F$3:$T$159, 13,)</f>
        <v>334</v>
      </c>
      <c r="M144" s="317">
        <v>150</v>
      </c>
      <c r="N144" s="314"/>
      <c r="O144" s="309"/>
      <c r="P144" s="132"/>
      <c r="Q144" s="132">
        <f t="shared" si="18"/>
        <v>150</v>
      </c>
      <c r="R144" s="283">
        <f t="shared" si="19"/>
        <v>409</v>
      </c>
      <c r="S144" s="283">
        <f t="shared" si="16"/>
        <v>0</v>
      </c>
      <c r="T144" s="133">
        <f t="shared" si="17"/>
        <v>409</v>
      </c>
      <c r="U144" s="186"/>
      <c r="V144" s="187"/>
      <c r="W144" s="173"/>
      <c r="X144" s="134">
        <v>4</v>
      </c>
      <c r="Y144" s="135"/>
      <c r="Z144" s="134">
        <f>IF(Table46[[#This Row],[Year]]=1, 1.3, IF(Table46[[#This Row],[Year]]=2, 1.2, IF(Table46[[#This Row],[Year]]=3, 1, IF(Table46[[#This Row],[Year]]=4, 0.72917, IF(Table46[[#This Row],[Year]]=5, 0.6, 0)))))</f>
        <v>0.72916999999999998</v>
      </c>
    </row>
    <row r="145" spans="2:26" ht="27" thickBot="1" x14ac:dyDescent="0.45">
      <c r="G145" s="113" t="s">
        <v>448</v>
      </c>
      <c r="H145" s="114">
        <f>SUBTOTAL(103,Table46[First Name])</f>
        <v>142</v>
      </c>
      <c r="I145" s="115"/>
      <c r="J145" s="116">
        <f>SUBTOTAL(109,Table46[Amount Due])</f>
        <v>60459.016000000003</v>
      </c>
      <c r="K145" s="117">
        <f>SUM(Table46[Fines])</f>
        <v>-1291</v>
      </c>
      <c r="L145" s="117">
        <f>SUM(Table46[[Roll Over ]])</f>
        <v>4426.2500019200015</v>
      </c>
      <c r="M145" s="141"/>
      <c r="N145" s="307"/>
      <c r="O145" s="117"/>
      <c r="P145" s="117"/>
      <c r="Q145" s="119">
        <f>SUBTOTAL(109,Table46[Total Paid])</f>
        <v>55968.92</v>
      </c>
      <c r="R145" s="119"/>
      <c r="S145" s="119"/>
      <c r="T145" s="120">
        <f>SUBTOTAL(109,Table46[Remaining Balance])</f>
        <v>7700.9428017600003</v>
      </c>
      <c r="U145" s="121"/>
      <c r="V145" s="121"/>
      <c r="W145" s="121"/>
      <c r="X145" s="121"/>
      <c r="Y145" s="121"/>
      <c r="Z145" s="145"/>
    </row>
    <row r="148" spans="2:26" x14ac:dyDescent="0.3">
      <c r="B148" s="107"/>
      <c r="C148" s="107"/>
      <c r="D148" s="107"/>
    </row>
    <row r="189" spans="2:26" s="122" customFormat="1" ht="21" customHeight="1" x14ac:dyDescent="0.4">
      <c r="B189" s="73"/>
      <c r="C189" s="73"/>
      <c r="D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</row>
    <row r="190" spans="2:26" ht="21" customHeight="1" x14ac:dyDescent="0.4">
      <c r="B190" s="122"/>
      <c r="C190" s="122"/>
      <c r="D190" s="122"/>
    </row>
  </sheetData>
  <mergeCells count="3">
    <mergeCell ref="C2:D2"/>
    <mergeCell ref="B4:D4"/>
    <mergeCell ref="B26:C26"/>
  </mergeCells>
  <conditionalFormatting sqref="I3:W3 N4:W106 T4:T139 N107:Y144 Y3:Z3 Y4:Y106 I4:M144 Z4:Z144 G68:H68 X68:X106">
    <cfRule type="expression" dxfId="4" priority="4">
      <formula>IF(ISBLANK($C$2),0,ISNUMBER(SEARCH($C$2,$G3&amp;$H3&amp;$I3&amp;$J3)))</formula>
    </cfRule>
  </conditionalFormatting>
  <conditionalFormatting sqref="T3:T144">
    <cfRule type="cellIs" dxfId="3" priority="3" operator="greaterThan">
      <formula>0</formula>
    </cfRule>
  </conditionalFormatting>
  <dataValidations count="1">
    <dataValidation type="list" allowBlank="1" showInputMessage="1" showErrorMessage="1" sqref="I3:I144" xr:uid="{4B57976E-C581-DA40-A353-AB1E4F3F6C95}">
      <formula1>$B$6:$B$13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9B14A-14B6-D548-8F84-85D4DE2BB95A}">
  <dimension ref="B1:H34"/>
  <sheetViews>
    <sheetView workbookViewId="0">
      <selection activeCell="G2" sqref="G2:H20"/>
    </sheetView>
  </sheetViews>
  <sheetFormatPr baseColWidth="10" defaultColWidth="11" defaultRowHeight="16" x14ac:dyDescent="0.2"/>
  <cols>
    <col min="2" max="2" width="23.33203125" bestFit="1" customWidth="1"/>
    <col min="3" max="3" width="17.1640625" bestFit="1" customWidth="1"/>
    <col min="4" max="4" width="17.83203125" bestFit="1" customWidth="1"/>
    <col min="5" max="5" width="17.1640625" bestFit="1" customWidth="1"/>
  </cols>
  <sheetData>
    <row r="1" spans="2:8" x14ac:dyDescent="0.2">
      <c r="B1" s="327" t="s">
        <v>524</v>
      </c>
      <c r="D1" s="327" t="s">
        <v>524</v>
      </c>
      <c r="E1" s="327" t="s">
        <v>62</v>
      </c>
    </row>
    <row r="2" spans="2:8" x14ac:dyDescent="0.2">
      <c r="B2" t="s">
        <v>74</v>
      </c>
      <c r="C2" t="s">
        <v>75</v>
      </c>
      <c r="D2" t="str">
        <f>C2&amp;" "&amp;B2</f>
        <v>Ethan Andres</v>
      </c>
      <c r="E2" s="328">
        <v>375.00160016000001</v>
      </c>
      <c r="G2" s="189" t="s">
        <v>74</v>
      </c>
      <c r="H2" s="189" t="s">
        <v>75</v>
      </c>
    </row>
    <row r="3" spans="2:8" x14ac:dyDescent="0.2">
      <c r="B3" t="s">
        <v>91</v>
      </c>
      <c r="C3" t="s">
        <v>92</v>
      </c>
      <c r="D3" t="str">
        <f t="shared" ref="D3:D34" si="0">C3&amp;" "&amp;B3</f>
        <v>Owen Beim</v>
      </c>
      <c r="E3" s="328">
        <v>375.0016</v>
      </c>
      <c r="G3" s="189" t="s">
        <v>83</v>
      </c>
      <c r="H3" s="189" t="s">
        <v>84</v>
      </c>
    </row>
    <row r="4" spans="2:8" x14ac:dyDescent="0.2">
      <c r="B4" t="s">
        <v>102</v>
      </c>
      <c r="C4" t="s">
        <v>103</v>
      </c>
      <c r="D4" t="str">
        <f t="shared" si="0"/>
        <v>Seth Boren</v>
      </c>
      <c r="E4" s="328">
        <v>775.00160015999995</v>
      </c>
      <c r="G4" s="189" t="s">
        <v>94</v>
      </c>
      <c r="H4" s="189" t="s">
        <v>95</v>
      </c>
    </row>
    <row r="5" spans="2:8" x14ac:dyDescent="0.2">
      <c r="B5" t="s">
        <v>402</v>
      </c>
      <c r="C5" t="s">
        <v>99</v>
      </c>
      <c r="D5" t="str">
        <f t="shared" si="0"/>
        <v>Max Bucher</v>
      </c>
      <c r="E5" s="328">
        <v>601</v>
      </c>
      <c r="G5" s="339" t="s">
        <v>106</v>
      </c>
      <c r="H5" s="339" t="s">
        <v>107</v>
      </c>
    </row>
    <row r="6" spans="2:8" x14ac:dyDescent="0.2">
      <c r="B6" t="s">
        <v>130</v>
      </c>
      <c r="C6" t="s">
        <v>131</v>
      </c>
      <c r="D6" t="str">
        <f t="shared" si="0"/>
        <v>Adrian Cheng</v>
      </c>
      <c r="E6" s="328">
        <v>200</v>
      </c>
      <c r="G6" s="189" t="s">
        <v>110</v>
      </c>
      <c r="H6" s="189" t="s">
        <v>111</v>
      </c>
    </row>
    <row r="7" spans="2:8" x14ac:dyDescent="0.2">
      <c r="B7" t="s">
        <v>136</v>
      </c>
      <c r="C7" t="s">
        <v>137</v>
      </c>
      <c r="D7" t="str">
        <f t="shared" si="0"/>
        <v>Cole Cleminshaw</v>
      </c>
      <c r="E7" s="328">
        <v>40</v>
      </c>
      <c r="G7" s="189" t="s">
        <v>120</v>
      </c>
      <c r="H7" s="189" t="s">
        <v>121</v>
      </c>
    </row>
    <row r="8" spans="2:8" x14ac:dyDescent="0.2">
      <c r="B8" t="s">
        <v>139</v>
      </c>
      <c r="C8" t="s">
        <v>140</v>
      </c>
      <c r="D8" t="str">
        <f t="shared" si="0"/>
        <v>Nicolo DiFerdinando</v>
      </c>
      <c r="E8" s="328">
        <v>250</v>
      </c>
      <c r="G8" s="339" t="s">
        <v>125</v>
      </c>
      <c r="H8" s="339" t="s">
        <v>95</v>
      </c>
    </row>
    <row r="9" spans="2:8" x14ac:dyDescent="0.2">
      <c r="B9" t="s">
        <v>157</v>
      </c>
      <c r="C9" t="s">
        <v>158</v>
      </c>
      <c r="D9" t="str">
        <f t="shared" si="0"/>
        <v>tyler Fieux</v>
      </c>
      <c r="E9" s="328">
        <v>250</v>
      </c>
      <c r="G9" s="339" t="s">
        <v>127</v>
      </c>
      <c r="H9" s="339" t="s">
        <v>128</v>
      </c>
    </row>
    <row r="10" spans="2:8" x14ac:dyDescent="0.2">
      <c r="B10" t="s">
        <v>160</v>
      </c>
      <c r="C10" t="s">
        <v>161</v>
      </c>
      <c r="D10" t="str">
        <f t="shared" si="0"/>
        <v>Declan Gaffney</v>
      </c>
      <c r="E10" s="328">
        <v>375.0016</v>
      </c>
      <c r="G10" s="338" t="s">
        <v>136</v>
      </c>
      <c r="H10" s="338" t="s">
        <v>137</v>
      </c>
    </row>
    <row r="11" spans="2:8" x14ac:dyDescent="0.2">
      <c r="B11" t="s">
        <v>163</v>
      </c>
      <c r="C11" t="s">
        <v>164</v>
      </c>
      <c r="D11" t="str">
        <f t="shared" si="0"/>
        <v>George Gaither</v>
      </c>
      <c r="E11" s="328">
        <v>601</v>
      </c>
      <c r="G11" s="339" t="s">
        <v>178</v>
      </c>
      <c r="H11" s="339" t="s">
        <v>179</v>
      </c>
    </row>
    <row r="12" spans="2:8" x14ac:dyDescent="0.2">
      <c r="B12" t="s">
        <v>183</v>
      </c>
      <c r="C12" t="s">
        <v>184</v>
      </c>
      <c r="D12" t="str">
        <f t="shared" si="0"/>
        <v>Colin Guenther</v>
      </c>
      <c r="E12" s="328">
        <v>551</v>
      </c>
      <c r="G12" s="339" t="s">
        <v>676</v>
      </c>
      <c r="H12" s="339" t="s">
        <v>677</v>
      </c>
    </row>
    <row r="13" spans="2:8" x14ac:dyDescent="0.2">
      <c r="B13" t="s">
        <v>413</v>
      </c>
      <c r="C13" t="s">
        <v>301</v>
      </c>
      <c r="D13" t="str">
        <f t="shared" si="0"/>
        <v>Charlie Higley</v>
      </c>
      <c r="E13" s="328">
        <v>24</v>
      </c>
      <c r="G13" s="189" t="s">
        <v>217</v>
      </c>
      <c r="H13" s="189" t="s">
        <v>218</v>
      </c>
    </row>
    <row r="14" spans="2:8" x14ac:dyDescent="0.2">
      <c r="B14" t="s">
        <v>195</v>
      </c>
      <c r="C14" t="s">
        <v>196</v>
      </c>
      <c r="D14" t="str">
        <f t="shared" si="0"/>
        <v>Kiran Hodgdon</v>
      </c>
      <c r="E14" s="328">
        <v>505</v>
      </c>
      <c r="G14" s="189" t="s">
        <v>253</v>
      </c>
      <c r="H14" s="189" t="s">
        <v>679</v>
      </c>
    </row>
    <row r="15" spans="2:8" x14ac:dyDescent="0.2">
      <c r="B15" t="s">
        <v>210</v>
      </c>
      <c r="C15" t="s">
        <v>211</v>
      </c>
      <c r="D15" t="str">
        <f t="shared" si="0"/>
        <v>matias Johnston</v>
      </c>
      <c r="E15" s="328">
        <v>601</v>
      </c>
      <c r="G15" s="189" t="s">
        <v>680</v>
      </c>
      <c r="H15" s="189" t="s">
        <v>256</v>
      </c>
    </row>
    <row r="16" spans="2:8" x14ac:dyDescent="0.2">
      <c r="B16" t="s">
        <v>213</v>
      </c>
      <c r="C16" t="s">
        <v>214</v>
      </c>
      <c r="D16" t="str">
        <f t="shared" si="0"/>
        <v>Bendt Jorgensen</v>
      </c>
      <c r="E16" s="328">
        <v>250</v>
      </c>
      <c r="G16" s="189" t="s">
        <v>300</v>
      </c>
      <c r="H16" s="189" t="s">
        <v>301</v>
      </c>
    </row>
    <row r="17" spans="2:8" x14ac:dyDescent="0.2">
      <c r="B17" t="s">
        <v>220</v>
      </c>
      <c r="C17" t="s">
        <v>202</v>
      </c>
      <c r="D17" t="str">
        <f t="shared" si="0"/>
        <v>Aidan Kelly</v>
      </c>
      <c r="E17" s="328">
        <v>683</v>
      </c>
      <c r="G17" s="338" t="s">
        <v>312</v>
      </c>
      <c r="H17" s="338" t="s">
        <v>88</v>
      </c>
    </row>
    <row r="18" spans="2:8" x14ac:dyDescent="0.2">
      <c r="B18" t="s">
        <v>226</v>
      </c>
      <c r="C18" t="s">
        <v>227</v>
      </c>
      <c r="D18" t="str">
        <f t="shared" si="0"/>
        <v>Teddy Krone</v>
      </c>
      <c r="E18" s="328">
        <v>512.50160015999995</v>
      </c>
      <c r="G18" s="339" t="s">
        <v>337</v>
      </c>
      <c r="H18" s="339" t="s">
        <v>464</v>
      </c>
    </row>
    <row r="19" spans="2:8" x14ac:dyDescent="0.2">
      <c r="B19" t="s">
        <v>232</v>
      </c>
      <c r="C19" t="s">
        <v>92</v>
      </c>
      <c r="D19" t="str">
        <f t="shared" si="0"/>
        <v>Owen Loughery</v>
      </c>
      <c r="E19" s="328">
        <v>601</v>
      </c>
      <c r="G19" s="189" t="s">
        <v>446</v>
      </c>
      <c r="H19" s="189" t="s">
        <v>447</v>
      </c>
    </row>
    <row r="20" spans="2:8" x14ac:dyDescent="0.2">
      <c r="B20" t="s">
        <v>251</v>
      </c>
      <c r="C20" t="s">
        <v>184</v>
      </c>
      <c r="D20" t="str">
        <f t="shared" si="0"/>
        <v>Colin McCombs</v>
      </c>
      <c r="E20" s="328">
        <v>200</v>
      </c>
      <c r="G20" s="339" t="s">
        <v>392</v>
      </c>
      <c r="H20" s="339" t="s">
        <v>393</v>
      </c>
    </row>
    <row r="21" spans="2:8" x14ac:dyDescent="0.2">
      <c r="B21" t="s">
        <v>266</v>
      </c>
      <c r="C21" t="s">
        <v>267</v>
      </c>
      <c r="D21" t="str">
        <f t="shared" si="0"/>
        <v>Emilio Moreno</v>
      </c>
      <c r="E21" s="328">
        <v>480</v>
      </c>
    </row>
    <row r="22" spans="2:8" x14ac:dyDescent="0.2">
      <c r="B22" t="s">
        <v>277</v>
      </c>
      <c r="C22" t="s">
        <v>278</v>
      </c>
      <c r="D22" t="str">
        <f t="shared" si="0"/>
        <v>Zack Parsons</v>
      </c>
      <c r="E22" s="328">
        <v>420</v>
      </c>
    </row>
    <row r="23" spans="2:8" x14ac:dyDescent="0.2">
      <c r="B23" t="s">
        <v>292</v>
      </c>
      <c r="C23" t="s">
        <v>293</v>
      </c>
      <c r="D23" t="str">
        <f t="shared" si="0"/>
        <v>Milo Rathbun</v>
      </c>
      <c r="E23" s="328">
        <v>814.5</v>
      </c>
    </row>
    <row r="24" spans="2:8" x14ac:dyDescent="0.2">
      <c r="B24" t="s">
        <v>295</v>
      </c>
      <c r="C24" t="s">
        <v>296</v>
      </c>
      <c r="D24" t="str">
        <f t="shared" si="0"/>
        <v>Theo Ray</v>
      </c>
      <c r="E24" s="328">
        <v>576</v>
      </c>
    </row>
    <row r="25" spans="2:8" x14ac:dyDescent="0.2">
      <c r="B25" t="s">
        <v>300</v>
      </c>
      <c r="C25" t="s">
        <v>301</v>
      </c>
      <c r="D25" t="str">
        <f t="shared" si="0"/>
        <v>Charlie Richardson</v>
      </c>
      <c r="E25" s="328">
        <v>320.5</v>
      </c>
    </row>
    <row r="26" spans="2:8" x14ac:dyDescent="0.2">
      <c r="B26" t="s">
        <v>307</v>
      </c>
      <c r="C26" t="s">
        <v>308</v>
      </c>
      <c r="D26" t="str">
        <f t="shared" si="0"/>
        <v>Benjamin Roberts</v>
      </c>
      <c r="E26" s="328">
        <v>420.5</v>
      </c>
    </row>
    <row r="27" spans="2:8" x14ac:dyDescent="0.2">
      <c r="B27" t="s">
        <v>319</v>
      </c>
      <c r="C27" t="s">
        <v>320</v>
      </c>
      <c r="D27" t="str">
        <f t="shared" si="0"/>
        <v>Markus Salkola</v>
      </c>
      <c r="E27" s="328">
        <v>626</v>
      </c>
    </row>
    <row r="28" spans="2:8" x14ac:dyDescent="0.2">
      <c r="B28" t="s">
        <v>334</v>
      </c>
      <c r="C28" t="s">
        <v>335</v>
      </c>
      <c r="D28" t="str">
        <f t="shared" si="0"/>
        <v>Aditya Sood</v>
      </c>
      <c r="E28" s="328">
        <v>222</v>
      </c>
    </row>
    <row r="29" spans="2:8" x14ac:dyDescent="0.2">
      <c r="B29" t="s">
        <v>340</v>
      </c>
      <c r="C29" t="s">
        <v>341</v>
      </c>
      <c r="D29" t="str">
        <f t="shared" si="0"/>
        <v>John Stebbins</v>
      </c>
      <c r="E29" s="328">
        <v>75.000000160000127</v>
      </c>
    </row>
    <row r="30" spans="2:8" x14ac:dyDescent="0.2">
      <c r="B30" t="s">
        <v>351</v>
      </c>
      <c r="C30" t="s">
        <v>352</v>
      </c>
      <c r="D30" t="str">
        <f t="shared" si="0"/>
        <v>Dylan Taxer</v>
      </c>
      <c r="E30">
        <v>225</v>
      </c>
    </row>
    <row r="31" spans="2:8" x14ac:dyDescent="0.2">
      <c r="B31" t="s">
        <v>360</v>
      </c>
      <c r="C31" t="s">
        <v>190</v>
      </c>
      <c r="D31" t="str">
        <f t="shared" si="0"/>
        <v>Matthew Titus</v>
      </c>
      <c r="E31">
        <v>375</v>
      </c>
    </row>
    <row r="32" spans="2:8" x14ac:dyDescent="0.2">
      <c r="B32" t="s">
        <v>368</v>
      </c>
      <c r="C32" t="s">
        <v>369</v>
      </c>
      <c r="D32" t="str">
        <f t="shared" si="0"/>
        <v>Blake Tumbleson</v>
      </c>
      <c r="E32">
        <v>505</v>
      </c>
    </row>
    <row r="33" spans="2:5" x14ac:dyDescent="0.2">
      <c r="B33" t="s">
        <v>377</v>
      </c>
      <c r="C33" t="s">
        <v>151</v>
      </c>
      <c r="D33" t="str">
        <f t="shared" si="0"/>
        <v>Logan Weisgerber</v>
      </c>
      <c r="E33">
        <v>400</v>
      </c>
    </row>
    <row r="34" spans="2:5" x14ac:dyDescent="0.2">
      <c r="B34" t="s">
        <v>389</v>
      </c>
      <c r="C34" t="s">
        <v>390</v>
      </c>
      <c r="D34" t="str">
        <f t="shared" si="0"/>
        <v>Lucas Wright</v>
      </c>
      <c r="E34">
        <v>184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FD00E-6972-824B-9013-CC17D2C1FDBD}">
  <sheetPr codeName="Sheet2">
    <tabColor theme="6" tint="0.79998168889431442"/>
  </sheetPr>
  <dimension ref="A1:M89"/>
  <sheetViews>
    <sheetView topLeftCell="C1" zoomScaleNormal="100" workbookViewId="0">
      <selection activeCell="J24" sqref="J24"/>
    </sheetView>
  </sheetViews>
  <sheetFormatPr baseColWidth="10" defaultColWidth="10.6640625" defaultRowHeight="16" x14ac:dyDescent="0.2"/>
  <cols>
    <col min="1" max="1" width="5.1640625" style="1" customWidth="1"/>
    <col min="2" max="3" width="19.6640625" style="1" customWidth="1"/>
    <col min="4" max="4" width="22.83203125" style="1" bestFit="1" customWidth="1"/>
    <col min="5" max="5" width="21.83203125" style="51" customWidth="1"/>
    <col min="6" max="6" width="21.1640625" style="1" customWidth="1"/>
    <col min="7" max="7" width="19.6640625" style="1" customWidth="1"/>
    <col min="8" max="8" width="21.6640625" style="1" customWidth="1"/>
    <col min="9" max="9" width="21.1640625" style="51" customWidth="1"/>
    <col min="10" max="12" width="21.1640625" style="1" customWidth="1"/>
    <col min="13" max="13" width="24" style="51" customWidth="1"/>
    <col min="14" max="16384" width="10.6640625" style="1"/>
  </cols>
  <sheetData>
    <row r="1" spans="1:13" ht="17" thickBot="1" x14ac:dyDescent="0.25"/>
    <row r="2" spans="1:13" ht="25" thickBot="1" x14ac:dyDescent="0.35">
      <c r="B2" s="372" t="s">
        <v>525</v>
      </c>
      <c r="C2" s="373"/>
      <c r="D2" s="373"/>
      <c r="E2" s="373"/>
      <c r="F2" s="373"/>
      <c r="G2" s="373"/>
      <c r="H2" s="373"/>
      <c r="I2" s="373"/>
      <c r="J2" s="373"/>
      <c r="K2" s="373"/>
      <c r="L2" s="373"/>
      <c r="M2" s="374"/>
    </row>
    <row r="3" spans="1:13" ht="20" thickBot="1" x14ac:dyDescent="0.3">
      <c r="B3" s="378" t="s">
        <v>526</v>
      </c>
      <c r="C3" s="379"/>
      <c r="D3" s="379"/>
      <c r="E3" s="379"/>
      <c r="F3" s="379"/>
      <c r="G3" s="379"/>
      <c r="H3" s="379"/>
      <c r="I3" s="379"/>
      <c r="J3" s="379"/>
      <c r="K3" s="379"/>
      <c r="L3" s="379"/>
      <c r="M3" s="380"/>
    </row>
    <row r="4" spans="1:13" ht="20" thickBot="1" x14ac:dyDescent="0.3">
      <c r="B4" s="375" t="s">
        <v>2</v>
      </c>
      <c r="C4" s="376"/>
      <c r="D4" s="376"/>
      <c r="E4" s="377"/>
      <c r="F4" s="375" t="s">
        <v>3</v>
      </c>
      <c r="G4" s="376"/>
      <c r="H4" s="376"/>
      <c r="I4" s="377"/>
      <c r="J4" s="375" t="s">
        <v>4</v>
      </c>
      <c r="K4" s="376"/>
      <c r="L4" s="376"/>
      <c r="M4" s="377"/>
    </row>
    <row r="5" spans="1:13" ht="20" thickBot="1" x14ac:dyDescent="0.3">
      <c r="B5" s="49" t="s">
        <v>527</v>
      </c>
      <c r="C5" s="50" t="s">
        <v>528</v>
      </c>
      <c r="D5" s="50" t="s">
        <v>529</v>
      </c>
      <c r="E5" s="52" t="s">
        <v>530</v>
      </c>
      <c r="F5" s="49" t="s">
        <v>527</v>
      </c>
      <c r="G5" s="50" t="s">
        <v>528</v>
      </c>
      <c r="H5" s="50" t="s">
        <v>529</v>
      </c>
      <c r="I5" s="52" t="s">
        <v>530</v>
      </c>
      <c r="J5" s="49" t="s">
        <v>527</v>
      </c>
      <c r="K5" s="50" t="s">
        <v>528</v>
      </c>
      <c r="L5" s="50" t="s">
        <v>529</v>
      </c>
      <c r="M5" s="52" t="s">
        <v>530</v>
      </c>
    </row>
    <row r="6" spans="1:13" x14ac:dyDescent="0.2">
      <c r="A6" s="2"/>
      <c r="B6" s="3"/>
      <c r="C6" s="3"/>
      <c r="D6" s="3"/>
      <c r="E6" s="53"/>
      <c r="F6" s="3"/>
      <c r="G6" s="3"/>
      <c r="H6" s="3"/>
      <c r="I6" s="53"/>
      <c r="J6" s="3"/>
      <c r="K6" s="3"/>
      <c r="L6" s="3"/>
      <c r="M6" s="58"/>
    </row>
    <row r="7" spans="1:13" x14ac:dyDescent="0.2">
      <c r="A7" s="2"/>
      <c r="B7" s="4"/>
      <c r="C7" s="4"/>
      <c r="D7" s="4"/>
      <c r="E7" s="54"/>
      <c r="F7" s="4"/>
      <c r="G7" s="4"/>
      <c r="H7" s="4"/>
      <c r="I7" s="54"/>
      <c r="J7" s="4"/>
      <c r="K7" s="4"/>
      <c r="L7" s="4"/>
      <c r="M7" s="59"/>
    </row>
    <row r="8" spans="1:13" x14ac:dyDescent="0.2">
      <c r="A8" s="2"/>
      <c r="B8" s="4"/>
      <c r="C8" s="4"/>
      <c r="D8" s="4"/>
      <c r="E8" s="54"/>
      <c r="F8" s="4"/>
      <c r="G8" s="4"/>
      <c r="H8" s="4"/>
      <c r="I8" s="54"/>
      <c r="J8" s="4"/>
      <c r="K8" s="4"/>
      <c r="L8" s="4"/>
      <c r="M8" s="59"/>
    </row>
    <row r="9" spans="1:13" x14ac:dyDescent="0.2">
      <c r="A9" s="2"/>
      <c r="B9" s="4"/>
      <c r="C9" s="4"/>
      <c r="D9" s="4"/>
      <c r="E9" s="54"/>
      <c r="F9" s="4"/>
      <c r="G9" s="4"/>
      <c r="H9" s="4"/>
      <c r="I9" s="54"/>
      <c r="J9" s="4"/>
      <c r="K9" s="4"/>
      <c r="L9" s="4"/>
      <c r="M9" s="59"/>
    </row>
    <row r="10" spans="1:13" x14ac:dyDescent="0.2">
      <c r="A10" s="2"/>
      <c r="B10" s="4"/>
      <c r="C10" s="4"/>
      <c r="D10" s="4"/>
      <c r="E10" s="54"/>
      <c r="F10" s="4"/>
      <c r="G10" s="4"/>
      <c r="H10" s="4"/>
      <c r="I10" s="54"/>
      <c r="J10" s="4"/>
      <c r="K10" s="4"/>
      <c r="L10" s="4"/>
      <c r="M10" s="59"/>
    </row>
    <row r="11" spans="1:13" x14ac:dyDescent="0.2">
      <c r="A11" s="2"/>
      <c r="B11" s="4"/>
      <c r="C11" s="4"/>
      <c r="D11" s="4"/>
      <c r="E11" s="54"/>
      <c r="F11" s="4"/>
      <c r="G11" s="4"/>
      <c r="H11" s="4"/>
      <c r="I11" s="54"/>
      <c r="J11" s="4"/>
      <c r="K11" s="4"/>
      <c r="L11" s="4"/>
      <c r="M11" s="59"/>
    </row>
    <row r="12" spans="1:13" x14ac:dyDescent="0.2">
      <c r="A12" s="2"/>
      <c r="B12" s="4"/>
      <c r="C12" s="4"/>
      <c r="D12" s="4"/>
      <c r="E12" s="54"/>
      <c r="F12" s="4"/>
      <c r="G12" s="4"/>
      <c r="H12" s="4"/>
      <c r="I12" s="54"/>
      <c r="J12" s="4"/>
      <c r="K12" s="4"/>
      <c r="L12" s="4"/>
      <c r="M12" s="59"/>
    </row>
    <row r="13" spans="1:13" x14ac:dyDescent="0.2">
      <c r="A13" s="2"/>
      <c r="B13" s="4"/>
      <c r="C13" s="4"/>
      <c r="D13" s="4"/>
      <c r="E13" s="54"/>
      <c r="F13" s="4"/>
      <c r="G13" s="4"/>
      <c r="H13" s="4"/>
      <c r="I13" s="54"/>
      <c r="J13" s="4"/>
      <c r="K13" s="4"/>
      <c r="L13" s="4"/>
      <c r="M13" s="59"/>
    </row>
    <row r="14" spans="1:13" x14ac:dyDescent="0.2">
      <c r="A14" s="2"/>
      <c r="B14" s="4"/>
      <c r="C14" s="4"/>
      <c r="D14" s="4"/>
      <c r="E14" s="54"/>
      <c r="F14" s="4"/>
      <c r="G14" s="4"/>
      <c r="H14" s="4"/>
      <c r="I14" s="54"/>
      <c r="J14" s="4"/>
      <c r="K14" s="4"/>
      <c r="L14" s="4"/>
      <c r="M14" s="59"/>
    </row>
    <row r="15" spans="1:13" x14ac:dyDescent="0.2">
      <c r="A15" s="2"/>
      <c r="B15" s="4"/>
      <c r="C15" s="4"/>
      <c r="D15" s="4"/>
      <c r="E15" s="54"/>
      <c r="F15" s="4"/>
      <c r="G15" s="4"/>
      <c r="H15" s="4"/>
      <c r="I15" s="54"/>
      <c r="J15" s="4"/>
      <c r="K15" s="4"/>
      <c r="L15" s="4"/>
      <c r="M15" s="59"/>
    </row>
    <row r="16" spans="1:13" x14ac:dyDescent="0.2">
      <c r="B16" s="4"/>
      <c r="C16" s="4"/>
      <c r="D16" s="4"/>
      <c r="E16" s="54"/>
      <c r="F16" s="4"/>
      <c r="G16" s="4"/>
      <c r="H16" s="4"/>
      <c r="I16" s="54"/>
      <c r="J16" s="4"/>
      <c r="K16" s="4"/>
      <c r="L16" s="4"/>
      <c r="M16" s="59"/>
    </row>
    <row r="17" spans="2:13" x14ac:dyDescent="0.2">
      <c r="B17" s="4"/>
      <c r="C17" s="4"/>
      <c r="D17" s="4"/>
      <c r="E17" s="54"/>
      <c r="F17" s="4"/>
      <c r="G17" s="4"/>
      <c r="H17" s="4"/>
      <c r="I17" s="54"/>
      <c r="J17" s="4"/>
      <c r="K17" s="4"/>
      <c r="L17" s="4"/>
      <c r="M17" s="59"/>
    </row>
    <row r="18" spans="2:13" x14ac:dyDescent="0.2">
      <c r="B18" s="4"/>
      <c r="C18" s="4"/>
      <c r="D18" s="4"/>
      <c r="E18" s="54"/>
      <c r="F18" s="4"/>
      <c r="G18" s="4"/>
      <c r="H18" s="4"/>
      <c r="I18" s="54"/>
      <c r="J18" s="4"/>
      <c r="K18" s="4"/>
      <c r="L18" s="4"/>
      <c r="M18" s="59"/>
    </row>
    <row r="19" spans="2:13" ht="17" thickBot="1" x14ac:dyDescent="0.25">
      <c r="B19" s="5"/>
      <c r="C19" s="5"/>
      <c r="D19" s="5"/>
      <c r="E19" s="55"/>
      <c r="F19" s="5"/>
      <c r="G19" s="5"/>
      <c r="H19" s="5"/>
      <c r="I19" s="55"/>
      <c r="J19" s="5"/>
      <c r="K19" s="5"/>
      <c r="L19" s="5"/>
      <c r="M19" s="60"/>
    </row>
    <row r="20" spans="2:13" ht="20" thickBot="1" x14ac:dyDescent="0.3">
      <c r="B20" s="378" t="s">
        <v>26</v>
      </c>
      <c r="C20" s="379"/>
      <c r="D20" s="379"/>
      <c r="E20" s="379"/>
      <c r="F20" s="379"/>
      <c r="G20" s="379"/>
      <c r="H20" s="379"/>
      <c r="I20" s="379"/>
      <c r="J20" s="379"/>
      <c r="K20" s="379"/>
      <c r="L20" s="379"/>
      <c r="M20" s="380"/>
    </row>
    <row r="21" spans="2:13" ht="20" thickBot="1" x14ac:dyDescent="0.3">
      <c r="B21" s="375" t="s">
        <v>2</v>
      </c>
      <c r="C21" s="376"/>
      <c r="D21" s="376"/>
      <c r="E21" s="377"/>
      <c r="F21" s="375" t="s">
        <v>3</v>
      </c>
      <c r="G21" s="376"/>
      <c r="H21" s="376"/>
      <c r="I21" s="377"/>
      <c r="J21" s="375" t="s">
        <v>4</v>
      </c>
      <c r="K21" s="376"/>
      <c r="L21" s="376"/>
      <c r="M21" s="377"/>
    </row>
    <row r="22" spans="2:13" ht="20" thickBot="1" x14ac:dyDescent="0.3">
      <c r="B22" s="49" t="s">
        <v>527</v>
      </c>
      <c r="C22" s="50" t="s">
        <v>528</v>
      </c>
      <c r="D22" s="50" t="s">
        <v>529</v>
      </c>
      <c r="E22" s="52" t="s">
        <v>530</v>
      </c>
      <c r="F22" s="49" t="s">
        <v>527</v>
      </c>
      <c r="G22" s="50" t="s">
        <v>528</v>
      </c>
      <c r="H22" s="50" t="s">
        <v>529</v>
      </c>
      <c r="I22" s="52" t="s">
        <v>530</v>
      </c>
      <c r="J22" s="49" t="s">
        <v>527</v>
      </c>
      <c r="K22" s="50" t="s">
        <v>528</v>
      </c>
      <c r="L22" s="50" t="s">
        <v>529</v>
      </c>
      <c r="M22" s="52" t="s">
        <v>530</v>
      </c>
    </row>
    <row r="23" spans="2:13" x14ac:dyDescent="0.2">
      <c r="B23" s="3"/>
      <c r="C23" s="71"/>
      <c r="D23" s="3"/>
      <c r="E23" s="53"/>
      <c r="F23" s="3"/>
      <c r="G23" s="71"/>
      <c r="H23" s="3"/>
      <c r="I23" s="53"/>
      <c r="J23" s="4" t="s">
        <v>30</v>
      </c>
      <c r="K23" s="71"/>
      <c r="L23" s="3" t="s">
        <v>843</v>
      </c>
      <c r="M23" s="58">
        <f>'Vegas 2025'!G73</f>
        <v>17625</v>
      </c>
    </row>
    <row r="24" spans="2:13" x14ac:dyDescent="0.2">
      <c r="B24" s="4"/>
      <c r="C24" s="72"/>
      <c r="D24" s="4"/>
      <c r="E24" s="54"/>
      <c r="F24" s="4"/>
      <c r="G24" s="72"/>
      <c r="H24" s="4"/>
      <c r="I24" s="54"/>
      <c r="J24" s="4" t="s">
        <v>35</v>
      </c>
      <c r="K24" s="4"/>
      <c r="L24" s="4" t="s">
        <v>531</v>
      </c>
      <c r="M24" s="59">
        <f>1017.15+290.1+484+290.1+96.8+145.35+96.8+106.51+96.8</f>
        <v>2623.6100000000006</v>
      </c>
    </row>
    <row r="25" spans="2:13" x14ac:dyDescent="0.2">
      <c r="B25" s="4"/>
      <c r="C25" s="4"/>
      <c r="D25" s="4"/>
      <c r="E25" s="54"/>
      <c r="F25" s="4"/>
      <c r="G25" s="4"/>
      <c r="H25" s="4"/>
      <c r="I25" s="54"/>
      <c r="J25" s="4" t="s">
        <v>35</v>
      </c>
      <c r="K25" s="4"/>
      <c r="L25" s="4" t="s">
        <v>814</v>
      </c>
      <c r="M25" s="59">
        <f>560+50+25+50+25+50+50+75+50+25+25+25</f>
        <v>1010</v>
      </c>
    </row>
    <row r="26" spans="2:13" x14ac:dyDescent="0.2">
      <c r="B26" s="4"/>
      <c r="C26" s="4"/>
      <c r="D26" s="4"/>
      <c r="E26" s="54"/>
      <c r="F26" s="4"/>
      <c r="G26" s="4"/>
      <c r="H26" s="4"/>
      <c r="I26" s="54"/>
      <c r="J26" s="4" t="s">
        <v>30</v>
      </c>
      <c r="K26" s="4"/>
      <c r="L26" s="4" t="s">
        <v>828</v>
      </c>
      <c r="M26" s="59">
        <f>643.75+20</f>
        <v>663.75</v>
      </c>
    </row>
    <row r="27" spans="2:13" x14ac:dyDescent="0.2">
      <c r="B27" s="4"/>
      <c r="C27" s="4"/>
      <c r="D27" s="4"/>
      <c r="E27" s="54"/>
      <c r="F27" s="4"/>
      <c r="G27" s="4"/>
      <c r="H27" s="4"/>
      <c r="I27" s="54"/>
      <c r="J27" s="4"/>
      <c r="K27" s="4"/>
      <c r="L27" s="4"/>
      <c r="M27" s="59"/>
    </row>
    <row r="28" spans="2:13" x14ac:dyDescent="0.2">
      <c r="B28" s="4"/>
      <c r="C28" s="4"/>
      <c r="D28" s="4"/>
      <c r="E28" s="54"/>
      <c r="F28" s="4"/>
      <c r="G28" s="4"/>
      <c r="H28" s="4"/>
      <c r="I28" s="54"/>
      <c r="J28" s="4"/>
      <c r="K28" s="4"/>
      <c r="L28" s="4"/>
      <c r="M28" s="59"/>
    </row>
    <row r="29" spans="2:13" x14ac:dyDescent="0.2">
      <c r="B29" s="4"/>
      <c r="C29" s="4"/>
      <c r="D29" s="4"/>
      <c r="E29" s="54"/>
      <c r="F29" s="4"/>
      <c r="G29" s="4"/>
      <c r="H29" s="4"/>
      <c r="I29" s="54"/>
      <c r="J29" s="4"/>
      <c r="K29" s="4"/>
      <c r="L29" s="4"/>
      <c r="M29" s="59"/>
    </row>
    <row r="30" spans="2:13" x14ac:dyDescent="0.2">
      <c r="B30" s="4"/>
      <c r="C30" s="4"/>
      <c r="D30" s="4"/>
      <c r="E30" s="54"/>
      <c r="F30" s="4"/>
      <c r="G30" s="4"/>
      <c r="H30" s="4"/>
      <c r="I30" s="54"/>
      <c r="J30" s="4"/>
      <c r="K30" s="4"/>
      <c r="L30" s="4"/>
      <c r="M30" s="59"/>
    </row>
    <row r="31" spans="2:13" x14ac:dyDescent="0.2">
      <c r="B31" s="4"/>
      <c r="C31" s="4"/>
      <c r="D31" s="4"/>
      <c r="E31" s="54"/>
      <c r="F31" s="4"/>
      <c r="G31" s="4"/>
      <c r="H31" s="4"/>
      <c r="I31" s="54"/>
      <c r="J31" s="4"/>
      <c r="K31" s="4"/>
      <c r="L31" s="4"/>
      <c r="M31" s="59"/>
    </row>
    <row r="32" spans="2:13" x14ac:dyDescent="0.2">
      <c r="B32" s="4"/>
      <c r="C32" s="4"/>
      <c r="D32" s="4"/>
      <c r="E32" s="54"/>
      <c r="F32" s="4"/>
      <c r="G32" s="4"/>
      <c r="H32" s="4"/>
      <c r="I32" s="54"/>
      <c r="J32" s="4"/>
      <c r="K32" s="4"/>
      <c r="L32" s="4"/>
      <c r="M32" s="59"/>
    </row>
    <row r="33" spans="2:13" x14ac:dyDescent="0.2">
      <c r="B33" s="4"/>
      <c r="C33" s="4"/>
      <c r="D33" s="4"/>
      <c r="E33" s="54"/>
      <c r="F33" s="4"/>
      <c r="G33" s="4"/>
      <c r="H33" s="4"/>
      <c r="I33" s="54"/>
      <c r="J33" s="4"/>
      <c r="K33" s="4"/>
      <c r="L33" s="4"/>
      <c r="M33" s="59"/>
    </row>
    <row r="34" spans="2:13" x14ac:dyDescent="0.2">
      <c r="B34" s="4"/>
      <c r="C34" s="4"/>
      <c r="D34" s="4"/>
      <c r="E34" s="54"/>
      <c r="F34" s="4"/>
      <c r="G34" s="4"/>
      <c r="H34" s="4"/>
      <c r="I34" s="54"/>
      <c r="J34" s="4"/>
      <c r="K34" s="4"/>
      <c r="L34" s="4"/>
      <c r="M34" s="59"/>
    </row>
    <row r="35" spans="2:13" x14ac:dyDescent="0.2">
      <c r="B35" s="4"/>
      <c r="C35" s="4"/>
      <c r="D35" s="4"/>
      <c r="E35" s="54"/>
      <c r="F35" s="4"/>
      <c r="G35" s="4"/>
      <c r="H35" s="4"/>
      <c r="I35" s="54"/>
      <c r="J35" s="4"/>
      <c r="K35" s="4"/>
      <c r="L35" s="4"/>
      <c r="M35" s="59"/>
    </row>
    <row r="36" spans="2:13" x14ac:dyDescent="0.2">
      <c r="B36" s="4"/>
      <c r="C36" s="4"/>
      <c r="D36" s="4"/>
      <c r="E36" s="54"/>
      <c r="F36" s="4"/>
      <c r="G36" s="4"/>
      <c r="H36" s="4"/>
      <c r="I36" s="54"/>
      <c r="J36" s="4"/>
      <c r="K36" s="4"/>
      <c r="L36" s="4"/>
      <c r="M36" s="59"/>
    </row>
    <row r="37" spans="2:13" x14ac:dyDescent="0.2">
      <c r="B37" s="4"/>
      <c r="C37" s="4"/>
      <c r="D37" s="4"/>
      <c r="E37" s="54"/>
      <c r="F37" s="4"/>
      <c r="G37" s="4"/>
      <c r="H37" s="4"/>
      <c r="I37" s="54"/>
      <c r="J37" s="4"/>
      <c r="K37" s="4"/>
      <c r="L37" s="4"/>
      <c r="M37" s="59"/>
    </row>
    <row r="38" spans="2:13" x14ac:dyDescent="0.2">
      <c r="B38" s="4"/>
      <c r="C38" s="4"/>
      <c r="D38" s="4"/>
      <c r="E38" s="54"/>
      <c r="F38" s="4"/>
      <c r="G38" s="4"/>
      <c r="H38" s="4"/>
      <c r="I38" s="54"/>
      <c r="J38" s="4"/>
      <c r="K38" s="4"/>
      <c r="L38" s="4"/>
      <c r="M38" s="59"/>
    </row>
    <row r="39" spans="2:13" x14ac:dyDescent="0.2">
      <c r="B39" s="4"/>
      <c r="C39" s="4"/>
      <c r="D39" s="4"/>
      <c r="E39" s="54"/>
      <c r="F39" s="4"/>
      <c r="G39" s="4"/>
      <c r="H39" s="4"/>
      <c r="I39" s="54"/>
      <c r="J39" s="4"/>
      <c r="K39" s="4"/>
      <c r="L39" s="4"/>
      <c r="M39" s="59"/>
    </row>
    <row r="40" spans="2:13" x14ac:dyDescent="0.2">
      <c r="B40" s="4"/>
      <c r="C40" s="4"/>
      <c r="D40" s="4"/>
      <c r="E40" s="54"/>
      <c r="F40" s="4"/>
      <c r="G40" s="4"/>
      <c r="H40" s="4"/>
      <c r="I40" s="54"/>
      <c r="J40" s="4"/>
      <c r="K40" s="4"/>
      <c r="L40" s="4"/>
      <c r="M40" s="59"/>
    </row>
    <row r="41" spans="2:13" x14ac:dyDescent="0.2">
      <c r="B41" s="4"/>
      <c r="C41" s="4"/>
      <c r="D41" s="4"/>
      <c r="E41" s="54"/>
      <c r="F41" s="4"/>
      <c r="G41" s="4"/>
      <c r="H41" s="4"/>
      <c r="I41" s="54"/>
      <c r="J41" s="4"/>
      <c r="K41" s="4"/>
      <c r="L41" s="4"/>
      <c r="M41" s="59"/>
    </row>
    <row r="42" spans="2:13" x14ac:dyDescent="0.2">
      <c r="B42" s="4"/>
      <c r="C42" s="4"/>
      <c r="D42" s="4"/>
      <c r="E42" s="54"/>
      <c r="F42" s="4"/>
      <c r="G42" s="4"/>
      <c r="H42" s="4"/>
      <c r="I42" s="54"/>
      <c r="J42" s="4"/>
      <c r="K42" s="4"/>
      <c r="L42" s="4"/>
      <c r="M42" s="59"/>
    </row>
    <row r="43" spans="2:13" x14ac:dyDescent="0.2">
      <c r="B43" s="4"/>
      <c r="C43" s="4"/>
      <c r="D43" s="4"/>
      <c r="E43" s="54"/>
      <c r="F43" s="4"/>
      <c r="G43" s="4"/>
      <c r="H43" s="4"/>
      <c r="I43" s="54"/>
      <c r="J43" s="4"/>
      <c r="K43" s="4"/>
      <c r="L43" s="4"/>
      <c r="M43" s="59"/>
    </row>
    <row r="44" spans="2:13" x14ac:dyDescent="0.2">
      <c r="B44" s="4"/>
      <c r="C44" s="4"/>
      <c r="D44" s="4"/>
      <c r="E44" s="54"/>
      <c r="F44" s="4"/>
      <c r="G44" s="4"/>
      <c r="H44" s="4"/>
      <c r="I44" s="54"/>
      <c r="J44" s="4"/>
      <c r="K44" s="4"/>
      <c r="L44" s="4"/>
      <c r="M44" s="59"/>
    </row>
    <row r="45" spans="2:13" x14ac:dyDescent="0.2">
      <c r="B45" s="4"/>
      <c r="C45" s="4"/>
      <c r="D45" s="4"/>
      <c r="E45" s="54"/>
      <c r="F45" s="4"/>
      <c r="G45" s="4"/>
      <c r="H45" s="4"/>
      <c r="I45" s="54"/>
      <c r="J45" s="4"/>
      <c r="K45" s="4"/>
      <c r="L45" s="4"/>
      <c r="M45" s="59"/>
    </row>
    <row r="46" spans="2:13" x14ac:dyDescent="0.2">
      <c r="B46" s="4"/>
      <c r="C46" s="4"/>
      <c r="D46" s="4"/>
      <c r="E46" s="54"/>
      <c r="F46" s="4"/>
      <c r="G46" s="4"/>
      <c r="H46" s="4"/>
      <c r="I46" s="54"/>
      <c r="J46" s="4"/>
      <c r="K46" s="4"/>
      <c r="L46" s="4"/>
      <c r="M46" s="59"/>
    </row>
    <row r="47" spans="2:13" x14ac:dyDescent="0.2">
      <c r="B47" s="4"/>
      <c r="C47" s="4"/>
      <c r="D47" s="4"/>
      <c r="E47" s="54"/>
      <c r="F47" s="4"/>
      <c r="G47" s="4"/>
      <c r="H47" s="4"/>
      <c r="I47" s="54"/>
      <c r="J47" s="4"/>
      <c r="K47" s="4"/>
      <c r="L47" s="4"/>
      <c r="M47" s="59"/>
    </row>
    <row r="48" spans="2:13" x14ac:dyDescent="0.2">
      <c r="B48" s="4"/>
      <c r="C48" s="4"/>
      <c r="D48" s="4"/>
      <c r="E48" s="54"/>
      <c r="F48" s="4"/>
      <c r="G48" s="4"/>
      <c r="H48" s="4"/>
      <c r="I48" s="54"/>
      <c r="J48" s="4"/>
      <c r="K48" s="4"/>
      <c r="L48" s="4"/>
      <c r="M48" s="59"/>
    </row>
    <row r="49" spans="2:13" x14ac:dyDescent="0.2">
      <c r="B49" s="4"/>
      <c r="C49" s="4"/>
      <c r="D49" s="4"/>
      <c r="E49" s="54"/>
      <c r="F49" s="4"/>
      <c r="G49" s="4"/>
      <c r="H49" s="4"/>
      <c r="I49" s="54"/>
      <c r="J49" s="4"/>
      <c r="K49" s="4"/>
      <c r="L49" s="4"/>
      <c r="M49" s="59"/>
    </row>
    <row r="50" spans="2:13" x14ac:dyDescent="0.2">
      <c r="B50" s="4"/>
      <c r="C50" s="4"/>
      <c r="D50" s="4"/>
      <c r="E50" s="54"/>
      <c r="F50" s="4"/>
      <c r="G50" s="4"/>
      <c r="H50" s="4"/>
      <c r="I50" s="54"/>
      <c r="J50" s="4"/>
      <c r="K50" s="4"/>
      <c r="L50" s="4"/>
      <c r="M50" s="59"/>
    </row>
    <row r="51" spans="2:13" ht="17" thickBot="1" x14ac:dyDescent="0.25">
      <c r="B51" s="4"/>
      <c r="C51" s="4"/>
      <c r="D51" s="4"/>
      <c r="E51" s="54"/>
      <c r="F51" s="4"/>
      <c r="G51" s="4"/>
      <c r="H51" s="4"/>
      <c r="I51" s="54"/>
      <c r="J51" s="4"/>
      <c r="K51" s="4"/>
      <c r="L51" s="4"/>
      <c r="M51" s="59"/>
    </row>
    <row r="52" spans="2:13" ht="20" thickBot="1" x14ac:dyDescent="0.3">
      <c r="B52" s="378" t="s">
        <v>37</v>
      </c>
      <c r="C52" s="379"/>
      <c r="D52" s="379"/>
      <c r="E52" s="379"/>
      <c r="F52" s="379"/>
      <c r="G52" s="379"/>
      <c r="H52" s="379"/>
      <c r="I52" s="379"/>
      <c r="J52" s="379"/>
      <c r="K52" s="379"/>
      <c r="L52" s="379"/>
      <c r="M52" s="380"/>
    </row>
    <row r="53" spans="2:13" ht="20" thickBot="1" x14ac:dyDescent="0.3">
      <c r="B53" s="375" t="s">
        <v>2</v>
      </c>
      <c r="C53" s="376"/>
      <c r="D53" s="376"/>
      <c r="E53" s="377"/>
      <c r="F53" s="375" t="s">
        <v>3</v>
      </c>
      <c r="G53" s="376"/>
      <c r="H53" s="376"/>
      <c r="I53" s="377"/>
      <c r="J53" s="375" t="s">
        <v>4</v>
      </c>
      <c r="K53" s="376"/>
      <c r="L53" s="376"/>
      <c r="M53" s="377"/>
    </row>
    <row r="54" spans="2:13" ht="20" thickBot="1" x14ac:dyDescent="0.3">
      <c r="B54" s="49" t="s">
        <v>527</v>
      </c>
      <c r="C54" s="50" t="s">
        <v>528</v>
      </c>
      <c r="D54" s="50" t="s">
        <v>529</v>
      </c>
      <c r="E54" s="52" t="s">
        <v>530</v>
      </c>
      <c r="F54" s="49" t="s">
        <v>527</v>
      </c>
      <c r="G54" s="50" t="s">
        <v>528</v>
      </c>
      <c r="H54" s="50" t="s">
        <v>529</v>
      </c>
      <c r="I54" s="52" t="s">
        <v>530</v>
      </c>
      <c r="J54" s="49" t="s">
        <v>527</v>
      </c>
      <c r="K54" s="50" t="s">
        <v>528</v>
      </c>
      <c r="L54" s="50" t="s">
        <v>529</v>
      </c>
      <c r="M54" s="52" t="s">
        <v>530</v>
      </c>
    </row>
    <row r="55" spans="2:13" x14ac:dyDescent="0.2">
      <c r="B55" s="3"/>
      <c r="C55" s="71"/>
      <c r="D55" s="3"/>
      <c r="E55" s="53"/>
      <c r="F55" s="261" t="s">
        <v>46</v>
      </c>
      <c r="G55" s="71">
        <v>45706</v>
      </c>
      <c r="H55" s="3" t="s">
        <v>532</v>
      </c>
      <c r="I55" s="53">
        <f>250*9+100</f>
        <v>2350</v>
      </c>
      <c r="J55" s="261"/>
      <c r="K55" s="71"/>
      <c r="L55" s="3"/>
      <c r="M55" s="58"/>
    </row>
    <row r="56" spans="2:13" x14ac:dyDescent="0.2">
      <c r="B56" s="4"/>
      <c r="C56" s="72"/>
      <c r="D56" s="4"/>
      <c r="E56" s="54"/>
      <c r="F56" s="261"/>
      <c r="G56" s="72"/>
      <c r="H56" s="4"/>
      <c r="I56" s="54"/>
      <c r="J56" s="4"/>
      <c r="K56" s="178"/>
      <c r="L56" s="4"/>
      <c r="M56" s="59"/>
    </row>
    <row r="57" spans="2:13" x14ac:dyDescent="0.2">
      <c r="B57" s="4"/>
      <c r="C57" s="72"/>
      <c r="D57" s="4"/>
      <c r="E57" s="54"/>
      <c r="F57" s="261"/>
      <c r="G57" s="72"/>
      <c r="H57" s="4"/>
      <c r="I57" s="54"/>
      <c r="J57" s="4"/>
      <c r="K57" s="4"/>
      <c r="L57" s="4"/>
      <c r="M57" s="59"/>
    </row>
    <row r="58" spans="2:13" x14ac:dyDescent="0.2">
      <c r="B58" s="4"/>
      <c r="C58" s="4"/>
      <c r="D58" s="4"/>
      <c r="E58" s="54"/>
      <c r="F58" s="261"/>
      <c r="G58" s="4"/>
      <c r="H58" s="4"/>
      <c r="I58" s="54"/>
      <c r="J58" s="4"/>
      <c r="K58" s="4"/>
      <c r="L58" s="4"/>
      <c r="M58" s="59"/>
    </row>
    <row r="59" spans="2:13" x14ac:dyDescent="0.2">
      <c r="B59" s="4"/>
      <c r="C59" s="4"/>
      <c r="D59" s="4"/>
      <c r="E59" s="54"/>
      <c r="F59" s="261"/>
      <c r="G59" s="4"/>
      <c r="H59" s="4"/>
      <c r="I59" s="54"/>
      <c r="J59" s="4"/>
      <c r="K59" s="4"/>
      <c r="L59" s="4"/>
      <c r="M59" s="59"/>
    </row>
    <row r="60" spans="2:13" x14ac:dyDescent="0.2">
      <c r="B60" s="4"/>
      <c r="C60" s="4"/>
      <c r="D60" s="4"/>
      <c r="E60" s="54"/>
      <c r="F60" s="261"/>
      <c r="G60" s="4"/>
      <c r="H60" s="4"/>
      <c r="I60" s="54"/>
      <c r="J60" s="4"/>
      <c r="K60" s="4"/>
      <c r="L60" s="4"/>
      <c r="M60" s="59"/>
    </row>
    <row r="61" spans="2:13" x14ac:dyDescent="0.2">
      <c r="B61" s="4"/>
      <c r="C61" s="4"/>
      <c r="D61" s="4"/>
      <c r="E61" s="54"/>
      <c r="F61" s="261"/>
      <c r="G61" s="4"/>
      <c r="H61" s="4"/>
      <c r="I61" s="54"/>
      <c r="J61" s="4"/>
      <c r="K61" s="4"/>
      <c r="L61" s="4"/>
      <c r="M61" s="59"/>
    </row>
    <row r="62" spans="2:13" x14ac:dyDescent="0.2">
      <c r="B62" s="4"/>
      <c r="C62" s="4"/>
      <c r="D62" s="4"/>
      <c r="E62" s="54"/>
      <c r="F62" s="261"/>
      <c r="G62" s="4"/>
      <c r="H62" s="4"/>
      <c r="I62" s="54"/>
      <c r="J62" s="4"/>
      <c r="K62" s="4"/>
      <c r="L62" s="4"/>
      <c r="M62" s="59"/>
    </row>
    <row r="63" spans="2:13" x14ac:dyDescent="0.2">
      <c r="B63" s="4"/>
      <c r="C63" s="4"/>
      <c r="D63" s="4"/>
      <c r="E63" s="54"/>
      <c r="F63" s="261"/>
      <c r="G63" s="4"/>
      <c r="H63" s="4"/>
      <c r="I63" s="54"/>
      <c r="J63" s="4"/>
      <c r="K63" s="4"/>
      <c r="L63" s="4"/>
      <c r="M63" s="59"/>
    </row>
    <row r="64" spans="2:13" x14ac:dyDescent="0.2">
      <c r="B64" s="4"/>
      <c r="C64" s="4"/>
      <c r="D64" s="4"/>
      <c r="E64" s="54"/>
      <c r="F64" s="261"/>
      <c r="G64" s="4"/>
      <c r="H64" s="4"/>
      <c r="I64" s="54"/>
      <c r="J64" s="4"/>
      <c r="K64" s="4"/>
      <c r="L64" s="4"/>
      <c r="M64" s="59"/>
    </row>
    <row r="65" spans="2:13" x14ac:dyDescent="0.2">
      <c r="B65" s="4"/>
      <c r="C65" s="4"/>
      <c r="D65" s="4"/>
      <c r="E65" s="54"/>
      <c r="F65" s="261"/>
      <c r="G65" s="4"/>
      <c r="H65" s="4"/>
      <c r="I65" s="54"/>
      <c r="J65" s="4"/>
      <c r="K65" s="4"/>
      <c r="L65" s="4"/>
      <c r="M65" s="59"/>
    </row>
    <row r="66" spans="2:13" x14ac:dyDescent="0.2">
      <c r="B66" s="4"/>
      <c r="C66" s="4"/>
      <c r="D66" s="4"/>
      <c r="E66" s="54"/>
      <c r="F66" s="261"/>
      <c r="G66" s="4"/>
      <c r="H66" s="4"/>
      <c r="I66" s="54"/>
      <c r="J66" s="4"/>
      <c r="K66" s="4"/>
      <c r="L66" s="4"/>
      <c r="M66" s="59"/>
    </row>
    <row r="67" spans="2:13" x14ac:dyDescent="0.2">
      <c r="B67" s="4"/>
      <c r="C67" s="4"/>
      <c r="D67" s="4"/>
      <c r="E67" s="54"/>
      <c r="F67" s="261"/>
      <c r="G67" s="4"/>
      <c r="H67" s="4"/>
      <c r="I67" s="54"/>
      <c r="J67" s="4"/>
      <c r="K67" s="4"/>
      <c r="L67" s="4"/>
      <c r="M67" s="59"/>
    </row>
    <row r="68" spans="2:13" x14ac:dyDescent="0.2">
      <c r="B68" s="4"/>
      <c r="C68" s="4"/>
      <c r="D68" s="4"/>
      <c r="E68" s="54"/>
      <c r="F68" s="261"/>
      <c r="G68" s="4"/>
      <c r="H68" s="4"/>
      <c r="I68" s="54"/>
      <c r="J68" s="4"/>
      <c r="K68" s="4"/>
      <c r="L68" s="4"/>
      <c r="M68" s="59"/>
    </row>
    <row r="69" spans="2:13" x14ac:dyDescent="0.2">
      <c r="B69" s="4"/>
      <c r="C69" s="4"/>
      <c r="D69" s="4"/>
      <c r="E69" s="54"/>
      <c r="F69" s="261"/>
      <c r="G69" s="4"/>
      <c r="H69" s="4"/>
      <c r="I69" s="54"/>
      <c r="J69" s="4"/>
      <c r="K69" s="4"/>
      <c r="L69" s="4"/>
      <c r="M69" s="59"/>
    </row>
    <row r="70" spans="2:13" x14ac:dyDescent="0.2">
      <c r="B70" s="4"/>
      <c r="C70" s="4"/>
      <c r="D70" s="4"/>
      <c r="E70" s="54"/>
      <c r="F70" s="261"/>
      <c r="G70" s="4"/>
      <c r="H70" s="4"/>
      <c r="I70" s="54"/>
      <c r="J70" s="4"/>
      <c r="K70" s="4"/>
      <c r="L70" s="4"/>
      <c r="M70" s="59"/>
    </row>
    <row r="71" spans="2:13" x14ac:dyDescent="0.2">
      <c r="B71" s="4"/>
      <c r="C71" s="4"/>
      <c r="D71" s="4"/>
      <c r="E71" s="54"/>
      <c r="F71" s="261"/>
      <c r="G71" s="4"/>
      <c r="H71" s="4"/>
      <c r="I71" s="54"/>
      <c r="J71" s="4"/>
      <c r="K71" s="4"/>
      <c r="L71" s="4"/>
      <c r="M71" s="59"/>
    </row>
    <row r="72" spans="2:13" x14ac:dyDescent="0.2">
      <c r="B72" s="4"/>
      <c r="C72" s="4"/>
      <c r="D72" s="4"/>
      <c r="E72" s="54"/>
      <c r="F72" s="261"/>
      <c r="G72" s="4"/>
      <c r="H72" s="4"/>
      <c r="I72" s="54"/>
      <c r="J72" s="4"/>
      <c r="K72" s="4"/>
      <c r="L72" s="4"/>
      <c r="M72" s="59"/>
    </row>
    <row r="73" spans="2:13" x14ac:dyDescent="0.2">
      <c r="B73" s="4"/>
      <c r="C73" s="4"/>
      <c r="D73" s="4"/>
      <c r="E73" s="54"/>
      <c r="F73" s="261"/>
      <c r="G73" s="4"/>
      <c r="H73" s="4"/>
      <c r="I73" s="54"/>
      <c r="J73" s="4"/>
      <c r="K73" s="4"/>
      <c r="L73" s="4"/>
      <c r="M73" s="59"/>
    </row>
    <row r="74" spans="2:13" x14ac:dyDescent="0.2">
      <c r="B74" s="4"/>
      <c r="C74" s="4"/>
      <c r="D74" s="4"/>
      <c r="E74" s="54"/>
      <c r="F74" s="261"/>
      <c r="G74" s="4"/>
      <c r="H74" s="4"/>
      <c r="I74" s="54"/>
      <c r="J74" s="4"/>
      <c r="K74" s="4"/>
      <c r="L74" s="4"/>
      <c r="M74" s="59"/>
    </row>
    <row r="75" spans="2:13" x14ac:dyDescent="0.2">
      <c r="B75" s="4"/>
      <c r="C75" s="4"/>
      <c r="D75" s="4"/>
      <c r="E75" s="54"/>
      <c r="F75" s="261"/>
      <c r="G75" s="4"/>
      <c r="H75" s="4"/>
      <c r="I75" s="54"/>
      <c r="J75" s="4"/>
      <c r="K75" s="4"/>
      <c r="L75" s="4"/>
      <c r="M75" s="59"/>
    </row>
    <row r="76" spans="2:13" x14ac:dyDescent="0.2">
      <c r="B76" s="4"/>
      <c r="C76" s="4"/>
      <c r="D76" s="4"/>
      <c r="E76" s="54"/>
      <c r="F76" s="261"/>
      <c r="G76" s="4"/>
      <c r="H76" s="4"/>
      <c r="I76" s="54"/>
      <c r="J76" s="4"/>
      <c r="K76" s="4"/>
      <c r="L76" s="4"/>
      <c r="M76" s="59"/>
    </row>
    <row r="77" spans="2:13" x14ac:dyDescent="0.2">
      <c r="B77" s="4"/>
      <c r="C77" s="4"/>
      <c r="D77" s="4"/>
      <c r="E77" s="54"/>
      <c r="F77" s="261"/>
      <c r="G77" s="4"/>
      <c r="H77" s="4"/>
      <c r="I77" s="54"/>
      <c r="J77" s="4"/>
      <c r="K77" s="4"/>
      <c r="L77" s="4"/>
      <c r="M77" s="59"/>
    </row>
    <row r="78" spans="2:13" x14ac:dyDescent="0.2">
      <c r="B78" s="4"/>
      <c r="C78" s="4"/>
      <c r="D78" s="4"/>
      <c r="E78" s="54"/>
      <c r="F78" s="261"/>
      <c r="G78" s="4"/>
      <c r="H78" s="4"/>
      <c r="I78" s="54"/>
      <c r="J78" s="4"/>
      <c r="K78" s="4"/>
      <c r="L78" s="4"/>
      <c r="M78" s="59"/>
    </row>
    <row r="79" spans="2:13" x14ac:dyDescent="0.2">
      <c r="B79" s="4"/>
      <c r="C79" s="4"/>
      <c r="D79" s="4"/>
      <c r="E79" s="54"/>
      <c r="F79" s="261"/>
      <c r="G79" s="4"/>
      <c r="H79" s="4"/>
      <c r="I79" s="54"/>
      <c r="J79" s="4"/>
      <c r="K79" s="4"/>
      <c r="L79" s="4"/>
      <c r="M79" s="59"/>
    </row>
    <row r="80" spans="2:13" x14ac:dyDescent="0.2">
      <c r="B80" s="4"/>
      <c r="C80" s="4"/>
      <c r="D80" s="4"/>
      <c r="E80" s="54"/>
      <c r="F80" s="261"/>
      <c r="G80" s="4"/>
      <c r="H80" s="4"/>
      <c r="I80" s="54"/>
      <c r="J80" s="4"/>
      <c r="K80" s="4"/>
      <c r="L80" s="4"/>
      <c r="M80" s="59"/>
    </row>
    <row r="81" spans="2:13" x14ac:dyDescent="0.2">
      <c r="B81" s="4"/>
      <c r="C81" s="4"/>
      <c r="D81" s="4"/>
      <c r="E81" s="54"/>
      <c r="F81" s="261"/>
      <c r="G81" s="4"/>
      <c r="H81" s="4"/>
      <c r="I81" s="54"/>
      <c r="J81" s="4"/>
      <c r="K81" s="4"/>
      <c r="L81" s="4"/>
      <c r="M81" s="59"/>
    </row>
    <row r="82" spans="2:13" x14ac:dyDescent="0.2">
      <c r="B82" s="4"/>
      <c r="C82" s="4"/>
      <c r="D82" s="4"/>
      <c r="E82" s="54"/>
      <c r="F82" s="261"/>
      <c r="G82" s="4"/>
      <c r="H82" s="4"/>
      <c r="I82" s="54"/>
      <c r="J82" s="4"/>
      <c r="K82" s="4"/>
      <c r="L82" s="4"/>
      <c r="M82" s="59"/>
    </row>
    <row r="83" spans="2:13" x14ac:dyDescent="0.2">
      <c r="B83" s="4"/>
      <c r="C83" s="4"/>
      <c r="D83" s="4"/>
      <c r="E83" s="54"/>
      <c r="F83" s="261"/>
      <c r="G83" s="4"/>
      <c r="H83" s="4"/>
      <c r="I83" s="54"/>
      <c r="J83" s="4"/>
      <c r="K83" s="4"/>
      <c r="L83" s="4"/>
      <c r="M83" s="59"/>
    </row>
    <row r="84" spans="2:13" x14ac:dyDescent="0.2">
      <c r="B84" s="4"/>
      <c r="C84" s="4"/>
      <c r="D84" s="4"/>
      <c r="E84" s="54"/>
      <c r="F84" s="261"/>
      <c r="G84" s="4"/>
      <c r="H84" s="4"/>
      <c r="I84" s="54"/>
      <c r="J84" s="4"/>
      <c r="K84" s="4"/>
      <c r="L84" s="4"/>
      <c r="M84" s="59"/>
    </row>
    <row r="85" spans="2:13" x14ac:dyDescent="0.2">
      <c r="B85" s="4"/>
      <c r="C85" s="4"/>
      <c r="D85" s="4"/>
      <c r="E85" s="54"/>
      <c r="F85" s="261"/>
      <c r="G85" s="4"/>
      <c r="H85" s="4"/>
      <c r="I85" s="54"/>
      <c r="J85" s="4"/>
      <c r="K85" s="4"/>
      <c r="L85" s="4"/>
      <c r="M85" s="59"/>
    </row>
    <row r="86" spans="2:13" x14ac:dyDescent="0.2">
      <c r="B86" s="4"/>
      <c r="C86" s="4"/>
      <c r="D86" s="4"/>
      <c r="E86" s="54"/>
      <c r="F86" s="261"/>
      <c r="G86" s="4"/>
      <c r="H86" s="4"/>
      <c r="I86" s="54"/>
      <c r="J86" s="4"/>
      <c r="K86" s="4"/>
      <c r="L86" s="4"/>
      <c r="M86" s="59"/>
    </row>
    <row r="87" spans="2:13" x14ac:dyDescent="0.2">
      <c r="B87" s="4"/>
      <c r="C87" s="4"/>
      <c r="D87" s="4"/>
      <c r="E87" s="54"/>
      <c r="F87" s="261"/>
      <c r="G87" s="4"/>
      <c r="H87" s="4"/>
      <c r="I87" s="54"/>
      <c r="J87" s="4"/>
      <c r="K87" s="4"/>
      <c r="L87" s="4"/>
      <c r="M87" s="59"/>
    </row>
    <row r="88" spans="2:13" ht="17" thickBot="1" x14ac:dyDescent="0.25">
      <c r="B88" s="5"/>
      <c r="C88" s="5"/>
      <c r="D88" s="5"/>
      <c r="E88" s="55"/>
      <c r="F88" s="276"/>
      <c r="G88" s="5"/>
      <c r="H88" s="5"/>
      <c r="I88" s="55"/>
      <c r="J88" s="5"/>
      <c r="K88" s="5"/>
      <c r="L88" s="5"/>
      <c r="M88" s="60"/>
    </row>
    <row r="89" spans="2:13" ht="17" thickBot="1" x14ac:dyDescent="0.25">
      <c r="D89" s="9" t="s">
        <v>25</v>
      </c>
      <c r="E89" s="40">
        <f>SUM(E23:E51)+SUM(E55:E88)+SUM(E6:E19)</f>
        <v>0</v>
      </c>
      <c r="H89" s="9" t="s">
        <v>25</v>
      </c>
      <c r="I89" s="40">
        <f>SUM(I23:I51)+SUM(I55:I88)+SUM(I6:I19)</f>
        <v>2350</v>
      </c>
      <c r="L89" s="11" t="s">
        <v>25</v>
      </c>
      <c r="M89" s="40">
        <f>SUM(M23:M51)+SUM(M55:M88)+SUM(M6:M19)</f>
        <v>21922.36</v>
      </c>
    </row>
  </sheetData>
  <dataConsolidate/>
  <mergeCells count="13">
    <mergeCell ref="B2:M2"/>
    <mergeCell ref="F21:I21"/>
    <mergeCell ref="J21:M21"/>
    <mergeCell ref="B53:E53"/>
    <mergeCell ref="F53:I53"/>
    <mergeCell ref="J53:M53"/>
    <mergeCell ref="B4:E4"/>
    <mergeCell ref="F4:I4"/>
    <mergeCell ref="J4:M4"/>
    <mergeCell ref="B3:M3"/>
    <mergeCell ref="B20:M20"/>
    <mergeCell ref="B52:M52"/>
    <mergeCell ref="B21:E21"/>
  </mergeCells>
  <dataValidations count="1">
    <dataValidation type="list" allowBlank="1" showInputMessage="1" showErrorMessage="1" sqref="J89:K133 G89:G104 F89:F114 B89:C104" xr:uid="{878740B2-400A-4997-B60B-0F01772FB6BC}">
      <formula1>#REF!</formula1>
    </dataValidation>
  </dataValidation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105DF54-8513-7A43-8F69-625409547A0B}">
          <x14:formula1>
            <xm:f>'Budget '!#REF!</xm:f>
          </x14:formula1>
          <xm:sqref>J6:J19 B6:B19 F6:F19 J56:J88 F23:F51 B55:B88 B23:B51 J42:J51</xm:sqref>
        </x14:dataValidation>
        <x14:dataValidation type="list" allowBlank="1" showInputMessage="1" showErrorMessage="1" xr:uid="{6DA4A3C5-65AC-6C41-800B-3A1BDA15C73A}">
          <x14:formula1>
            <xm:f>'Budget '!$B$21:$B$33</xm:f>
          </x14:formula1>
          <xm:sqref>F55:F88 J55</xm:sqref>
        </x14:dataValidation>
        <x14:dataValidation type="list" allowBlank="1" showInputMessage="1" showErrorMessage="1" xr:uid="{F7548CA8-BBA8-224F-8BD4-EF8FA447A6C4}">
          <x14:formula1>
            <xm:f>'Budget '!$B$9:$B$18</xm:f>
          </x14:formula1>
          <xm:sqref>J23:J41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3B3C8-275E-1F49-99EE-94E7E94A86EF}">
  <sheetPr codeName="Sheet3">
    <tabColor theme="6" tint="0.79998168889431442"/>
  </sheetPr>
  <dimension ref="A1:O108"/>
  <sheetViews>
    <sheetView topLeftCell="A2" zoomScaleNormal="75" workbookViewId="0">
      <selection activeCell="J111" sqref="J111"/>
    </sheetView>
  </sheetViews>
  <sheetFormatPr baseColWidth="10" defaultColWidth="10.6640625" defaultRowHeight="16" x14ac:dyDescent="0.2"/>
  <cols>
    <col min="1" max="1" width="5.1640625" style="1" customWidth="1"/>
    <col min="2" max="3" width="19.6640625" style="1" customWidth="1"/>
    <col min="4" max="4" width="23.6640625" style="1" bestFit="1" customWidth="1"/>
    <col min="5" max="5" width="21.83203125" style="51" customWidth="1"/>
    <col min="6" max="6" width="21.1640625" style="1" customWidth="1"/>
    <col min="7" max="7" width="19.6640625" style="1" customWidth="1"/>
    <col min="8" max="8" width="24.6640625" style="1" bestFit="1" customWidth="1"/>
    <col min="9" max="9" width="21.1640625" style="51" customWidth="1"/>
    <col min="10" max="12" width="21.1640625" style="1" customWidth="1"/>
    <col min="13" max="13" width="24" style="51" customWidth="1"/>
    <col min="14" max="14" width="10.6640625" style="1"/>
    <col min="15" max="15" width="11.5" style="1" bestFit="1" customWidth="1"/>
    <col min="16" max="16384" width="10.6640625" style="1"/>
  </cols>
  <sheetData>
    <row r="1" spans="1:13" ht="17" thickBot="1" x14ac:dyDescent="0.25"/>
    <row r="2" spans="1:13" ht="25" thickBot="1" x14ac:dyDescent="0.35">
      <c r="B2" s="372" t="s">
        <v>533</v>
      </c>
      <c r="C2" s="373"/>
      <c r="D2" s="373"/>
      <c r="E2" s="373"/>
      <c r="F2" s="373"/>
      <c r="G2" s="373"/>
      <c r="H2" s="373"/>
      <c r="I2" s="373"/>
      <c r="J2" s="373"/>
      <c r="K2" s="373"/>
      <c r="L2" s="373"/>
      <c r="M2" s="374"/>
    </row>
    <row r="3" spans="1:13" ht="20" thickBot="1" x14ac:dyDescent="0.3">
      <c r="B3" s="378" t="s">
        <v>526</v>
      </c>
      <c r="C3" s="379"/>
      <c r="D3" s="379"/>
      <c r="E3" s="379"/>
      <c r="F3" s="379"/>
      <c r="G3" s="379"/>
      <c r="H3" s="379"/>
      <c r="I3" s="379"/>
      <c r="J3" s="379"/>
      <c r="K3" s="379"/>
      <c r="L3" s="379"/>
      <c r="M3" s="380"/>
    </row>
    <row r="4" spans="1:13" ht="20" thickBot="1" x14ac:dyDescent="0.3">
      <c r="B4" s="375" t="s">
        <v>2</v>
      </c>
      <c r="C4" s="376"/>
      <c r="D4" s="376"/>
      <c r="E4" s="377"/>
      <c r="F4" s="375" t="s">
        <v>3</v>
      </c>
      <c r="G4" s="376"/>
      <c r="H4" s="376"/>
      <c r="I4" s="377"/>
      <c r="J4" s="375" t="s">
        <v>4</v>
      </c>
      <c r="K4" s="376"/>
      <c r="L4" s="376"/>
      <c r="M4" s="377"/>
    </row>
    <row r="5" spans="1:13" ht="20" thickBot="1" x14ac:dyDescent="0.3">
      <c r="B5" s="49" t="s">
        <v>527</v>
      </c>
      <c r="C5" s="50" t="s">
        <v>528</v>
      </c>
      <c r="D5" s="50" t="s">
        <v>529</v>
      </c>
      <c r="E5" s="52" t="s">
        <v>530</v>
      </c>
      <c r="F5" s="246" t="s">
        <v>527</v>
      </c>
      <c r="G5" s="50" t="s">
        <v>528</v>
      </c>
      <c r="H5" s="50" t="s">
        <v>529</v>
      </c>
      <c r="I5" s="52" t="s">
        <v>530</v>
      </c>
      <c r="J5" s="49" t="s">
        <v>527</v>
      </c>
      <c r="K5" s="50" t="s">
        <v>528</v>
      </c>
      <c r="L5" s="50" t="s">
        <v>529</v>
      </c>
      <c r="M5" s="52" t="s">
        <v>530</v>
      </c>
    </row>
    <row r="6" spans="1:13" ht="17" thickBot="1" x14ac:dyDescent="0.25">
      <c r="A6" s="2"/>
      <c r="B6" s="3" t="s">
        <v>24</v>
      </c>
      <c r="C6" s="71">
        <v>45632</v>
      </c>
      <c r="D6" s="3" t="s">
        <v>534</v>
      </c>
      <c r="E6" s="250">
        <v>2681.06</v>
      </c>
      <c r="F6" s="194" t="s">
        <v>24</v>
      </c>
      <c r="G6" s="252">
        <v>45692</v>
      </c>
      <c r="H6" s="3" t="s">
        <v>535</v>
      </c>
      <c r="I6" s="53">
        <f>150+3150</f>
        <v>3300</v>
      </c>
      <c r="J6" s="194" t="s">
        <v>24</v>
      </c>
      <c r="K6" s="71">
        <v>45750</v>
      </c>
      <c r="L6" s="3" t="s">
        <v>536</v>
      </c>
      <c r="M6" s="58">
        <f>63.98+81.25+40.64+43.59+81.25+3013.7</f>
        <v>3324.41</v>
      </c>
    </row>
    <row r="7" spans="1:13" x14ac:dyDescent="0.2">
      <c r="A7" s="2"/>
      <c r="B7" s="4" t="s">
        <v>24</v>
      </c>
      <c r="C7" s="72">
        <v>45604</v>
      </c>
      <c r="D7" s="4" t="s">
        <v>534</v>
      </c>
      <c r="E7" s="131">
        <f>2681.06+155.24+25</f>
        <v>2861.3</v>
      </c>
      <c r="F7" s="256" t="s">
        <v>24</v>
      </c>
      <c r="G7" s="253">
        <v>45692</v>
      </c>
      <c r="H7" s="4" t="s">
        <v>534</v>
      </c>
      <c r="I7" s="250">
        <v>2681.06</v>
      </c>
      <c r="J7" s="256" t="s">
        <v>24</v>
      </c>
      <c r="K7" s="72">
        <v>45772</v>
      </c>
      <c r="L7" s="4" t="s">
        <v>799</v>
      </c>
      <c r="M7" s="59">
        <v>2100</v>
      </c>
    </row>
    <row r="8" spans="1:13" x14ac:dyDescent="0.2">
      <c r="A8" s="2"/>
      <c r="B8" s="4" t="s">
        <v>24</v>
      </c>
      <c r="C8" s="72">
        <v>45604</v>
      </c>
      <c r="D8" s="4" t="s">
        <v>534</v>
      </c>
      <c r="E8" s="131">
        <v>2518.75</v>
      </c>
      <c r="F8" s="256" t="s">
        <v>24</v>
      </c>
      <c r="G8" s="253">
        <v>45695</v>
      </c>
      <c r="H8" s="4" t="s">
        <v>534</v>
      </c>
      <c r="I8" s="54">
        <f>3203.78 + 25</f>
        <v>3228.78</v>
      </c>
      <c r="J8" s="256" t="s">
        <v>23</v>
      </c>
      <c r="K8" s="72">
        <v>45772</v>
      </c>
      <c r="L8" s="4" t="s">
        <v>800</v>
      </c>
      <c r="M8" s="59">
        <v>5080.6000000000004</v>
      </c>
    </row>
    <row r="9" spans="1:13" x14ac:dyDescent="0.2">
      <c r="A9" s="2"/>
      <c r="B9" s="4" t="s">
        <v>23</v>
      </c>
      <c r="C9" s="72">
        <v>45582</v>
      </c>
      <c r="D9" s="4" t="s">
        <v>537</v>
      </c>
      <c r="E9" s="131">
        <v>333.75</v>
      </c>
      <c r="F9" s="256" t="s">
        <v>23</v>
      </c>
      <c r="G9" s="253">
        <v>45697</v>
      </c>
      <c r="H9" s="4" t="s">
        <v>534</v>
      </c>
      <c r="I9" s="54">
        <v>5689.62</v>
      </c>
      <c r="J9" s="256"/>
      <c r="K9" s="72"/>
      <c r="L9" s="4"/>
      <c r="M9" s="59"/>
    </row>
    <row r="10" spans="1:13" x14ac:dyDescent="0.2">
      <c r="A10" s="2"/>
      <c r="B10" s="4" t="s">
        <v>24</v>
      </c>
      <c r="C10" s="72">
        <v>45569</v>
      </c>
      <c r="D10" s="4" t="s">
        <v>534</v>
      </c>
      <c r="E10" s="131">
        <v>2704.82</v>
      </c>
      <c r="F10" s="256" t="s">
        <v>24</v>
      </c>
      <c r="G10" s="253">
        <v>45724</v>
      </c>
      <c r="H10" s="4" t="s">
        <v>534</v>
      </c>
      <c r="I10" s="54">
        <f>12.5+(120*18.13)+150+(120*5.63)</f>
        <v>3013.7</v>
      </c>
      <c r="J10" s="256"/>
      <c r="K10" s="72"/>
      <c r="L10" s="4"/>
      <c r="M10" s="59"/>
    </row>
    <row r="11" spans="1:13" x14ac:dyDescent="0.2">
      <c r="A11" s="2"/>
      <c r="B11" s="4" t="s">
        <v>24</v>
      </c>
      <c r="C11" s="72">
        <v>45569</v>
      </c>
      <c r="D11" s="4" t="s">
        <v>534</v>
      </c>
      <c r="E11" s="131">
        <v>3227.54</v>
      </c>
      <c r="F11" s="256" t="s">
        <v>24</v>
      </c>
      <c r="G11" s="253">
        <v>45724</v>
      </c>
      <c r="H11" s="4" t="s">
        <v>538</v>
      </c>
      <c r="I11" s="54">
        <f>(45*14)+(36.25*14)</f>
        <v>1137.5</v>
      </c>
      <c r="J11" s="256"/>
      <c r="K11" s="72"/>
      <c r="L11" s="4"/>
      <c r="M11" s="59"/>
    </row>
    <row r="12" spans="1:13" x14ac:dyDescent="0.2">
      <c r="A12" s="2"/>
      <c r="B12" s="4"/>
      <c r="C12" s="72"/>
      <c r="D12" s="4"/>
      <c r="E12" s="131"/>
      <c r="F12" s="256"/>
      <c r="G12" s="253"/>
      <c r="H12" s="4"/>
      <c r="I12" s="54"/>
      <c r="J12" s="256"/>
      <c r="K12" s="72"/>
      <c r="L12" s="4"/>
      <c r="M12" s="59"/>
    </row>
    <row r="13" spans="1:13" x14ac:dyDescent="0.2">
      <c r="A13" s="2"/>
      <c r="B13" s="4"/>
      <c r="C13" s="72"/>
      <c r="D13" s="4"/>
      <c r="E13" s="131"/>
      <c r="F13" s="256"/>
      <c r="G13" s="254"/>
      <c r="H13" s="4"/>
      <c r="I13" s="54"/>
      <c r="J13" s="256"/>
      <c r="K13" s="72"/>
      <c r="L13" s="4"/>
      <c r="M13" s="59"/>
    </row>
    <row r="14" spans="1:13" x14ac:dyDescent="0.2">
      <c r="A14" s="2"/>
      <c r="B14" s="4"/>
      <c r="C14" s="4"/>
      <c r="D14" s="4"/>
      <c r="E14" s="131"/>
      <c r="F14" s="256"/>
      <c r="G14" s="254"/>
      <c r="H14" s="4"/>
      <c r="I14" s="54"/>
      <c r="J14" s="256"/>
      <c r="K14" s="72"/>
      <c r="L14" s="4"/>
      <c r="M14" s="59"/>
    </row>
    <row r="15" spans="1:13" x14ac:dyDescent="0.2">
      <c r="A15" s="2"/>
      <c r="B15" s="4"/>
      <c r="C15" s="4"/>
      <c r="D15" s="4"/>
      <c r="E15" s="131"/>
      <c r="F15" s="256"/>
      <c r="G15" s="254"/>
      <c r="H15" s="4"/>
      <c r="I15" s="54"/>
      <c r="J15" s="256"/>
      <c r="K15" s="72"/>
      <c r="L15" s="4"/>
      <c r="M15" s="59"/>
    </row>
    <row r="16" spans="1:13" x14ac:dyDescent="0.2">
      <c r="B16" s="4"/>
      <c r="C16" s="4"/>
      <c r="D16" s="4"/>
      <c r="E16" s="131"/>
      <c r="F16" s="256"/>
      <c r="G16" s="254"/>
      <c r="H16" s="4"/>
      <c r="I16" s="54"/>
      <c r="J16" s="256"/>
      <c r="K16" s="72"/>
      <c r="L16" s="4"/>
      <c r="M16" s="59"/>
    </row>
    <row r="17" spans="2:14" x14ac:dyDescent="0.2">
      <c r="B17" s="4"/>
      <c r="C17" s="4"/>
      <c r="D17" s="4"/>
      <c r="E17" s="131"/>
      <c r="F17" s="256"/>
      <c r="G17" s="254"/>
      <c r="H17" s="4"/>
      <c r="I17" s="54"/>
      <c r="J17" s="256"/>
      <c r="K17" s="72"/>
      <c r="L17" s="4"/>
      <c r="M17" s="59"/>
    </row>
    <row r="18" spans="2:14" x14ac:dyDescent="0.2">
      <c r="B18" s="4"/>
      <c r="C18" s="4"/>
      <c r="D18" s="4"/>
      <c r="E18" s="131"/>
      <c r="F18" s="256"/>
      <c r="G18" s="254"/>
      <c r="H18" s="4"/>
      <c r="I18" s="54"/>
      <c r="J18" s="256"/>
      <c r="K18" s="72"/>
      <c r="L18" s="4"/>
      <c r="M18" s="59"/>
    </row>
    <row r="19" spans="2:14" ht="17" thickBot="1" x14ac:dyDescent="0.25">
      <c r="B19" s="5"/>
      <c r="C19" s="5"/>
      <c r="D19" s="5"/>
      <c r="E19" s="251"/>
      <c r="F19" s="257"/>
      <c r="G19" s="255"/>
      <c r="H19" s="5"/>
      <c r="I19" s="55"/>
      <c r="J19" s="257"/>
      <c r="K19" s="72"/>
      <c r="L19" s="5"/>
      <c r="M19" s="60"/>
    </row>
    <row r="20" spans="2:14" ht="20" thickBot="1" x14ac:dyDescent="0.3">
      <c r="B20" s="378" t="s">
        <v>26</v>
      </c>
      <c r="C20" s="379"/>
      <c r="D20" s="379"/>
      <c r="E20" s="379"/>
      <c r="F20" s="381"/>
      <c r="G20" s="379"/>
      <c r="H20" s="379"/>
      <c r="I20" s="379"/>
      <c r="J20" s="379"/>
      <c r="K20" s="379"/>
      <c r="L20" s="379"/>
      <c r="M20" s="380"/>
    </row>
    <row r="21" spans="2:14" ht="20" thickBot="1" x14ac:dyDescent="0.3">
      <c r="B21" s="375" t="s">
        <v>2</v>
      </c>
      <c r="C21" s="376"/>
      <c r="D21" s="376"/>
      <c r="E21" s="377"/>
      <c r="F21" s="375" t="s">
        <v>3</v>
      </c>
      <c r="G21" s="376"/>
      <c r="H21" s="376"/>
      <c r="I21" s="377"/>
      <c r="J21" s="375" t="s">
        <v>4</v>
      </c>
      <c r="K21" s="376"/>
      <c r="L21" s="376"/>
      <c r="M21" s="377"/>
    </row>
    <row r="22" spans="2:14" ht="20" thickBot="1" x14ac:dyDescent="0.3">
      <c r="B22" s="49" t="s">
        <v>527</v>
      </c>
      <c r="C22" s="50" t="s">
        <v>528</v>
      </c>
      <c r="D22" s="50" t="s">
        <v>529</v>
      </c>
      <c r="E22" s="52" t="s">
        <v>530</v>
      </c>
      <c r="F22" s="49" t="s">
        <v>527</v>
      </c>
      <c r="G22" s="50" t="s">
        <v>528</v>
      </c>
      <c r="H22" s="50" t="s">
        <v>529</v>
      </c>
      <c r="I22" s="52" t="s">
        <v>530</v>
      </c>
      <c r="J22" s="49" t="s">
        <v>527</v>
      </c>
      <c r="K22" s="50" t="s">
        <v>528</v>
      </c>
      <c r="L22" s="50" t="s">
        <v>529</v>
      </c>
      <c r="M22" s="52" t="s">
        <v>530</v>
      </c>
    </row>
    <row r="23" spans="2:14" x14ac:dyDescent="0.2">
      <c r="B23" s="3" t="s">
        <v>28</v>
      </c>
      <c r="C23" s="71">
        <v>45651</v>
      </c>
      <c r="D23" s="3" t="s">
        <v>539</v>
      </c>
      <c r="E23" s="53">
        <v>200</v>
      </c>
      <c r="F23" s="4" t="s">
        <v>34</v>
      </c>
      <c r="G23" s="71">
        <v>45662</v>
      </c>
      <c r="H23" s="194" t="s">
        <v>540</v>
      </c>
      <c r="I23" s="53">
        <v>151</v>
      </c>
      <c r="J23" s="4" t="s">
        <v>35</v>
      </c>
      <c r="K23" s="71">
        <v>45749</v>
      </c>
      <c r="L23" s="3" t="s">
        <v>541</v>
      </c>
      <c r="M23" s="58">
        <v>0</v>
      </c>
      <c r="N23" s="1" t="s">
        <v>786</v>
      </c>
    </row>
    <row r="24" spans="2:14" x14ac:dyDescent="0.2">
      <c r="B24" s="4" t="s">
        <v>28</v>
      </c>
      <c r="C24" s="72">
        <v>45645</v>
      </c>
      <c r="D24" s="4" t="s">
        <v>542</v>
      </c>
      <c r="E24" s="54">
        <v>700</v>
      </c>
      <c r="F24" s="4" t="s">
        <v>33</v>
      </c>
      <c r="G24" s="72">
        <v>45663</v>
      </c>
      <c r="H24" s="195" t="s">
        <v>33</v>
      </c>
      <c r="I24" s="54">
        <v>3061</v>
      </c>
      <c r="J24" s="4" t="s">
        <v>30</v>
      </c>
      <c r="K24" s="72">
        <v>45756</v>
      </c>
      <c r="L24" s="4" t="s">
        <v>543</v>
      </c>
      <c r="M24" s="59">
        <f>7500+7500+5054.75</f>
        <v>20054.75</v>
      </c>
    </row>
    <row r="25" spans="2:14" x14ac:dyDescent="0.2">
      <c r="B25" s="4" t="s">
        <v>28</v>
      </c>
      <c r="C25" s="72">
        <v>45613</v>
      </c>
      <c r="D25" s="4" t="s">
        <v>544</v>
      </c>
      <c r="E25" s="54">
        <v>1400</v>
      </c>
      <c r="F25" s="4" t="s">
        <v>28</v>
      </c>
      <c r="G25" s="72">
        <v>45665</v>
      </c>
      <c r="H25" s="195" t="s">
        <v>545</v>
      </c>
      <c r="I25" s="54">
        <f>175+350</f>
        <v>525</v>
      </c>
      <c r="J25" s="4" t="s">
        <v>35</v>
      </c>
      <c r="K25" s="72">
        <v>45754</v>
      </c>
      <c r="L25" s="4" t="s">
        <v>546</v>
      </c>
      <c r="M25" s="59">
        <v>58.04</v>
      </c>
    </row>
    <row r="26" spans="2:14" x14ac:dyDescent="0.2">
      <c r="B26" s="4" t="s">
        <v>28</v>
      </c>
      <c r="C26" s="72">
        <v>45608</v>
      </c>
      <c r="D26" s="4" t="s">
        <v>547</v>
      </c>
      <c r="E26" s="54">
        <v>300</v>
      </c>
      <c r="F26" s="4" t="s">
        <v>28</v>
      </c>
      <c r="G26" s="72">
        <v>45674</v>
      </c>
      <c r="H26" s="195" t="s">
        <v>548</v>
      </c>
      <c r="I26" s="54">
        <v>700</v>
      </c>
      <c r="J26" s="4" t="s">
        <v>28</v>
      </c>
      <c r="K26" s="72">
        <v>45754</v>
      </c>
      <c r="L26" s="4" t="s">
        <v>549</v>
      </c>
      <c r="M26" s="59">
        <f>350+700</f>
        <v>1050</v>
      </c>
    </row>
    <row r="27" spans="2:14" x14ac:dyDescent="0.2">
      <c r="B27" s="4" t="s">
        <v>34</v>
      </c>
      <c r="C27" s="72">
        <v>45631</v>
      </c>
      <c r="D27" s="4" t="s">
        <v>550</v>
      </c>
      <c r="E27" s="54">
        <v>144</v>
      </c>
      <c r="F27" s="4" t="s">
        <v>29</v>
      </c>
      <c r="G27" s="268">
        <v>45674</v>
      </c>
      <c r="H27" s="295" t="s">
        <v>551</v>
      </c>
      <c r="I27" s="54">
        <v>13.27</v>
      </c>
      <c r="J27" s="4" t="s">
        <v>34</v>
      </c>
      <c r="K27" s="72">
        <v>45754</v>
      </c>
      <c r="L27" s="4" t="s">
        <v>552</v>
      </c>
      <c r="M27" s="59">
        <v>151</v>
      </c>
    </row>
    <row r="28" spans="2:14" x14ac:dyDescent="0.2">
      <c r="B28" s="4" t="s">
        <v>34</v>
      </c>
      <c r="C28" s="72">
        <v>45601</v>
      </c>
      <c r="D28" s="4" t="s">
        <v>553</v>
      </c>
      <c r="E28" s="54">
        <v>144</v>
      </c>
      <c r="F28" s="4" t="s">
        <v>29</v>
      </c>
      <c r="G28" s="268">
        <v>45674</v>
      </c>
      <c r="H28" s="295" t="s">
        <v>554</v>
      </c>
      <c r="I28" s="54">
        <v>20.58</v>
      </c>
      <c r="J28" s="4" t="s">
        <v>35</v>
      </c>
      <c r="K28" s="72">
        <v>45751</v>
      </c>
      <c r="L28" s="4" t="s">
        <v>555</v>
      </c>
      <c r="M28" s="59">
        <f>37+37+34+83-32+15.67+18</f>
        <v>192.67</v>
      </c>
    </row>
    <row r="29" spans="2:14" x14ac:dyDescent="0.2">
      <c r="B29" s="4" t="s">
        <v>30</v>
      </c>
      <c r="C29" s="72">
        <v>45600</v>
      </c>
      <c r="D29" s="4" t="s">
        <v>556</v>
      </c>
      <c r="E29" s="54">
        <v>2100</v>
      </c>
      <c r="F29" s="4" t="s">
        <v>29</v>
      </c>
      <c r="G29" s="72">
        <v>45682</v>
      </c>
      <c r="H29" s="271" t="s">
        <v>557</v>
      </c>
      <c r="I29" s="54">
        <v>27.71</v>
      </c>
      <c r="J29" s="4" t="s">
        <v>29</v>
      </c>
      <c r="K29" s="72">
        <v>45760</v>
      </c>
      <c r="L29" s="4" t="s">
        <v>558</v>
      </c>
      <c r="M29" s="59">
        <f>12.07+18.34+74.85+73.49+25+43+21.48+26.08+13.64</f>
        <v>307.95</v>
      </c>
    </row>
    <row r="30" spans="2:14" x14ac:dyDescent="0.2">
      <c r="B30" s="4" t="s">
        <v>34</v>
      </c>
      <c r="C30" s="72">
        <v>45570</v>
      </c>
      <c r="D30" s="4" t="s">
        <v>559</v>
      </c>
      <c r="E30" s="54">
        <v>144</v>
      </c>
      <c r="F30" s="4" t="s">
        <v>29</v>
      </c>
      <c r="G30" s="72">
        <v>45682</v>
      </c>
      <c r="H30" s="271" t="s">
        <v>560</v>
      </c>
      <c r="I30" s="54">
        <v>49.02</v>
      </c>
      <c r="J30" s="4" t="s">
        <v>35</v>
      </c>
      <c r="K30" s="72">
        <v>45766</v>
      </c>
      <c r="L30" s="4" t="s">
        <v>785</v>
      </c>
      <c r="M30" s="59">
        <v>1154.8499999999999</v>
      </c>
    </row>
    <row r="31" spans="2:14" x14ac:dyDescent="0.2">
      <c r="B31" s="4" t="s">
        <v>35</v>
      </c>
      <c r="C31" s="72">
        <v>45565</v>
      </c>
      <c r="D31" s="4" t="s">
        <v>561</v>
      </c>
      <c r="E31" s="54">
        <v>594</v>
      </c>
      <c r="F31" s="4" t="s">
        <v>29</v>
      </c>
      <c r="G31" s="72">
        <v>45682</v>
      </c>
      <c r="H31" s="271" t="s">
        <v>562</v>
      </c>
      <c r="I31" s="54">
        <v>70</v>
      </c>
      <c r="J31" s="4" t="s">
        <v>35</v>
      </c>
      <c r="K31" s="72">
        <v>45772</v>
      </c>
      <c r="L31" s="4" t="s">
        <v>790</v>
      </c>
      <c r="M31" s="59">
        <f>168.84+ 286.89+83.11</f>
        <v>538.84</v>
      </c>
    </row>
    <row r="32" spans="2:14" x14ac:dyDescent="0.2">
      <c r="B32" s="4" t="s">
        <v>27</v>
      </c>
      <c r="C32" s="72">
        <v>45545</v>
      </c>
      <c r="D32" s="4" t="s">
        <v>27</v>
      </c>
      <c r="E32" s="54">
        <v>312</v>
      </c>
      <c r="F32" s="4" t="s">
        <v>29</v>
      </c>
      <c r="G32" s="72">
        <v>45682</v>
      </c>
      <c r="H32" s="261" t="s">
        <v>563</v>
      </c>
      <c r="I32" s="54">
        <v>27</v>
      </c>
      <c r="J32" s="4" t="s">
        <v>35</v>
      </c>
      <c r="K32" s="72">
        <v>45769</v>
      </c>
      <c r="L32" s="4" t="s">
        <v>791</v>
      </c>
      <c r="M32" s="59">
        <v>165.8</v>
      </c>
    </row>
    <row r="33" spans="2:13" x14ac:dyDescent="0.2">
      <c r="B33" s="4" t="s">
        <v>34</v>
      </c>
      <c r="C33" s="72">
        <v>45544</v>
      </c>
      <c r="D33" s="4" t="s">
        <v>564</v>
      </c>
      <c r="E33" s="54">
        <v>144</v>
      </c>
      <c r="F33" s="279" t="s">
        <v>28</v>
      </c>
      <c r="G33" s="280">
        <v>45697</v>
      </c>
      <c r="H33" s="296" t="s">
        <v>565</v>
      </c>
      <c r="I33" s="281"/>
      <c r="J33" s="4" t="s">
        <v>35</v>
      </c>
      <c r="K33" s="72">
        <v>45769</v>
      </c>
      <c r="L33" s="4" t="s">
        <v>792</v>
      </c>
      <c r="M33" s="59">
        <v>1373.56</v>
      </c>
    </row>
    <row r="34" spans="2:13" x14ac:dyDescent="0.2">
      <c r="B34" s="4"/>
      <c r="C34" s="72"/>
      <c r="D34" s="4"/>
      <c r="E34" s="54"/>
      <c r="F34" s="4" t="s">
        <v>30</v>
      </c>
      <c r="G34" s="72">
        <v>45699</v>
      </c>
      <c r="H34" s="272" t="s">
        <v>566</v>
      </c>
      <c r="I34" s="54">
        <v>6500</v>
      </c>
      <c r="J34" s="4" t="s">
        <v>35</v>
      </c>
      <c r="K34" s="72">
        <v>45772</v>
      </c>
      <c r="L34" s="4" t="s">
        <v>795</v>
      </c>
      <c r="M34" s="59">
        <v>79.099999999999994</v>
      </c>
    </row>
    <row r="35" spans="2:13" x14ac:dyDescent="0.2">
      <c r="B35" s="4"/>
      <c r="C35" s="72"/>
      <c r="D35" s="4"/>
      <c r="E35" s="131"/>
      <c r="F35" s="4" t="s">
        <v>28</v>
      </c>
      <c r="G35" s="72">
        <v>45700</v>
      </c>
      <c r="H35" s="272" t="s">
        <v>567</v>
      </c>
      <c r="I35" s="54">
        <v>377.03</v>
      </c>
      <c r="J35" s="4" t="s">
        <v>35</v>
      </c>
      <c r="K35" s="72">
        <v>45767</v>
      </c>
      <c r="L35" s="4" t="s">
        <v>798</v>
      </c>
      <c r="M35" s="59">
        <v>62.19</v>
      </c>
    </row>
    <row r="36" spans="2:13" x14ac:dyDescent="0.2">
      <c r="B36" s="4"/>
      <c r="C36" s="72"/>
      <c r="D36" s="4"/>
      <c r="E36" s="54"/>
      <c r="F36" s="4" t="s">
        <v>34</v>
      </c>
      <c r="G36" s="269">
        <v>45703</v>
      </c>
      <c r="H36" s="272" t="s">
        <v>568</v>
      </c>
      <c r="I36" s="54">
        <v>173.65</v>
      </c>
      <c r="J36" s="4" t="s">
        <v>28</v>
      </c>
      <c r="K36" s="72">
        <v>45773</v>
      </c>
      <c r="L36" s="4" t="s">
        <v>801</v>
      </c>
      <c r="M36" s="59">
        <v>309</v>
      </c>
    </row>
    <row r="37" spans="2:13" x14ac:dyDescent="0.2">
      <c r="B37" s="4"/>
      <c r="C37" s="72"/>
      <c r="D37" s="4"/>
      <c r="E37" s="54"/>
      <c r="F37" s="4" t="s">
        <v>28</v>
      </c>
      <c r="G37" s="269">
        <v>45714</v>
      </c>
      <c r="H37" s="272" t="s">
        <v>569</v>
      </c>
      <c r="I37" s="54">
        <v>499.35</v>
      </c>
      <c r="J37" s="4" t="s">
        <v>35</v>
      </c>
      <c r="K37" s="72">
        <v>45772</v>
      </c>
      <c r="L37" s="4" t="s">
        <v>803</v>
      </c>
      <c r="M37" s="59">
        <f>20.69+45</f>
        <v>65.69</v>
      </c>
    </row>
    <row r="38" spans="2:13" x14ac:dyDescent="0.2">
      <c r="B38" s="4"/>
      <c r="C38" s="72"/>
      <c r="D38" s="4"/>
      <c r="E38" s="54"/>
      <c r="F38" s="4" t="s">
        <v>31</v>
      </c>
      <c r="G38" s="72">
        <v>45716</v>
      </c>
      <c r="H38" s="4" t="s">
        <v>570</v>
      </c>
      <c r="I38" s="54">
        <f>103.4+909.24</f>
        <v>1012.64</v>
      </c>
      <c r="J38" s="4" t="s">
        <v>34</v>
      </c>
      <c r="K38" s="72">
        <v>45782</v>
      </c>
      <c r="L38" s="4" t="s">
        <v>806</v>
      </c>
      <c r="M38" s="59">
        <v>151</v>
      </c>
    </row>
    <row r="39" spans="2:13" x14ac:dyDescent="0.2">
      <c r="B39" s="4"/>
      <c r="C39" s="72"/>
      <c r="D39" s="4"/>
      <c r="E39" s="54"/>
      <c r="F39" s="4" t="s">
        <v>31</v>
      </c>
      <c r="G39" s="72">
        <v>45717</v>
      </c>
      <c r="H39" s="4" t="s">
        <v>571</v>
      </c>
      <c r="I39" s="54">
        <f>186.12+2*10.34</f>
        <v>206.8</v>
      </c>
      <c r="J39" s="4" t="s">
        <v>35</v>
      </c>
      <c r="K39" s="72">
        <v>45780</v>
      </c>
      <c r="L39" s="4" t="s">
        <v>807</v>
      </c>
      <c r="M39" s="59">
        <v>200</v>
      </c>
    </row>
    <row r="40" spans="2:13" x14ac:dyDescent="0.2">
      <c r="B40" s="4"/>
      <c r="C40" s="72"/>
      <c r="D40" s="4"/>
      <c r="E40" s="54"/>
      <c r="F40" s="4" t="s">
        <v>28</v>
      </c>
      <c r="G40" s="72">
        <v>45720</v>
      </c>
      <c r="H40" s="4" t="s">
        <v>572</v>
      </c>
      <c r="I40" s="54">
        <v>350</v>
      </c>
      <c r="J40" s="4" t="s">
        <v>35</v>
      </c>
      <c r="K40" s="72">
        <v>45779</v>
      </c>
      <c r="L40" s="4" t="s">
        <v>808</v>
      </c>
      <c r="M40" s="59">
        <f>10+22.81</f>
        <v>32.81</v>
      </c>
    </row>
    <row r="41" spans="2:13" x14ac:dyDescent="0.2">
      <c r="B41" s="4"/>
      <c r="C41" s="72"/>
      <c r="D41" s="4"/>
      <c r="E41" s="54"/>
      <c r="F41" s="4" t="s">
        <v>28</v>
      </c>
      <c r="G41" s="72">
        <v>45720</v>
      </c>
      <c r="H41" s="4" t="s">
        <v>573</v>
      </c>
      <c r="I41" s="54">
        <v>350</v>
      </c>
      <c r="J41" s="4" t="s">
        <v>28</v>
      </c>
      <c r="K41" s="72">
        <v>45775</v>
      </c>
      <c r="L41" s="4" t="s">
        <v>810</v>
      </c>
      <c r="M41" s="59">
        <v>100</v>
      </c>
    </row>
    <row r="42" spans="2:13" x14ac:dyDescent="0.2">
      <c r="B42" s="4"/>
      <c r="C42" s="72"/>
      <c r="D42" s="4"/>
      <c r="E42" s="54"/>
      <c r="F42" s="279" t="s">
        <v>28</v>
      </c>
      <c r="G42" s="280"/>
      <c r="H42" s="279" t="s">
        <v>574</v>
      </c>
      <c r="I42" s="281"/>
      <c r="J42" s="4" t="s">
        <v>35</v>
      </c>
      <c r="K42" s="72">
        <v>45780</v>
      </c>
      <c r="L42" s="4" t="s">
        <v>811</v>
      </c>
      <c r="M42" s="59">
        <v>965.24</v>
      </c>
    </row>
    <row r="43" spans="2:13" x14ac:dyDescent="0.2">
      <c r="B43" s="4"/>
      <c r="C43" s="4"/>
      <c r="D43" s="4"/>
      <c r="E43" s="54"/>
      <c r="F43" s="4" t="s">
        <v>32</v>
      </c>
      <c r="G43" s="72"/>
      <c r="H43" s="4"/>
      <c r="I43" s="54">
        <f>10*148</f>
        <v>1480</v>
      </c>
      <c r="J43" s="4" t="s">
        <v>35</v>
      </c>
      <c r="K43" s="72">
        <v>45788</v>
      </c>
      <c r="L43" s="4" t="s">
        <v>812</v>
      </c>
      <c r="M43" s="59">
        <v>398.8</v>
      </c>
    </row>
    <row r="44" spans="2:13" x14ac:dyDescent="0.2">
      <c r="B44" s="4"/>
      <c r="C44" s="4"/>
      <c r="D44" s="4"/>
      <c r="E44" s="54"/>
      <c r="F44" s="4" t="s">
        <v>30</v>
      </c>
      <c r="G44" s="72">
        <v>45724</v>
      </c>
      <c r="H44" s="4" t="s">
        <v>575</v>
      </c>
      <c r="I44" s="54">
        <f>5000+1500</f>
        <v>6500</v>
      </c>
      <c r="J44" s="4" t="s">
        <v>35</v>
      </c>
      <c r="K44" s="72">
        <v>45787</v>
      </c>
      <c r="L44" s="4" t="s">
        <v>813</v>
      </c>
      <c r="M44" s="59">
        <f>34.72+29.33+46.35+212.22+10.82+966.09+424.59+18.79+23.17</f>
        <v>1766.08</v>
      </c>
    </row>
    <row r="45" spans="2:13" x14ac:dyDescent="0.2">
      <c r="B45" s="4"/>
      <c r="C45" s="4"/>
      <c r="D45" s="4"/>
      <c r="E45" s="54"/>
      <c r="F45" s="4" t="s">
        <v>35</v>
      </c>
      <c r="G45" s="72">
        <v>45720</v>
      </c>
      <c r="H45" s="4" t="s">
        <v>576</v>
      </c>
      <c r="I45" s="54">
        <v>1051.6099999999999</v>
      </c>
      <c r="J45" s="4" t="s">
        <v>35</v>
      </c>
      <c r="K45" s="72">
        <v>45778</v>
      </c>
      <c r="L45" s="4" t="s">
        <v>555</v>
      </c>
      <c r="M45" s="59">
        <v>41.94</v>
      </c>
    </row>
    <row r="46" spans="2:13" x14ac:dyDescent="0.2">
      <c r="B46" s="4"/>
      <c r="C46" s="4"/>
      <c r="D46" s="4"/>
      <c r="E46" s="54"/>
      <c r="F46" s="4" t="s">
        <v>35</v>
      </c>
      <c r="G46" s="72">
        <v>45732</v>
      </c>
      <c r="H46" s="4" t="s">
        <v>577</v>
      </c>
      <c r="I46" s="54">
        <v>22.8</v>
      </c>
      <c r="J46" s="4" t="s">
        <v>35</v>
      </c>
      <c r="K46" s="72">
        <v>45783</v>
      </c>
      <c r="L46" s="4" t="s">
        <v>814</v>
      </c>
      <c r="M46" s="59">
        <v>3615.44</v>
      </c>
    </row>
    <row r="47" spans="2:13" x14ac:dyDescent="0.2">
      <c r="B47" s="4"/>
      <c r="C47" s="4"/>
      <c r="D47" s="4"/>
      <c r="E47" s="54"/>
      <c r="F47" s="4"/>
      <c r="G47" s="72"/>
      <c r="H47" s="4"/>
      <c r="I47" s="54"/>
      <c r="J47" s="4" t="s">
        <v>28</v>
      </c>
      <c r="K47" s="72">
        <v>45789</v>
      </c>
      <c r="L47" s="4" t="s">
        <v>824</v>
      </c>
      <c r="M47" s="59">
        <v>64.64</v>
      </c>
    </row>
    <row r="48" spans="2:13" x14ac:dyDescent="0.2">
      <c r="B48" s="4"/>
      <c r="C48" s="4"/>
      <c r="D48" s="4"/>
      <c r="E48" s="54"/>
      <c r="F48" s="4"/>
      <c r="G48" s="72"/>
      <c r="H48" s="4"/>
      <c r="I48" s="54"/>
      <c r="J48" s="4" t="s">
        <v>30</v>
      </c>
      <c r="K48" s="72">
        <v>45803</v>
      </c>
      <c r="L48" s="4" t="s">
        <v>826</v>
      </c>
      <c r="M48" s="59">
        <f>53.69+44.31+20.35+73.47+33.49+21.62+37.93+74.15</f>
        <v>359.01</v>
      </c>
    </row>
    <row r="49" spans="2:15" x14ac:dyDescent="0.2">
      <c r="B49" s="4"/>
      <c r="C49" s="4"/>
      <c r="D49" s="4"/>
      <c r="E49" s="54"/>
      <c r="F49" s="4"/>
      <c r="G49" s="72"/>
      <c r="H49" s="4"/>
      <c r="I49" s="54"/>
      <c r="J49" s="4" t="s">
        <v>30</v>
      </c>
      <c r="K49" s="72">
        <v>45804</v>
      </c>
      <c r="L49" s="4" t="s">
        <v>829</v>
      </c>
      <c r="M49" s="59">
        <v>978.52</v>
      </c>
    </row>
    <row r="50" spans="2:15" x14ac:dyDescent="0.2">
      <c r="B50" s="4"/>
      <c r="C50" s="4"/>
      <c r="D50" s="4"/>
      <c r="E50" s="54"/>
      <c r="F50" s="4"/>
      <c r="G50" s="72"/>
      <c r="H50" s="4"/>
      <c r="I50" s="54"/>
      <c r="J50" s="4" t="s">
        <v>30</v>
      </c>
      <c r="K50" s="72">
        <v>45796</v>
      </c>
      <c r="L50" s="4" t="s">
        <v>828</v>
      </c>
      <c r="M50" s="59">
        <v>1106.8800000000001</v>
      </c>
      <c r="O50" s="20">
        <f>SUM(M24:M47)</f>
        <v>32899.389999999992</v>
      </c>
    </row>
    <row r="51" spans="2:15" x14ac:dyDescent="0.2">
      <c r="B51" s="4"/>
      <c r="C51" s="4"/>
      <c r="D51" s="4"/>
      <c r="E51" s="54"/>
      <c r="F51" s="4"/>
      <c r="G51" s="72"/>
      <c r="H51" s="4"/>
      <c r="I51" s="54"/>
      <c r="J51" s="4" t="s">
        <v>30</v>
      </c>
      <c r="K51" s="72">
        <v>45804</v>
      </c>
      <c r="L51" s="4" t="s">
        <v>830</v>
      </c>
      <c r="M51" s="59">
        <f>Table8[[#Totals],[Total]]</f>
        <v>5807.0300000000007</v>
      </c>
      <c r="O51" s="20"/>
    </row>
    <row r="52" spans="2:15" x14ac:dyDescent="0.2">
      <c r="B52" s="4"/>
      <c r="C52" s="4"/>
      <c r="D52" s="4"/>
      <c r="E52" s="54"/>
      <c r="F52" s="4"/>
      <c r="G52" s="72"/>
      <c r="H52" s="4"/>
      <c r="I52" s="54"/>
      <c r="J52" s="4" t="s">
        <v>35</v>
      </c>
      <c r="K52" s="72">
        <v>45807</v>
      </c>
      <c r="L52" s="4" t="s">
        <v>839</v>
      </c>
      <c r="M52" s="59">
        <v>100</v>
      </c>
      <c r="O52" s="20"/>
    </row>
    <row r="53" spans="2:15" x14ac:dyDescent="0.2">
      <c r="B53" s="4"/>
      <c r="C53" s="4"/>
      <c r="D53" s="4"/>
      <c r="E53" s="54"/>
      <c r="F53" s="4"/>
      <c r="G53" s="72"/>
      <c r="H53" s="4"/>
      <c r="I53" s="54"/>
      <c r="J53" s="4" t="s">
        <v>28</v>
      </c>
      <c r="K53" s="72">
        <v>45810</v>
      </c>
      <c r="L53" s="4" t="s">
        <v>841</v>
      </c>
      <c r="M53" s="59">
        <v>1250</v>
      </c>
      <c r="O53" s="20"/>
    </row>
    <row r="54" spans="2:15" x14ac:dyDescent="0.2">
      <c r="B54" s="4"/>
      <c r="C54" s="4"/>
      <c r="D54" s="4"/>
      <c r="E54" s="54"/>
      <c r="F54" s="4"/>
      <c r="G54" s="72"/>
      <c r="H54" s="4"/>
      <c r="I54" s="54"/>
      <c r="J54" s="4"/>
      <c r="K54" s="72"/>
      <c r="L54" s="4"/>
      <c r="M54" s="59"/>
      <c r="O54" s="20"/>
    </row>
    <row r="55" spans="2:15" x14ac:dyDescent="0.2">
      <c r="B55" s="4"/>
      <c r="C55" s="4"/>
      <c r="D55" s="4"/>
      <c r="E55" s="54"/>
      <c r="F55" s="4"/>
      <c r="G55" s="72"/>
      <c r="H55" s="4"/>
      <c r="I55" s="54"/>
      <c r="J55" s="4"/>
      <c r="K55" s="72"/>
      <c r="L55" s="4"/>
      <c r="M55" s="59"/>
      <c r="O55" s="20"/>
    </row>
    <row r="56" spans="2:15" x14ac:dyDescent="0.2">
      <c r="B56" s="4"/>
      <c r="C56" s="4"/>
      <c r="D56" s="4"/>
      <c r="E56" s="54"/>
      <c r="F56" s="4"/>
      <c r="G56" s="72"/>
      <c r="H56" s="4"/>
      <c r="I56" s="54"/>
      <c r="J56" s="4"/>
      <c r="K56" s="72"/>
      <c r="L56" s="4"/>
      <c r="M56" s="59"/>
      <c r="O56" s="20"/>
    </row>
    <row r="57" spans="2:15" x14ac:dyDescent="0.2">
      <c r="B57" s="4"/>
      <c r="C57" s="4"/>
      <c r="D57" s="4"/>
      <c r="E57" s="54"/>
      <c r="F57" s="4"/>
      <c r="G57" s="72"/>
      <c r="H57" s="4"/>
      <c r="I57" s="54"/>
      <c r="J57" s="4"/>
      <c r="K57" s="72"/>
      <c r="L57" s="4"/>
      <c r="M57" s="59"/>
      <c r="O57" s="20"/>
    </row>
    <row r="58" spans="2:15" ht="17" thickBot="1" x14ac:dyDescent="0.25">
      <c r="B58" s="4"/>
      <c r="C58" s="4"/>
      <c r="D58" s="4"/>
      <c r="E58" s="54"/>
      <c r="F58" s="4"/>
      <c r="G58" s="72"/>
      <c r="H58" s="4"/>
      <c r="I58" s="54"/>
      <c r="J58" s="4"/>
      <c r="K58" s="72"/>
      <c r="L58" s="4"/>
      <c r="M58" s="59"/>
      <c r="O58" s="20">
        <f>SUM(M62:M78)</f>
        <v>9439.6999999999989</v>
      </c>
    </row>
    <row r="59" spans="2:15" ht="20" thickBot="1" x14ac:dyDescent="0.3">
      <c r="B59" s="378" t="s">
        <v>37</v>
      </c>
      <c r="C59" s="379"/>
      <c r="D59" s="379"/>
      <c r="E59" s="379"/>
      <c r="F59" s="379"/>
      <c r="G59" s="379"/>
      <c r="H59" s="379"/>
      <c r="I59" s="379"/>
      <c r="J59" s="379"/>
      <c r="K59" s="379"/>
      <c r="L59" s="379"/>
      <c r="M59" s="380"/>
      <c r="O59" s="20">
        <f>SUM(M6:M9)</f>
        <v>10505.01</v>
      </c>
    </row>
    <row r="60" spans="2:15" ht="20" thickBot="1" x14ac:dyDescent="0.3">
      <c r="B60" s="375" t="s">
        <v>2</v>
      </c>
      <c r="C60" s="376"/>
      <c r="D60" s="376"/>
      <c r="E60" s="377"/>
      <c r="F60" s="375" t="s">
        <v>3</v>
      </c>
      <c r="G60" s="376"/>
      <c r="H60" s="376"/>
      <c r="I60" s="377"/>
      <c r="J60" s="375" t="s">
        <v>4</v>
      </c>
      <c r="K60" s="376"/>
      <c r="L60" s="376"/>
      <c r="M60" s="377"/>
      <c r="O60" s="351">
        <f>SUM(O50:O59)</f>
        <v>52844.099999999991</v>
      </c>
    </row>
    <row r="61" spans="2:15" ht="20" thickBot="1" x14ac:dyDescent="0.3">
      <c r="B61" s="49" t="s">
        <v>527</v>
      </c>
      <c r="C61" s="50" t="s">
        <v>528</v>
      </c>
      <c r="D61" s="50" t="s">
        <v>529</v>
      </c>
      <c r="E61" s="52" t="s">
        <v>530</v>
      </c>
      <c r="F61" s="49" t="s">
        <v>527</v>
      </c>
      <c r="G61" s="50" t="s">
        <v>528</v>
      </c>
      <c r="H61" s="50" t="s">
        <v>529</v>
      </c>
      <c r="I61" s="52" t="s">
        <v>530</v>
      </c>
      <c r="J61" s="49" t="s">
        <v>527</v>
      </c>
      <c r="K61" s="50" t="s">
        <v>528</v>
      </c>
      <c r="L61" s="50" t="s">
        <v>529</v>
      </c>
      <c r="M61" s="52" t="s">
        <v>530</v>
      </c>
    </row>
    <row r="62" spans="2:15" x14ac:dyDescent="0.2">
      <c r="B62" s="193" t="s">
        <v>42</v>
      </c>
      <c r="C62" s="248">
        <v>45619</v>
      </c>
      <c r="D62" s="193" t="s">
        <v>578</v>
      </c>
      <c r="E62" s="247">
        <v>20</v>
      </c>
      <c r="F62" s="261" t="s">
        <v>42</v>
      </c>
      <c r="G62" s="274">
        <v>45665</v>
      </c>
      <c r="H62" s="275" t="s">
        <v>579</v>
      </c>
      <c r="I62" s="53">
        <v>30</v>
      </c>
      <c r="J62" s="261" t="s">
        <v>46</v>
      </c>
      <c r="K62" s="71">
        <v>45749</v>
      </c>
      <c r="L62" s="3" t="s">
        <v>580</v>
      </c>
      <c r="M62" s="58">
        <v>150</v>
      </c>
    </row>
    <row r="63" spans="2:15" x14ac:dyDescent="0.2">
      <c r="B63" s="72" t="s">
        <v>46</v>
      </c>
      <c r="C63" s="221">
        <v>45615</v>
      </c>
      <c r="D63" s="4" t="s">
        <v>581</v>
      </c>
      <c r="E63" s="54">
        <f>189+38.91+40+60</f>
        <v>327.90999999999997</v>
      </c>
      <c r="F63" s="261" t="s">
        <v>42</v>
      </c>
      <c r="G63" s="268">
        <v>45666</v>
      </c>
      <c r="H63" s="271" t="s">
        <v>582</v>
      </c>
      <c r="I63" s="54">
        <v>30</v>
      </c>
      <c r="J63" s="261" t="s">
        <v>39</v>
      </c>
      <c r="K63" s="248">
        <v>45754</v>
      </c>
      <c r="L63" s="193" t="s">
        <v>583</v>
      </c>
      <c r="M63" s="249">
        <f>15+649.84</f>
        <v>664.84</v>
      </c>
    </row>
    <row r="64" spans="2:15" x14ac:dyDescent="0.2">
      <c r="B64" s="4" t="s">
        <v>42</v>
      </c>
      <c r="C64" s="72">
        <v>45615</v>
      </c>
      <c r="D64" s="4" t="s">
        <v>584</v>
      </c>
      <c r="E64" s="54">
        <v>82</v>
      </c>
      <c r="F64" s="261" t="s">
        <v>42</v>
      </c>
      <c r="G64" s="268">
        <v>45666</v>
      </c>
      <c r="H64" s="271" t="s">
        <v>585</v>
      </c>
      <c r="I64" s="54">
        <v>30</v>
      </c>
      <c r="J64" s="261" t="s">
        <v>39</v>
      </c>
      <c r="K64" s="248">
        <v>45764</v>
      </c>
      <c r="L64" s="193" t="s">
        <v>586</v>
      </c>
      <c r="M64" s="249">
        <f>121.43+36.31+405.42</f>
        <v>563.16000000000008</v>
      </c>
    </row>
    <row r="65" spans="2:13" x14ac:dyDescent="0.2">
      <c r="B65" s="4" t="s">
        <v>38</v>
      </c>
      <c r="C65" s="72">
        <v>45607</v>
      </c>
      <c r="D65" s="4" t="s">
        <v>587</v>
      </c>
      <c r="E65" s="54">
        <v>13</v>
      </c>
      <c r="F65" s="261" t="s">
        <v>46</v>
      </c>
      <c r="G65" s="268">
        <v>45666</v>
      </c>
      <c r="H65" s="271" t="s">
        <v>588</v>
      </c>
      <c r="I65" s="54">
        <v>100</v>
      </c>
      <c r="J65" s="261" t="s">
        <v>42</v>
      </c>
      <c r="K65" s="72">
        <v>45763</v>
      </c>
      <c r="L65" s="4" t="s">
        <v>589</v>
      </c>
      <c r="M65" s="59">
        <f>156.86+27.31+52.18</f>
        <v>236.35000000000002</v>
      </c>
    </row>
    <row r="66" spans="2:13" x14ac:dyDescent="0.2">
      <c r="B66" s="4" t="s">
        <v>40</v>
      </c>
      <c r="C66" s="72">
        <v>45607</v>
      </c>
      <c r="D66" s="4" t="s">
        <v>590</v>
      </c>
      <c r="E66" s="54">
        <v>100</v>
      </c>
      <c r="F66" s="261" t="s">
        <v>39</v>
      </c>
      <c r="G66" s="268">
        <v>45667</v>
      </c>
      <c r="H66" s="271" t="s">
        <v>591</v>
      </c>
      <c r="I66" s="54">
        <v>86.49</v>
      </c>
      <c r="J66" s="261" t="s">
        <v>40</v>
      </c>
      <c r="K66" s="72">
        <v>45759</v>
      </c>
      <c r="L66" s="4" t="s">
        <v>592</v>
      </c>
      <c r="M66" s="59">
        <v>223</v>
      </c>
    </row>
    <row r="67" spans="2:13" x14ac:dyDescent="0.2">
      <c r="B67" s="4" t="s">
        <v>42</v>
      </c>
      <c r="C67" s="72">
        <v>45592</v>
      </c>
      <c r="D67" s="4" t="s">
        <v>593</v>
      </c>
      <c r="E67" s="54">
        <v>189</v>
      </c>
      <c r="F67" s="261" t="s">
        <v>39</v>
      </c>
      <c r="G67" s="260">
        <v>45667</v>
      </c>
      <c r="H67" s="259" t="s">
        <v>594</v>
      </c>
      <c r="I67" s="54">
        <v>53.87</v>
      </c>
      <c r="J67" s="261" t="s">
        <v>40</v>
      </c>
      <c r="K67" s="72">
        <v>45771</v>
      </c>
      <c r="L67" s="4" t="s">
        <v>787</v>
      </c>
      <c r="M67" s="59">
        <v>113.5</v>
      </c>
    </row>
    <row r="68" spans="2:13" x14ac:dyDescent="0.2">
      <c r="B68" s="4" t="s">
        <v>42</v>
      </c>
      <c r="C68" s="72">
        <v>45589</v>
      </c>
      <c r="D68" s="4" t="s">
        <v>595</v>
      </c>
      <c r="E68" s="54">
        <f>65+23</f>
        <v>88</v>
      </c>
      <c r="F68" s="261" t="s">
        <v>39</v>
      </c>
      <c r="G68" s="262">
        <v>45667</v>
      </c>
      <c r="H68" s="261" t="s">
        <v>596</v>
      </c>
      <c r="I68" s="54">
        <v>32.590000000000003</v>
      </c>
      <c r="J68" s="261" t="s">
        <v>40</v>
      </c>
      <c r="K68" s="72">
        <v>45772</v>
      </c>
      <c r="L68" s="4" t="s">
        <v>788</v>
      </c>
      <c r="M68" s="59">
        <f>43+98.68</f>
        <v>141.68</v>
      </c>
    </row>
    <row r="69" spans="2:13" x14ac:dyDescent="0.2">
      <c r="B69" s="4" t="s">
        <v>38</v>
      </c>
      <c r="C69" s="72">
        <v>45586</v>
      </c>
      <c r="D69" s="4" t="s">
        <v>597</v>
      </c>
      <c r="E69" s="54">
        <f>100+236.35+41</f>
        <v>377.35</v>
      </c>
      <c r="F69" s="261" t="s">
        <v>39</v>
      </c>
      <c r="G69" s="262">
        <v>45670</v>
      </c>
      <c r="H69" s="261" t="s">
        <v>598</v>
      </c>
      <c r="I69" s="54">
        <v>496.19</v>
      </c>
      <c r="J69" s="261" t="s">
        <v>42</v>
      </c>
      <c r="K69" s="72">
        <v>45768</v>
      </c>
      <c r="L69" s="4" t="s">
        <v>789</v>
      </c>
      <c r="M69" s="59">
        <f>28.47+30+30+40+30+40</f>
        <v>198.47</v>
      </c>
    </row>
    <row r="70" spans="2:13" x14ac:dyDescent="0.2">
      <c r="B70" s="4" t="s">
        <v>42</v>
      </c>
      <c r="C70" s="72">
        <v>45584</v>
      </c>
      <c r="D70" s="4" t="s">
        <v>599</v>
      </c>
      <c r="E70" s="54">
        <v>209</v>
      </c>
      <c r="F70" s="261" t="s">
        <v>39</v>
      </c>
      <c r="G70" s="262">
        <v>45670</v>
      </c>
      <c r="H70" s="261" t="s">
        <v>600</v>
      </c>
      <c r="I70" s="54">
        <v>46.84</v>
      </c>
      <c r="J70" s="261" t="s">
        <v>46</v>
      </c>
      <c r="K70" s="72">
        <v>45768</v>
      </c>
      <c r="L70" s="4" t="s">
        <v>793</v>
      </c>
      <c r="M70" s="59">
        <f>225+225</f>
        <v>450</v>
      </c>
    </row>
    <row r="71" spans="2:13" x14ac:dyDescent="0.2">
      <c r="B71" s="4" t="s">
        <v>41</v>
      </c>
      <c r="C71" s="72">
        <v>45583</v>
      </c>
      <c r="D71" s="4" t="s">
        <v>601</v>
      </c>
      <c r="E71" s="54">
        <v>118</v>
      </c>
      <c r="F71" s="261" t="s">
        <v>39</v>
      </c>
      <c r="G71" s="262">
        <v>45670</v>
      </c>
      <c r="H71" s="261" t="s">
        <v>602</v>
      </c>
      <c r="I71" s="54">
        <v>20.38</v>
      </c>
      <c r="J71" s="261" t="s">
        <v>39</v>
      </c>
      <c r="K71" s="72">
        <v>45768</v>
      </c>
      <c r="L71" s="4" t="s">
        <v>796</v>
      </c>
      <c r="M71" s="59">
        <f>238.04+99.99</f>
        <v>338.03</v>
      </c>
    </row>
    <row r="72" spans="2:13" x14ac:dyDescent="0.2">
      <c r="B72" s="4" t="s">
        <v>41</v>
      </c>
      <c r="C72" s="72">
        <v>45568</v>
      </c>
      <c r="D72" s="4" t="s">
        <v>41</v>
      </c>
      <c r="E72" s="54">
        <v>429.4</v>
      </c>
      <c r="F72" s="261" t="s">
        <v>41</v>
      </c>
      <c r="G72" s="262">
        <v>45671</v>
      </c>
      <c r="H72" s="261" t="s">
        <v>603</v>
      </c>
      <c r="I72" s="54">
        <f>32.61+24.98+71.89+66.35+17.97+326.34</f>
        <v>540.14</v>
      </c>
      <c r="J72" s="261" t="s">
        <v>42</v>
      </c>
      <c r="K72" s="72">
        <v>45771</v>
      </c>
      <c r="L72" s="4" t="s">
        <v>794</v>
      </c>
      <c r="M72" s="59">
        <v>22.66</v>
      </c>
    </row>
    <row r="73" spans="2:13" x14ac:dyDescent="0.2">
      <c r="B73" s="4" t="s">
        <v>39</v>
      </c>
      <c r="C73" s="72">
        <v>45558</v>
      </c>
      <c r="D73" s="4" t="s">
        <v>604</v>
      </c>
      <c r="E73" s="169">
        <v>85</v>
      </c>
      <c r="F73" s="261" t="s">
        <v>42</v>
      </c>
      <c r="G73" s="262">
        <v>45673</v>
      </c>
      <c r="H73" s="261" t="s">
        <v>596</v>
      </c>
      <c r="I73" s="54">
        <v>51.96</v>
      </c>
      <c r="J73" s="261" t="s">
        <v>39</v>
      </c>
      <c r="K73" s="72">
        <v>45772</v>
      </c>
      <c r="L73" s="4" t="s">
        <v>797</v>
      </c>
      <c r="M73" s="59">
        <v>618.95000000000005</v>
      </c>
    </row>
    <row r="74" spans="2:13" x14ac:dyDescent="0.2">
      <c r="B74" s="4" t="s">
        <v>41</v>
      </c>
      <c r="C74" s="72">
        <v>45554</v>
      </c>
      <c r="D74" s="4" t="s">
        <v>605</v>
      </c>
      <c r="E74" s="54">
        <f>98+31.04</f>
        <v>129.04</v>
      </c>
      <c r="F74" s="261" t="s">
        <v>42</v>
      </c>
      <c r="G74" s="262">
        <v>45673</v>
      </c>
      <c r="H74" s="261" t="s">
        <v>606</v>
      </c>
      <c r="I74" s="54">
        <v>31.83</v>
      </c>
      <c r="J74" s="261" t="s">
        <v>39</v>
      </c>
      <c r="K74" s="72">
        <v>45773</v>
      </c>
      <c r="L74" s="4" t="s">
        <v>802</v>
      </c>
      <c r="M74" s="59">
        <f>639.73+11.83+36.26-45</f>
        <v>642.82000000000005</v>
      </c>
    </row>
    <row r="75" spans="2:13" x14ac:dyDescent="0.2">
      <c r="B75" s="4" t="s">
        <v>38</v>
      </c>
      <c r="C75" s="72">
        <v>45632</v>
      </c>
      <c r="D75" s="4" t="s">
        <v>607</v>
      </c>
      <c r="E75" s="54">
        <f>75+180.16+262.6+11.47+38.06+38.04+10.82+159.8</f>
        <v>775.95</v>
      </c>
      <c r="F75" s="261" t="s">
        <v>41</v>
      </c>
      <c r="G75" s="270">
        <v>45674</v>
      </c>
      <c r="H75" s="273" t="s">
        <v>608</v>
      </c>
      <c r="I75" s="54">
        <v>337</v>
      </c>
      <c r="J75" s="261" t="s">
        <v>39</v>
      </c>
      <c r="K75" s="72">
        <v>45777</v>
      </c>
      <c r="L75" s="4" t="s">
        <v>809</v>
      </c>
      <c r="M75" s="59">
        <v>144.63999999999999</v>
      </c>
    </row>
    <row r="76" spans="2:13" x14ac:dyDescent="0.2">
      <c r="B76" s="4" t="s">
        <v>43</v>
      </c>
      <c r="C76" s="72">
        <v>45616</v>
      </c>
      <c r="D76" s="4" t="s">
        <v>609</v>
      </c>
      <c r="E76" s="54">
        <v>448</v>
      </c>
      <c r="F76" s="261" t="s">
        <v>39</v>
      </c>
      <c r="G76" s="262">
        <v>45674</v>
      </c>
      <c r="H76" s="261" t="s">
        <v>610</v>
      </c>
      <c r="I76" s="54">
        <v>55</v>
      </c>
      <c r="J76" s="261" t="s">
        <v>39</v>
      </c>
      <c r="K76" s="72">
        <v>45777</v>
      </c>
      <c r="L76" s="4" t="s">
        <v>586</v>
      </c>
      <c r="M76" s="59">
        <f>439.71+24.07</f>
        <v>463.78</v>
      </c>
    </row>
    <row r="77" spans="2:13" x14ac:dyDescent="0.2">
      <c r="B77" s="4" t="s">
        <v>38</v>
      </c>
      <c r="C77" s="72">
        <v>45611</v>
      </c>
      <c r="D77" s="4" t="s">
        <v>611</v>
      </c>
      <c r="E77" s="54">
        <f>787.53+6.5+114.87+20.63+42.95+13.05</f>
        <v>985.53</v>
      </c>
      <c r="F77" s="261" t="s">
        <v>41</v>
      </c>
      <c r="G77" s="269">
        <v>45675</v>
      </c>
      <c r="H77" s="269" t="s">
        <v>612</v>
      </c>
      <c r="I77" s="54">
        <v>326</v>
      </c>
      <c r="J77" s="261" t="s">
        <v>39</v>
      </c>
      <c r="K77" s="72">
        <v>45787</v>
      </c>
      <c r="L77" s="4" t="s">
        <v>815</v>
      </c>
      <c r="M77" s="59">
        <f>19.19+275.75+53.88+488.78+25.56+43.41+128.27+31.59</f>
        <v>1066.4299999999998</v>
      </c>
    </row>
    <row r="78" spans="2:13" x14ac:dyDescent="0.2">
      <c r="B78" s="4" t="s">
        <v>46</v>
      </c>
      <c r="C78" s="72">
        <v>45604</v>
      </c>
      <c r="D78" s="4" t="s">
        <v>613</v>
      </c>
      <c r="E78" s="54">
        <v>150</v>
      </c>
      <c r="F78" s="261" t="s">
        <v>41</v>
      </c>
      <c r="G78" s="262">
        <v>45676</v>
      </c>
      <c r="H78" s="261" t="s">
        <v>601</v>
      </c>
      <c r="I78" s="54">
        <v>337.39</v>
      </c>
      <c r="J78" s="261" t="s">
        <v>50</v>
      </c>
      <c r="K78" s="72">
        <v>45790</v>
      </c>
      <c r="L78" s="4" t="s">
        <v>823</v>
      </c>
      <c r="M78" s="59">
        <f>351.73+3049.66</f>
        <v>3401.39</v>
      </c>
    </row>
    <row r="79" spans="2:13" x14ac:dyDescent="0.2">
      <c r="B79" s="4" t="s">
        <v>46</v>
      </c>
      <c r="C79" s="72">
        <v>45601</v>
      </c>
      <c r="D79" s="4" t="s">
        <v>614</v>
      </c>
      <c r="E79" s="54">
        <v>160</v>
      </c>
      <c r="F79" s="261" t="s">
        <v>41</v>
      </c>
      <c r="G79" s="262">
        <v>45676</v>
      </c>
      <c r="H79" s="261" t="s">
        <v>615</v>
      </c>
      <c r="I79" s="54">
        <v>9.7799999999999994</v>
      </c>
      <c r="J79" s="261" t="s">
        <v>46</v>
      </c>
      <c r="K79" s="72">
        <v>45800</v>
      </c>
      <c r="L79" s="4" t="s">
        <v>827</v>
      </c>
      <c r="M79" s="59">
        <v>3214.25</v>
      </c>
    </row>
    <row r="80" spans="2:13" x14ac:dyDescent="0.2">
      <c r="B80" s="4" t="s">
        <v>46</v>
      </c>
      <c r="C80" s="72">
        <v>45589</v>
      </c>
      <c r="D80" s="4" t="s">
        <v>616</v>
      </c>
      <c r="E80" s="54">
        <v>300</v>
      </c>
      <c r="F80" s="261" t="s">
        <v>41</v>
      </c>
      <c r="G80" s="262">
        <v>45676</v>
      </c>
      <c r="H80" s="261" t="s">
        <v>617</v>
      </c>
      <c r="I80" s="54">
        <v>129.85</v>
      </c>
      <c r="J80" s="261" t="s">
        <v>46</v>
      </c>
      <c r="K80" s="72">
        <v>45806</v>
      </c>
      <c r="L80" s="4" t="s">
        <v>837</v>
      </c>
      <c r="M80" s="59">
        <f>53.99+50+27+56.29</f>
        <v>187.28</v>
      </c>
    </row>
    <row r="81" spans="2:13" x14ac:dyDescent="0.2">
      <c r="B81" s="4" t="s">
        <v>38</v>
      </c>
      <c r="C81" s="72">
        <v>45598</v>
      </c>
      <c r="D81" s="4" t="s">
        <v>618</v>
      </c>
      <c r="E81" s="54">
        <f>49.71+290+35.24</f>
        <v>374.95</v>
      </c>
      <c r="F81" s="261" t="s">
        <v>41</v>
      </c>
      <c r="G81" s="262">
        <v>45682</v>
      </c>
      <c r="H81" s="261" t="s">
        <v>619</v>
      </c>
      <c r="I81" s="54">
        <v>22.17</v>
      </c>
      <c r="J81" s="261" t="s">
        <v>39</v>
      </c>
      <c r="K81" s="72">
        <v>45810</v>
      </c>
      <c r="L81" s="4" t="s">
        <v>840</v>
      </c>
      <c r="M81" s="59">
        <v>44.57</v>
      </c>
    </row>
    <row r="82" spans="2:13" x14ac:dyDescent="0.2">
      <c r="B82" s="4" t="s">
        <v>46</v>
      </c>
      <c r="C82" s="72">
        <v>45597</v>
      </c>
      <c r="D82" s="4" t="s">
        <v>620</v>
      </c>
      <c r="E82" s="54">
        <v>375</v>
      </c>
      <c r="F82" s="261" t="s">
        <v>40</v>
      </c>
      <c r="G82" s="269">
        <v>45683</v>
      </c>
      <c r="H82" s="272" t="s">
        <v>621</v>
      </c>
      <c r="I82" s="54">
        <f>208+142+14</f>
        <v>364</v>
      </c>
      <c r="J82" s="261" t="s">
        <v>39</v>
      </c>
      <c r="K82" s="72">
        <v>45808</v>
      </c>
      <c r="L82" s="4" t="s">
        <v>842</v>
      </c>
      <c r="M82" s="59">
        <f>763.96+18.39+5.63+25.87-12.28+25.56</f>
        <v>827.13</v>
      </c>
    </row>
    <row r="83" spans="2:13" x14ac:dyDescent="0.2">
      <c r="B83" s="4" t="s">
        <v>48</v>
      </c>
      <c r="C83" s="72">
        <v>45597</v>
      </c>
      <c r="D83" s="4" t="s">
        <v>622</v>
      </c>
      <c r="E83" s="54">
        <v>1823</v>
      </c>
      <c r="F83" s="261" t="s">
        <v>41</v>
      </c>
      <c r="G83" s="269">
        <v>45684</v>
      </c>
      <c r="H83" s="272" t="s">
        <v>623</v>
      </c>
      <c r="I83" s="54">
        <f>113+160</f>
        <v>273</v>
      </c>
      <c r="J83" s="261" t="s">
        <v>40</v>
      </c>
      <c r="K83" s="72">
        <v>45807</v>
      </c>
      <c r="L83" s="4" t="s">
        <v>844</v>
      </c>
      <c r="M83" s="59">
        <v>654.69000000000005</v>
      </c>
    </row>
    <row r="84" spans="2:13" x14ac:dyDescent="0.2">
      <c r="B84" s="4" t="s">
        <v>38</v>
      </c>
      <c r="C84" s="72">
        <v>45596</v>
      </c>
      <c r="D84" s="4" t="s">
        <v>624</v>
      </c>
      <c r="E84" s="54">
        <f>53.24+3.25+45+497.54+32.59+35.85</f>
        <v>667.47</v>
      </c>
      <c r="F84" s="261" t="s">
        <v>46</v>
      </c>
      <c r="G84" s="262">
        <v>45688</v>
      </c>
      <c r="H84" s="261" t="s">
        <v>625</v>
      </c>
      <c r="I84" s="54">
        <f>525.44+1832.49</f>
        <v>2357.9300000000003</v>
      </c>
      <c r="J84" s="261"/>
      <c r="K84" s="72"/>
      <c r="L84" s="4"/>
      <c r="M84" s="59"/>
    </row>
    <row r="85" spans="2:13" x14ac:dyDescent="0.2">
      <c r="B85" s="4" t="s">
        <v>46</v>
      </c>
      <c r="C85" s="72">
        <v>45589</v>
      </c>
      <c r="D85" s="4" t="s">
        <v>626</v>
      </c>
      <c r="E85" s="54">
        <v>84</v>
      </c>
      <c r="F85" s="261" t="s">
        <v>46</v>
      </c>
      <c r="G85" s="262">
        <v>45692</v>
      </c>
      <c r="H85" s="261" t="s">
        <v>627</v>
      </c>
      <c r="I85" s="54">
        <v>116</v>
      </c>
      <c r="J85" s="261"/>
      <c r="K85" s="4"/>
      <c r="L85" s="4"/>
      <c r="M85" s="59"/>
    </row>
    <row r="86" spans="2:13" x14ac:dyDescent="0.2">
      <c r="B86" s="4" t="s">
        <v>38</v>
      </c>
      <c r="C86" s="72">
        <v>45583</v>
      </c>
      <c r="D86" s="4" t="s">
        <v>628</v>
      </c>
      <c r="E86" s="54">
        <f>16.31+26.03+586.58+51.06</f>
        <v>679.98</v>
      </c>
      <c r="F86" s="261" t="s">
        <v>39</v>
      </c>
      <c r="G86" s="262">
        <v>45692</v>
      </c>
      <c r="H86" s="261" t="s">
        <v>629</v>
      </c>
      <c r="I86" s="54">
        <f>170.31+50</f>
        <v>220.31</v>
      </c>
      <c r="J86" s="261"/>
      <c r="K86" s="4"/>
      <c r="L86" s="4"/>
      <c r="M86" s="59"/>
    </row>
    <row r="87" spans="2:13" x14ac:dyDescent="0.2">
      <c r="B87" s="4" t="s">
        <v>41</v>
      </c>
      <c r="C87" s="72">
        <v>45579</v>
      </c>
      <c r="D87" s="4" t="s">
        <v>630</v>
      </c>
      <c r="E87" s="54">
        <f>70.89+22.47+157.57+7.87+13.89+87</f>
        <v>359.69</v>
      </c>
      <c r="F87" s="261" t="s">
        <v>39</v>
      </c>
      <c r="G87" s="262">
        <v>45695</v>
      </c>
      <c r="H87" s="261" t="s">
        <v>631</v>
      </c>
      <c r="I87" s="54">
        <f>401+59.31+5.97+765.91</f>
        <v>1232.19</v>
      </c>
      <c r="J87" s="261"/>
      <c r="K87" s="4"/>
      <c r="L87" s="4"/>
      <c r="M87" s="59"/>
    </row>
    <row r="88" spans="2:13" x14ac:dyDescent="0.2">
      <c r="B88" s="4" t="s">
        <v>46</v>
      </c>
      <c r="C88" s="72">
        <v>45579</v>
      </c>
      <c r="D88" s="4" t="s">
        <v>632</v>
      </c>
      <c r="E88" s="54">
        <v>244.63</v>
      </c>
      <c r="F88" s="261" t="s">
        <v>40</v>
      </c>
      <c r="G88" s="262">
        <v>45695</v>
      </c>
      <c r="H88" s="272" t="s">
        <v>633</v>
      </c>
      <c r="I88" s="54">
        <f>159.34+255.43</f>
        <v>414.77</v>
      </c>
      <c r="J88" s="261"/>
      <c r="K88" s="4"/>
      <c r="L88" s="4"/>
      <c r="M88" s="59"/>
    </row>
    <row r="89" spans="2:13" x14ac:dyDescent="0.2">
      <c r="B89" s="4" t="s">
        <v>41</v>
      </c>
      <c r="C89" s="72">
        <v>45576</v>
      </c>
      <c r="D89" s="4" t="s">
        <v>41</v>
      </c>
      <c r="E89" s="54">
        <f>134.73+32.6+26.96+8.12+54.35+52.22+54.34+962.89</f>
        <v>1326.21</v>
      </c>
      <c r="F89" s="261" t="s">
        <v>42</v>
      </c>
      <c r="G89" s="262">
        <v>45695</v>
      </c>
      <c r="H89" s="272" t="s">
        <v>634</v>
      </c>
      <c r="I89" s="54">
        <f>42.11+76.64</f>
        <v>118.75</v>
      </c>
      <c r="J89" s="261"/>
      <c r="K89" s="4"/>
      <c r="L89" s="4"/>
      <c r="M89" s="59"/>
    </row>
    <row r="90" spans="2:13" x14ac:dyDescent="0.2">
      <c r="B90" s="4" t="s">
        <v>40</v>
      </c>
      <c r="C90" s="72">
        <v>45570</v>
      </c>
      <c r="D90" s="4" t="s">
        <v>635</v>
      </c>
      <c r="E90" s="54">
        <v>162.16999999999999</v>
      </c>
      <c r="F90" s="261" t="s">
        <v>39</v>
      </c>
      <c r="G90" s="262">
        <v>45696</v>
      </c>
      <c r="H90" s="272" t="s">
        <v>636</v>
      </c>
      <c r="I90" s="54">
        <f>80+55</f>
        <v>135</v>
      </c>
      <c r="J90" s="261"/>
      <c r="K90" s="4"/>
      <c r="L90" s="4"/>
      <c r="M90" s="59"/>
    </row>
    <row r="91" spans="2:13" x14ac:dyDescent="0.2">
      <c r="B91" s="4" t="s">
        <v>48</v>
      </c>
      <c r="C91" s="72">
        <v>45531</v>
      </c>
      <c r="D91" s="4" t="s">
        <v>622</v>
      </c>
      <c r="E91" s="54">
        <f>110.6+1864.18</f>
        <v>1974.78</v>
      </c>
      <c r="F91" s="261" t="s">
        <v>46</v>
      </c>
      <c r="G91" s="262">
        <v>45697</v>
      </c>
      <c r="H91" s="272" t="s">
        <v>637</v>
      </c>
      <c r="I91" s="54">
        <f>49.23+69.72+27.57+55+22.83+38.08+44.2+13.58+140+57.67+98+70</f>
        <v>685.87999999999988</v>
      </c>
      <c r="J91" s="261"/>
      <c r="K91" s="4"/>
      <c r="L91" s="4"/>
      <c r="M91" s="59"/>
    </row>
    <row r="92" spans="2:13" x14ac:dyDescent="0.2">
      <c r="B92" s="4"/>
      <c r="C92" s="72"/>
      <c r="D92" s="4"/>
      <c r="E92" s="54"/>
      <c r="F92" s="261" t="s">
        <v>43</v>
      </c>
      <c r="G92" s="269">
        <v>45701</v>
      </c>
      <c r="H92" s="272" t="s">
        <v>638</v>
      </c>
      <c r="I92" s="54">
        <v>168</v>
      </c>
      <c r="J92" s="261"/>
      <c r="K92" s="4"/>
      <c r="L92" s="4"/>
      <c r="M92" s="59"/>
    </row>
    <row r="93" spans="2:13" x14ac:dyDescent="0.2">
      <c r="B93" s="4"/>
      <c r="C93" s="72"/>
      <c r="D93" s="4"/>
      <c r="E93" s="54"/>
      <c r="F93" s="261" t="s">
        <v>40</v>
      </c>
      <c r="G93" s="262">
        <v>45703</v>
      </c>
      <c r="H93" s="272" t="s">
        <v>639</v>
      </c>
      <c r="I93" s="54">
        <v>37.450000000000003</v>
      </c>
      <c r="J93" s="261"/>
      <c r="K93" s="4"/>
      <c r="L93" s="4"/>
      <c r="M93" s="59"/>
    </row>
    <row r="94" spans="2:13" x14ac:dyDescent="0.2">
      <c r="B94" s="4"/>
      <c r="C94" s="72"/>
      <c r="D94" s="4"/>
      <c r="E94" s="54"/>
      <c r="F94" s="261" t="s">
        <v>42</v>
      </c>
      <c r="G94" s="262">
        <v>45707</v>
      </c>
      <c r="H94" s="261" t="s">
        <v>640</v>
      </c>
      <c r="I94" s="54">
        <v>59.17</v>
      </c>
      <c r="J94" s="261"/>
      <c r="K94" s="4"/>
      <c r="L94" s="4"/>
      <c r="M94" s="59"/>
    </row>
    <row r="95" spans="2:13" x14ac:dyDescent="0.2">
      <c r="B95" s="4"/>
      <c r="C95" s="72"/>
      <c r="D95" s="4"/>
      <c r="E95" s="54"/>
      <c r="F95" s="261" t="s">
        <v>39</v>
      </c>
      <c r="G95" s="262">
        <v>45709</v>
      </c>
      <c r="H95" s="271" t="s">
        <v>641</v>
      </c>
      <c r="I95" s="54">
        <f>120+30+43.49+12+28.06+11.96+129.41+391.53-28+90+100</f>
        <v>928.45</v>
      </c>
      <c r="J95" s="261"/>
      <c r="K95" s="4"/>
      <c r="L95" s="4"/>
      <c r="M95" s="59"/>
    </row>
    <row r="96" spans="2:13" x14ac:dyDescent="0.2">
      <c r="B96" s="4"/>
      <c r="C96" s="72"/>
      <c r="D96" s="4"/>
      <c r="E96" s="54"/>
      <c r="F96" s="261" t="s">
        <v>39</v>
      </c>
      <c r="G96" s="262">
        <v>45710</v>
      </c>
      <c r="H96" s="271" t="s">
        <v>642</v>
      </c>
      <c r="I96" s="54">
        <f>290+403-60</f>
        <v>633</v>
      </c>
      <c r="J96" s="261"/>
      <c r="K96" s="4"/>
      <c r="L96" s="4"/>
      <c r="M96" s="59"/>
    </row>
    <row r="97" spans="2:13" x14ac:dyDescent="0.2">
      <c r="B97" s="4"/>
      <c r="C97" s="72"/>
      <c r="D97" s="4"/>
      <c r="E97" s="54"/>
      <c r="F97" s="261" t="s">
        <v>46</v>
      </c>
      <c r="G97" s="262">
        <v>45709</v>
      </c>
      <c r="H97" s="271" t="s">
        <v>643</v>
      </c>
      <c r="I97" s="54">
        <v>100</v>
      </c>
      <c r="J97" s="261"/>
      <c r="K97" s="4"/>
      <c r="L97" s="4"/>
      <c r="M97" s="59"/>
    </row>
    <row r="98" spans="2:13" x14ac:dyDescent="0.2">
      <c r="B98" s="4"/>
      <c r="C98" s="72"/>
      <c r="D98" s="4"/>
      <c r="E98" s="54"/>
      <c r="F98" s="261" t="s">
        <v>50</v>
      </c>
      <c r="G98" s="262">
        <v>45710</v>
      </c>
      <c r="H98" s="271" t="s">
        <v>644</v>
      </c>
      <c r="I98" s="54">
        <f>127.77+111.64</f>
        <v>239.41</v>
      </c>
      <c r="J98" s="261"/>
      <c r="K98" s="4"/>
      <c r="L98" s="4"/>
      <c r="M98" s="59"/>
    </row>
    <row r="99" spans="2:13" x14ac:dyDescent="0.2">
      <c r="B99" s="4"/>
      <c r="C99" s="72"/>
      <c r="D99" s="4"/>
      <c r="E99" s="54"/>
      <c r="F99" s="263" t="s">
        <v>39</v>
      </c>
      <c r="G99" s="289">
        <v>45717</v>
      </c>
      <c r="H99" s="271" t="s">
        <v>645</v>
      </c>
      <c r="I99" s="54">
        <f>574+66.85</f>
        <v>640.85</v>
      </c>
      <c r="J99" s="261"/>
      <c r="K99" s="4"/>
      <c r="L99" s="4"/>
      <c r="M99" s="59"/>
    </row>
    <row r="100" spans="2:13" x14ac:dyDescent="0.2">
      <c r="B100" s="4"/>
      <c r="C100" s="4"/>
      <c r="D100" s="4"/>
      <c r="E100" s="131"/>
      <c r="F100" s="290" t="s">
        <v>39</v>
      </c>
      <c r="G100" s="291">
        <v>45717</v>
      </c>
      <c r="H100" s="287" t="s">
        <v>646</v>
      </c>
      <c r="I100" s="54">
        <f>8.3+32.6+27.17</f>
        <v>68.070000000000007</v>
      </c>
      <c r="J100" s="261"/>
      <c r="K100" s="4"/>
      <c r="L100" s="4"/>
      <c r="M100" s="59"/>
    </row>
    <row r="101" spans="2:13" x14ac:dyDescent="0.2">
      <c r="B101" s="258"/>
      <c r="C101" s="258"/>
      <c r="D101" s="258"/>
      <c r="E101" s="286"/>
      <c r="F101" s="290" t="s">
        <v>42</v>
      </c>
      <c r="G101" s="291">
        <v>45716</v>
      </c>
      <c r="H101" s="288" t="s">
        <v>647</v>
      </c>
      <c r="I101" s="54">
        <f>25+61.19</f>
        <v>86.19</v>
      </c>
      <c r="J101" s="261"/>
      <c r="K101" s="258"/>
      <c r="L101" s="258"/>
      <c r="M101" s="285"/>
    </row>
    <row r="102" spans="2:13" x14ac:dyDescent="0.2">
      <c r="B102" s="258"/>
      <c r="C102" s="258"/>
      <c r="D102" s="258"/>
      <c r="E102" s="286"/>
      <c r="F102" s="290" t="s">
        <v>42</v>
      </c>
      <c r="G102" s="291">
        <v>45715</v>
      </c>
      <c r="H102" s="293" t="s">
        <v>648</v>
      </c>
      <c r="I102" s="54">
        <v>63.88</v>
      </c>
      <c r="J102" s="261"/>
      <c r="K102" s="258"/>
      <c r="L102" s="258"/>
      <c r="M102" s="285"/>
    </row>
    <row r="103" spans="2:13" x14ac:dyDescent="0.2">
      <c r="B103" s="258"/>
      <c r="C103" s="258"/>
      <c r="D103" s="258"/>
      <c r="E103" s="286"/>
      <c r="F103" s="290" t="s">
        <v>39</v>
      </c>
      <c r="G103" s="291">
        <v>45722</v>
      </c>
      <c r="H103" s="293" t="s">
        <v>649</v>
      </c>
      <c r="I103" s="54">
        <f>2.15+38.04+343.9</f>
        <v>384.09</v>
      </c>
      <c r="J103" s="261"/>
      <c r="K103" s="258"/>
      <c r="L103" s="258"/>
      <c r="M103" s="285"/>
    </row>
    <row r="104" spans="2:13" x14ac:dyDescent="0.2">
      <c r="B104" s="258"/>
      <c r="C104" s="258"/>
      <c r="D104" s="258"/>
      <c r="E104" s="286"/>
      <c r="F104" s="290" t="s">
        <v>42</v>
      </c>
      <c r="G104" s="291">
        <v>45721</v>
      </c>
      <c r="H104" s="290" t="s">
        <v>650</v>
      </c>
      <c r="I104" s="54">
        <v>73.33</v>
      </c>
      <c r="J104" s="261"/>
      <c r="K104" s="258"/>
      <c r="L104" s="258"/>
      <c r="M104" s="285"/>
    </row>
    <row r="105" spans="2:13" x14ac:dyDescent="0.2">
      <c r="B105" s="258"/>
      <c r="C105" s="258"/>
      <c r="D105" s="258"/>
      <c r="E105" s="286"/>
      <c r="F105" s="290"/>
      <c r="G105" s="291"/>
      <c r="H105" s="290"/>
      <c r="I105" s="54"/>
      <c r="J105" s="261"/>
      <c r="K105" s="258"/>
      <c r="L105" s="258"/>
      <c r="M105" s="285"/>
    </row>
    <row r="106" spans="2:13" x14ac:dyDescent="0.2">
      <c r="B106" s="258"/>
      <c r="C106" s="258"/>
      <c r="D106" s="258"/>
      <c r="E106" s="286"/>
      <c r="F106" s="293"/>
      <c r="G106" s="294"/>
      <c r="H106" s="293"/>
      <c r="I106" s="54"/>
      <c r="J106" s="263"/>
      <c r="K106" s="258"/>
      <c r="L106" s="258"/>
      <c r="M106" s="285"/>
    </row>
    <row r="107" spans="2:13" ht="17" thickBot="1" x14ac:dyDescent="0.25">
      <c r="B107" s="5"/>
      <c r="C107" s="5"/>
      <c r="D107" s="5"/>
      <c r="E107" s="251"/>
      <c r="F107" s="267"/>
      <c r="G107" s="292"/>
      <c r="H107" s="267"/>
      <c r="I107" s="60"/>
      <c r="J107" s="267"/>
      <c r="K107" s="5"/>
      <c r="L107" s="5"/>
      <c r="M107" s="60"/>
    </row>
    <row r="108" spans="2:13" ht="17" thickBot="1" x14ac:dyDescent="0.25">
      <c r="D108" s="9" t="s">
        <v>25</v>
      </c>
      <c r="E108" s="40">
        <f>SUM(E23:E58)+SUM(E62:E107)+SUM(E6:E19)</f>
        <v>33568.28</v>
      </c>
      <c r="H108" s="9" t="s">
        <v>25</v>
      </c>
      <c r="I108" s="40">
        <f>SUM(I23:I58)+SUM(I62:I107)+SUM(I6:I19)</f>
        <v>54386.320000000007</v>
      </c>
      <c r="L108" s="11" t="s">
        <v>25</v>
      </c>
      <c r="M108" s="40">
        <f>SUM(M23:M58)+SUM(M62:M107)+SUM(M6:M19)</f>
        <v>67373.459999999977</v>
      </c>
    </row>
  </sheetData>
  <sortState xmlns:xlrd2="http://schemas.microsoft.com/office/spreadsheetml/2017/richdata2" ref="F23:I43">
    <sortCondition ref="G23:G43"/>
  </sortState>
  <mergeCells count="13">
    <mergeCell ref="B2:M2"/>
    <mergeCell ref="B60:E60"/>
    <mergeCell ref="F60:I60"/>
    <mergeCell ref="J60:M60"/>
    <mergeCell ref="B3:M3"/>
    <mergeCell ref="B4:E4"/>
    <mergeCell ref="F4:I4"/>
    <mergeCell ref="J4:M4"/>
    <mergeCell ref="B20:M20"/>
    <mergeCell ref="B21:E21"/>
    <mergeCell ref="F21:I21"/>
    <mergeCell ref="J21:M21"/>
    <mergeCell ref="B59:M59"/>
  </mergeCells>
  <phoneticPr fontId="10" type="noConversion"/>
  <dataValidations count="1">
    <dataValidation type="list" allowBlank="1" showInputMessage="1" showErrorMessage="1" sqref="G108:G123 F108:F133 B108:C123 J109:J153 K108:K152" xr:uid="{54A061A3-D36A-A543-9E73-E183CCFBEF61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B8EE6FF-0BF5-E449-B0E3-177055FD0327}">
          <x14:formula1>
            <xm:f>'Budget '!#REF!</xm:f>
          </x14:formula1>
          <xm:sqref>J58 J108</xm:sqref>
        </x14:dataValidation>
        <x14:dataValidation type="list" allowBlank="1" showInputMessage="1" showErrorMessage="1" xr:uid="{AC6AD888-6A09-1145-864F-721C8134F55D}">
          <x14:formula1>
            <xm:f>'Budget '!$B$5:$B$6</xm:f>
          </x14:formula1>
          <xm:sqref>B6:B19 F6:F19 J6:J19</xm:sqref>
        </x14:dataValidation>
        <x14:dataValidation type="list" allowBlank="1" showInputMessage="1" showErrorMessage="1" xr:uid="{9C7EACCF-7FF9-D541-9280-AA1B101A8319}">
          <x14:formula1>
            <xm:f>'Budget '!$B$21:$B$33</xm:f>
          </x14:formula1>
          <xm:sqref>B62:B107 F62:F106 J62:J107</xm:sqref>
        </x14:dataValidation>
        <x14:dataValidation type="list" allowBlank="1" showInputMessage="1" showErrorMessage="1" xr:uid="{D8195D59-577E-4B41-9EB6-828322214143}">
          <x14:formula1>
            <xm:f>'Budget '!$B$9:$B$18</xm:f>
          </x14:formula1>
          <xm:sqref>F23:F58 B23:B58 J23:J57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7BA6D-642D-9346-99C2-416E72594922}">
  <sheetPr>
    <tabColor rgb="FFFFC9C9"/>
  </sheetPr>
  <dimension ref="B1:P17"/>
  <sheetViews>
    <sheetView zoomScaleNormal="120" workbookViewId="0">
      <selection activeCell="N8" sqref="N8"/>
    </sheetView>
  </sheetViews>
  <sheetFormatPr baseColWidth="10" defaultColWidth="10.6640625" defaultRowHeight="16" x14ac:dyDescent="0.2"/>
  <cols>
    <col min="1" max="1" width="3.1640625" style="1" customWidth="1"/>
    <col min="2" max="2" width="20.6640625" style="1" bestFit="1" customWidth="1"/>
    <col min="3" max="3" width="20.83203125" style="1" customWidth="1"/>
    <col min="4" max="4" width="11.6640625" style="1" bestFit="1" customWidth="1"/>
    <col min="5" max="5" width="8" style="1" bestFit="1" customWidth="1"/>
    <col min="6" max="6" width="12.5" style="1" bestFit="1" customWidth="1"/>
    <col min="7" max="8" width="20.6640625" style="1" bestFit="1" customWidth="1"/>
    <col min="9" max="9" width="11.6640625" style="1" bestFit="1" customWidth="1"/>
    <col min="10" max="10" width="8" style="1" bestFit="1" customWidth="1"/>
    <col min="11" max="11" width="12.33203125" style="1" bestFit="1" customWidth="1"/>
    <col min="12" max="13" width="20.6640625" style="1" bestFit="1" customWidth="1"/>
    <col min="14" max="14" width="11.6640625" style="1" bestFit="1" customWidth="1"/>
    <col min="15" max="15" width="8" style="1" bestFit="1" customWidth="1"/>
    <col min="16" max="16" width="11.1640625" style="1" bestFit="1" customWidth="1"/>
    <col min="17" max="16384" width="10.6640625" style="1"/>
  </cols>
  <sheetData>
    <row r="1" spans="2:16" ht="17" thickBot="1" x14ac:dyDescent="0.25"/>
    <row r="2" spans="2:16" ht="17" thickBot="1" x14ac:dyDescent="0.25">
      <c r="B2" s="382" t="s">
        <v>651</v>
      </c>
      <c r="C2" s="383"/>
      <c r="D2" s="383"/>
      <c r="E2" s="383"/>
      <c r="F2" s="383"/>
      <c r="G2" s="383"/>
      <c r="H2" s="383"/>
      <c r="I2" s="383"/>
      <c r="J2" s="383"/>
      <c r="K2" s="383"/>
      <c r="L2" s="383"/>
      <c r="M2" s="383"/>
      <c r="N2" s="383"/>
      <c r="O2" s="383"/>
      <c r="P2" s="384"/>
    </row>
    <row r="3" spans="2:16" ht="17" thickBot="1" x14ac:dyDescent="0.25">
      <c r="B3" s="385" t="s">
        <v>2</v>
      </c>
      <c r="C3" s="386"/>
      <c r="D3" s="386"/>
      <c r="E3" s="386"/>
      <c r="F3" s="387"/>
      <c r="G3" s="385" t="s">
        <v>3</v>
      </c>
      <c r="H3" s="386"/>
      <c r="I3" s="386"/>
      <c r="J3" s="386"/>
      <c r="K3" s="387"/>
      <c r="L3" s="385" t="s">
        <v>4</v>
      </c>
      <c r="M3" s="386"/>
      <c r="N3" s="386"/>
      <c r="O3" s="386"/>
      <c r="P3" s="387"/>
    </row>
    <row r="4" spans="2:16" ht="17" thickBot="1" x14ac:dyDescent="0.25">
      <c r="B4" s="31" t="s">
        <v>529</v>
      </c>
      <c r="C4" s="32" t="s">
        <v>652</v>
      </c>
      <c r="D4" s="32" t="s">
        <v>653</v>
      </c>
      <c r="E4" s="32" t="s">
        <v>654</v>
      </c>
      <c r="F4" s="33" t="s">
        <v>25</v>
      </c>
      <c r="G4" s="31" t="s">
        <v>529</v>
      </c>
      <c r="H4" s="32" t="s">
        <v>652</v>
      </c>
      <c r="I4" s="32" t="s">
        <v>653</v>
      </c>
      <c r="J4" s="32" t="s">
        <v>654</v>
      </c>
      <c r="K4" s="33" t="s">
        <v>25</v>
      </c>
      <c r="L4" s="31" t="s">
        <v>529</v>
      </c>
      <c r="M4" s="32" t="s">
        <v>652</v>
      </c>
      <c r="N4" s="32" t="s">
        <v>653</v>
      </c>
      <c r="O4" s="32" t="s">
        <v>654</v>
      </c>
      <c r="P4" s="33" t="s">
        <v>25</v>
      </c>
    </row>
    <row r="5" spans="2:16" x14ac:dyDescent="0.2">
      <c r="B5" s="34" t="s">
        <v>655</v>
      </c>
      <c r="C5" s="35">
        <v>18.13</v>
      </c>
      <c r="D5" s="35">
        <v>4</v>
      </c>
      <c r="E5" s="35">
        <v>106</v>
      </c>
      <c r="F5" s="36">
        <f>C5*D5*E5</f>
        <v>7687.12</v>
      </c>
      <c r="G5" s="34" t="s">
        <v>655</v>
      </c>
      <c r="H5" s="35">
        <v>18.13</v>
      </c>
      <c r="I5" s="35">
        <v>3</v>
      </c>
      <c r="J5" s="1">
        <v>120</v>
      </c>
      <c r="K5" s="36">
        <f>H5*I5*J5</f>
        <v>6526.8</v>
      </c>
      <c r="L5" s="34" t="s">
        <v>655</v>
      </c>
      <c r="M5" s="35">
        <v>18.13</v>
      </c>
      <c r="N5" s="35">
        <v>1</v>
      </c>
      <c r="O5" s="35">
        <v>120</v>
      </c>
      <c r="P5" s="36">
        <f>O5*N5*M5</f>
        <v>2175.6</v>
      </c>
    </row>
    <row r="6" spans="2:16" x14ac:dyDescent="0.2">
      <c r="B6" s="6" t="s">
        <v>656</v>
      </c>
      <c r="C6" s="1">
        <v>5.63</v>
      </c>
      <c r="D6" s="1">
        <v>4</v>
      </c>
      <c r="E6" s="1">
        <v>106</v>
      </c>
      <c r="F6" s="37">
        <f>C6*D6*E6</f>
        <v>2387.12</v>
      </c>
      <c r="G6" s="6" t="s">
        <v>656</v>
      </c>
      <c r="H6" s="1">
        <v>5.63</v>
      </c>
      <c r="I6" s="1">
        <v>3</v>
      </c>
      <c r="J6" s="1">
        <v>120</v>
      </c>
      <c r="K6" s="37">
        <f>H6*I6*J6</f>
        <v>2026.8000000000002</v>
      </c>
      <c r="L6" s="6" t="s">
        <v>656</v>
      </c>
      <c r="M6" s="1">
        <v>5.63</v>
      </c>
      <c r="N6" s="1">
        <v>1</v>
      </c>
      <c r="O6" s="1">
        <v>120</v>
      </c>
      <c r="P6" s="37">
        <f>O6*N6*M6</f>
        <v>675.6</v>
      </c>
    </row>
    <row r="7" spans="2:16" x14ac:dyDescent="0.2">
      <c r="B7" s="6" t="s">
        <v>657</v>
      </c>
      <c r="C7" s="179">
        <v>162.5</v>
      </c>
      <c r="D7" s="1">
        <v>4</v>
      </c>
      <c r="E7" s="1">
        <v>1</v>
      </c>
      <c r="F7" s="37">
        <f>C7*D7*E7</f>
        <v>650</v>
      </c>
      <c r="G7" s="6" t="s">
        <v>657</v>
      </c>
      <c r="H7" s="179">
        <v>162.5</v>
      </c>
      <c r="I7" s="1">
        <v>3</v>
      </c>
      <c r="J7" s="1">
        <v>1</v>
      </c>
      <c r="K7" s="37">
        <f>H7*I7*J7</f>
        <v>487.5</v>
      </c>
      <c r="L7" s="6" t="s">
        <v>657</v>
      </c>
      <c r="M7" s="179">
        <v>162.5</v>
      </c>
      <c r="N7" s="1">
        <v>1</v>
      </c>
      <c r="O7" s="1">
        <v>1</v>
      </c>
      <c r="P7" s="37">
        <f>O7*N7*M7</f>
        <v>162.5</v>
      </c>
    </row>
    <row r="8" spans="2:16" x14ac:dyDescent="0.2">
      <c r="B8" s="6" t="s">
        <v>658</v>
      </c>
      <c r="C8" s="1">
        <v>76.260000000000005</v>
      </c>
      <c r="D8" s="1">
        <v>1</v>
      </c>
      <c r="E8" s="1">
        <f>SUM(Fall!$D$12:$D$13)</f>
        <v>23</v>
      </c>
      <c r="F8" s="37">
        <f>C8*D8*E8</f>
        <v>1753.98</v>
      </c>
      <c r="G8" s="6" t="s">
        <v>658</v>
      </c>
      <c r="H8" s="1">
        <f>45+36.25</f>
        <v>81.25</v>
      </c>
      <c r="I8" s="1">
        <v>1</v>
      </c>
      <c r="J8" s="1">
        <f>Winter!D13</f>
        <v>15</v>
      </c>
      <c r="K8" s="37">
        <f>H8*I8*J8</f>
        <v>1218.75</v>
      </c>
      <c r="L8" s="6" t="s">
        <v>658</v>
      </c>
      <c r="M8" s="1">
        <v>81.25</v>
      </c>
      <c r="N8" s="1">
        <v>0</v>
      </c>
      <c r="O8" s="1">
        <v>0</v>
      </c>
      <c r="P8" s="37">
        <f>O8*N8*M8</f>
        <v>0</v>
      </c>
    </row>
    <row r="9" spans="2:16" ht="17" thickBot="1" x14ac:dyDescent="0.25">
      <c r="B9" s="6" t="s">
        <v>659</v>
      </c>
      <c r="C9" s="179">
        <v>150</v>
      </c>
      <c r="D9" s="1">
        <v>1</v>
      </c>
      <c r="E9" s="1">
        <f>Fall!$D$13</f>
        <v>22</v>
      </c>
      <c r="F9" s="37">
        <f>C9*D9*E9</f>
        <v>3300</v>
      </c>
      <c r="G9" s="6" t="s">
        <v>659</v>
      </c>
      <c r="H9" s="179">
        <v>150</v>
      </c>
      <c r="I9" s="1">
        <v>0</v>
      </c>
      <c r="J9" s="1">
        <f>Winter!D13</f>
        <v>15</v>
      </c>
      <c r="K9" s="37">
        <f>H9*I9*J9</f>
        <v>0</v>
      </c>
      <c r="L9" s="6" t="s">
        <v>659</v>
      </c>
      <c r="M9" s="179">
        <v>150</v>
      </c>
      <c r="N9" s="1">
        <v>0</v>
      </c>
      <c r="O9" s="1">
        <v>14</v>
      </c>
      <c r="P9" s="37">
        <f>O9*N9*M9</f>
        <v>0</v>
      </c>
    </row>
    <row r="10" spans="2:16" ht="17" thickBot="1" x14ac:dyDescent="0.25">
      <c r="B10" s="41"/>
      <c r="C10" s="42"/>
      <c r="D10" s="42"/>
      <c r="E10" s="42"/>
      <c r="F10" s="44">
        <f>SUM(F5:F9)</f>
        <v>15778.22</v>
      </c>
      <c r="G10" s="42"/>
      <c r="H10" s="42"/>
      <c r="I10" s="42"/>
      <c r="J10" s="42"/>
      <c r="K10" s="43">
        <f>SUM(K5:K9)</f>
        <v>10259.85</v>
      </c>
      <c r="L10" s="41"/>
      <c r="M10" s="42"/>
      <c r="N10" s="42"/>
      <c r="O10" s="42"/>
      <c r="P10" s="44">
        <f>SUM(P5:P9)</f>
        <v>3013.7</v>
      </c>
    </row>
    <row r="11" spans="2:16" ht="17" thickBot="1" x14ac:dyDescent="0.25">
      <c r="B11" s="382" t="s">
        <v>23</v>
      </c>
      <c r="C11" s="383"/>
      <c r="D11" s="383"/>
      <c r="E11" s="383"/>
      <c r="F11" s="383"/>
      <c r="G11" s="383"/>
      <c r="H11" s="383"/>
      <c r="I11" s="383"/>
      <c r="J11" s="383"/>
      <c r="K11" s="383"/>
      <c r="L11" s="383"/>
      <c r="M11" s="383"/>
      <c r="N11" s="383"/>
      <c r="O11" s="383"/>
      <c r="P11" s="384"/>
    </row>
    <row r="12" spans="2:16" ht="17" thickBot="1" x14ac:dyDescent="0.25">
      <c r="B12" s="385" t="s">
        <v>2</v>
      </c>
      <c r="C12" s="386"/>
      <c r="D12" s="386"/>
      <c r="E12" s="386"/>
      <c r="F12" s="387"/>
      <c r="G12" s="385" t="s">
        <v>3</v>
      </c>
      <c r="H12" s="386"/>
      <c r="I12" s="386"/>
      <c r="J12" s="386"/>
      <c r="K12" s="387"/>
      <c r="L12" s="385" t="s">
        <v>4</v>
      </c>
      <c r="M12" s="386"/>
      <c r="N12" s="386"/>
      <c r="O12" s="386"/>
      <c r="P12" s="387"/>
    </row>
    <row r="13" spans="2:16" ht="17" thickBot="1" x14ac:dyDescent="0.25">
      <c r="B13" s="31" t="s">
        <v>529</v>
      </c>
      <c r="C13" s="32" t="s">
        <v>652</v>
      </c>
      <c r="D13" s="32" t="s">
        <v>653</v>
      </c>
      <c r="E13" s="32" t="s">
        <v>654</v>
      </c>
      <c r="F13" s="33" t="s">
        <v>25</v>
      </c>
      <c r="G13" s="31" t="s">
        <v>529</v>
      </c>
      <c r="H13" s="32" t="s">
        <v>652</v>
      </c>
      <c r="I13" s="32" t="s">
        <v>653</v>
      </c>
      <c r="J13" s="32" t="s">
        <v>654</v>
      </c>
      <c r="K13" s="33" t="s">
        <v>25</v>
      </c>
      <c r="L13" s="31" t="s">
        <v>529</v>
      </c>
      <c r="M13" s="32" t="s">
        <v>652</v>
      </c>
      <c r="N13" s="32" t="s">
        <v>653</v>
      </c>
      <c r="O13" s="32" t="s">
        <v>654</v>
      </c>
      <c r="P13" s="33" t="s">
        <v>25</v>
      </c>
    </row>
    <row r="14" spans="2:16" x14ac:dyDescent="0.2">
      <c r="B14" s="6" t="s">
        <v>660</v>
      </c>
      <c r="C14" s="1">
        <v>25</v>
      </c>
      <c r="D14" s="1">
        <v>1</v>
      </c>
      <c r="E14" s="1">
        <f>$E$5+$E$8</f>
        <v>129</v>
      </c>
      <c r="F14" s="37">
        <f>D14*E14*C14</f>
        <v>3225</v>
      </c>
      <c r="G14" s="6" t="s">
        <v>660</v>
      </c>
      <c r="H14" s="1">
        <v>25.29</v>
      </c>
      <c r="I14" s="1">
        <v>1</v>
      </c>
      <c r="J14" s="1">
        <v>146</v>
      </c>
      <c r="K14" s="37">
        <f>I14*J14*H14</f>
        <v>3692.3399999999997</v>
      </c>
      <c r="L14" s="6" t="s">
        <v>660</v>
      </c>
      <c r="M14" s="1">
        <v>25.29</v>
      </c>
      <c r="N14" s="1">
        <v>1</v>
      </c>
      <c r="O14" s="1">
        <v>140</v>
      </c>
      <c r="P14" s="37">
        <f>N14*O14*M14</f>
        <v>3540.6</v>
      </c>
    </row>
    <row r="15" spans="2:16" ht="17" thickBot="1" x14ac:dyDescent="0.25">
      <c r="B15" s="38" t="s">
        <v>23</v>
      </c>
      <c r="C15" s="39">
        <v>10</v>
      </c>
      <c r="D15" s="39">
        <v>1</v>
      </c>
      <c r="E15" s="39">
        <f>$E$5+$E$8</f>
        <v>129</v>
      </c>
      <c r="F15" s="40">
        <f>D15*E15*C15</f>
        <v>1290</v>
      </c>
      <c r="G15" s="38" t="s">
        <v>23</v>
      </c>
      <c r="H15" s="39">
        <v>13.68</v>
      </c>
      <c r="I15" s="39">
        <v>1</v>
      </c>
      <c r="J15" s="39">
        <v>146</v>
      </c>
      <c r="K15" s="40">
        <f>I15*J15*H15</f>
        <v>1997.28</v>
      </c>
      <c r="L15" s="38" t="s">
        <v>23</v>
      </c>
      <c r="M15" s="39">
        <v>11</v>
      </c>
      <c r="N15" s="39">
        <v>1</v>
      </c>
      <c r="O15" s="39">
        <v>140</v>
      </c>
      <c r="P15" s="40">
        <f>N15*O15*M15</f>
        <v>1540</v>
      </c>
    </row>
    <row r="16" spans="2:16" ht="17" thickBot="1" x14ac:dyDescent="0.25">
      <c r="B16" s="41"/>
      <c r="C16" s="42"/>
      <c r="D16" s="42"/>
      <c r="E16" s="42"/>
      <c r="F16" s="44">
        <f>SUM(F14:F15)</f>
        <v>4515</v>
      </c>
      <c r="G16" s="42"/>
      <c r="H16" s="42"/>
      <c r="I16" s="42"/>
      <c r="J16" s="42"/>
      <c r="K16" s="43">
        <f>SUM(K14:K15)</f>
        <v>5689.62</v>
      </c>
      <c r="L16" s="41"/>
      <c r="M16" s="42"/>
      <c r="N16" s="42"/>
      <c r="O16" s="42"/>
      <c r="P16" s="44">
        <f>SUM(P14:P15)</f>
        <v>5080.6000000000004</v>
      </c>
    </row>
    <row r="17" spans="2:16" ht="17" thickBot="1" x14ac:dyDescent="0.25">
      <c r="B17" s="45"/>
      <c r="C17" s="46"/>
      <c r="D17" s="46"/>
      <c r="E17" s="46"/>
      <c r="F17" s="47">
        <f>F16+F10</f>
        <v>20293.22</v>
      </c>
      <c r="G17" s="46"/>
      <c r="H17" s="46"/>
      <c r="I17" s="46"/>
      <c r="J17" s="46"/>
      <c r="K17" s="48">
        <f>K16+K10</f>
        <v>15949.470000000001</v>
      </c>
      <c r="L17" s="45"/>
      <c r="M17" s="46"/>
      <c r="N17" s="46"/>
      <c r="O17" s="46"/>
      <c r="P17" s="47">
        <f>P16+P10</f>
        <v>8094.3</v>
      </c>
    </row>
  </sheetData>
  <mergeCells count="8">
    <mergeCell ref="B2:P2"/>
    <mergeCell ref="B12:F12"/>
    <mergeCell ref="G3:K3"/>
    <mergeCell ref="G12:K12"/>
    <mergeCell ref="L3:P3"/>
    <mergeCell ref="L12:P12"/>
    <mergeCell ref="B11:P11"/>
    <mergeCell ref="B3:F3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MainForm</vt:lpstr>
      <vt:lpstr>Budget </vt:lpstr>
      <vt:lpstr>Fall</vt:lpstr>
      <vt:lpstr>Winter</vt:lpstr>
      <vt:lpstr>Spring</vt:lpstr>
      <vt:lpstr>Sheet3</vt:lpstr>
      <vt:lpstr>In Coming Funds</vt:lpstr>
      <vt:lpstr>Out Going Funds</vt:lpstr>
      <vt:lpstr>IFC &amp; Nationals Payments</vt:lpstr>
      <vt:lpstr>Vegas 2025</vt:lpstr>
      <vt:lpstr>Vegas 2024</vt:lpstr>
      <vt:lpstr>Vegas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Donato DiFerdinando</dc:creator>
  <cp:keywords/>
  <dc:description/>
  <cp:lastModifiedBy>Joe Croney</cp:lastModifiedBy>
  <cp:revision/>
  <dcterms:created xsi:type="dcterms:W3CDTF">2019-05-19T23:29:51Z</dcterms:created>
  <dcterms:modified xsi:type="dcterms:W3CDTF">2025-09-19T22:22:10Z</dcterms:modified>
  <cp:category/>
  <cp:contentStatus/>
</cp:coreProperties>
</file>