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6" l="1"/>
  <c r="J8" i="6" s="1"/>
  <c r="L7" i="6" s="1"/>
  <c r="L8" i="6" s="1"/>
  <c r="J9" i="6" s="1"/>
  <c r="L14" i="6"/>
  <c r="J16" i="6" s="1"/>
  <c r="L15" i="6" s="1"/>
  <c r="C14" i="6"/>
  <c r="L9" i="6" l="1"/>
  <c r="J10" i="6" s="1"/>
  <c r="L16" i="6"/>
  <c r="L17" i="6" s="1"/>
  <c r="F35" i="1"/>
  <c r="E35" i="1"/>
  <c r="J18" i="6" l="1"/>
  <c r="J17" i="6"/>
  <c r="E113" i="1"/>
  <c r="D67" i="1" l="1"/>
  <c r="F16" i="6"/>
  <c r="F17" i="6" s="1"/>
  <c r="F8" i="6"/>
  <c r="F9" i="6" s="1"/>
  <c r="G18" i="7"/>
  <c r="G17" i="7"/>
  <c r="G19" i="7" s="1"/>
  <c r="G9" i="7"/>
  <c r="G8" i="7"/>
  <c r="G10" i="7" s="1"/>
  <c r="F17" i="1"/>
  <c r="E17" i="1"/>
  <c r="G20" i="7" l="1"/>
  <c r="G11" i="7"/>
  <c r="F91" i="1" l="1"/>
  <c r="E91" i="1"/>
  <c r="F31" i="1" l="1"/>
  <c r="F32" i="1"/>
  <c r="F33" i="1"/>
  <c r="E33" i="1"/>
  <c r="E32" i="1"/>
  <c r="E15" i="1" l="1"/>
  <c r="E14" i="1"/>
  <c r="E16" i="1"/>
  <c r="E69" i="1"/>
  <c r="F78" i="1" l="1"/>
  <c r="E78" i="1"/>
  <c r="F16" i="1"/>
  <c r="F14" i="1"/>
  <c r="F15" i="1"/>
  <c r="F69" i="1" l="1"/>
  <c r="F64" i="1" l="1"/>
  <c r="E64" i="1"/>
  <c r="D64" i="1"/>
  <c r="F38" i="1" l="1"/>
  <c r="D38" i="1"/>
  <c r="D8" i="6" l="1"/>
  <c r="E96" i="1"/>
  <c r="E95" i="1"/>
  <c r="E37" i="1"/>
  <c r="E18" i="1" l="1"/>
  <c r="F29" i="1"/>
  <c r="E29" i="1"/>
  <c r="F43" i="1"/>
  <c r="E43" i="1"/>
  <c r="F20" i="1" l="1"/>
  <c r="E20" i="1"/>
  <c r="E50" i="1"/>
  <c r="F50" i="1"/>
  <c r="E47" i="1"/>
  <c r="E28" i="1"/>
  <c r="F28" i="1" s="1"/>
  <c r="F47" i="1"/>
  <c r="E41" i="1" l="1"/>
  <c r="E42" i="1"/>
  <c r="F41" i="1"/>
  <c r="F42" i="1"/>
  <c r="E54" i="1"/>
  <c r="F54" i="1"/>
  <c r="F22" i="1"/>
  <c r="E22" i="1"/>
  <c r="F36" i="1"/>
  <c r="E36" i="1"/>
  <c r="F86" i="1"/>
  <c r="E86" i="1"/>
  <c r="E120" i="1" l="1"/>
  <c r="E121" i="1"/>
  <c r="F25" i="1" l="1"/>
  <c r="E25" i="1"/>
  <c r="F39" i="1" l="1"/>
  <c r="F88" i="1" l="1"/>
  <c r="E88" i="1"/>
  <c r="F94" i="1" l="1"/>
  <c r="F9" i="1"/>
  <c r="D9" i="1"/>
  <c r="D94" i="1"/>
  <c r="E94" i="1"/>
  <c r="E45" i="1"/>
  <c r="D45" i="1"/>
  <c r="F45" i="1" s="1"/>
  <c r="E93" i="1"/>
  <c r="F93" i="1" s="1"/>
  <c r="E73" i="1"/>
  <c r="F73" i="1" s="1"/>
  <c r="E68" i="1"/>
  <c r="F68" i="1" s="1"/>
  <c r="E9" i="1"/>
  <c r="E97" i="1" l="1"/>
  <c r="E61" i="1" l="1"/>
  <c r="D61" i="1"/>
  <c r="E34" i="1"/>
  <c r="E38" i="1"/>
  <c r="E53" i="1"/>
  <c r="F53" i="1" s="1"/>
  <c r="E52" i="1"/>
  <c r="F52" i="1" s="1"/>
  <c r="E105" i="1"/>
  <c r="F61" i="1" l="1"/>
  <c r="E115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84" i="1" l="1"/>
  <c r="E83" i="1"/>
  <c r="E39" i="1"/>
  <c r="E48" i="1"/>
  <c r="F48" i="1" s="1"/>
  <c r="E71" i="1"/>
  <c r="F24" i="1"/>
  <c r="F27" i="1"/>
  <c r="F92" i="1"/>
  <c r="E26" i="1"/>
  <c r="F26" i="1" s="1"/>
  <c r="E90" i="1"/>
  <c r="E82" i="1"/>
  <c r="E24" i="1"/>
  <c r="E27" i="1"/>
  <c r="E31" i="1"/>
  <c r="E62" i="1"/>
  <c r="F62" i="1" s="1"/>
  <c r="E23" i="1"/>
  <c r="E21" i="1"/>
  <c r="E81" i="1"/>
  <c r="E75" i="1"/>
  <c r="E79" i="1"/>
  <c r="E87" i="1"/>
  <c r="E92" i="1"/>
  <c r="E59" i="1"/>
  <c r="E60" i="1"/>
  <c r="C16" i="6" l="1"/>
  <c r="D16" i="6"/>
  <c r="E16" i="6"/>
  <c r="G16" i="6"/>
  <c r="C8" i="6"/>
  <c r="E8" i="6"/>
  <c r="G8" i="6"/>
  <c r="B16" i="6"/>
  <c r="B8" i="6"/>
  <c r="E131" i="1"/>
  <c r="E132" i="1"/>
  <c r="E133" i="1"/>
  <c r="E134" i="1"/>
  <c r="E135" i="1"/>
  <c r="E123" i="1"/>
  <c r="E124" i="1"/>
  <c r="E125" i="1"/>
  <c r="E126" i="1"/>
  <c r="E127" i="1"/>
  <c r="E128" i="1"/>
  <c r="E129" i="1"/>
  <c r="E130" i="1"/>
  <c r="E101" i="1"/>
  <c r="E102" i="1"/>
  <c r="E103" i="1"/>
  <c r="E104" i="1"/>
  <c r="E106" i="1"/>
  <c r="E107" i="1"/>
  <c r="E108" i="1"/>
  <c r="E109" i="1"/>
  <c r="E110" i="1"/>
  <c r="E111" i="1"/>
  <c r="E112" i="1"/>
  <c r="E114" i="1"/>
  <c r="E116" i="1"/>
  <c r="E117" i="1"/>
  <c r="E118" i="1"/>
  <c r="E119" i="1"/>
  <c r="E122" i="1"/>
  <c r="E100" i="1"/>
  <c r="D6" i="1" l="1"/>
  <c r="E6" i="1"/>
  <c r="E5" i="1"/>
  <c r="E7" i="1"/>
  <c r="D9" i="6"/>
  <c r="E9" i="6"/>
  <c r="C17" i="6"/>
  <c r="G9" i="6"/>
  <c r="C10" i="7"/>
  <c r="D10" i="7"/>
  <c r="E10" i="7"/>
  <c r="F10" i="7"/>
  <c r="F19" i="7"/>
  <c r="D72" i="1"/>
  <c r="F6" i="1" l="1"/>
  <c r="C19" i="7"/>
  <c r="E11" i="7"/>
  <c r="C11" i="7"/>
  <c r="F11" i="7"/>
  <c r="D11" i="7"/>
  <c r="C20" i="7" l="1"/>
  <c r="E2" i="1"/>
  <c r="F2" i="1" l="1"/>
  <c r="E11" i="1" l="1"/>
  <c r="F11" i="1" s="1"/>
  <c r="D65" i="1"/>
  <c r="E65" i="1"/>
  <c r="E10" i="1"/>
  <c r="E70" i="1"/>
  <c r="F70" i="1" s="1"/>
  <c r="F10" i="1"/>
  <c r="F65" i="1" l="1"/>
  <c r="E3" i="1"/>
  <c r="E77" i="1" l="1"/>
  <c r="F77" i="1" s="1"/>
  <c r="F3" i="1"/>
  <c r="D5" i="1"/>
  <c r="B19" i="7"/>
  <c r="E89" i="1"/>
  <c r="D80" i="1"/>
  <c r="E30" i="1"/>
  <c r="E80" i="1"/>
  <c r="E63" i="1"/>
  <c r="E85" i="1"/>
  <c r="E67" i="1"/>
  <c r="E40" i="1"/>
  <c r="E19" i="7"/>
  <c r="B10" i="7"/>
  <c r="B12" i="7" s="1"/>
  <c r="E58" i="1"/>
  <c r="E57" i="1"/>
  <c r="E66" i="1"/>
  <c r="E49" i="1"/>
  <c r="E51" i="1"/>
  <c r="E55" i="1"/>
  <c r="B9" i="6" s="1"/>
  <c r="E56" i="1"/>
  <c r="E44" i="1"/>
  <c r="E13" i="1"/>
  <c r="E72" i="1"/>
  <c r="E76" i="1"/>
  <c r="E12" i="1"/>
  <c r="D19" i="7"/>
  <c r="B20" i="7" l="1"/>
  <c r="B21" i="7"/>
  <c r="E20" i="7"/>
  <c r="E17" i="6"/>
  <c r="F20" i="7"/>
  <c r="G17" i="6"/>
  <c r="D20" i="7"/>
  <c r="D17" i="6"/>
  <c r="B17" i="6"/>
  <c r="B11" i="7"/>
  <c r="F18" i="1"/>
  <c r="C9" i="6"/>
  <c r="B10" i="6" s="1"/>
  <c r="F63" i="1"/>
  <c r="F55" i="1"/>
  <c r="F56" i="1"/>
  <c r="F13" i="1"/>
  <c r="F44" i="1"/>
  <c r="F80" i="1"/>
  <c r="F40" i="1"/>
  <c r="F51" i="1"/>
  <c r="F97" i="1"/>
  <c r="F72" i="1"/>
  <c r="F76" i="1"/>
  <c r="F12" i="1"/>
  <c r="F5" i="1"/>
  <c r="F49" i="1"/>
  <c r="F57" i="1"/>
  <c r="F58" i="1"/>
  <c r="F67" i="1"/>
  <c r="F30" i="1"/>
  <c r="F85" i="1"/>
  <c r="E4" i="1"/>
  <c r="E46" i="1"/>
  <c r="E19" i="1"/>
  <c r="B18" i="6" l="1"/>
  <c r="C21" i="6" s="1"/>
  <c r="C24" i="7"/>
  <c r="B24" i="7"/>
  <c r="D66" i="1"/>
  <c r="F66" i="1" s="1"/>
  <c r="F19" i="1"/>
  <c r="F46" i="1"/>
  <c r="D4" i="1"/>
  <c r="F4" i="1" s="1"/>
  <c r="B21" i="6" l="1"/>
</calcChain>
</file>

<file path=xl/sharedStrings.xml><?xml version="1.0" encoding="utf-8"?>
<sst xmlns="http://schemas.openxmlformats.org/spreadsheetml/2006/main" count="285" uniqueCount="235">
  <si>
    <t>Resource</t>
  </si>
  <si>
    <t>Real world chemical</t>
  </si>
  <si>
    <t>moles</t>
  </si>
  <si>
    <t>molar mass</t>
  </si>
  <si>
    <t>unit mass (from configs)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</si>
  <si>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</si>
  <si>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</si>
  <si>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</si>
  <si>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</si>
  <si>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</si>
  <si>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</si>
  <si>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</si>
  <si>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</si>
  <si>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</si>
  <si>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</si>
  <si>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</si>
  <si>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</si>
  <si>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</si>
  <si>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</si>
  <si>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</si>
  <si>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</si>
  <si>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</si>
  <si>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</si>
  <si>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</si>
  <si>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</si>
  <si>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</si>
  <si>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</si>
  <si>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</si>
  <si>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</si>
  <si>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</si>
  <si>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</si>
  <si>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ExoticMinerals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</si>
  <si>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</si>
  <si>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</si>
  <si>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</si>
  <si>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</si>
  <si>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</si>
  <si>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</si>
  <si>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</si>
  <si>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</si>
  <si>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</si>
  <si>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</si>
  <si>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</si>
  <si>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</si>
  <si>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</si>
  <si>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</si>
  <si>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</si>
  <si>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</si>
  <si>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</si>
  <si>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</si>
  <si>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</si>
  <si>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</si>
  <si>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</si>
  <si>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</si>
  <si>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</si>
  <si>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</si>
  <si>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</si>
  <si>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</si>
  <si>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</si>
  <si>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</si>
  <si>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</si>
  <si>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</si>
  <si>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</si>
  <si>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</si>
  <si>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</si>
  <si>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</si>
  <si>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</si>
  <si>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</si>
  <si>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</si>
  <si>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</si>
  <si>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</si>
  <si>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</si>
  <si>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</si>
  <si>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</si>
  <si>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</si>
  <si>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</si>
  <si>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</si>
  <si>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</si>
  <si>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</si>
  <si>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</si>
  <si>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</si>
  <si>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</si>
  <si>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</si>
  <si>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</si>
  <si>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</si>
  <si>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</si>
  <si>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</si>
  <si>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</si>
  <si>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</si>
  <si>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</si>
  <si>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</si>
  <si>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</si>
  <si>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</si>
  <si>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</si>
  <si>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</si>
  <si>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</si>
  <si>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</si>
  <si>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</si>
  <si>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</si>
  <si>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</si>
  <si>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</si>
  <si>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</si>
  <si>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</si>
  <si>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</si>
  <si>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</si>
  <si>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</si>
  <si>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</si>
  <si>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</si>
  <si>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</si>
  <si>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</si>
  <si>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</si>
  <si>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</si>
  <si>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</si>
  <si>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</si>
  <si>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</si>
  <si>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</si>
  <si>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</si>
  <si>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</si>
  <si>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</si>
  <si>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</si>
  <si>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</si>
  <si>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</si>
  <si>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</si>
  <si>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</si>
  <si>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</si>
  <si>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</si>
  <si>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</si>
  <si>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</si>
  <si>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</si>
  <si>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</si>
  <si>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</si>
  <si>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</si>
  <si>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</si>
  <si>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</si>
  <si>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</si>
  <si>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</si>
  <si>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</si>
  <si>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</si>
  <si>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</si>
  <si>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</si>
  <si>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</si>
  <si>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</si>
  <si>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</si>
  <si>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</si>
  <si>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</si>
  <si>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</si>
  <si>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</si>
  <si>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</si>
  <si>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</si>
  <si>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</si>
  <si>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</si>
  <si>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</si>
  <si>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</si>
  <si>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</si>
  <si>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</si>
  <si>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</si>
  <si>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</si>
  <si>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</si>
  <si>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</si>
  <si>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</si>
  <si>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</si>
  <si>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</si>
  <si>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</si>
  <si>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</si>
  <si>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</si>
  <si>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</si>
  <si>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</si>
  <si>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</si>
  <si>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</si>
  <si>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</si>
  <si>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</si>
  <si>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</si>
  <si>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</si>
  <si>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</si>
  <si>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</si>
  <si>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</si>
  <si>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</si>
  <si>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</si>
  <si>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</si>
  <si>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</si>
  <si>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</si>
  <si>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</si>
  <si>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</si>
  <si>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</si>
  <si>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</si>
  <si>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</si>
  <si>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</si>
  <si>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</si>
  <si>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</si>
  <si>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</si>
  <si>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</si>
  <si>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</si>
  <si>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</si>
  <si>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</si>
  <si>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</si>
  <si>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</si>
  <si>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</si>
  <si>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</si>
  <si>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</si>
  <si>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</si>
  <si>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</si>
  <si>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</si>
  <si>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</si>
  <si>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</si>
  <si>
    <t>Beryllium</t>
  </si>
  <si>
    <t>Be</t>
  </si>
  <si>
    <t>Beryl Oxide</t>
  </si>
  <si>
    <t>Be2O3</t>
  </si>
  <si>
    <t>Boron</t>
  </si>
  <si>
    <t>B</t>
  </si>
  <si>
    <t>Plutonium</t>
  </si>
  <si>
    <t>Pu</t>
  </si>
  <si>
    <t>mole/gram scalar</t>
  </si>
  <si>
    <t>FissileFuel</t>
  </si>
  <si>
    <t>FissilePebbles</t>
  </si>
  <si>
    <t>UF4 + 2LiF + BeF2</t>
  </si>
  <si>
    <t>U + SiC</t>
  </si>
  <si>
    <t>(CeLaNdTh)PO4</t>
  </si>
  <si>
    <t>Thorium</t>
  </si>
  <si>
    <t>Th</t>
  </si>
  <si>
    <t>Caesium</t>
  </si>
  <si>
    <t>Cs</t>
  </si>
  <si>
    <t>Pezzottaite (Cs(Be2Li)Al2Si6O18)</t>
  </si>
  <si>
    <t>Smaltite ((CoFeNi)As2) + Fluorite (CaF2)</t>
  </si>
  <si>
    <t>HalideCider</t>
  </si>
  <si>
    <t>FissionPulses</t>
  </si>
  <si>
    <t>(Fe + Be2O3)2.5 + (U)1.1</t>
  </si>
  <si>
    <t>hr</t>
  </si>
  <si>
    <t>min</t>
  </si>
  <si>
    <t>sec</t>
  </si>
  <si>
    <t>Rate</t>
  </si>
  <si>
    <t>u/sec</t>
  </si>
  <si>
    <t>Total</t>
  </si>
  <si>
    <t>Cycle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</si>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</sst>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" fillId="0" borderId="0" xfId="0" applyFont="1"/>
    <xf numFmtId="0" fontId="7" fillId="0" borderId="3" xfId="4" applyAlignment="1">
      <alignment horizontal="center"/>
    </xf>
    <xf numFmtId="0" fontId="6" fillId="0" borderId="2" xfId="3" applyAlignment="1">
      <alignment horizontal="center"/>
    </xf>
    <xf numFmtId="0" fontId="13" fillId="0" borderId="0" xfId="0" applyFont="1"/>
    <xf numFmtId="0" fontId="9" fillId="4" borderId="4" xfId="6"/>
    <xf numFmtId="165" fontId="6" fillId="0" borderId="2" xfId="3" applyNumberFormat="1" applyAlignment="1"/>
    <xf numFmtId="0" fontId="6" fillId="0" borderId="2" xfId="3"/>
    <xf numFmtId="0" fontId="6" fillId="0" borderId="2" xfId="3" applyAlignment="1"/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I4" sqref="I4"/>
    </sheetView>
  </sheetViews>
  <sheetFormatPr defaultRowHeight="15.75" x14ac:dyDescent="0.25"/>
  <cols>
    <col min="1" max="7" width="18.625" customWidth="1"/>
    <col min="9" max="9" width="13.875" customWidth="1"/>
    <col min="11" max="11" width="7.875" customWidth="1"/>
  </cols>
  <sheetData>
    <row r="1" spans="1:12" ht="20.25" thickBot="1" x14ac:dyDescent="0.35">
      <c r="A1" s="40" t="s">
        <v>92</v>
      </c>
      <c r="B1" s="40"/>
      <c r="C1" s="40"/>
      <c r="D1" s="40"/>
      <c r="E1" s="40"/>
      <c r="F1" s="40"/>
      <c r="G1" s="40"/>
    </row>
    <row r="2" spans="1:12" ht="16.5" thickTop="1" x14ac:dyDescent="0.25">
      <c r="A2" s="27" t="s">
        <v>95</v>
      </c>
    </row>
    <row r="3" spans="1:12" x14ac:dyDescent="0.25">
      <c r="A3" s="27" t="s">
        <v>190</v>
      </c>
    </row>
    <row r="4" spans="1:12" x14ac:dyDescent="0.25">
      <c r="A4" s="27" t="s">
        <v>191</v>
      </c>
    </row>
    <row r="5" spans="1:12" ht="18" thickBot="1" x14ac:dyDescent="0.35">
      <c r="A5" s="44" t="s">
        <v>66</v>
      </c>
      <c r="B5" s="44"/>
      <c r="C5" s="44"/>
      <c r="D5" s="44"/>
      <c r="E5" s="44"/>
      <c r="F5" s="44"/>
      <c r="G5" s="44"/>
      <c r="H5" s="45"/>
      <c r="I5" s="45"/>
      <c r="J5" s="45"/>
      <c r="K5" s="45"/>
      <c r="L5" s="45"/>
    </row>
    <row r="6" spans="1:12" ht="16.5" thickTop="1" x14ac:dyDescent="0.25">
      <c r="A6" s="25" t="s">
        <v>90</v>
      </c>
      <c r="B6" s="18">
        <v>0.01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I6" t="s">
        <v>230</v>
      </c>
      <c r="J6" s="18">
        <v>1</v>
      </c>
      <c r="K6" s="27" t="s">
        <v>231</v>
      </c>
      <c r="L6" s="19">
        <f>J7/J6</f>
        <v>1</v>
      </c>
    </row>
    <row r="7" spans="1:12" x14ac:dyDescent="0.25">
      <c r="A7" s="7" t="s">
        <v>96</v>
      </c>
      <c r="B7" s="26" t="s">
        <v>49</v>
      </c>
      <c r="C7" s="26"/>
      <c r="D7" s="26"/>
      <c r="E7" s="26"/>
      <c r="F7" s="26"/>
      <c r="G7" s="26"/>
      <c r="I7" t="s">
        <v>232</v>
      </c>
      <c r="J7" s="18">
        <v>1</v>
      </c>
      <c r="K7" s="27" t="s">
        <v>234</v>
      </c>
      <c r="L7" s="19">
        <f>IF(J8&gt;0,L6-(J8*3600),0)</f>
        <v>0</v>
      </c>
    </row>
    <row r="8" spans="1:12" ht="16.5" thickBot="1" x14ac:dyDescent="0.3">
      <c r="A8" s="7" t="s">
        <v>70</v>
      </c>
      <c r="B8" s="21">
        <f>IFERROR(VLOOKUP(B7,Database!$A$2:$E$135,5,FALSE),"-")</f>
        <v>10</v>
      </c>
      <c r="C8" s="21" t="str">
        <f>IFERROR(VLOOKUP(C7,Database!$A$2:$E$135,5,FALSE),"-")</f>
        <v>-</v>
      </c>
      <c r="D8" s="21" t="str">
        <f>IFERROR(VLOOKUP(D7,Database!$A$2:$E$135,5,FALSE),"-")</f>
        <v>-</v>
      </c>
      <c r="E8" s="21" t="str">
        <f>IFERROR(VLOOKUP(E7,Database!$A$2:$E$135,5,FALSE),"-")</f>
        <v>-</v>
      </c>
      <c r="F8" s="21" t="str">
        <f>IFERROR(VLOOKUP(F7,Database!$A$2:$E$135,5,FALSE),"-")</f>
        <v>-</v>
      </c>
      <c r="G8" s="21" t="str">
        <f>IFERROR(VLOOKUP(G7,Database!$A$2:$E$135,5,FALSE),"-")</f>
        <v>-</v>
      </c>
      <c r="I8" s="42" t="s">
        <v>233</v>
      </c>
      <c r="J8" s="43">
        <f>ROUNDDOWN(IF(L6&gt;3600,L6/3600,0),0)</f>
        <v>0</v>
      </c>
      <c r="K8" s="27" t="s">
        <v>227</v>
      </c>
      <c r="L8" s="19">
        <f>ROUNDDOWN(IF(L7&gt;0,L7/60,L6/60),0)</f>
        <v>0</v>
      </c>
    </row>
    <row r="9" spans="1:12" ht="16.5" thickTop="1" x14ac:dyDescent="0.25">
      <c r="A9" s="7" t="s">
        <v>69</v>
      </c>
      <c r="B9" s="24">
        <f t="shared" ref="B9:G9" si="0">IFERROR(B6*B8,"-")</f>
        <v>0.1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 t="shared" si="0"/>
        <v>-</v>
      </c>
      <c r="G9" s="24" t="str">
        <f t="shared" si="0"/>
        <v>-</v>
      </c>
      <c r="J9" s="43">
        <f>IF(L8&lt;60,L8,0)</f>
        <v>0</v>
      </c>
      <c r="K9" s="27" t="s">
        <v>228</v>
      </c>
      <c r="L9" s="19">
        <f>IF(L6&gt;0,L6-((J8*3600)+(L8*60)),0)</f>
        <v>1</v>
      </c>
    </row>
    <row r="10" spans="1:12" x14ac:dyDescent="0.25">
      <c r="A10" s="7" t="s">
        <v>68</v>
      </c>
      <c r="B10" s="32">
        <f>SUM(B9:G9)</f>
        <v>0.1</v>
      </c>
      <c r="C10" s="28"/>
      <c r="D10" s="28"/>
      <c r="E10" s="28"/>
      <c r="F10" s="28"/>
      <c r="G10" s="28"/>
      <c r="J10" s="43">
        <f>IF(L9&gt;0,L9,0)</f>
        <v>1</v>
      </c>
      <c r="K10" s="27" t="s">
        <v>229</v>
      </c>
    </row>
    <row r="13" spans="1:12" ht="18" thickBot="1" x14ac:dyDescent="0.35">
      <c r="A13" s="44" t="s">
        <v>67</v>
      </c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</row>
    <row r="14" spans="1:12" ht="16.5" thickTop="1" x14ac:dyDescent="0.25">
      <c r="A14" s="25" t="s">
        <v>90</v>
      </c>
      <c r="B14" s="18">
        <v>8.9999999999999993E-3</v>
      </c>
      <c r="C14" s="18">
        <f>B14*1.222</f>
        <v>1.0997999999999999E-2</v>
      </c>
      <c r="D14" s="18">
        <v>0</v>
      </c>
      <c r="E14" s="18">
        <v>0</v>
      </c>
      <c r="F14" s="18">
        <v>0</v>
      </c>
      <c r="G14" s="18">
        <v>0</v>
      </c>
      <c r="I14" t="s">
        <v>230</v>
      </c>
      <c r="J14" s="18">
        <v>1</v>
      </c>
      <c r="K14" s="27" t="s">
        <v>231</v>
      </c>
      <c r="L14" s="19">
        <f>J15/J14</f>
        <v>1</v>
      </c>
    </row>
    <row r="15" spans="1:12" x14ac:dyDescent="0.25">
      <c r="A15" s="7" t="s">
        <v>96</v>
      </c>
      <c r="B15" s="26" t="s">
        <v>5</v>
      </c>
      <c r="C15" s="26" t="s">
        <v>7</v>
      </c>
      <c r="D15" s="26"/>
      <c r="E15" s="26"/>
      <c r="F15" s="26"/>
      <c r="G15" s="26"/>
      <c r="I15" t="s">
        <v>232</v>
      </c>
      <c r="J15" s="18">
        <v>1</v>
      </c>
      <c r="K15" s="27" t="s">
        <v>234</v>
      </c>
      <c r="L15" s="19">
        <f>IF(J16&gt;0,L14-(J16*3600),0)</f>
        <v>0</v>
      </c>
    </row>
    <row r="16" spans="1:12" ht="16.5" thickBot="1" x14ac:dyDescent="0.3">
      <c r="A16" s="7" t="s">
        <v>70</v>
      </c>
      <c r="B16" s="21">
        <f>IFERROR(VLOOKUP(B15,Database!$A$2:$E$135,5,FALSE),"-")</f>
        <v>5</v>
      </c>
      <c r="C16" s="21">
        <f>IFERROR(VLOOKUP(C15,Database!$A$2:$E$135,5,FALSE),"-")</f>
        <v>5</v>
      </c>
      <c r="D16" s="21" t="str">
        <f>IFERROR(VLOOKUP(D15,Database!$A$2:$E$135,5,FALSE),"-")</f>
        <v>-</v>
      </c>
      <c r="E16" s="21" t="str">
        <f>IFERROR(VLOOKUP(E15,Database!$A$2:$E$135,5,FALSE),"-")</f>
        <v>-</v>
      </c>
      <c r="F16" s="21" t="str">
        <f>IFERROR(VLOOKUP(F15,Database!$A$2:$E$135,5,FALSE),"-")</f>
        <v>-</v>
      </c>
      <c r="G16" s="21" t="str">
        <f>IFERROR(VLOOKUP(G15,Database!$A$2:$E$135,5,FALSE),"-")</f>
        <v>-</v>
      </c>
      <c r="I16" s="42" t="s">
        <v>233</v>
      </c>
      <c r="J16" s="43">
        <f>ROUNDDOWN(IF(L14&gt;3600,L14/3600,0),0)</f>
        <v>0</v>
      </c>
      <c r="K16" s="27" t="s">
        <v>227</v>
      </c>
      <c r="L16" s="19">
        <f>ROUNDDOWN(IF(L15&gt;0,L15/60,L14/60),0)</f>
        <v>0</v>
      </c>
    </row>
    <row r="17" spans="1:12" ht="16.5" thickTop="1" x14ac:dyDescent="0.25">
      <c r="A17" s="7" t="s">
        <v>69</v>
      </c>
      <c r="B17" s="31">
        <f t="shared" ref="B17:G17" si="1">IFERROR(B14*B16,"-")</f>
        <v>4.4999999999999998E-2</v>
      </c>
      <c r="C17" s="24">
        <f t="shared" si="1"/>
        <v>5.4989999999999997E-2</v>
      </c>
      <c r="D17" s="31" t="str">
        <f t="shared" si="1"/>
        <v>-</v>
      </c>
      <c r="E17" s="24" t="str">
        <f t="shared" si="1"/>
        <v>-</v>
      </c>
      <c r="F17" s="24" t="str">
        <f t="shared" si="1"/>
        <v>-</v>
      </c>
      <c r="G17" s="24" t="str">
        <f t="shared" si="1"/>
        <v>-</v>
      </c>
      <c r="J17" s="43">
        <f>IF(L16&lt;60,L16,0)</f>
        <v>0</v>
      </c>
      <c r="K17" s="27" t="s">
        <v>228</v>
      </c>
      <c r="L17" s="19">
        <f>IF(L14&gt;0,L14-((J16*3600)+(L16*60)),0)</f>
        <v>1</v>
      </c>
    </row>
    <row r="18" spans="1:12" x14ac:dyDescent="0.25">
      <c r="A18" s="7" t="s">
        <v>68</v>
      </c>
      <c r="B18" s="32">
        <f>SUM(B17:G17)</f>
        <v>9.9989999999999996E-2</v>
      </c>
      <c r="C18" s="28"/>
      <c r="D18" s="28"/>
      <c r="E18" s="28"/>
      <c r="F18" s="28"/>
      <c r="G18" s="28"/>
      <c r="J18" s="43">
        <f>IF(L17&gt;0,L17,0)</f>
        <v>1</v>
      </c>
      <c r="K18" s="27" t="s">
        <v>229</v>
      </c>
    </row>
    <row r="20" spans="1:12" ht="18" thickBot="1" x14ac:dyDescent="0.35">
      <c r="A20" s="41" t="s">
        <v>71</v>
      </c>
      <c r="B20" s="41"/>
      <c r="C20" s="41"/>
      <c r="D20" s="41"/>
      <c r="E20" s="41"/>
      <c r="F20" s="41"/>
      <c r="G20" s="41"/>
    </row>
    <row r="21" spans="1:12" ht="16.5" thickTop="1" x14ac:dyDescent="0.25">
      <c r="A21" s="7" t="s">
        <v>72</v>
      </c>
      <c r="B21" s="20" t="str">
        <f>IF($B$10&gt;$B$18,"Input excesive",IF($B$10&lt;$B$18,"Output excessive","Equal"))</f>
        <v>Input excesive</v>
      </c>
      <c r="C21" s="33">
        <f>IF($B$10&gt;$B$18,B10/B18,IF($B$10&lt;$B$18,B18/B10,1))</f>
        <v>1.0001000100010002</v>
      </c>
    </row>
    <row r="22" spans="1:12" x14ac:dyDescent="0.25">
      <c r="A22" s="7"/>
    </row>
  </sheetData>
  <mergeCells count="2">
    <mergeCell ref="A1:G1"/>
    <mergeCell ref="A20:G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Database!$A$2:$A$135</xm:f>
          </x14:formula1>
          <xm:sqref>B7:G7 B15:G15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9" sqref="D29"/>
    </sheetView>
  </sheetViews>
  <sheetFormatPr defaultRowHeight="15.75" x14ac:dyDescent="0.25"/>
  <cols>
    <col min="1" max="7" width="18.625" customWidth="1"/>
  </cols>
  <sheetData>
    <row r="1" spans="1:7" ht="20.25" thickBot="1" x14ac:dyDescent="0.35">
      <c r="A1" s="40" t="s">
        <v>91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192</v>
      </c>
    </row>
    <row r="4" spans="1:7" x14ac:dyDescent="0.25">
      <c r="A4" s="27" t="s">
        <v>189</v>
      </c>
    </row>
    <row r="5" spans="1:7" ht="18" thickBot="1" x14ac:dyDescent="0.35">
      <c r="A5" s="44" t="s">
        <v>66</v>
      </c>
      <c r="B5" s="44"/>
      <c r="C5" s="44"/>
      <c r="D5" s="44"/>
      <c r="E5" s="44"/>
      <c r="F5" s="44"/>
      <c r="G5" s="44"/>
    </row>
    <row r="6" spans="1:7" ht="16.5" thickTop="1" x14ac:dyDescent="0.25">
      <c r="A6" s="7" t="s">
        <v>87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88</v>
      </c>
      <c r="B8" s="21" t="str">
        <f>IFERROR(VLOOKUP(B7,Database!$A$2:$E$97,4,FALSE),"-")</f>
        <v>-</v>
      </c>
      <c r="C8" s="21" t="str">
        <f>IFERROR(VLOOKUP(C7,Database!$A$2:$E$97,4,FALSE),"-")</f>
        <v>-</v>
      </c>
      <c r="D8" s="21" t="str">
        <f>IFERROR(VLOOKUP(D7,Database!$A$2:$E$97,4,FALSE),"-")</f>
        <v>-</v>
      </c>
      <c r="E8" s="21" t="str">
        <f>IFERROR(VLOOKUP(E7,Database!$A$2:$E$97,4,FALSE),"-")</f>
        <v>-</v>
      </c>
      <c r="F8" s="21" t="str">
        <f>IFERROR(VLOOKUP(F7,Database!$A$2:$E$97,4,FALSE),"-")</f>
        <v>-</v>
      </c>
      <c r="G8" s="21" t="str">
        <f>IFERROR(VLOOKUP(G7,Database!$A$2:$E$97,4,FALSE),"-")</f>
        <v>-</v>
      </c>
    </row>
    <row r="9" spans="1:7" ht="17.25" thickTop="1" thickBot="1" x14ac:dyDescent="0.3">
      <c r="A9" s="7" t="s">
        <v>93</v>
      </c>
      <c r="B9" s="21" t="str">
        <f>IFERROR(VLOOKUP(B7,Database!$A$2:$E$97,5,FALSE),"-")</f>
        <v>-</v>
      </c>
      <c r="C9" s="21" t="str">
        <f>IFERROR(VLOOKUP(C7,Database!$A$2:$E$97,5,FALSE),"-")</f>
        <v>-</v>
      </c>
      <c r="D9" s="21" t="str">
        <f>IFERROR(VLOOKUP(D7,Database!$A$2:$E$97,5,FALSE),"-")</f>
        <v>-</v>
      </c>
      <c r="E9" s="21" t="str">
        <f>IFERROR(VLOOKUP(E7,Database!$A$2:$E$97,5,FALSE),"-")</f>
        <v>-</v>
      </c>
      <c r="F9" s="21" t="str">
        <f>IFERROR(VLOOKUP(F7,Database!$A$2:$E$97,5,FALSE),"-")</f>
        <v>-</v>
      </c>
      <c r="G9" s="21" t="str">
        <f>IFERROR(VLOOKUP(G7,Database!$A$2:$E$97,5,FALSE),"-")</f>
        <v>-</v>
      </c>
    </row>
    <row r="10" spans="1:7" ht="16.5" thickTop="1" x14ac:dyDescent="0.25">
      <c r="A10" s="7" t="s">
        <v>89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  <c r="G10" s="19" t="str">
        <f>IFERROR(G6*G8,"-")</f>
        <v>-</v>
      </c>
    </row>
    <row r="11" spans="1:7" x14ac:dyDescent="0.25">
      <c r="A11" s="25" t="s">
        <v>90</v>
      </c>
      <c r="B11" s="34" t="str">
        <f t="shared" ref="B11:G11" si="0">IFERROR(B10/(B9*1000),"-")</f>
        <v>-</v>
      </c>
      <c r="C11" s="34" t="str">
        <f t="shared" si="0"/>
        <v>-</v>
      </c>
      <c r="D11" s="34" t="str">
        <f t="shared" si="0"/>
        <v>-</v>
      </c>
      <c r="E11" s="34" t="str">
        <f t="shared" si="0"/>
        <v>-</v>
      </c>
      <c r="F11" s="34" t="str">
        <f t="shared" si="0"/>
        <v>-</v>
      </c>
      <c r="G11" s="34" t="str">
        <f t="shared" si="0"/>
        <v>-</v>
      </c>
    </row>
    <row r="12" spans="1:7" x14ac:dyDescent="0.25">
      <c r="A12" s="7" t="s">
        <v>94</v>
      </c>
      <c r="B12" s="24">
        <f>SUM(B10:G10)</f>
        <v>0</v>
      </c>
    </row>
    <row r="14" spans="1:7" ht="18" thickBot="1" x14ac:dyDescent="0.35">
      <c r="A14" s="44" t="s">
        <v>67</v>
      </c>
      <c r="B14" s="44"/>
      <c r="C14" s="44"/>
      <c r="D14" s="44"/>
      <c r="E14" s="44"/>
      <c r="F14" s="44"/>
      <c r="G14" s="44"/>
    </row>
    <row r="15" spans="1:7" ht="16.5" thickTop="1" x14ac:dyDescent="0.25">
      <c r="A15" s="7" t="s">
        <v>87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</row>
    <row r="16" spans="1:7" x14ac:dyDescent="0.25">
      <c r="A16" s="7" t="s">
        <v>96</v>
      </c>
      <c r="B16" s="26"/>
      <c r="C16" s="26"/>
      <c r="D16" s="26"/>
      <c r="E16" s="26"/>
      <c r="F16" s="26"/>
      <c r="G16" s="26"/>
    </row>
    <row r="17" spans="1:7" ht="16.5" thickBot="1" x14ac:dyDescent="0.3">
      <c r="A17" s="7" t="s">
        <v>88</v>
      </c>
      <c r="B17" s="21" t="str">
        <f>IFERROR(VLOOKUP(B16,Database!$A$2:$E$97,4,FALSE),"-")</f>
        <v>-</v>
      </c>
      <c r="C17" s="21" t="str">
        <f>IFERROR(VLOOKUP(C16,Database!$A$2:$E$97,4,FALSE),"-")</f>
        <v>-</v>
      </c>
      <c r="D17" s="21" t="str">
        <f>IFERROR(VLOOKUP(D16,Database!$A$2:$E$97,4,FALSE),"-")</f>
        <v>-</v>
      </c>
      <c r="E17" s="21" t="str">
        <f>IFERROR(VLOOKUP(E16,Database!$A$2:$E$97,4,FALSE),"-")</f>
        <v>-</v>
      </c>
      <c r="F17" s="21" t="str">
        <f>IFERROR(VLOOKUP(F16,Database!$A$2:$E$97,4,FALSE),"-")</f>
        <v>-</v>
      </c>
      <c r="G17" s="21" t="str">
        <f>IFERROR(VLOOKUP(G16,Database!$A$2:$E$97,4,FALSE),"-")</f>
        <v>-</v>
      </c>
    </row>
    <row r="18" spans="1:7" ht="17.25" thickTop="1" thickBot="1" x14ac:dyDescent="0.3">
      <c r="A18" s="7" t="s">
        <v>93</v>
      </c>
      <c r="B18" s="21" t="str">
        <f>IFERROR(VLOOKUP(B16,Database!$A$2:$E$97,5,FALSE),"-")</f>
        <v>-</v>
      </c>
      <c r="C18" s="21" t="str">
        <f>IFERROR(VLOOKUP(C16,Database!$A$2:$E$97,5,FALSE),"-")</f>
        <v>-</v>
      </c>
      <c r="D18" s="21" t="str">
        <f>IFERROR(VLOOKUP(D16,Database!$A$2:$E$97,5,FALSE),"-")</f>
        <v>-</v>
      </c>
      <c r="E18" s="21" t="str">
        <f>IFERROR(VLOOKUP(E16,Database!$A$2:$E$97,5,FALSE),"-")</f>
        <v>-</v>
      </c>
      <c r="F18" s="21" t="str">
        <f>IFERROR(VLOOKUP(F16,Database!$A$2:$E$97,5,FALSE),"-")</f>
        <v>-</v>
      </c>
      <c r="G18" s="21" t="str">
        <f>IFERROR(VLOOKUP(G16,Database!$A$2:$E$97,5,FALSE),"-")</f>
        <v>-</v>
      </c>
    </row>
    <row r="19" spans="1:7" ht="16.5" thickTop="1" x14ac:dyDescent="0.25">
      <c r="A19" s="7" t="s">
        <v>89</v>
      </c>
      <c r="B19" s="19">
        <f>IFERROR(B15*B17,0)</f>
        <v>0</v>
      </c>
      <c r="C19" s="19" t="str">
        <f>IFERROR(C15*C17,"-")</f>
        <v>-</v>
      </c>
      <c r="D19" s="19" t="str">
        <f>IFERROR(D15*D17,"-")</f>
        <v>-</v>
      </c>
      <c r="E19" s="19" t="str">
        <f>IFERROR(E15*E17,"-")</f>
        <v>-</v>
      </c>
      <c r="F19" s="19" t="str">
        <f>IFERROR(F15*F17,"-")</f>
        <v>-</v>
      </c>
      <c r="G19" s="19" t="str">
        <f>IFERROR(G15*G17,"-")</f>
        <v>-</v>
      </c>
    </row>
    <row r="20" spans="1:7" x14ac:dyDescent="0.25">
      <c r="A20" s="25" t="s">
        <v>90</v>
      </c>
      <c r="B20" s="34" t="str">
        <f t="shared" ref="B20:G20" si="1">IFERROR(B19/(B18*1000),"-")</f>
        <v>-</v>
      </c>
      <c r="C20" s="34" t="str">
        <f t="shared" si="1"/>
        <v>-</v>
      </c>
      <c r="D20" s="34" t="str">
        <f t="shared" si="1"/>
        <v>-</v>
      </c>
      <c r="E20" s="34" t="str">
        <f t="shared" si="1"/>
        <v>-</v>
      </c>
      <c r="F20" s="34" t="str">
        <f t="shared" si="1"/>
        <v>-</v>
      </c>
      <c r="G20" s="34" t="str">
        <f t="shared" si="1"/>
        <v>-</v>
      </c>
    </row>
    <row r="21" spans="1:7" x14ac:dyDescent="0.25">
      <c r="A21" s="7" t="s">
        <v>94</v>
      </c>
      <c r="B21" s="24">
        <f>SUM(B19:G19)</f>
        <v>0</v>
      </c>
    </row>
    <row r="22" spans="1:7" x14ac:dyDescent="0.25">
      <c r="A22" s="7"/>
    </row>
    <row r="23" spans="1:7" ht="18" thickBot="1" x14ac:dyDescent="0.35">
      <c r="A23" s="46" t="s">
        <v>71</v>
      </c>
      <c r="B23" s="46"/>
      <c r="C23" s="46"/>
      <c r="D23" s="46"/>
      <c r="E23" s="46"/>
      <c r="F23" s="46"/>
      <c r="G23" s="46"/>
    </row>
    <row r="24" spans="1:7" ht="16.5" thickTop="1" x14ac:dyDescent="0.25">
      <c r="A24" s="7" t="s">
        <v>72</v>
      </c>
      <c r="B24" s="20" t="str">
        <f>IF($B$12&gt;$B$21,"Input excesive",IF($B$12&lt;$B$21,"Output excessive","Equal"))</f>
        <v>Equal</v>
      </c>
      <c r="C24" s="33">
        <f>IF($B$12&gt;$B$21,B12/B21,IF($B$12&lt;$B$21,B21/B12,1))</f>
        <v>1</v>
      </c>
    </row>
    <row r="25" spans="1:7" x14ac:dyDescent="0.25">
      <c r="A25" s="7"/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Database!$A$2:$A$135</xm:f>
          </x14:formula1>
          <xm:sqref>B16:G16</xm:sqref>
        </x14:dataValidation>
        <x14:dataValidation type="list" allowBlank="1" showInputMessage="1" showErrorMessage="1">
          <x14:formula1>
            <xm:f>Database!$A$2:$A$135</xm:f>
          </x14:formula1>
          <xm:sqref>B7:G7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opLeftCell="A19" zoomScaleNormal="100" workbookViewId="0">
      <pane xSplit="1" topLeftCell="B1" activePane="topRight" state="frozen"/>
      <selection pane="topRight" activeCell="A36" sqref="A36"/>
    </sheetView>
  </sheetViews>
  <sheetFormatPr defaultColWidth="11" defaultRowHeight="15.75" x14ac:dyDescent="0.25"/>
  <cols>
    <col min="1" max="1" width="19.5" customWidth="1"/>
    <col min="2" max="2" width="30.12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</row>
    <row r="2" spans="1:12" x14ac:dyDescent="0.25">
      <c r="A2" s="1" t="s">
        <v>49</v>
      </c>
      <c r="B2" s="1" t="s">
        <v>64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83</v>
      </c>
      <c r="K2" t="s">
        <v>84</v>
      </c>
      <c r="L2" t="s">
        <v>85</v>
      </c>
    </row>
    <row r="3" spans="1:12" x14ac:dyDescent="0.25">
      <c r="A3" s="1" t="s">
        <v>5</v>
      </c>
      <c r="B3" s="1" t="s">
        <v>6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77</v>
      </c>
      <c r="J3" t="s">
        <v>78</v>
      </c>
      <c r="K3">
        <v>117.49</v>
      </c>
      <c r="L3" s="22">
        <v>0.69599999999999995</v>
      </c>
    </row>
    <row r="4" spans="1:12" x14ac:dyDescent="0.25">
      <c r="A4" s="13" t="s">
        <v>7</v>
      </c>
      <c r="B4" s="13" t="s">
        <v>8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79</v>
      </c>
      <c r="J4" t="s">
        <v>45</v>
      </c>
      <c r="K4">
        <v>26.98</v>
      </c>
      <c r="L4" s="23">
        <v>0.16</v>
      </c>
    </row>
    <row r="5" spans="1:12" x14ac:dyDescent="0.25">
      <c r="A5" s="1" t="s">
        <v>9</v>
      </c>
      <c r="B5" s="1" t="s">
        <v>10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>C5*D5/(E5 * 1000)</f>
        <v>8.0114999999999995E-3</v>
      </c>
      <c r="I5" t="s">
        <v>80</v>
      </c>
      <c r="J5" t="s">
        <v>86</v>
      </c>
      <c r="K5">
        <v>71.84</v>
      </c>
      <c r="L5" s="22">
        <v>0.4</v>
      </c>
    </row>
    <row r="6" spans="1:12" x14ac:dyDescent="0.25">
      <c r="A6" s="1" t="s">
        <v>13</v>
      </c>
      <c r="B6" s="1" t="s">
        <v>14</v>
      </c>
      <c r="C6" s="1">
        <v>1</v>
      </c>
      <c r="D6" s="5">
        <f>131.29</f>
        <v>131.29</v>
      </c>
      <c r="E6" s="4">
        <f>0.0001*1000</f>
        <v>0.1</v>
      </c>
      <c r="F6" s="6">
        <f>C6*D6/(E6 * 1000)</f>
        <v>1.3129</v>
      </c>
      <c r="L6" s="22"/>
    </row>
    <row r="7" spans="1:12" x14ac:dyDescent="0.25">
      <c r="A7" s="1" t="s">
        <v>76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81</v>
      </c>
      <c r="J8" t="s">
        <v>35</v>
      </c>
      <c r="L8" s="23">
        <v>0.12</v>
      </c>
    </row>
    <row r="9" spans="1:12" x14ac:dyDescent="0.25">
      <c r="A9" s="1" t="s">
        <v>188</v>
      </c>
      <c r="B9" s="1" t="s">
        <v>156</v>
      </c>
      <c r="C9" s="1">
        <v>1</v>
      </c>
      <c r="D9" s="5">
        <f>SUM(($D$45*0.5)+($D$93*0.5))</f>
        <v>46.073</v>
      </c>
      <c r="E9" s="4">
        <f>0.0009*1000</f>
        <v>0.9</v>
      </c>
      <c r="F9" s="6">
        <f t="shared" ref="F9:F18" si="0">C9*D9/(E9 * 1000)</f>
        <v>5.1192222222222222E-2</v>
      </c>
      <c r="I9" t="s">
        <v>82</v>
      </c>
      <c r="J9" t="s">
        <v>35</v>
      </c>
      <c r="L9" s="22">
        <v>1.9599999999999999E-2</v>
      </c>
    </row>
    <row r="10" spans="1:12" x14ac:dyDescent="0.25">
      <c r="A10" s="1" t="s">
        <v>36</v>
      </c>
      <c r="B10" s="1" t="s">
        <v>38</v>
      </c>
      <c r="C10" s="1">
        <v>1</v>
      </c>
      <c r="D10" s="5">
        <v>101.96</v>
      </c>
      <c r="E10" s="4">
        <f>0.00398*1000</f>
        <v>3.98</v>
      </c>
      <c r="F10" s="6">
        <f t="shared" si="0"/>
        <v>2.5618090452261304E-2</v>
      </c>
    </row>
    <row r="11" spans="1:12" x14ac:dyDescent="0.25">
      <c r="A11" s="1" t="s">
        <v>44</v>
      </c>
      <c r="B11" s="1" t="s">
        <v>45</v>
      </c>
      <c r="C11" s="1">
        <v>1</v>
      </c>
      <c r="D11" s="5">
        <v>26.98</v>
      </c>
      <c r="E11" s="4">
        <f>0.00277*1000</f>
        <v>2.77</v>
      </c>
      <c r="F11" s="6">
        <f t="shared" si="0"/>
        <v>9.7400722021660658E-3</v>
      </c>
    </row>
    <row r="12" spans="1:12" x14ac:dyDescent="0.25">
      <c r="A12" s="1" t="s">
        <v>19</v>
      </c>
      <c r="B12" s="1" t="s">
        <v>20</v>
      </c>
      <c r="C12" s="1">
        <v>1</v>
      </c>
      <c r="D12" s="5">
        <v>17.03</v>
      </c>
      <c r="E12" s="4">
        <f>0.000000769*1000</f>
        <v>7.6899999999999994E-4</v>
      </c>
      <c r="F12" s="6">
        <f t="shared" si="0"/>
        <v>22.145643693107935</v>
      </c>
    </row>
    <row r="13" spans="1:12" x14ac:dyDescent="0.25">
      <c r="A13" s="1" t="s">
        <v>11</v>
      </c>
      <c r="B13" s="1" t="s">
        <v>12</v>
      </c>
      <c r="C13" s="1">
        <v>1</v>
      </c>
      <c r="D13" s="5">
        <v>39.950000000000003</v>
      </c>
      <c r="E13" s="4">
        <f>0.000001784*1000</f>
        <v>1.784E-3</v>
      </c>
      <c r="F13" s="6">
        <f t="shared" si="0"/>
        <v>22.393497757847534</v>
      </c>
    </row>
    <row r="14" spans="1:12" x14ac:dyDescent="0.25">
      <c r="A14" s="35" t="s">
        <v>204</v>
      </c>
      <c r="B14" s="35" t="s">
        <v>205</v>
      </c>
      <c r="C14" s="35">
        <v>1</v>
      </c>
      <c r="D14" s="36">
        <v>9.01</v>
      </c>
      <c r="E14" s="37">
        <f>0.0007508*1000</f>
        <v>0.75080000000000002</v>
      </c>
      <c r="F14" s="38">
        <f t="shared" si="0"/>
        <v>1.2000532765050611E-2</v>
      </c>
      <c r="H14">
        <v>12</v>
      </c>
    </row>
    <row r="15" spans="1:12" x14ac:dyDescent="0.25">
      <c r="A15" s="35" t="s">
        <v>206</v>
      </c>
      <c r="B15" s="35" t="s">
        <v>207</v>
      </c>
      <c r="C15" s="35">
        <v>1</v>
      </c>
      <c r="D15" s="36">
        <v>66.02</v>
      </c>
      <c r="E15" s="37">
        <f>0.00244518*1000</f>
        <v>2.4451800000000001</v>
      </c>
      <c r="F15" s="38">
        <f t="shared" si="0"/>
        <v>2.7000057255498568E-2</v>
      </c>
      <c r="H15">
        <v>27</v>
      </c>
    </row>
    <row r="16" spans="1:12" x14ac:dyDescent="0.25">
      <c r="A16" s="9" t="s">
        <v>208</v>
      </c>
      <c r="B16" s="9" t="s">
        <v>209</v>
      </c>
      <c r="C16" s="9">
        <v>1</v>
      </c>
      <c r="D16" s="10">
        <v>10.81</v>
      </c>
      <c r="E16" s="11">
        <f>D16/H16</f>
        <v>0.90083333333333337</v>
      </c>
      <c r="F16" s="12">
        <f t="shared" si="0"/>
        <v>1.2E-2</v>
      </c>
      <c r="H16">
        <v>12</v>
      </c>
    </row>
    <row r="17" spans="1:8" x14ac:dyDescent="0.25">
      <c r="A17" s="9" t="s">
        <v>220</v>
      </c>
      <c r="B17" s="9" t="s">
        <v>221</v>
      </c>
      <c r="C17" s="9">
        <v>1</v>
      </c>
      <c r="D17" s="10">
        <v>132.91</v>
      </c>
      <c r="E17" s="11">
        <f>0.00193*1000</f>
        <v>1.9300000000000002</v>
      </c>
      <c r="F17" s="12">
        <f t="shared" si="0"/>
        <v>6.8865284974093249E-2</v>
      </c>
      <c r="G17" s="39"/>
      <c r="H17" s="39"/>
    </row>
    <row r="18" spans="1:8" x14ac:dyDescent="0.25">
      <c r="A18" s="1" t="s">
        <v>42</v>
      </c>
      <c r="B18" s="1" t="s">
        <v>43</v>
      </c>
      <c r="C18" s="1">
        <v>1</v>
      </c>
      <c r="D18" s="5">
        <v>12.01</v>
      </c>
      <c r="E18" s="4">
        <f>0.0021*1000</f>
        <v>2.1</v>
      </c>
      <c r="F18" s="6">
        <f t="shared" si="0"/>
        <v>5.7190476190476193E-3</v>
      </c>
    </row>
    <row r="19" spans="1:8" x14ac:dyDescent="0.25">
      <c r="A19" s="1" t="s">
        <v>47</v>
      </c>
      <c r="B19" s="1" t="s">
        <v>16</v>
      </c>
      <c r="C19" s="1">
        <v>1</v>
      </c>
      <c r="D19" s="5">
        <v>44.01</v>
      </c>
      <c r="E19" s="4">
        <f>0.000001951*1000</f>
        <v>1.951E-3</v>
      </c>
      <c r="F19" s="6">
        <f t="shared" ref="F19:F45" si="1">C19*D19/(E19 * 1000)</f>
        <v>22.557662737057917</v>
      </c>
    </row>
    <row r="20" spans="1:8" x14ac:dyDescent="0.25">
      <c r="A20" s="1" t="s">
        <v>181</v>
      </c>
      <c r="B20" s="1" t="s">
        <v>183</v>
      </c>
      <c r="C20" s="1">
        <v>1</v>
      </c>
      <c r="D20" s="5">
        <v>28.01</v>
      </c>
      <c r="E20" s="4">
        <f>0.00000125*1000</f>
        <v>1.25E-3</v>
      </c>
      <c r="F20" s="6">
        <f t="shared" si="1"/>
        <v>22.408000000000001</v>
      </c>
    </row>
    <row r="21" spans="1:8" x14ac:dyDescent="0.25">
      <c r="A21" s="1" t="s">
        <v>121</v>
      </c>
      <c r="B21" s="1"/>
      <c r="C21" s="1">
        <v>1</v>
      </c>
      <c r="D21" s="5"/>
      <c r="E21" s="4">
        <f>0.0025*1000</f>
        <v>2.5</v>
      </c>
      <c r="F21" s="6"/>
    </row>
    <row r="22" spans="1:8" x14ac:dyDescent="0.25">
      <c r="A22" s="1" t="s">
        <v>168</v>
      </c>
      <c r="B22" s="1" t="s">
        <v>171</v>
      </c>
      <c r="C22" s="1">
        <v>1</v>
      </c>
      <c r="D22" s="5">
        <v>35.450000000000003</v>
      </c>
      <c r="E22" s="4">
        <f>0.0032*1000</f>
        <v>3.2</v>
      </c>
      <c r="F22" s="6">
        <f t="shared" si="1"/>
        <v>1.1078125000000001E-2</v>
      </c>
    </row>
    <row r="23" spans="1:8" x14ac:dyDescent="0.25">
      <c r="A23" s="1" t="s">
        <v>122</v>
      </c>
      <c r="B23" s="1"/>
      <c r="C23" s="1">
        <v>1</v>
      </c>
      <c r="D23" s="5"/>
      <c r="E23" s="4">
        <f>0.001556*1000</f>
        <v>1.556</v>
      </c>
      <c r="F23" s="6"/>
    </row>
    <row r="24" spans="1:8" x14ac:dyDescent="0.25">
      <c r="A24" s="1" t="s">
        <v>162</v>
      </c>
      <c r="B24" s="1" t="s">
        <v>133</v>
      </c>
      <c r="C24" s="1">
        <v>1</v>
      </c>
      <c r="D24" s="5">
        <v>238.03</v>
      </c>
      <c r="E24" s="4">
        <f>0.01097*1000</f>
        <v>10.97</v>
      </c>
      <c r="F24" s="6">
        <f t="shared" si="1"/>
        <v>2.1698268003646309E-2</v>
      </c>
    </row>
    <row r="25" spans="1:8" x14ac:dyDescent="0.25">
      <c r="A25" s="1" t="s">
        <v>163</v>
      </c>
      <c r="B25" s="1" t="s">
        <v>146</v>
      </c>
      <c r="C25" s="1">
        <v>1</v>
      </c>
      <c r="D25" s="5">
        <v>2.0139999999999998</v>
      </c>
      <c r="E25" s="4">
        <f>0.00000018*1000</f>
        <v>1.7999999999999998E-4</v>
      </c>
      <c r="F25" s="6">
        <f t="shared" si="1"/>
        <v>11.188888888888888</v>
      </c>
    </row>
    <row r="26" spans="1:8" x14ac:dyDescent="0.25">
      <c r="A26" s="1" t="s">
        <v>116</v>
      </c>
      <c r="B26" s="1" t="s">
        <v>132</v>
      </c>
      <c r="C26" s="1">
        <v>1</v>
      </c>
      <c r="D26" s="5">
        <v>60.08</v>
      </c>
      <c r="E26" s="4">
        <f>0.0016*1000</f>
        <v>1.6</v>
      </c>
      <c r="F26" s="6">
        <f t="shared" si="1"/>
        <v>3.755E-2</v>
      </c>
    </row>
    <row r="27" spans="1:8" x14ac:dyDescent="0.25">
      <c r="A27" s="1" t="s">
        <v>123</v>
      </c>
      <c r="B27" s="1" t="s">
        <v>133</v>
      </c>
      <c r="C27" s="1">
        <v>1</v>
      </c>
      <c r="D27" s="5">
        <v>238.03</v>
      </c>
      <c r="E27" s="4">
        <f>0.01097*1000</f>
        <v>10.97</v>
      </c>
      <c r="F27" s="6">
        <f t="shared" si="1"/>
        <v>2.1698268003646309E-2</v>
      </c>
    </row>
    <row r="28" spans="1:8" x14ac:dyDescent="0.25">
      <c r="A28" s="1" t="s">
        <v>179</v>
      </c>
      <c r="B28" s="1" t="s">
        <v>180</v>
      </c>
      <c r="C28" s="1">
        <v>1</v>
      </c>
      <c r="D28" s="5">
        <v>46.07</v>
      </c>
      <c r="E28" s="4">
        <f>0.000789*1000</f>
        <v>0.78900000000000003</v>
      </c>
      <c r="F28" s="6">
        <f>C28*D28/(E28 * 1000)</f>
        <v>5.8390367553865653E-2</v>
      </c>
    </row>
    <row r="29" spans="1:8" x14ac:dyDescent="0.25">
      <c r="A29" s="1" t="s">
        <v>186</v>
      </c>
      <c r="B29" s="1" t="s">
        <v>187</v>
      </c>
      <c r="C29" s="1">
        <v>1</v>
      </c>
      <c r="D29" s="5">
        <v>61.206800000000001</v>
      </c>
      <c r="E29" s="4">
        <f>0.00084175*1000</f>
        <v>0.84175</v>
      </c>
      <c r="F29" s="6">
        <f>C29*D29/(E29 * 1000)</f>
        <v>7.2713751113751113E-2</v>
      </c>
    </row>
    <row r="30" spans="1:8" x14ac:dyDescent="0.25">
      <c r="A30" s="1" t="s">
        <v>31</v>
      </c>
      <c r="B30" s="1" t="s">
        <v>222</v>
      </c>
      <c r="C30" s="1">
        <v>1</v>
      </c>
      <c r="D30" s="5">
        <v>668.34</v>
      </c>
      <c r="E30" s="4">
        <f>0.0025*1000</f>
        <v>2.5</v>
      </c>
      <c r="F30" s="6">
        <f t="shared" si="1"/>
        <v>0.26733600000000002</v>
      </c>
    </row>
    <row r="31" spans="1:8" x14ac:dyDescent="0.25">
      <c r="A31" s="1" t="s">
        <v>130</v>
      </c>
      <c r="B31" s="1"/>
      <c r="C31" s="1">
        <v>1</v>
      </c>
      <c r="D31" s="5"/>
      <c r="E31" s="4">
        <f>0.001*1000</f>
        <v>1</v>
      </c>
      <c r="F31" s="6">
        <f t="shared" si="1"/>
        <v>0</v>
      </c>
    </row>
    <row r="32" spans="1:8" x14ac:dyDescent="0.25">
      <c r="A32" s="35" t="s">
        <v>213</v>
      </c>
      <c r="B32" s="35" t="s">
        <v>215</v>
      </c>
      <c r="C32" s="35">
        <v>1</v>
      </c>
      <c r="D32" s="36">
        <v>412.91</v>
      </c>
      <c r="E32" s="37">
        <f>0.001556*1000</f>
        <v>1.556</v>
      </c>
      <c r="F32" s="6">
        <f t="shared" si="1"/>
        <v>0.26536632390745502</v>
      </c>
    </row>
    <row r="33" spans="1:7" x14ac:dyDescent="0.25">
      <c r="A33" s="35" t="s">
        <v>214</v>
      </c>
      <c r="B33" s="35" t="s">
        <v>216</v>
      </c>
      <c r="C33" s="35">
        <v>1</v>
      </c>
      <c r="D33" s="36">
        <v>278.13</v>
      </c>
      <c r="E33" s="37">
        <f>0.00321*1000</f>
        <v>3.21</v>
      </c>
      <c r="F33" s="6">
        <f t="shared" si="1"/>
        <v>8.6644859813084105E-2</v>
      </c>
    </row>
    <row r="34" spans="1:7" x14ac:dyDescent="0.25">
      <c r="A34" s="1" t="s">
        <v>148</v>
      </c>
      <c r="B34" s="1"/>
      <c r="C34" s="1">
        <v>1</v>
      </c>
      <c r="D34" s="5"/>
      <c r="E34" s="4">
        <f>0.001*1000</f>
        <v>1</v>
      </c>
      <c r="F34" s="6"/>
    </row>
    <row r="35" spans="1:7" x14ac:dyDescent="0.25">
      <c r="A35" s="1" t="s">
        <v>225</v>
      </c>
      <c r="B35" s="1" t="s">
        <v>226</v>
      </c>
      <c r="C35" s="1">
        <v>1</v>
      </c>
      <c r="D35" s="5">
        <v>741.30799999999999</v>
      </c>
      <c r="E35" s="4">
        <f>0.05*1000</f>
        <v>50</v>
      </c>
      <c r="F35" s="6">
        <f t="shared" si="1"/>
        <v>1.482616E-2</v>
      </c>
    </row>
    <row r="36" spans="1:7" x14ac:dyDescent="0.25">
      <c r="A36" s="1" t="s">
        <v>169</v>
      </c>
      <c r="B36" s="1" t="s">
        <v>170</v>
      </c>
      <c r="C36" s="1">
        <v>1</v>
      </c>
      <c r="D36" s="5">
        <v>19</v>
      </c>
      <c r="E36" s="4">
        <f>0.0032*1000</f>
        <v>3.2</v>
      </c>
      <c r="F36" s="6">
        <f t="shared" si="1"/>
        <v>5.9375000000000001E-3</v>
      </c>
    </row>
    <row r="37" spans="1:7" x14ac:dyDescent="0.25">
      <c r="A37" s="1" t="s">
        <v>193</v>
      </c>
      <c r="B37" s="1"/>
      <c r="C37" s="1"/>
      <c r="D37" s="5"/>
      <c r="E37" s="4">
        <f xml:space="preserve"> 0.00028102905982906*1000</f>
        <v>0.28102905982906001</v>
      </c>
      <c r="F37" s="6"/>
    </row>
    <row r="38" spans="1:7" x14ac:dyDescent="0.25">
      <c r="A38" s="1" t="s">
        <v>103</v>
      </c>
      <c r="B38" s="1" t="s">
        <v>196</v>
      </c>
      <c r="C38" s="1">
        <v>1</v>
      </c>
      <c r="D38" s="5">
        <f>5.03</f>
        <v>5.03</v>
      </c>
      <c r="E38" s="4">
        <f>0.000216*1000</f>
        <v>0.216</v>
      </c>
      <c r="F38" s="6">
        <f t="shared" si="1"/>
        <v>2.3287037037037037E-2</v>
      </c>
    </row>
    <row r="39" spans="1:7" x14ac:dyDescent="0.25">
      <c r="A39" s="1" t="s">
        <v>138</v>
      </c>
      <c r="B39" s="1" t="s">
        <v>161</v>
      </c>
      <c r="C39" s="1">
        <v>1</v>
      </c>
      <c r="D39" s="5">
        <v>92.09</v>
      </c>
      <c r="E39" s="4">
        <f>0.012*1000</f>
        <v>12</v>
      </c>
      <c r="F39" s="6">
        <f t="shared" si="1"/>
        <v>7.6741666666666668E-3</v>
      </c>
    </row>
    <row r="40" spans="1:7" x14ac:dyDescent="0.25">
      <c r="A40" s="1" t="s">
        <v>26</v>
      </c>
      <c r="B40" s="1" t="s">
        <v>27</v>
      </c>
      <c r="C40" s="1">
        <v>1</v>
      </c>
      <c r="D40" s="5">
        <v>172.14</v>
      </c>
      <c r="E40" s="4">
        <f>0.0055*1000</f>
        <v>5.5</v>
      </c>
      <c r="F40" s="6">
        <f t="shared" si="1"/>
        <v>3.1298181818181815E-2</v>
      </c>
    </row>
    <row r="41" spans="1:7" x14ac:dyDescent="0.25">
      <c r="A41" s="1" t="s">
        <v>175</v>
      </c>
      <c r="B41" s="1" t="s">
        <v>145</v>
      </c>
      <c r="C41" s="1">
        <v>1</v>
      </c>
      <c r="D41" s="5">
        <v>3.016</v>
      </c>
      <c r="E41" s="4">
        <f>0.000000125*1000</f>
        <v>1.25E-4</v>
      </c>
      <c r="F41" s="6">
        <f>C41*D41/(E41 * 1000)</f>
        <v>24.128</v>
      </c>
    </row>
    <row r="42" spans="1:7" x14ac:dyDescent="0.25">
      <c r="A42" s="1" t="s">
        <v>176</v>
      </c>
      <c r="B42" s="1" t="s">
        <v>177</v>
      </c>
      <c r="C42" s="1">
        <v>1</v>
      </c>
      <c r="D42" s="5">
        <v>4.0019999999999998</v>
      </c>
      <c r="E42" s="4">
        <f>0.0000001786*1000</f>
        <v>1.786E-4</v>
      </c>
      <c r="F42" s="6">
        <f>C42*D42/(E42 * 1000)</f>
        <v>22.407614781634937</v>
      </c>
    </row>
    <row r="43" spans="1:7" x14ac:dyDescent="0.25">
      <c r="A43" s="1" t="s">
        <v>185</v>
      </c>
      <c r="B43" s="1" t="s">
        <v>184</v>
      </c>
      <c r="C43" s="1">
        <v>1</v>
      </c>
      <c r="D43" s="5">
        <v>34.01</v>
      </c>
      <c r="E43" s="4">
        <f>0.001431*1000</f>
        <v>1.431</v>
      </c>
      <c r="F43" s="6">
        <f>C43*D43/(E43 * 1000)</f>
        <v>2.3766596785464708E-2</v>
      </c>
    </row>
    <row r="44" spans="1:7" x14ac:dyDescent="0.25">
      <c r="A44" s="1" t="s">
        <v>28</v>
      </c>
      <c r="B44" s="1" t="s">
        <v>29</v>
      </c>
      <c r="C44" s="1">
        <v>1</v>
      </c>
      <c r="D44" s="5">
        <v>168.69</v>
      </c>
      <c r="E44" s="4">
        <f>0.0015*1000</f>
        <v>1.5</v>
      </c>
      <c r="F44" s="6">
        <f t="shared" si="1"/>
        <v>0.11246</v>
      </c>
    </row>
    <row r="45" spans="1:7" x14ac:dyDescent="0.25">
      <c r="A45" s="1" t="s">
        <v>153</v>
      </c>
      <c r="B45" s="1" t="s">
        <v>154</v>
      </c>
      <c r="C45" s="1">
        <v>1</v>
      </c>
      <c r="D45" s="5">
        <f>(14.007*2)+(1.008*4)</f>
        <v>32.045999999999999</v>
      </c>
      <c r="E45" s="4">
        <f>0.001004*1000</f>
        <v>1.004</v>
      </c>
      <c r="F45" s="6">
        <f t="shared" si="1"/>
        <v>3.1918326693227091E-2</v>
      </c>
    </row>
    <row r="46" spans="1:7" x14ac:dyDescent="0.25">
      <c r="A46" s="1" t="s">
        <v>62</v>
      </c>
      <c r="B46" s="1" t="s">
        <v>15</v>
      </c>
      <c r="C46" s="1">
        <v>1</v>
      </c>
      <c r="D46" s="5">
        <v>2.02</v>
      </c>
      <c r="E46" s="4">
        <f>0.0000000899*1000</f>
        <v>8.9900000000000003E-5</v>
      </c>
      <c r="F46" s="6">
        <f t="shared" ref="F46:F58" si="2">C46*D46/(E46 * 1000)</f>
        <v>22.469410456062288</v>
      </c>
      <c r="G46" s="8"/>
    </row>
    <row r="47" spans="1:7" x14ac:dyDescent="0.25">
      <c r="A47" s="1" t="s">
        <v>178</v>
      </c>
      <c r="B47" s="1" t="s">
        <v>6</v>
      </c>
      <c r="C47" s="1">
        <v>1</v>
      </c>
      <c r="D47" s="5">
        <v>170.34</v>
      </c>
      <c r="E47" s="4">
        <f>0.00082*1000</f>
        <v>0.82</v>
      </c>
      <c r="F47" s="6">
        <f>C47*D47/(E47 * 1000)</f>
        <v>0.20773170731707319</v>
      </c>
      <c r="G47" s="8"/>
    </row>
    <row r="48" spans="1:7" x14ac:dyDescent="0.25">
      <c r="A48" s="1" t="s">
        <v>136</v>
      </c>
      <c r="B48" s="1" t="s">
        <v>137</v>
      </c>
      <c r="C48" s="1">
        <v>1</v>
      </c>
      <c r="D48" s="5">
        <v>6.94</v>
      </c>
      <c r="E48" s="4">
        <f xml:space="preserve"> 0.000534*1000</f>
        <v>0.53399999999999992</v>
      </c>
      <c r="F48" s="6">
        <f t="shared" si="2"/>
        <v>1.2996254681647943E-2</v>
      </c>
      <c r="G48" s="8"/>
    </row>
    <row r="49" spans="1:6" x14ac:dyDescent="0.25">
      <c r="A49" s="1" t="s">
        <v>25</v>
      </c>
      <c r="B49" s="1" t="s">
        <v>20</v>
      </c>
      <c r="C49" s="1">
        <v>1</v>
      </c>
      <c r="D49" s="5">
        <v>17.03</v>
      </c>
      <c r="E49" s="4">
        <f>0.0007021*1000</f>
        <v>0.70209999999999995</v>
      </c>
      <c r="F49" s="6">
        <f t="shared" si="2"/>
        <v>2.4255804016521866E-2</v>
      </c>
    </row>
    <row r="50" spans="1:6" x14ac:dyDescent="0.25">
      <c r="A50" s="1" t="s">
        <v>182</v>
      </c>
      <c r="B50" s="1" t="s">
        <v>183</v>
      </c>
      <c r="C50" s="1">
        <v>1</v>
      </c>
      <c r="D50" s="5">
        <v>28.01</v>
      </c>
      <c r="E50" s="4">
        <f>0.00079*1000</f>
        <v>0.79</v>
      </c>
      <c r="F50" s="6">
        <f>C50*D50/(E50 * 1000)</f>
        <v>3.5455696202531646E-2</v>
      </c>
    </row>
    <row r="51" spans="1:6" x14ac:dyDescent="0.25">
      <c r="A51" s="1" t="s">
        <v>23</v>
      </c>
      <c r="B51" s="1" t="s">
        <v>16</v>
      </c>
      <c r="C51" s="1">
        <v>1</v>
      </c>
      <c r="D51" s="5">
        <v>44.01</v>
      </c>
      <c r="E51" s="4">
        <f>0.00117325*1000</f>
        <v>1.1732500000000001</v>
      </c>
      <c r="F51" s="6">
        <f t="shared" si="2"/>
        <v>3.7511186874067751E-2</v>
      </c>
    </row>
    <row r="52" spans="1:6" x14ac:dyDescent="0.25">
      <c r="A52" s="1" t="s">
        <v>143</v>
      </c>
      <c r="B52" s="1" t="s">
        <v>146</v>
      </c>
      <c r="C52" s="1">
        <v>1</v>
      </c>
      <c r="D52" s="5">
        <v>2.0139999999999998</v>
      </c>
      <c r="E52" s="4">
        <f>0.0001624*1000</f>
        <v>0.16239999999999999</v>
      </c>
      <c r="F52" s="6">
        <f t="shared" si="2"/>
        <v>1.2401477832512315E-2</v>
      </c>
    </row>
    <row r="53" spans="1:6" x14ac:dyDescent="0.25">
      <c r="A53" s="1" t="s">
        <v>144</v>
      </c>
      <c r="B53" s="1" t="s">
        <v>145</v>
      </c>
      <c r="C53" s="1">
        <v>1</v>
      </c>
      <c r="D53" s="5">
        <v>3.016</v>
      </c>
      <c r="E53" s="4">
        <f>0.000059*1000</f>
        <v>5.8999999999999997E-2</v>
      </c>
      <c r="F53" s="6">
        <f>C53*D53/(E53 * 1000)</f>
        <v>5.1118644067796613E-2</v>
      </c>
    </row>
    <row r="54" spans="1:6" x14ac:dyDescent="0.25">
      <c r="A54" s="1" t="s">
        <v>174</v>
      </c>
      <c r="B54" s="1" t="s">
        <v>177</v>
      </c>
      <c r="C54" s="1">
        <v>1</v>
      </c>
      <c r="D54" s="5">
        <v>4.0019999999999998</v>
      </c>
      <c r="E54" s="4">
        <f>0.0001786*1000</f>
        <v>0.17860000000000001</v>
      </c>
      <c r="F54" s="6">
        <f>C54*D54/(E54 * 1000)</f>
        <v>2.2407614781634933E-2</v>
      </c>
    </row>
    <row r="55" spans="1:6" x14ac:dyDescent="0.25">
      <c r="A55" s="1" t="s">
        <v>75</v>
      </c>
      <c r="B55" s="1" t="s">
        <v>15</v>
      </c>
      <c r="C55" s="1">
        <v>1</v>
      </c>
      <c r="D55" s="5">
        <v>2.02</v>
      </c>
      <c r="E55" s="4">
        <f>0.00007085*1000</f>
        <v>7.0849999999999996E-2</v>
      </c>
      <c r="F55" s="6">
        <f>C55*D55/(E55 * 1000)</f>
        <v>2.8510938602681724E-2</v>
      </c>
    </row>
    <row r="56" spans="1:6" x14ac:dyDescent="0.25">
      <c r="A56" s="1" t="s">
        <v>24</v>
      </c>
      <c r="B56" s="1" t="s">
        <v>18</v>
      </c>
      <c r="C56" s="1">
        <v>1</v>
      </c>
      <c r="D56" s="5">
        <v>16.05</v>
      </c>
      <c r="E56" s="4">
        <f>0.00042561*1000</f>
        <v>0.42560999999999999</v>
      </c>
      <c r="F56" s="6">
        <f t="shared" si="2"/>
        <v>3.7710580108550079E-2</v>
      </c>
    </row>
    <row r="57" spans="1:6" x14ac:dyDescent="0.25">
      <c r="A57" s="1" t="s">
        <v>73</v>
      </c>
      <c r="B57" s="9" t="s">
        <v>8</v>
      </c>
      <c r="C57" s="9">
        <v>1</v>
      </c>
      <c r="D57" s="10">
        <v>32</v>
      </c>
      <c r="E57" s="11">
        <f>0.001141*1000</f>
        <v>1.141</v>
      </c>
      <c r="F57" s="12">
        <f t="shared" si="2"/>
        <v>2.8045574057843997E-2</v>
      </c>
    </row>
    <row r="58" spans="1:6" x14ac:dyDescent="0.25">
      <c r="A58" s="1" t="s">
        <v>74</v>
      </c>
      <c r="B58" s="1" t="s">
        <v>21</v>
      </c>
      <c r="C58" s="1">
        <v>1</v>
      </c>
      <c r="D58" s="5">
        <v>28.01</v>
      </c>
      <c r="E58" s="4">
        <f>0.000824907*1000</f>
        <v>0.82490700000000006</v>
      </c>
      <c r="F58" s="6">
        <f t="shared" si="2"/>
        <v>3.3955342844708553E-2</v>
      </c>
    </row>
    <row r="59" spans="1:6" x14ac:dyDescent="0.25">
      <c r="A59" s="1" t="s">
        <v>127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117</v>
      </c>
      <c r="B60" s="1"/>
      <c r="C60" s="1">
        <v>1</v>
      </c>
      <c r="D60" s="5"/>
      <c r="E60" s="4">
        <f>0.001*1000</f>
        <v>1</v>
      </c>
      <c r="F60" s="6"/>
    </row>
    <row r="61" spans="1:6" x14ac:dyDescent="0.25">
      <c r="A61" s="1" t="s">
        <v>149</v>
      </c>
      <c r="B61" s="1" t="s">
        <v>15</v>
      </c>
      <c r="C61" s="1">
        <v>1</v>
      </c>
      <c r="D61" s="5">
        <f>D55</f>
        <v>2.02</v>
      </c>
      <c r="E61" s="4">
        <f>0.007085*1000</f>
        <v>7.085</v>
      </c>
      <c r="F61" s="6">
        <f t="shared" ref="F61:F70" si="3">C61*D61/(E61 * 1000)</f>
        <v>2.851093860268172E-4</v>
      </c>
    </row>
    <row r="62" spans="1:6" x14ac:dyDescent="0.25">
      <c r="A62" s="1" t="s">
        <v>124</v>
      </c>
      <c r="B62" s="1" t="s">
        <v>134</v>
      </c>
      <c r="C62" s="1">
        <v>1</v>
      </c>
      <c r="D62" s="5">
        <v>159.69</v>
      </c>
      <c r="E62" s="4">
        <f>0.0055*1000</f>
        <v>5.5</v>
      </c>
      <c r="F62" s="6">
        <f t="shared" si="3"/>
        <v>2.9034545454545455E-2</v>
      </c>
    </row>
    <row r="63" spans="1:6" x14ac:dyDescent="0.25">
      <c r="A63" s="1" t="s">
        <v>199</v>
      </c>
      <c r="B63" s="1" t="s">
        <v>134</v>
      </c>
      <c r="C63" s="1">
        <v>1</v>
      </c>
      <c r="D63" s="5">
        <v>159.69</v>
      </c>
      <c r="E63" s="4">
        <f>0.026*1000</f>
        <v>26</v>
      </c>
      <c r="F63" s="6">
        <f t="shared" si="3"/>
        <v>6.1419230769230769E-3</v>
      </c>
    </row>
    <row r="64" spans="1:6" x14ac:dyDescent="0.25">
      <c r="A64" s="1" t="s">
        <v>198</v>
      </c>
      <c r="B64" s="1" t="s">
        <v>200</v>
      </c>
      <c r="C64" s="1">
        <v>1</v>
      </c>
      <c r="D64" s="5">
        <f>55.845*2</f>
        <v>111.69</v>
      </c>
      <c r="E64" s="4">
        <f>0.039*1000</f>
        <v>39</v>
      </c>
      <c r="F64" s="6">
        <f t="shared" si="3"/>
        <v>2.8638461538461539E-3</v>
      </c>
    </row>
    <row r="65" spans="1:6" x14ac:dyDescent="0.25">
      <c r="A65" s="1" t="s">
        <v>197</v>
      </c>
      <c r="B65" s="1" t="s">
        <v>200</v>
      </c>
      <c r="C65" s="1">
        <v>1</v>
      </c>
      <c r="D65" s="5">
        <f>55.845*2</f>
        <v>111.69</v>
      </c>
      <c r="E65" s="4">
        <f>0.0078*1000</f>
        <v>7.8</v>
      </c>
      <c r="F65" s="6">
        <f t="shared" si="3"/>
        <v>1.4319230769230768E-2</v>
      </c>
    </row>
    <row r="66" spans="1:6" x14ac:dyDescent="0.25">
      <c r="A66" s="1" t="s">
        <v>17</v>
      </c>
      <c r="B66" s="1" t="s">
        <v>18</v>
      </c>
      <c r="C66" s="1">
        <v>1</v>
      </c>
      <c r="D66" s="5">
        <f>12.02+4*1.008</f>
        <v>16.052</v>
      </c>
      <c r="E66" s="4">
        <f>0.000000717*1000</f>
        <v>7.1699999999999997E-4</v>
      </c>
      <c r="F66" s="6">
        <f t="shared" si="3"/>
        <v>22.387726638772666</v>
      </c>
    </row>
    <row r="67" spans="1:6" x14ac:dyDescent="0.25">
      <c r="A67" s="1" t="s">
        <v>30</v>
      </c>
      <c r="B67" s="1" t="s">
        <v>223</v>
      </c>
      <c r="C67" s="1">
        <v>1</v>
      </c>
      <c r="D67" s="5">
        <f>323.31+78.07</f>
        <v>401.38</v>
      </c>
      <c r="E67" s="4">
        <f>0.0027*1000</f>
        <v>2.7</v>
      </c>
      <c r="F67" s="6">
        <f t="shared" si="3"/>
        <v>0.14865925925925927</v>
      </c>
    </row>
    <row r="68" spans="1:6" ht="18.75" x14ac:dyDescent="0.25">
      <c r="A68" s="1" t="s">
        <v>150</v>
      </c>
      <c r="B68" s="1" t="s">
        <v>173</v>
      </c>
      <c r="C68" s="1">
        <v>1</v>
      </c>
      <c r="D68" s="5">
        <v>46.07</v>
      </c>
      <c r="E68" s="4">
        <f>0.00088*1000</f>
        <v>0.88</v>
      </c>
      <c r="F68" s="6">
        <f t="shared" si="3"/>
        <v>5.2352272727272726E-2</v>
      </c>
    </row>
    <row r="69" spans="1:6" x14ac:dyDescent="0.25">
      <c r="A69" s="35" t="s">
        <v>202</v>
      </c>
      <c r="B69" s="35" t="s">
        <v>203</v>
      </c>
      <c r="C69" s="35">
        <v>1</v>
      </c>
      <c r="D69" s="36">
        <v>60.08</v>
      </c>
      <c r="E69" s="37">
        <f>0.00347*1000</f>
        <v>3.47</v>
      </c>
      <c r="F69" s="38">
        <f>C69*D69/(E69 * 1000)</f>
        <v>1.7314121037463978E-2</v>
      </c>
    </row>
    <row r="70" spans="1:6" x14ac:dyDescent="0.25">
      <c r="A70" s="1" t="s">
        <v>37</v>
      </c>
      <c r="B70" s="1" t="s">
        <v>217</v>
      </c>
      <c r="C70" s="1">
        <v>1</v>
      </c>
      <c r="D70" s="5">
        <v>750.27</v>
      </c>
      <c r="E70" s="4">
        <f>0.005*1000</f>
        <v>5</v>
      </c>
      <c r="F70" s="6">
        <f t="shared" si="3"/>
        <v>0.15005399999999999</v>
      </c>
    </row>
    <row r="71" spans="1:6" x14ac:dyDescent="0.25">
      <c r="A71" s="1" t="s">
        <v>135</v>
      </c>
      <c r="B71" s="1"/>
      <c r="C71" s="1">
        <v>1</v>
      </c>
      <c r="D71" s="5"/>
      <c r="E71" s="4">
        <f>0.001*1000</f>
        <v>1</v>
      </c>
      <c r="F71" s="6"/>
    </row>
    <row r="72" spans="1:6" x14ac:dyDescent="0.25">
      <c r="A72" s="1" t="s">
        <v>48</v>
      </c>
      <c r="B72" s="1" t="s">
        <v>21</v>
      </c>
      <c r="C72" s="1">
        <v>1</v>
      </c>
      <c r="D72" s="5">
        <f>14.007*2</f>
        <v>28.013999999999999</v>
      </c>
      <c r="E72" s="4">
        <f>0.000001251*1000</f>
        <v>1.2509999999999999E-3</v>
      </c>
      <c r="F72" s="6">
        <f>C72*D72/(E72 * 1000)</f>
        <v>22.393285371702639</v>
      </c>
    </row>
    <row r="73" spans="1:6" x14ac:dyDescent="0.25">
      <c r="A73" s="1" t="s">
        <v>151</v>
      </c>
      <c r="B73" s="1" t="s">
        <v>172</v>
      </c>
      <c r="C73" s="1">
        <v>1</v>
      </c>
      <c r="D73" s="5">
        <v>92.04</v>
      </c>
      <c r="E73" s="4">
        <f>0.00145*1000</f>
        <v>1.45</v>
      </c>
      <c r="F73" s="6">
        <f>C73*D73/(E73 * 1000)</f>
        <v>6.3475862068965522E-2</v>
      </c>
    </row>
    <row r="74" spans="1:6" x14ac:dyDescent="0.25">
      <c r="A74" s="1" t="s">
        <v>147</v>
      </c>
      <c r="B74" s="1"/>
      <c r="C74" s="1">
        <v>1</v>
      </c>
      <c r="D74" s="5"/>
      <c r="E74" s="4">
        <v>1.0499999999999999E-3</v>
      </c>
      <c r="F74" s="6"/>
    </row>
    <row r="75" spans="1:6" x14ac:dyDescent="0.25">
      <c r="A75" s="1" t="s">
        <v>125</v>
      </c>
      <c r="B75" s="1"/>
      <c r="C75" s="1">
        <v>1</v>
      </c>
      <c r="D75" s="5"/>
      <c r="E75" s="4">
        <f>0.001*1000</f>
        <v>1</v>
      </c>
      <c r="F75" s="6"/>
    </row>
    <row r="76" spans="1:6" x14ac:dyDescent="0.25">
      <c r="A76" s="1" t="s">
        <v>50</v>
      </c>
      <c r="B76" s="1" t="s">
        <v>8</v>
      </c>
      <c r="C76" s="1">
        <v>1</v>
      </c>
      <c r="D76" s="5">
        <v>32</v>
      </c>
      <c r="E76" s="4">
        <f>0.00000141*1000</f>
        <v>1.41E-3</v>
      </c>
      <c r="F76" s="6">
        <f>C76*D76/(E76 * 1000)</f>
        <v>22.695035460992909</v>
      </c>
    </row>
    <row r="77" spans="1:6" x14ac:dyDescent="0.25">
      <c r="A77" s="1" t="s">
        <v>39</v>
      </c>
      <c r="B77" s="1" t="s">
        <v>40</v>
      </c>
      <c r="C77" s="1">
        <v>1</v>
      </c>
      <c r="D77" s="5">
        <v>30.97</v>
      </c>
      <c r="E77" s="17">
        <f>$E$3</f>
        <v>5</v>
      </c>
      <c r="F77" s="6">
        <f>C77*D77/(E77 * 1000)</f>
        <v>6.1939999999999999E-3</v>
      </c>
    </row>
    <row r="78" spans="1:6" x14ac:dyDescent="0.25">
      <c r="A78" s="1" t="s">
        <v>210</v>
      </c>
      <c r="B78" s="1" t="s">
        <v>211</v>
      </c>
      <c r="C78" s="1">
        <v>1</v>
      </c>
      <c r="D78" s="5">
        <v>244</v>
      </c>
      <c r="E78" s="4">
        <f>0.019816*1000</f>
        <v>19.815999999999999</v>
      </c>
      <c r="F78" s="6">
        <f>C78*D78/(E78 * 1000)</f>
        <v>1.2313282196205087E-2</v>
      </c>
    </row>
    <row r="79" spans="1:6" x14ac:dyDescent="0.25">
      <c r="A79" s="1" t="s">
        <v>119</v>
      </c>
      <c r="B79" s="1"/>
      <c r="C79" s="1">
        <v>1</v>
      </c>
      <c r="D79" s="5"/>
      <c r="E79" s="4">
        <f>0.00104*1000</f>
        <v>1.0399999999999998</v>
      </c>
      <c r="F79" s="6"/>
    </row>
    <row r="80" spans="1:6" x14ac:dyDescent="0.25">
      <c r="A80" s="1" t="s">
        <v>32</v>
      </c>
      <c r="B80" s="1" t="s">
        <v>41</v>
      </c>
      <c r="C80" s="1">
        <v>1</v>
      </c>
      <c r="D80" s="5">
        <f>195.078</f>
        <v>195.078</v>
      </c>
      <c r="E80" s="4">
        <f>0.0078*1000</f>
        <v>7.8</v>
      </c>
      <c r="F80" s="6">
        <f>C80*D80/(E80 * 1000)</f>
        <v>2.5010000000000001E-2</v>
      </c>
    </row>
    <row r="81" spans="1:6" x14ac:dyDescent="0.25">
      <c r="A81" s="1" t="s">
        <v>126</v>
      </c>
      <c r="B81" s="1"/>
      <c r="C81" s="1">
        <v>1</v>
      </c>
      <c r="D81" s="5"/>
      <c r="E81" s="4">
        <f>0.00378*1000</f>
        <v>3.78</v>
      </c>
      <c r="F81" s="6"/>
    </row>
    <row r="82" spans="1:6" x14ac:dyDescent="0.25">
      <c r="A82" s="1" t="s">
        <v>120</v>
      </c>
      <c r="B82" s="1"/>
      <c r="C82" s="1">
        <v>1</v>
      </c>
      <c r="D82" s="5"/>
      <c r="E82" s="4">
        <f>0.0052*1000</f>
        <v>5.2</v>
      </c>
      <c r="F82" s="6"/>
    </row>
    <row r="83" spans="1:6" x14ac:dyDescent="0.25">
      <c r="A83" s="1" t="s">
        <v>139</v>
      </c>
      <c r="B83" s="1"/>
      <c r="C83" s="1">
        <v>1</v>
      </c>
      <c r="D83" s="5"/>
      <c r="E83" s="4">
        <f>0.0025*1000</f>
        <v>2.5</v>
      </c>
      <c r="F83" s="6"/>
    </row>
    <row r="84" spans="1:6" x14ac:dyDescent="0.25">
      <c r="A84" s="1" t="s">
        <v>140</v>
      </c>
      <c r="B84" s="1"/>
      <c r="C84" s="1">
        <v>1</v>
      </c>
      <c r="D84" s="5"/>
      <c r="E84" s="4">
        <f>0.004*1000</f>
        <v>4</v>
      </c>
      <c r="F84" s="6"/>
    </row>
    <row r="85" spans="1:6" x14ac:dyDescent="0.25">
      <c r="A85" s="1" t="s">
        <v>33</v>
      </c>
      <c r="B85" s="1" t="s">
        <v>201</v>
      </c>
      <c r="C85" s="1">
        <v>1</v>
      </c>
      <c r="D85" s="5">
        <v>76.08</v>
      </c>
      <c r="E85" s="4">
        <f>0.0025*1000</f>
        <v>2.5</v>
      </c>
      <c r="F85" s="6">
        <f>C85*D85/(E85 * 1000)</f>
        <v>3.0432000000000001E-2</v>
      </c>
    </row>
    <row r="86" spans="1:6" x14ac:dyDescent="0.25">
      <c r="A86" s="1" t="s">
        <v>166</v>
      </c>
      <c r="B86" s="1" t="s">
        <v>167</v>
      </c>
      <c r="C86" s="1">
        <v>1</v>
      </c>
      <c r="D86" s="5">
        <v>28.09</v>
      </c>
      <c r="E86" s="4">
        <f>0.002329*1000</f>
        <v>2.3289999999999997</v>
      </c>
      <c r="F86" s="6">
        <f>C86*D86/(E86 * 1000)</f>
        <v>1.2060970373550882E-2</v>
      </c>
    </row>
    <row r="87" spans="1:6" x14ac:dyDescent="0.25">
      <c r="A87" s="1" t="s">
        <v>118</v>
      </c>
      <c r="B87" s="1"/>
      <c r="C87" s="1">
        <v>1</v>
      </c>
      <c r="D87" s="5"/>
      <c r="E87" s="4">
        <f>0.00378*1000</f>
        <v>3.78</v>
      </c>
      <c r="F87" s="6"/>
    </row>
    <row r="88" spans="1:6" x14ac:dyDescent="0.25">
      <c r="A88" s="1" t="s">
        <v>159</v>
      </c>
      <c r="B88" s="1" t="s">
        <v>160</v>
      </c>
      <c r="C88" s="1">
        <v>1</v>
      </c>
      <c r="D88" s="5">
        <v>186.09</v>
      </c>
      <c r="E88" s="4">
        <f>0.0031*1000</f>
        <v>3.1</v>
      </c>
      <c r="F88" s="6">
        <f>C88*D88/(E88 * 1000)</f>
        <v>6.0029032258064517E-2</v>
      </c>
    </row>
    <row r="89" spans="1:6" x14ac:dyDescent="0.25">
      <c r="A89" s="1" t="s">
        <v>34</v>
      </c>
      <c r="B89" s="1"/>
      <c r="C89" s="1">
        <v>1</v>
      </c>
      <c r="D89" s="5"/>
      <c r="E89" s="4">
        <f>0.0016*1000</f>
        <v>1.6</v>
      </c>
      <c r="F89" s="6"/>
    </row>
    <row r="90" spans="1:6" x14ac:dyDescent="0.25">
      <c r="A90" s="1" t="s">
        <v>131</v>
      </c>
      <c r="B90" s="1"/>
      <c r="C90" s="1">
        <v>1</v>
      </c>
      <c r="D90" s="5"/>
      <c r="E90" s="4">
        <f>0.001*1000</f>
        <v>1</v>
      </c>
      <c r="F90" s="6"/>
    </row>
    <row r="91" spans="1:6" x14ac:dyDescent="0.25">
      <c r="A91" s="1" t="s">
        <v>218</v>
      </c>
      <c r="B91" s="1" t="s">
        <v>219</v>
      </c>
      <c r="C91" s="1">
        <v>1</v>
      </c>
      <c r="D91" s="5">
        <v>232.04</v>
      </c>
      <c r="E91" s="4">
        <f>0.0117*1000</f>
        <v>11.700000000000001</v>
      </c>
      <c r="F91" s="6">
        <f>C91*D91/(E91 * 1000)</f>
        <v>1.9832478632478629E-2</v>
      </c>
    </row>
    <row r="92" spans="1:6" x14ac:dyDescent="0.25">
      <c r="A92" s="1" t="s">
        <v>128</v>
      </c>
      <c r="B92" s="1" t="s">
        <v>129</v>
      </c>
      <c r="C92" s="1">
        <v>1</v>
      </c>
      <c r="D92" s="5">
        <v>270.02999999999997</v>
      </c>
      <c r="E92" s="4">
        <f>0.0075*1000</f>
        <v>7.5</v>
      </c>
      <c r="F92" s="6">
        <f>C92*D92/(E92 * 1000)</f>
        <v>3.6003999999999994E-2</v>
      </c>
    </row>
    <row r="93" spans="1:6" x14ac:dyDescent="0.25">
      <c r="A93" s="1" t="s">
        <v>152</v>
      </c>
      <c r="B93" s="1" t="s">
        <v>158</v>
      </c>
      <c r="C93" s="1">
        <v>1</v>
      </c>
      <c r="D93" s="5">
        <v>60.1</v>
      </c>
      <c r="E93" s="4">
        <f>0.000791*1000</f>
        <v>0.79100000000000004</v>
      </c>
      <c r="F93" s="6">
        <f>C93*D93/(E93 * 1000)</f>
        <v>7.5979772439949439E-2</v>
      </c>
    </row>
    <row r="94" spans="1:6" x14ac:dyDescent="0.25">
      <c r="A94" s="1" t="s">
        <v>155</v>
      </c>
      <c r="B94" s="1" t="s">
        <v>157</v>
      </c>
      <c r="C94" s="1">
        <v>1</v>
      </c>
      <c r="D94" s="5">
        <f>SUM(($D$45*0.25)+($D$93*0.75))</f>
        <v>53.086500000000001</v>
      </c>
      <c r="E94" s="4">
        <f>0.000829*1000</f>
        <v>0.82899999999999996</v>
      </c>
      <c r="F94" s="6">
        <f>C94*D94/(E94 * 1000)</f>
        <v>6.4036791314837152E-2</v>
      </c>
    </row>
    <row r="95" spans="1:6" x14ac:dyDescent="0.25">
      <c r="A95" s="1" t="s">
        <v>194</v>
      </c>
      <c r="B95" s="1"/>
      <c r="C95" s="1">
        <v>1</v>
      </c>
      <c r="D95" s="5"/>
      <c r="E95" s="4">
        <f>0.00075*1000</f>
        <v>0.75</v>
      </c>
      <c r="F95" s="6"/>
    </row>
    <row r="96" spans="1:6" x14ac:dyDescent="0.25">
      <c r="A96" s="1" t="s">
        <v>195</v>
      </c>
      <c r="B96" s="1"/>
      <c r="C96" s="1">
        <v>1</v>
      </c>
      <c r="D96" s="5"/>
      <c r="E96" s="4">
        <f>0.001005*1000</f>
        <v>1.0050000000000001</v>
      </c>
      <c r="F96" s="6"/>
    </row>
    <row r="97" spans="1:6" x14ac:dyDescent="0.25">
      <c r="A97" s="1" t="s">
        <v>114</v>
      </c>
      <c r="B97" s="1" t="s">
        <v>22</v>
      </c>
      <c r="C97" s="1">
        <v>1</v>
      </c>
      <c r="D97" s="5">
        <v>18.02</v>
      </c>
      <c r="E97" s="4">
        <f>0.001*1000</f>
        <v>1</v>
      </c>
      <c r="F97" s="6">
        <f>C97*D97/(E97 * 1000)</f>
        <v>1.8020000000000001E-2</v>
      </c>
    </row>
    <row r="99" spans="1:6" x14ac:dyDescent="0.25">
      <c r="A99" s="1" t="s">
        <v>97</v>
      </c>
    </row>
    <row r="100" spans="1:6" x14ac:dyDescent="0.25">
      <c r="A100" s="29" t="s">
        <v>98</v>
      </c>
      <c r="D100" s="30"/>
      <c r="E100" s="4">
        <f t="shared" ref="E100:E135" si="4">F100*1000</f>
        <v>5</v>
      </c>
      <c r="F100" s="6">
        <v>5.0000000000000001E-3</v>
      </c>
    </row>
    <row r="101" spans="1:6" x14ac:dyDescent="0.25">
      <c r="A101" s="29" t="s">
        <v>106</v>
      </c>
      <c r="E101" s="4">
        <f t="shared" si="4"/>
        <v>19.3</v>
      </c>
      <c r="F101" s="6">
        <v>1.9300000000000001E-2</v>
      </c>
    </row>
    <row r="102" spans="1:6" x14ac:dyDescent="0.25">
      <c r="A102" s="29" t="s">
        <v>51</v>
      </c>
      <c r="E102" s="4">
        <f t="shared" si="4"/>
        <v>54.4</v>
      </c>
      <c r="F102" s="6">
        <v>5.4399999999999997E-2</v>
      </c>
    </row>
    <row r="103" spans="1:6" x14ac:dyDescent="0.25">
      <c r="A103" s="29" t="s">
        <v>99</v>
      </c>
      <c r="E103" s="4">
        <f t="shared" si="4"/>
        <v>5</v>
      </c>
      <c r="F103" s="6">
        <v>5.0000000000000001E-3</v>
      </c>
    </row>
    <row r="104" spans="1:6" x14ac:dyDescent="0.25">
      <c r="A104" s="29" t="s">
        <v>108</v>
      </c>
      <c r="E104" s="4">
        <f t="shared" si="4"/>
        <v>7</v>
      </c>
      <c r="F104" s="6">
        <v>7.0000000000000001E-3</v>
      </c>
    </row>
    <row r="105" spans="1:6" x14ac:dyDescent="0.25">
      <c r="A105" s="29" t="s">
        <v>142</v>
      </c>
      <c r="E105" s="4">
        <f t="shared" si="4"/>
        <v>0.53399999999999992</v>
      </c>
      <c r="F105" s="6">
        <v>5.3399999999999997E-4</v>
      </c>
    </row>
    <row r="106" spans="1:6" x14ac:dyDescent="0.25">
      <c r="A106" s="29" t="s">
        <v>100</v>
      </c>
      <c r="E106" s="4">
        <f t="shared" si="4"/>
        <v>6.0000000000000005E-2</v>
      </c>
      <c r="F106" s="6">
        <v>6.0000000000000002E-5</v>
      </c>
    </row>
    <row r="107" spans="1:6" x14ac:dyDescent="0.25">
      <c r="A107" s="29" t="s">
        <v>104</v>
      </c>
      <c r="E107" s="4">
        <f t="shared" si="4"/>
        <v>2.5</v>
      </c>
      <c r="F107" s="6">
        <v>2.5000000000000001E-3</v>
      </c>
    </row>
    <row r="108" spans="1:6" x14ac:dyDescent="0.25">
      <c r="A108" s="29" t="s">
        <v>61</v>
      </c>
      <c r="E108" s="4">
        <f t="shared" si="4"/>
        <v>5.0108799999999993</v>
      </c>
      <c r="F108" s="6">
        <v>5.0108799999999997E-3</v>
      </c>
    </row>
    <row r="109" spans="1:6" x14ac:dyDescent="0.25">
      <c r="A109" s="29" t="s">
        <v>109</v>
      </c>
      <c r="E109" s="4">
        <f t="shared" si="4"/>
        <v>4.3499999999999996</v>
      </c>
      <c r="F109" s="6">
        <v>4.3499999999999997E-3</v>
      </c>
    </row>
    <row r="110" spans="1:6" x14ac:dyDescent="0.25">
      <c r="A110" s="29" t="s">
        <v>103</v>
      </c>
      <c r="E110" s="4">
        <f t="shared" si="4"/>
        <v>0.216</v>
      </c>
      <c r="F110" s="6">
        <v>2.1599999999999999E-4</v>
      </c>
    </row>
    <row r="111" spans="1:6" x14ac:dyDescent="0.25">
      <c r="A111" s="29" t="s">
        <v>52</v>
      </c>
      <c r="E111" s="4">
        <f t="shared" si="4"/>
        <v>23.125</v>
      </c>
      <c r="F111" s="6">
        <v>2.3125E-2</v>
      </c>
    </row>
    <row r="112" spans="1:6" x14ac:dyDescent="0.25">
      <c r="A112" s="29" t="s">
        <v>53</v>
      </c>
      <c r="E112" s="4">
        <f t="shared" si="4"/>
        <v>5.25</v>
      </c>
      <c r="F112" s="6">
        <v>5.2500000000000003E-3</v>
      </c>
    </row>
    <row r="113" spans="1:6" x14ac:dyDescent="0.25">
      <c r="A113" s="29" t="s">
        <v>224</v>
      </c>
      <c r="E113" s="4">
        <f t="shared" si="4"/>
        <v>6.24</v>
      </c>
      <c r="F113" s="6">
        <v>6.2399999999999999E-3</v>
      </c>
    </row>
    <row r="114" spans="1:6" x14ac:dyDescent="0.25">
      <c r="A114" s="29" t="s">
        <v>54</v>
      </c>
      <c r="E114" s="4">
        <f t="shared" si="4"/>
        <v>5</v>
      </c>
      <c r="F114" s="6">
        <v>5.0000000000000001E-3</v>
      </c>
    </row>
    <row r="115" spans="1:6" x14ac:dyDescent="0.25">
      <c r="A115" s="29" t="s">
        <v>141</v>
      </c>
      <c r="E115" s="4">
        <f t="shared" si="4"/>
        <v>1</v>
      </c>
      <c r="F115" s="6">
        <v>1E-3</v>
      </c>
    </row>
    <row r="116" spans="1:6" x14ac:dyDescent="0.25">
      <c r="A116" s="29" t="s">
        <v>55</v>
      </c>
      <c r="E116" s="4">
        <f t="shared" si="4"/>
        <v>12.5</v>
      </c>
      <c r="F116" s="6">
        <v>1.2500000000000001E-2</v>
      </c>
    </row>
    <row r="117" spans="1:6" x14ac:dyDescent="0.25">
      <c r="A117" s="29" t="s">
        <v>105</v>
      </c>
      <c r="E117" s="4">
        <f t="shared" si="4"/>
        <v>2.4</v>
      </c>
      <c r="F117" s="6">
        <v>2.3999999999999998E-3</v>
      </c>
    </row>
    <row r="118" spans="1:6" x14ac:dyDescent="0.25">
      <c r="A118" s="29" t="s">
        <v>56</v>
      </c>
      <c r="E118" s="4">
        <f t="shared" si="4"/>
        <v>13.5</v>
      </c>
      <c r="F118" s="6">
        <v>1.35E-2</v>
      </c>
    </row>
    <row r="119" spans="1:6" x14ac:dyDescent="0.25">
      <c r="A119" s="29" t="s">
        <v>57</v>
      </c>
      <c r="E119" s="4">
        <f t="shared" si="4"/>
        <v>8.6</v>
      </c>
      <c r="F119" s="6">
        <v>8.6E-3</v>
      </c>
    </row>
    <row r="120" spans="1:6" x14ac:dyDescent="0.25">
      <c r="A120" s="29" t="s">
        <v>164</v>
      </c>
      <c r="E120" s="4">
        <f t="shared" si="4"/>
        <v>19.099999999999998</v>
      </c>
      <c r="F120" s="6">
        <v>1.9099999999999999E-2</v>
      </c>
    </row>
    <row r="121" spans="1:6" x14ac:dyDescent="0.25">
      <c r="A121" s="29" t="s">
        <v>165</v>
      </c>
      <c r="E121" s="4">
        <f t="shared" si="4"/>
        <v>10.97</v>
      </c>
      <c r="F121" s="6">
        <v>1.0970000000000001E-2</v>
      </c>
    </row>
    <row r="122" spans="1:6" x14ac:dyDescent="0.25">
      <c r="A122" s="29" t="s">
        <v>58</v>
      </c>
      <c r="B122" s="1"/>
      <c r="C122" s="1"/>
      <c r="D122" s="3"/>
      <c r="E122" s="4">
        <f t="shared" si="4"/>
        <v>5.7050000000000001</v>
      </c>
      <c r="F122" s="6">
        <v>5.705E-3</v>
      </c>
    </row>
    <row r="123" spans="1:6" x14ac:dyDescent="0.25">
      <c r="A123" s="29" t="s">
        <v>59</v>
      </c>
      <c r="B123" s="1"/>
      <c r="C123" s="1"/>
      <c r="D123" s="3"/>
      <c r="E123" s="4">
        <f t="shared" si="4"/>
        <v>13.5</v>
      </c>
      <c r="F123" s="6">
        <v>1.35E-2</v>
      </c>
    </row>
    <row r="124" spans="1:6" x14ac:dyDescent="0.25">
      <c r="A124" s="29" t="s">
        <v>63</v>
      </c>
      <c r="B124" s="1"/>
      <c r="C124" s="1"/>
      <c r="D124" s="3"/>
      <c r="E124" s="4">
        <f t="shared" si="4"/>
        <v>0.35399999999999998</v>
      </c>
      <c r="F124" s="6">
        <v>3.5399999999999999E-4</v>
      </c>
    </row>
    <row r="125" spans="1:6" x14ac:dyDescent="0.25">
      <c r="A125" s="29" t="s">
        <v>101</v>
      </c>
      <c r="B125" s="1"/>
      <c r="C125" s="1"/>
      <c r="D125" s="3"/>
      <c r="E125" s="4">
        <f t="shared" si="4"/>
        <v>2.12805</v>
      </c>
      <c r="F125" s="6">
        <v>2.1280499999999998E-3</v>
      </c>
    </row>
    <row r="126" spans="1:6" x14ac:dyDescent="0.25">
      <c r="A126" s="29" t="s">
        <v>111</v>
      </c>
      <c r="B126" s="1"/>
      <c r="C126" s="1"/>
      <c r="D126" s="3"/>
      <c r="E126" s="4">
        <f t="shared" si="4"/>
        <v>1.08</v>
      </c>
      <c r="F126" s="6">
        <v>1.08E-3</v>
      </c>
    </row>
    <row r="127" spans="1:6" x14ac:dyDescent="0.25">
      <c r="A127" s="29" t="s">
        <v>102</v>
      </c>
      <c r="B127" s="1"/>
      <c r="C127" s="1"/>
      <c r="D127" s="3"/>
      <c r="E127" s="4">
        <f t="shared" si="4"/>
        <v>4.1000000000000005</v>
      </c>
      <c r="F127" s="6">
        <v>4.1000000000000003E-3</v>
      </c>
    </row>
    <row r="128" spans="1:6" x14ac:dyDescent="0.25">
      <c r="A128" s="29" t="s">
        <v>46</v>
      </c>
      <c r="E128" s="4">
        <f t="shared" si="4"/>
        <v>12.5</v>
      </c>
      <c r="F128" s="6">
        <v>1.2500000000000001E-2</v>
      </c>
    </row>
    <row r="129" spans="1:6" x14ac:dyDescent="0.25">
      <c r="A129" s="29" t="s">
        <v>65</v>
      </c>
      <c r="E129" s="4">
        <f t="shared" si="4"/>
        <v>4.5999999999999996</v>
      </c>
      <c r="F129" s="6">
        <v>4.5999999999999999E-3</v>
      </c>
    </row>
    <row r="130" spans="1:6" x14ac:dyDescent="0.25">
      <c r="A130" s="29" t="s">
        <v>112</v>
      </c>
      <c r="E130" s="4">
        <f t="shared" si="4"/>
        <v>1</v>
      </c>
      <c r="F130" s="6">
        <v>1E-3</v>
      </c>
    </row>
    <row r="131" spans="1:6" x14ac:dyDescent="0.25">
      <c r="A131" s="29" t="s">
        <v>113</v>
      </c>
      <c r="E131" s="4">
        <f t="shared" si="4"/>
        <v>1</v>
      </c>
      <c r="F131" s="6">
        <v>1E-3</v>
      </c>
    </row>
    <row r="132" spans="1:6" x14ac:dyDescent="0.25">
      <c r="A132" s="29" t="s">
        <v>107</v>
      </c>
      <c r="E132" s="4">
        <f t="shared" si="4"/>
        <v>7.5</v>
      </c>
      <c r="F132" s="6">
        <v>7.4999999999999997E-3</v>
      </c>
    </row>
    <row r="133" spans="1:6" x14ac:dyDescent="0.25">
      <c r="A133" s="29" t="s">
        <v>110</v>
      </c>
      <c r="E133" s="4">
        <f t="shared" si="4"/>
        <v>4.3499999999999996</v>
      </c>
      <c r="F133" s="6">
        <v>4.3499999999999997E-3</v>
      </c>
    </row>
    <row r="134" spans="1:6" x14ac:dyDescent="0.25">
      <c r="A134" s="29" t="s">
        <v>115</v>
      </c>
      <c r="E134" s="4">
        <f t="shared" si="4"/>
        <v>5</v>
      </c>
      <c r="F134" s="6">
        <v>5.0000000000000001E-3</v>
      </c>
    </row>
    <row r="135" spans="1:6" x14ac:dyDescent="0.25">
      <c r="A135" s="29" t="s">
        <v>60</v>
      </c>
      <c r="E135" s="4">
        <f t="shared" si="4"/>
        <v>5</v>
      </c>
      <c r="F135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2025-09-05T17:47:38Z</dcterms:modified>
  <cp:category/>
  <cp:contentStatus/>
</cp:coreProperties>
</file>